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hmds\Downloads\"/>
    </mc:Choice>
  </mc:AlternateContent>
  <xr:revisionPtr revIDLastSave="0" documentId="13_ncr:1_{1EBD9959-1B76-470D-B3FD-1D5C3CD621D3}" xr6:coauthVersionLast="46" xr6:coauthVersionMax="46" xr10:uidLastSave="{00000000-0000-0000-0000-000000000000}"/>
  <bookViews>
    <workbookView xWindow="-120" yWindow="-120" windowWidth="20730" windowHeight="11160" xr2:uid="{0423D0EB-B5EB-4161-A6F2-4540425B0E77}"/>
  </bookViews>
  <sheets>
    <sheet name="Resumo" sheetId="4" r:id="rId1"/>
    <sheet name="Copeira" sheetId="6" r:id="rId2"/>
    <sheet name="Garçom" sheetId="5" r:id="rId3"/>
    <sheet name="Encarregado" sheetId="7" r:id="rId4"/>
    <sheet name="Uniformes" sheetId="2" r:id="rId5"/>
    <sheet name="Materiais" sheetId="1" r:id="rId6"/>
    <sheet name="Equipamentos" sheetId="3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4" l="1"/>
  <c r="E4" i="4"/>
  <c r="E3" i="4"/>
  <c r="G67" i="7"/>
  <c r="G76" i="5"/>
  <c r="G98" i="6"/>
  <c r="G67" i="6"/>
  <c r="G25" i="6"/>
  <c r="L27" i="1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 s="1"/>
  <c r="K6" i="3"/>
  <c r="J33" i="1"/>
  <c r="H30" i="3"/>
  <c r="I24" i="2"/>
  <c r="I25" i="2"/>
  <c r="I26" i="2"/>
  <c r="I27" i="2"/>
  <c r="I28" i="2"/>
  <c r="I23" i="2"/>
  <c r="I17" i="2"/>
  <c r="I18" i="2"/>
  <c r="I19" i="2"/>
  <c r="I20" i="2"/>
  <c r="I16" i="2"/>
  <c r="I8" i="2"/>
  <c r="I9" i="2"/>
  <c r="I10" i="2"/>
  <c r="I11" i="2"/>
  <c r="I12" i="2"/>
  <c r="I13" i="2"/>
  <c r="I7" i="2"/>
  <c r="L29" i="1" l="1"/>
  <c r="L28" i="1"/>
  <c r="K26" i="3"/>
  <c r="H21" i="2" a="1"/>
  <c r="H21" i="2" s="1"/>
  <c r="F5" i="4"/>
  <c r="G5" i="4" s="1"/>
  <c r="F4" i="4"/>
  <c r="G4" i="4" s="1"/>
  <c r="F3" i="4"/>
  <c r="G3" i="4" s="1"/>
  <c r="G16" i="3"/>
  <c r="G20" i="3"/>
  <c r="K26" i="1"/>
  <c r="L26" i="1" s="1"/>
  <c r="M26" i="1" s="1"/>
  <c r="J22" i="3"/>
  <c r="F86" i="7"/>
  <c r="F77" i="7"/>
  <c r="G71" i="7"/>
  <c r="G95" i="7" s="1"/>
  <c r="F57" i="7"/>
  <c r="F58" i="7" s="1"/>
  <c r="F51" i="7"/>
  <c r="F50" i="7"/>
  <c r="F49" i="7"/>
  <c r="F48" i="7"/>
  <c r="F47" i="7"/>
  <c r="F53" i="7" s="1"/>
  <c r="F54" i="7" s="1"/>
  <c r="F42" i="7"/>
  <c r="F40" i="7"/>
  <c r="F41" i="7" s="1"/>
  <c r="F39" i="7"/>
  <c r="F37" i="7"/>
  <c r="F38" i="7" s="1"/>
  <c r="G29" i="7"/>
  <c r="F25" i="7"/>
  <c r="F10" i="7"/>
  <c r="F12" i="7" s="1"/>
  <c r="G4" i="7"/>
  <c r="G28" i="7" s="1"/>
  <c r="G31" i="7" s="1"/>
  <c r="K27" i="3" l="1"/>
  <c r="E6" i="4"/>
  <c r="F6" i="4" s="1"/>
  <c r="H14" i="2" a="1"/>
  <c r="H14" i="2" s="1"/>
  <c r="G67" i="5" s="1"/>
  <c r="G6" i="7"/>
  <c r="G11" i="7" s="1"/>
  <c r="F13" i="7"/>
  <c r="F14" i="7" s="1"/>
  <c r="F43" i="7"/>
  <c r="G91" i="7" l="1"/>
  <c r="G21" i="7"/>
  <c r="G13" i="7"/>
  <c r="G10" i="7"/>
  <c r="G12" i="7" s="1"/>
  <c r="G14" i="7" s="1"/>
  <c r="G33" i="7" s="1"/>
  <c r="G17" i="7"/>
  <c r="G25" i="7" s="1"/>
  <c r="G19" i="7"/>
  <c r="G23" i="7"/>
  <c r="G24" i="7"/>
  <c r="G18" i="7"/>
  <c r="G56" i="7"/>
  <c r="G42" i="7"/>
  <c r="G22" i="7"/>
  <c r="G57" i="7"/>
  <c r="G20" i="7"/>
  <c r="G58" i="7" l="1"/>
  <c r="G62" i="7" s="1"/>
  <c r="G92" i="7"/>
  <c r="G39" i="7"/>
  <c r="G40" i="7"/>
  <c r="G38" i="7"/>
  <c r="G41" i="7"/>
  <c r="G37" i="7"/>
  <c r="F86" i="6"/>
  <c r="F77" i="6"/>
  <c r="G71" i="6"/>
  <c r="G95" i="6" s="1"/>
  <c r="F57" i="6"/>
  <c r="F58" i="6" s="1"/>
  <c r="F51" i="6"/>
  <c r="F50" i="6"/>
  <c r="F49" i="6"/>
  <c r="F48" i="6"/>
  <c r="F47" i="6"/>
  <c r="F42" i="6"/>
  <c r="F40" i="6"/>
  <c r="F41" i="6" s="1"/>
  <c r="F39" i="6"/>
  <c r="F37" i="6"/>
  <c r="G29" i="6"/>
  <c r="F25" i="6"/>
  <c r="F10" i="6"/>
  <c r="F12" i="6" s="1"/>
  <c r="G4" i="6"/>
  <c r="G6" i="6" s="1"/>
  <c r="F38" i="6" l="1"/>
  <c r="F43" i="6" s="1"/>
  <c r="G43" i="7"/>
  <c r="G93" i="7" s="1"/>
  <c r="G91" i="6"/>
  <c r="G21" i="6"/>
  <c r="G10" i="6"/>
  <c r="G28" i="6"/>
  <c r="G31" i="6" s="1"/>
  <c r="G42" i="6"/>
  <c r="G23" i="6"/>
  <c r="G18" i="6"/>
  <c r="G24" i="6"/>
  <c r="G56" i="6"/>
  <c r="G19" i="6"/>
  <c r="G17" i="6"/>
  <c r="G11" i="6"/>
  <c r="G20" i="6"/>
  <c r="F53" i="6"/>
  <c r="F54" i="6" s="1"/>
  <c r="G57" i="6"/>
  <c r="G22" i="6"/>
  <c r="J16" i="3"/>
  <c r="J20" i="3"/>
  <c r="G29" i="5"/>
  <c r="F10" i="5"/>
  <c r="F86" i="5"/>
  <c r="F77" i="5"/>
  <c r="F57" i="5"/>
  <c r="F58" i="5" s="1"/>
  <c r="F51" i="5"/>
  <c r="F50" i="5"/>
  <c r="F49" i="5"/>
  <c r="F48" i="5"/>
  <c r="F47" i="5"/>
  <c r="F42" i="5"/>
  <c r="F40" i="5"/>
  <c r="F39" i="5"/>
  <c r="F37" i="5"/>
  <c r="F25" i="5"/>
  <c r="G4" i="5"/>
  <c r="G6" i="5" s="1"/>
  <c r="G20" i="5" s="1"/>
  <c r="G51" i="7" l="1"/>
  <c r="G47" i="7"/>
  <c r="G50" i="7"/>
  <c r="G49" i="7"/>
  <c r="G48" i="7"/>
  <c r="G52" i="7"/>
  <c r="G12" i="6"/>
  <c r="G58" i="6"/>
  <c r="G62" i="6" s="1"/>
  <c r="F13" i="6"/>
  <c r="G13" i="6" s="1"/>
  <c r="G14" i="6" s="1"/>
  <c r="G33" i="6" s="1"/>
  <c r="F12" i="5"/>
  <c r="F13" i="5" s="1"/>
  <c r="G13" i="5" s="1"/>
  <c r="F53" i="5"/>
  <c r="F54" i="5" s="1"/>
  <c r="F41" i="5"/>
  <c r="G17" i="5"/>
  <c r="G28" i="5"/>
  <c r="G31" i="5" s="1"/>
  <c r="F38" i="5"/>
  <c r="F43" i="5" s="1"/>
  <c r="G71" i="5"/>
  <c r="G95" i="5" s="1"/>
  <c r="G10" i="5"/>
  <c r="G57" i="5"/>
  <c r="G24" i="5"/>
  <c r="G21" i="5"/>
  <c r="G42" i="5"/>
  <c r="G56" i="5"/>
  <c r="G22" i="5"/>
  <c r="G18" i="5"/>
  <c r="G23" i="5"/>
  <c r="G19" i="5"/>
  <c r="G91" i="5"/>
  <c r="G11" i="5"/>
  <c r="G53" i="7" l="1"/>
  <c r="G54" i="7" s="1"/>
  <c r="G61" i="7" s="1"/>
  <c r="G63" i="7" s="1"/>
  <c r="G94" i="7" s="1"/>
  <c r="G96" i="7" s="1"/>
  <c r="G75" i="7" s="1"/>
  <c r="G76" i="7" s="1"/>
  <c r="G92" i="6"/>
  <c r="G38" i="6"/>
  <c r="G40" i="6"/>
  <c r="G39" i="6"/>
  <c r="G37" i="6"/>
  <c r="G41" i="6"/>
  <c r="F14" i="6"/>
  <c r="F14" i="5"/>
  <c r="G12" i="5"/>
  <c r="G14" i="5" s="1"/>
  <c r="G58" i="5"/>
  <c r="G62" i="5" s="1"/>
  <c r="G25" i="5"/>
  <c r="G77" i="7" l="1"/>
  <c r="G43" i="6"/>
  <c r="G33" i="5"/>
  <c r="G92" i="5" s="1"/>
  <c r="G81" i="7" l="1"/>
  <c r="G80" i="7"/>
  <c r="G83" i="7"/>
  <c r="G98" i="7"/>
  <c r="G49" i="6"/>
  <c r="G52" i="6"/>
  <c r="G93" i="6"/>
  <c r="G48" i="6"/>
  <c r="G51" i="6"/>
  <c r="G50" i="6"/>
  <c r="G47" i="6"/>
  <c r="G40" i="5"/>
  <c r="G37" i="5"/>
  <c r="G39" i="5"/>
  <c r="G38" i="5"/>
  <c r="G41" i="5"/>
  <c r="G86" i="7" l="1"/>
  <c r="G87" i="7" s="1"/>
  <c r="G97" i="7" s="1"/>
  <c r="G53" i="6"/>
  <c r="G54" i="6" s="1"/>
  <c r="G61" i="6" s="1"/>
  <c r="G63" i="6" s="1"/>
  <c r="G94" i="6" s="1"/>
  <c r="G96" i="6" s="1"/>
  <c r="G43" i="5"/>
  <c r="G48" i="5" s="1"/>
  <c r="G75" i="6" l="1"/>
  <c r="G76" i="6" s="1"/>
  <c r="G93" i="5"/>
  <c r="G50" i="5"/>
  <c r="G47" i="5"/>
  <c r="G51" i="5"/>
  <c r="G52" i="5"/>
  <c r="G49" i="5"/>
  <c r="G77" i="6" l="1"/>
  <c r="G53" i="5"/>
  <c r="G54" i="5" s="1"/>
  <c r="G61" i="5" s="1"/>
  <c r="G63" i="5" s="1"/>
  <c r="G94" i="5" s="1"/>
  <c r="G96" i="5" s="1"/>
  <c r="G80" i="6" l="1"/>
  <c r="G81" i="6"/>
  <c r="G83" i="6"/>
  <c r="G75" i="5"/>
  <c r="G77" i="5" l="1"/>
  <c r="G86" i="6"/>
  <c r="G87" i="6" s="1"/>
  <c r="G97" i="6" s="1"/>
  <c r="G83" i="5" l="1"/>
  <c r="G98" i="5"/>
  <c r="G81" i="5"/>
  <c r="G80" i="5"/>
  <c r="G86" i="5" l="1"/>
  <c r="G87" i="5" s="1"/>
  <c r="G97" i="5" s="1"/>
  <c r="K6" i="1"/>
  <c r="L6" i="1" s="1"/>
  <c r="M6" i="1" s="1"/>
  <c r="K7" i="1"/>
  <c r="L7" i="1" s="1"/>
  <c r="M7" i="1" s="1"/>
  <c r="K8" i="1"/>
  <c r="L8" i="1" s="1"/>
  <c r="K9" i="1"/>
  <c r="L9" i="1" s="1"/>
  <c r="M9" i="1" s="1"/>
  <c r="K10" i="1"/>
  <c r="L10" i="1" s="1"/>
  <c r="M10" i="1" s="1"/>
  <c r="K11" i="1"/>
  <c r="L11" i="1" s="1"/>
  <c r="M11" i="1" s="1"/>
  <c r="K12" i="1"/>
  <c r="L12" i="1" s="1"/>
  <c r="M12" i="1" s="1"/>
  <c r="K13" i="1"/>
  <c r="L13" i="1" s="1"/>
  <c r="M13" i="1" s="1"/>
  <c r="K14" i="1"/>
  <c r="L14" i="1" s="1"/>
  <c r="M14" i="1" s="1"/>
  <c r="K15" i="1"/>
  <c r="L15" i="1" s="1"/>
  <c r="M15" i="1" s="1"/>
  <c r="K16" i="1"/>
  <c r="L16" i="1" s="1"/>
  <c r="M16" i="1" s="1"/>
  <c r="K17" i="1"/>
  <c r="L17" i="1" s="1"/>
  <c r="M17" i="1" s="1"/>
  <c r="K18" i="1"/>
  <c r="L18" i="1" s="1"/>
  <c r="M18" i="1" s="1"/>
  <c r="K19" i="1"/>
  <c r="L19" i="1" s="1"/>
  <c r="M19" i="1" s="1"/>
  <c r="K20" i="1"/>
  <c r="L20" i="1" s="1"/>
  <c r="M20" i="1" s="1"/>
  <c r="K21" i="1"/>
  <c r="L21" i="1" s="1"/>
  <c r="M21" i="1" s="1"/>
  <c r="K22" i="1"/>
  <c r="L22" i="1" s="1"/>
  <c r="M22" i="1" s="1"/>
  <c r="K23" i="1"/>
  <c r="L23" i="1" s="1"/>
  <c r="M23" i="1" s="1"/>
  <c r="K24" i="1"/>
  <c r="L24" i="1" s="1"/>
  <c r="M24" i="1" s="1"/>
  <c r="K25" i="1"/>
  <c r="L25" i="1" s="1"/>
  <c r="M25" i="1" s="1"/>
  <c r="M8" i="1" l="1"/>
  <c r="G7" i="3"/>
  <c r="G8" i="3"/>
  <c r="G9" i="3"/>
  <c r="G10" i="3"/>
  <c r="G11" i="3"/>
  <c r="G12" i="3"/>
  <c r="G13" i="3"/>
  <c r="G14" i="3"/>
  <c r="G15" i="3"/>
  <c r="G17" i="3"/>
  <c r="G18" i="3"/>
  <c r="G19" i="3"/>
  <c r="G21" i="3"/>
  <c r="G23" i="3"/>
  <c r="G6" i="3"/>
  <c r="M27" i="1" l="1"/>
  <c r="H11" i="3"/>
  <c r="J11" i="3"/>
  <c r="H19" i="3"/>
  <c r="J19" i="3"/>
  <c r="H12" i="3"/>
  <c r="J12" i="3"/>
  <c r="H18" i="3"/>
  <c r="J18" i="3"/>
  <c r="H9" i="3"/>
  <c r="J9" i="3"/>
  <c r="H17" i="3"/>
  <c r="J17" i="3"/>
  <c r="H6" i="3"/>
  <c r="J6" i="3"/>
  <c r="H23" i="3"/>
  <c r="J23" i="3"/>
  <c r="H14" i="3"/>
  <c r="J14" i="3"/>
  <c r="H8" i="3"/>
  <c r="J8" i="3"/>
  <c r="H10" i="3"/>
  <c r="J10" i="3"/>
  <c r="H15" i="3"/>
  <c r="J15" i="3"/>
  <c r="H21" i="3"/>
  <c r="J21" i="3"/>
  <c r="H13" i="3"/>
  <c r="J13" i="3"/>
  <c r="J7" i="3"/>
  <c r="H7" i="3"/>
  <c r="M28" i="1" l="1"/>
  <c r="M29" i="1"/>
  <c r="G6" i="4"/>
  <c r="G7" i="4" s="1"/>
  <c r="H29" i="2" a="1"/>
  <c r="H29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<sst xmlns="http://schemas.openxmlformats.org/spreadsheetml/2006/main" count="717" uniqueCount="254">
  <si>
    <t>Item</t>
  </si>
  <si>
    <t>Unidade de Medidia</t>
  </si>
  <si>
    <t>Açúcar Cristal - União ou Similar</t>
  </si>
  <si>
    <t>Açúcar Refinado - União ou Similar</t>
  </si>
  <si>
    <t>KG</t>
  </si>
  <si>
    <t>CX</t>
  </si>
  <si>
    <t>CT</t>
  </si>
  <si>
    <t xml:space="preserve">Pá Plástica Lixo </t>
  </si>
  <si>
    <t>Média</t>
  </si>
  <si>
    <t>Rodo</t>
  </si>
  <si>
    <t xml:space="preserve">Vassoura </t>
  </si>
  <si>
    <t>Sabão em pó 1 kg - Surf ou Similar</t>
  </si>
  <si>
    <t xml:space="preserve">Alvejante 1.000 ml - Qboa ou sinilar </t>
  </si>
  <si>
    <t>Detergente 500 ml - Minuano ou Similar</t>
  </si>
  <si>
    <t>UNID</t>
  </si>
  <si>
    <t>PCT</t>
  </si>
  <si>
    <t>Camisa</t>
  </si>
  <si>
    <t xml:space="preserve">Calça </t>
  </si>
  <si>
    <t>Gravata</t>
  </si>
  <si>
    <t>Blazer</t>
  </si>
  <si>
    <t>Par de meias</t>
  </si>
  <si>
    <t>Cinto</t>
  </si>
  <si>
    <t>Par de Sapatos</t>
  </si>
  <si>
    <t xml:space="preserve">Blusa </t>
  </si>
  <si>
    <t xml:space="preserve">Avental </t>
  </si>
  <si>
    <t>Touca</t>
  </si>
  <si>
    <t>Par de Meias</t>
  </si>
  <si>
    <t>Camisa social em tecido 50% algodão e 50% poliester, na cor branca, mangas compridas, com botões nos punhos, contendo o emblema da Contratada bordado no lado superior esquerdo.</t>
  </si>
  <si>
    <t>Comprida social, com zíper, presilha para cinto, cor preta</t>
  </si>
  <si>
    <t>Tipo borboleta, na cor preta.</t>
  </si>
  <si>
    <t>Na cor preta, em tecido tipo microfibra, forrado internamente, contendo o emblema da Contratada bordado no lado superior esquerdo, 2 (dois) bolsos inferiores (modelo tradicional).</t>
  </si>
  <si>
    <t>Meia social, em tecido 60% algodão, 39% poliamida e 1% elastano, na cor preta.</t>
  </si>
  <si>
    <t>Em couro, com fivela, na cor preta.</t>
  </si>
  <si>
    <t>Na cor branca, de mangas curtas, gola esporte, abotoamento frontal, em tecido em tecido 50% algodão e 50% poliester, contendo o emblema da Contratada bordado no lado superior esquerdo (modelo tradicional feminino).</t>
  </si>
  <si>
    <t>Tipo esporte fino, com zíper, na cor preta.</t>
  </si>
  <si>
    <t>Na cor preta, em tecido tipo microfibra, forrado internamente, contendo o emblema da Contratada bordado no lado superior esquerdo, 2 (dois) bolsos inferiores (modelo tradicional feminino).</t>
  </si>
  <si>
    <t>Na cor preta, em couro tipo mocassim, salto até 3cm, solado antiderrapante.</t>
  </si>
  <si>
    <t>Em tecido 50% algodão e 50% poliester, na cor branca, mangas curtas, com abotoamento frontal, contendo o emblema da Contratada bordado no lado superior esquerdo.</t>
  </si>
  <si>
    <t>Comprida social, com zíper, em tecido gabardini, na cor preta.</t>
  </si>
  <si>
    <t>Em Oxford ou tergal, preto, com amarras dos lados.</t>
  </si>
  <si>
    <t>De filó com aba, na cor preta, para uso dentro das copas</t>
  </si>
  <si>
    <t>Social 3/4, cor natural.</t>
  </si>
  <si>
    <t>Em couro, na cor preta, tipo mocassim, fechado, salto até 3 cm ou sapatilha em couro, antiderrapantes.</t>
  </si>
  <si>
    <t>Qtd. Anual</t>
  </si>
  <si>
    <t>Valor Total Anual (R$)</t>
  </si>
  <si>
    <t>Valor Unitário</t>
  </si>
  <si>
    <t xml:space="preserve">Fontes de Pesquisa </t>
  </si>
  <si>
    <t xml:space="preserve">Painel de Preços </t>
  </si>
  <si>
    <t>EQUIPAMENTOS - COPEIRAGEM</t>
  </si>
  <si>
    <t>Nº</t>
  </si>
  <si>
    <t>Especificações</t>
  </si>
  <si>
    <t>Pregão 32.2017 - CNJ</t>
  </si>
  <si>
    <t>CT 6/2019 ENAP</t>
  </si>
  <si>
    <t>Açucareiro em aço
inoxidável com colher, com capacidade mínima de 250 g</t>
  </si>
  <si>
    <t>Apoio em aço inoxidável para copos de cristal de 300 ml</t>
  </si>
  <si>
    <t>Balde de plástico reforçado preto, com capacidade de 5 l</t>
  </si>
  <si>
    <t>Bandeja redonda em aço inoxidável, com revestimento interno antiderrapante, com 40 cm de diâmetro</t>
  </si>
  <si>
    <t>Bule em aço inoxidável para café, com capacidade mínima de 400 ml</t>
  </si>
  <si>
    <t>Carrinho em aço inox com 3 bandejas</t>
  </si>
  <si>
    <t>Copo de cristal transparente, com capacidade de 300 ml</t>
  </si>
  <si>
    <t>Garrafa térmica de plástico, com capacidade de 1 l</t>
  </si>
  <si>
    <t>Jarra em Inox, com capacidade de 2 l</t>
  </si>
  <si>
    <t>Leiteira em alumínio, com capacidade mínima de 2 l</t>
  </si>
  <si>
    <t>Máquina de café industrial, com capacidade de 10 l</t>
  </si>
  <si>
    <t>Xícara para café, com pires em porcelana branca</t>
  </si>
  <si>
    <t>Xícara para chá, com pires em porcelana branca</t>
  </si>
  <si>
    <t>-</t>
  </si>
  <si>
    <t>Pregão 13.2019 MJSP</t>
  </si>
  <si>
    <t>Pregão 04.2020 ABGF</t>
  </si>
  <si>
    <t>Pregão 74.2020 STJ</t>
  </si>
  <si>
    <t>Pregão 472.2020 DNIT</t>
  </si>
  <si>
    <t>1,655,18</t>
  </si>
  <si>
    <t>Colher em aço inox para café/chá</t>
  </si>
  <si>
    <t>GARÇOM</t>
  </si>
  <si>
    <t>COPEIRA</t>
  </si>
  <si>
    <t>STM Pregão  04/2019</t>
  </si>
  <si>
    <t xml:space="preserve">Café - Sítio ou Similar </t>
  </si>
  <si>
    <t>MATERIAIS - COPEIRAGEM</t>
  </si>
  <si>
    <t>UNIFOMES - COPEIRAGEM/GARÇOM</t>
  </si>
  <si>
    <t xml:space="preserve">Pregão 15/2018 -MPF </t>
  </si>
  <si>
    <t>Qtd. Semestral</t>
  </si>
  <si>
    <t>Total mensal por colaborador</t>
  </si>
  <si>
    <t>_</t>
  </si>
  <si>
    <t>Valor total dos itens</t>
  </si>
  <si>
    <t xml:space="preserve">Couro, na cor preta, tipo social. </t>
  </si>
  <si>
    <t>ENCARREGADA</t>
  </si>
  <si>
    <t xml:space="preserve">Desentupidor de Pia </t>
  </si>
  <si>
    <t>Água Mineral 20 Litros</t>
  </si>
  <si>
    <t>GL</t>
  </si>
  <si>
    <t xml:space="preserve">Vida útil </t>
  </si>
  <si>
    <t>Valor Mensal</t>
  </si>
  <si>
    <t xml:space="preserve">Qtd. Mensal KG </t>
  </si>
  <si>
    <t>ITEM</t>
  </si>
  <si>
    <t>POSTO</t>
  </si>
  <si>
    <t>QTD DE POSTOS</t>
  </si>
  <si>
    <t>CBO</t>
  </si>
  <si>
    <t>VALOR MENSAL DO POSTO</t>
  </si>
  <si>
    <t>VALOR ANUAL DO POSTO</t>
  </si>
  <si>
    <t>VALOR ANUAL TOTAL</t>
  </si>
  <si>
    <t>4101-05</t>
  </si>
  <si>
    <t>Módulo 1 - Composição da remuneração</t>
  </si>
  <si>
    <t>Remuneração</t>
  </si>
  <si>
    <t>Unidade</t>
  </si>
  <si>
    <t>Quant.</t>
  </si>
  <si>
    <t>Salário</t>
  </si>
  <si>
    <t>Subtotal</t>
  </si>
  <si>
    <t>A</t>
  </si>
  <si>
    <t>B</t>
  </si>
  <si>
    <t>Adicional de Periculosidade</t>
  </si>
  <si>
    <t>TOTAL Módulo 1 - Composição da remuneração</t>
  </si>
  <si>
    <t>Módulo 2 - Encargos e Benefícios Anuais, Mensais e Diários</t>
  </si>
  <si>
    <t>2.1</t>
  </si>
  <si>
    <t>13º SALÁRIO, FÉRIAS E ADICIONAL DE FÉRIAS</t>
  </si>
  <si>
    <t>% sobre remuneração</t>
  </si>
  <si>
    <t>13º (décimo terceiro) salário</t>
  </si>
  <si>
    <t>C</t>
  </si>
  <si>
    <t>D</t>
  </si>
  <si>
    <t>Incidência do submódulo 2.2 sobre o submódulo 2.1</t>
  </si>
  <si>
    <t>TOTAL DO SUBMÓDULO 2.1</t>
  </si>
  <si>
    <t>2.2</t>
  </si>
  <si>
    <t xml:space="preserve">ENCARGOS PREVIDENCIÁRIOS, FGTS E OUTRAS CONTRIBUIÇÕES </t>
  </si>
  <si>
    <t>INSS</t>
  </si>
  <si>
    <t xml:space="preserve">SALÁRIO EDUCAÇÃO </t>
  </si>
  <si>
    <t>SAT</t>
  </si>
  <si>
    <t>SESC ou SESI</t>
  </si>
  <si>
    <t>E</t>
  </si>
  <si>
    <t>SENAI - SENAC</t>
  </si>
  <si>
    <t>F</t>
  </si>
  <si>
    <t>SEBRAE</t>
  </si>
  <si>
    <t>G</t>
  </si>
  <si>
    <t>INCRA</t>
  </si>
  <si>
    <t>H</t>
  </si>
  <si>
    <t>FGTS</t>
  </si>
  <si>
    <t>TOTAL DO SUBMÓDULO 2.2</t>
  </si>
  <si>
    <t>2.3</t>
  </si>
  <si>
    <t>BENEFÍCIOS MENSAIS E DIÁRIOS</t>
  </si>
  <si>
    <t>% desconto</t>
  </si>
  <si>
    <t>Unid/dias</t>
  </si>
  <si>
    <t>Vale transporte</t>
  </si>
  <si>
    <t>Auxílio alimentação - (R$15,93-1,11)X22</t>
  </si>
  <si>
    <t>TOTAL DO SUBMÓDULO 2.3</t>
  </si>
  <si>
    <t>TOTAL Módulo 2 - Encargos e Benefícios Anuais, Mensais e Diários</t>
  </si>
  <si>
    <t>Módulo 3 - Provisão para Rescisão</t>
  </si>
  <si>
    <t>Provisão para rescisão</t>
  </si>
  <si>
    <t>%</t>
  </si>
  <si>
    <t>Total</t>
  </si>
  <si>
    <t xml:space="preserve">Aviso prévio indenizado </t>
  </si>
  <si>
    <t xml:space="preserve">Incidência do FGTS sobre aviso prévio indenizado </t>
  </si>
  <si>
    <t>Multa sobre FGTS e contribuições sociais sobre o aviso prévio indenizado</t>
  </si>
  <si>
    <t>Aviso prévio trabalhado</t>
  </si>
  <si>
    <t>Incidência dos encargos do submódulo 2.2 sobre aviso prévio trabalhado</t>
  </si>
  <si>
    <t>Multa sobre FGTS e contribuições sociais sobre o aviso prévio trabalhado</t>
  </si>
  <si>
    <t>TOTAL Módulo 3 - Insumos Diversos</t>
  </si>
  <si>
    <t>Módulo 4 - Custo de Reposição do Profissional Ausente</t>
  </si>
  <si>
    <t>4.1</t>
  </si>
  <si>
    <t>Ausências legais</t>
  </si>
  <si>
    <t>Férias (custo do ferista - cobertura do residente)</t>
  </si>
  <si>
    <t xml:space="preserve">Licença paternidade </t>
  </si>
  <si>
    <t>Ausências por acidente de trabalho</t>
  </si>
  <si>
    <t>Auxílio doença</t>
  </si>
  <si>
    <t>Outros especificar</t>
  </si>
  <si>
    <t>TOTAL DO SUBMÓDULO 4.1</t>
  </si>
  <si>
    <t>4.2</t>
  </si>
  <si>
    <t>Intrajornada</t>
  </si>
  <si>
    <t xml:space="preserve">Intervalo para repouso ou alimentação </t>
  </si>
  <si>
    <t>TOTAL DO SUBMÓDULO 4.2</t>
  </si>
  <si>
    <t>Quadro Resumo - Módulo 4 -  Custo da reposição do profissional ausente</t>
  </si>
  <si>
    <t>% da remuneração</t>
  </si>
  <si>
    <t>TOTAL Módulo 4 - Encargos Sociais e Trabalhistas</t>
  </si>
  <si>
    <t>Módulo 5 - Insumos Diversos</t>
  </si>
  <si>
    <t>Insumos diversos</t>
  </si>
  <si>
    <t>Uniformes</t>
  </si>
  <si>
    <t>Materiais</t>
  </si>
  <si>
    <t>Equipamentos</t>
  </si>
  <si>
    <t>Cesta Básica</t>
  </si>
  <si>
    <t>TOTAL Módulo 5 -  Insumos Diversos</t>
  </si>
  <si>
    <t>Módulo 6 -  Custos indiretos, Lucro e Tributos</t>
  </si>
  <si>
    <t>Custos Indiretos, Tributos e Lucro</t>
  </si>
  <si>
    <t>Custos Indiretos (Taxa de Administração Desp. Operacionais)</t>
  </si>
  <si>
    <t>Lucro</t>
  </si>
  <si>
    <t>Subtotal (A+B)</t>
  </si>
  <si>
    <t>Tributos</t>
  </si>
  <si>
    <t>C.1</t>
  </si>
  <si>
    <t>Tributos Federais</t>
  </si>
  <si>
    <t>COFINS</t>
  </si>
  <si>
    <t>PIS</t>
  </si>
  <si>
    <t>C.2</t>
  </si>
  <si>
    <t>Tributos Estaduais</t>
  </si>
  <si>
    <t>ISS</t>
  </si>
  <si>
    <t>C.3</t>
  </si>
  <si>
    <t xml:space="preserve">Tributos Municipais </t>
  </si>
  <si>
    <t>C.4</t>
  </si>
  <si>
    <t>Outros tributos</t>
  </si>
  <si>
    <t>Subtotal (C)</t>
  </si>
  <si>
    <t>TOTAL Módulo 6 - Custos indiretos, Lucro e Tributos</t>
  </si>
  <si>
    <t>Quadro Resumo do Custo por Empregado</t>
  </si>
  <si>
    <t>Mão-de-obra vinculada à execução contratual</t>
  </si>
  <si>
    <t>Módulo 1 – Composição da Remuneração</t>
  </si>
  <si>
    <t>Módulo 2 – Encargos e Benefícios Anuais, Mensais e Diários Benefícios Mensais e Diários</t>
  </si>
  <si>
    <t>Módulo 3 – Provisão para Rescisão</t>
  </si>
  <si>
    <t>Módulo 4 – Custo de reposição do profissional ausente</t>
  </si>
  <si>
    <t>Módulo 5 - Insumo diversos</t>
  </si>
  <si>
    <t>Módulo 6 – Custos indiretos, tributos e lucro</t>
  </si>
  <si>
    <t>VALOR TOTAL POR EMPREGADO</t>
  </si>
  <si>
    <t>CONVENÇÃO COLETIVA DE TRABALHO 2020/2021 (NÚMERO DE REGISTRO NO MTE: DF00038/2021)</t>
  </si>
  <si>
    <t>Garçom</t>
  </si>
  <si>
    <t>Assistência Odontológica</t>
  </si>
  <si>
    <t>Cláusula Décima Sétima - CCT</t>
  </si>
  <si>
    <t xml:space="preserve">Quantidade Anual </t>
  </si>
  <si>
    <t xml:space="preserve">Valor Residual </t>
  </si>
  <si>
    <t xml:space="preserve">Depreciação Anual </t>
  </si>
  <si>
    <t>Copeira</t>
  </si>
  <si>
    <t>Adoçantes embalado em frasco de 100 ml</t>
  </si>
  <si>
    <t>Chá diversos sabores caixa c/10 sache de 10 gramas</t>
  </si>
  <si>
    <t xml:space="preserve">Copos descartáveis 200ml para água, centros com 100 unidades. </t>
  </si>
  <si>
    <t xml:space="preserve">Copo descartável para café, centros com 100 unidades. </t>
  </si>
  <si>
    <t>Coador de flanela - Grande -com máquina de café industrial de 10 litros</t>
  </si>
  <si>
    <t>Multiuso 500 ml - Ipê ou similar</t>
  </si>
  <si>
    <t>Esponja em aço – embalagem com  08(oito) unidades</t>
  </si>
  <si>
    <t>Esponja de espuma, tipo dupla face - Unidade</t>
  </si>
  <si>
    <t>Sabão em barra – pacote com (05) cinco unidades de 200 gramas</t>
  </si>
  <si>
    <t>Pano de chão alvejado – tamanho mínimo 70x38</t>
  </si>
  <si>
    <t>Pano de prato em algodão alvejado – tamanho mínimo 40 X 63 cm</t>
  </si>
  <si>
    <t>Pano de pia – tamanho. mínimo 28 x38 cm</t>
  </si>
  <si>
    <t>Álcool 92,8%, 01 litro</t>
  </si>
  <si>
    <t>LT</t>
  </si>
  <si>
    <t>Papel Toalha Bombina, medida 20 cm x 200m contém 6 rolos</t>
  </si>
  <si>
    <t xml:space="preserve">Auxílio alimentação </t>
  </si>
  <si>
    <t>5134-05</t>
  </si>
  <si>
    <t>5134-25</t>
  </si>
  <si>
    <t>ESTIMATIVA TOTAL + Custo Indiretos, Lucros e tributos</t>
  </si>
  <si>
    <t xml:space="preserve">ESTIMATIVA  MENSAL </t>
  </si>
  <si>
    <t>ESTIMATIVATIVA TOTAL MENSAL + Custos, Lucros e Tributos</t>
  </si>
  <si>
    <t>ESTIMATIVATIVA TOTAL ANUAL + Custos, Lucros e Tributos</t>
  </si>
  <si>
    <t>Encarregado Geral</t>
  </si>
  <si>
    <t>Internet - EXTRA SUPERMECADOS</t>
  </si>
  <si>
    <t xml:space="preserve">Garçom </t>
  </si>
  <si>
    <t xml:space="preserve">Encarregado Geral </t>
  </si>
  <si>
    <t>VALOR TOTAL DA CONTRATAÇÃO</t>
  </si>
  <si>
    <t xml:space="preserve">Equipamentos e Materiais </t>
  </si>
  <si>
    <t>Férias + Adicional de Férias</t>
  </si>
  <si>
    <t xml:space="preserve">Férias + Adicional de Férias </t>
  </si>
  <si>
    <t xml:space="preserve">Base de cálculo: Módulo 1 + Módulo 2 (sem a incidência dos encargos previdenciários correspondentes ao GPS). Conforme Caderno Técnico – Limpeza – Distrito Federal, página 16, elaborado pela SEGES - 2019. </t>
  </si>
  <si>
    <t xml:space="preserve">% </t>
  </si>
  <si>
    <t> "Conforme previsto no Módulo 4, onde devem ser provisionados todos os direitos que este repositor possui: remuneração, encargos, benefícios, e inclusive, provisão de férias proporcionais ao período em que ficou à disposição da Administração para a cobertura do empregado residente, afastado por quaisquer dos motivos previstos em Lei." (Conforme perguntas e respostas - https://www.gov.br/compras/pt-br/acesso-a-informacao/perguntas-frequentes/instrucao-normativa-de-servicos-in-no-5-de-2017)</t>
  </si>
  <si>
    <t>Base de cálculo: Módulo 1 + Módulo 2 + Módulo 3. Conforme Caderno Técnico – Limpeza – Distrito Federal,  página 22, elaborado pela SEGES - 2019</t>
  </si>
  <si>
    <t>Base de cálculo: Módulo 1 + Módulo 2. Conforme Caderno Técnico – Limpeza – Distrito Federal, página 18, elaborado pela SEGES - 2019</t>
  </si>
  <si>
    <t>Conforme Caderno Técnico – Limpeza – Distrito Federal,  página 24, elaborado pela SEGES - 2019</t>
  </si>
  <si>
    <t>Custos Indiretos, Tributos e Lucro.</t>
  </si>
  <si>
    <t xml:space="preserve">Custos Indiretos, Tributo e Lucro </t>
  </si>
  <si>
    <t xml:space="preserve">ESTIMATIVA TOTAL </t>
  </si>
  <si>
    <t>Custo Indiretos, Lucros e tributos</t>
  </si>
  <si>
    <t>Fonte: Conforme Caderno Técnico – Limpeza – Distrito Federal,  página 25, elaborado pela SEGES - 2019</t>
  </si>
  <si>
    <t>Percentual utilizado conforme Caderno Técnico – Limpeza – Distrito Federal,  página 24, elaborado pela SEGES - 2019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</si>
</sst>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* #,##0_-;\-* #,##0_-;_-* &quot;-&quot;??_-;_-@_-"/>
    <numFmt numFmtId="167" formatCode="_(&quot;R$ &quot;* #,##0.00_);_(&quot;R$ &quot;* \(#,##0.00\);_(&quot;R$ &quot;* &quot;-&quot;??_);_(@_)"/>
    <numFmt numFmtId="168" formatCode="_-[$R$-416]\ * #,##0.00_-;\-[$R$-416]\ * #,##0.00_-;_-[$R$-416]\ 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2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wrapText="1"/>
    </xf>
    <xf numFmtId="0" fontId="4" fillId="5" borderId="2" xfId="0" applyFont="1" applyFill="1" applyBorder="1" applyAlignment="1">
      <alignment wrapText="1"/>
    </xf>
    <xf numFmtId="0" fontId="4" fillId="5" borderId="6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center"/>
    </xf>
    <xf numFmtId="0" fontId="4" fillId="5" borderId="6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wrapText="1"/>
    </xf>
    <xf numFmtId="0" fontId="0" fillId="5" borderId="1" xfId="0" applyFill="1" applyBorder="1"/>
    <xf numFmtId="0" fontId="4" fillId="5" borderId="6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0" borderId="1" xfId="0" applyNumberFormat="1" applyBorder="1"/>
    <xf numFmtId="44" fontId="0" fillId="0" borderId="1" xfId="1" applyFont="1" applyBorder="1"/>
    <xf numFmtId="0" fontId="0" fillId="3" borderId="1" xfId="0" applyFill="1" applyBorder="1"/>
    <xf numFmtId="44" fontId="0" fillId="0" borderId="1" xfId="0" applyNumberFormat="1" applyBorder="1"/>
    <xf numFmtId="164" fontId="0" fillId="3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8" fillId="6" borderId="1" xfId="4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2" fillId="7" borderId="0" xfId="0" applyFont="1" applyFill="1" applyBorder="1" applyAlignment="1"/>
    <xf numFmtId="0" fontId="12" fillId="3" borderId="10" xfId="0" applyFont="1" applyFill="1" applyBorder="1" applyAlignment="1"/>
    <xf numFmtId="0" fontId="1" fillId="0" borderId="0" xfId="0" applyFont="1"/>
    <xf numFmtId="9" fontId="0" fillId="0" borderId="0" xfId="3" applyFont="1" applyAlignment="1"/>
    <xf numFmtId="0" fontId="14" fillId="0" borderId="0" xfId="0" applyFont="1"/>
    <xf numFmtId="164" fontId="0" fillId="0" borderId="0" xfId="0" applyNumberFormat="1"/>
    <xf numFmtId="0" fontId="0" fillId="0" borderId="0" xfId="0" applyAlignment="1"/>
    <xf numFmtId="10" fontId="0" fillId="0" borderId="0" xfId="0" applyNumberFormat="1" applyAlignment="1">
      <alignment horizontal="center"/>
    </xf>
    <xf numFmtId="0" fontId="7" fillId="0" borderId="0" xfId="0" applyFont="1"/>
    <xf numFmtId="0" fontId="1" fillId="0" borderId="0" xfId="0" applyFont="1" applyAlignment="1"/>
    <xf numFmtId="2" fontId="7" fillId="0" borderId="0" xfId="0" applyNumberFormat="1" applyFont="1"/>
    <xf numFmtId="0" fontId="0" fillId="0" borderId="0" xfId="0" applyFill="1"/>
    <xf numFmtId="8" fontId="1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4" fontId="0" fillId="0" borderId="0" xfId="0" applyNumberFormat="1"/>
    <xf numFmtId="0" fontId="0" fillId="3" borderId="0" xfId="0" applyFill="1"/>
    <xf numFmtId="0" fontId="0" fillId="0" borderId="0" xfId="0" applyAlignment="1">
      <alignment horizontal="center"/>
    </xf>
    <xf numFmtId="44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 applyBorder="1"/>
    <xf numFmtId="168" fontId="0" fillId="0" borderId="1" xfId="0" applyNumberFormat="1" applyBorder="1"/>
    <xf numFmtId="0" fontId="0" fillId="0" borderId="0" xfId="0"/>
    <xf numFmtId="0" fontId="0" fillId="0" borderId="1" xfId="0" applyBorder="1"/>
    <xf numFmtId="0" fontId="0" fillId="0" borderId="0" xfId="0" applyBorder="1"/>
    <xf numFmtId="0" fontId="4" fillId="5" borderId="6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6" xfId="0" applyFont="1" applyBorder="1" applyAlignment="1"/>
    <xf numFmtId="0" fontId="4" fillId="0" borderId="9" xfId="0" applyFont="1" applyBorder="1" applyAlignment="1"/>
    <xf numFmtId="0" fontId="1" fillId="0" borderId="1" xfId="0" applyFont="1" applyBorder="1" applyAlignment="1"/>
    <xf numFmtId="44" fontId="1" fillId="6" borderId="1" xfId="0" applyNumberFormat="1" applyFont="1" applyFill="1" applyBorder="1"/>
    <xf numFmtId="164" fontId="1" fillId="6" borderId="1" xfId="0" applyNumberFormat="1" applyFont="1" applyFill="1" applyBorder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4" fontId="10" fillId="0" borderId="1" xfId="1" applyFont="1" applyBorder="1" applyAlignment="1">
      <alignment horizontal="center" vertical="center"/>
    </xf>
    <xf numFmtId="44" fontId="0" fillId="0" borderId="1" xfId="1" applyFont="1" applyBorder="1" applyAlignment="1"/>
    <xf numFmtId="44" fontId="18" fillId="0" borderId="1" xfId="1" applyFont="1" applyBorder="1" applyAlignment="1">
      <alignment horizontal="center" vertical="center"/>
    </xf>
    <xf numFmtId="10" fontId="0" fillId="0" borderId="0" xfId="0" applyNumberFormat="1"/>
    <xf numFmtId="0" fontId="13" fillId="0" borderId="0" xfId="0" applyFo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9" fillId="0" borderId="8" xfId="0" applyNumberFormat="1" applyFont="1" applyBorder="1" applyAlignment="1">
      <alignment horizontal="center" wrapText="1"/>
    </xf>
    <xf numFmtId="164" fontId="19" fillId="0" borderId="11" xfId="0" applyNumberFormat="1" applyFont="1" applyBorder="1" applyAlignment="1">
      <alignment horizontal="center" wrapText="1"/>
    </xf>
    <xf numFmtId="164" fontId="19" fillId="0" borderId="12" xfId="0" applyNumberFormat="1" applyFont="1" applyBorder="1" applyAlignment="1">
      <alignment horizontal="center" wrapText="1"/>
    </xf>
    <xf numFmtId="164" fontId="19" fillId="0" borderId="13" xfId="0" applyNumberFormat="1" applyFont="1" applyBorder="1" applyAlignment="1">
      <alignment horizontal="center" wrapText="1"/>
    </xf>
    <xf numFmtId="164" fontId="19" fillId="0" borderId="0" xfId="0" applyNumberFormat="1" applyFont="1" applyBorder="1" applyAlignment="1">
      <alignment horizontal="center" wrapText="1"/>
    </xf>
    <xf numFmtId="164" fontId="19" fillId="0" borderId="10" xfId="0" applyNumberFormat="1" applyFont="1" applyBorder="1" applyAlignment="1">
      <alignment horizontal="center" wrapText="1"/>
    </xf>
    <xf numFmtId="164" fontId="19" fillId="0" borderId="14" xfId="0" applyNumberFormat="1" applyFont="1" applyBorder="1" applyAlignment="1">
      <alignment horizontal="center" wrapText="1"/>
    </xf>
    <xf numFmtId="164" fontId="19" fillId="0" borderId="4" xfId="0" applyNumberFormat="1" applyFont="1" applyBorder="1" applyAlignment="1">
      <alignment horizontal="center" wrapText="1"/>
    </xf>
    <xf numFmtId="164" fontId="19" fillId="0" borderId="15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 vertical="center"/>
    </xf>
    <xf numFmtId="164" fontId="0" fillId="4" borderId="9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4" fillId="5" borderId="5" xfId="0" applyFont="1" applyFill="1" applyBorder="1" applyAlignment="1">
      <alignment horizontal="center" wrapText="1"/>
    </xf>
    <xf numFmtId="0" fontId="4" fillId="5" borderId="6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164" fontId="0" fillId="3" borderId="5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44" fontId="0" fillId="0" borderId="0" xfId="0" applyNumberFormat="1"/>
    <xf numFmtId="0" fontId="20" fillId="0" borderId="0" xfId="0" applyFont="1" applyAlignment="1">
      <alignment horizontal="center" wrapText="1"/>
    </xf>
    <xf numFmtId="0" fontId="20" fillId="0" borderId="0" xfId="0" applyFont="1" applyAlignment="1">
      <alignment wrapText="1"/>
    </xf>
    <xf numFmtId="0" fontId="20" fillId="0" borderId="1" xfId="0" applyFont="1" applyBorder="1" applyAlignment="1">
      <alignment horizontal="center" wrapText="1"/>
    </xf>
    <xf numFmtId="0" fontId="1" fillId="8" borderId="1" xfId="0" applyFont="1" applyFill="1" applyBorder="1" applyAlignment="1">
      <alignment horizontal="center"/>
    </xf>
    <xf numFmtId="0" fontId="1" fillId="0" borderId="1" xfId="0" applyFont="1" applyBorder="1"/>
    <xf numFmtId="9" fontId="1" fillId="0" borderId="1" xfId="3" applyFont="1" applyBorder="1" applyAlignment="1"/>
    <xf numFmtId="9" fontId="1" fillId="0" borderId="1" xfId="3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0" fontId="0" fillId="0" borderId="1" xfId="0" applyFont="1" applyBorder="1" applyAlignment="1">
      <alignment horizontal="center"/>
    </xf>
    <xf numFmtId="9" fontId="0" fillId="0" borderId="1" xfId="3" applyFont="1" applyBorder="1" applyAlignment="1"/>
    <xf numFmtId="165" fontId="0" fillId="0" borderId="1" xfId="2" applyNumberFormat="1" applyFont="1" applyBorder="1" applyAlignment="1">
      <alignment horizontal="center"/>
    </xf>
    <xf numFmtId="4" fontId="0" fillId="0" borderId="1" xfId="0" applyNumberFormat="1" applyBorder="1"/>
    <xf numFmtId="164" fontId="13" fillId="3" borderId="1" xfId="0" applyNumberFormat="1" applyFont="1" applyFill="1" applyBorder="1"/>
    <xf numFmtId="0" fontId="0" fillId="0" borderId="1" xfId="0" applyBorder="1" applyAlignment="1"/>
    <xf numFmtId="10" fontId="0" fillId="0" borderId="1" xfId="0" applyNumberFormat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4" fontId="0" fillId="9" borderId="1" xfId="2" applyNumberFormat="1" applyFont="1" applyFill="1" applyBorder="1" applyAlignment="1">
      <alignment horizontal="center"/>
    </xf>
    <xf numFmtId="164" fontId="1" fillId="9" borderId="1" xfId="0" applyNumberFormat="1" applyFont="1" applyFill="1" applyBorder="1"/>
    <xf numFmtId="0" fontId="1" fillId="9" borderId="1" xfId="0" applyFont="1" applyFill="1" applyBorder="1" applyAlignment="1">
      <alignment horizontal="center" vertical="center"/>
    </xf>
    <xf numFmtId="0" fontId="1" fillId="9" borderId="1" xfId="0" applyFont="1" applyFill="1" applyBorder="1"/>
    <xf numFmtId="0" fontId="1" fillId="9" borderId="1" xfId="0" applyFont="1" applyFill="1" applyBorder="1" applyAlignment="1"/>
    <xf numFmtId="0" fontId="15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/>
    <xf numFmtId="10" fontId="0" fillId="0" borderId="1" xfId="0" applyNumberFormat="1" applyFill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10" fontId="1" fillId="0" borderId="1" xfId="0" applyNumberFormat="1" applyFont="1" applyFill="1" applyBorder="1" applyAlignment="1">
      <alignment horizontal="center"/>
    </xf>
    <xf numFmtId="44" fontId="1" fillId="0" borderId="1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left" vertical="center"/>
    </xf>
    <xf numFmtId="0" fontId="0" fillId="9" borderId="1" xfId="0" applyFill="1" applyBorder="1" applyAlignment="1"/>
    <xf numFmtId="10" fontId="1" fillId="9" borderId="1" xfId="0" applyNumberFormat="1" applyFont="1" applyFill="1" applyBorder="1" applyAlignment="1">
      <alignment horizontal="center"/>
    </xf>
    <xf numFmtId="44" fontId="1" fillId="9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/>
    <xf numFmtId="0" fontId="0" fillId="8" borderId="1" xfId="0" applyFill="1" applyBorder="1" applyAlignment="1"/>
    <xf numFmtId="0" fontId="15" fillId="8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/>
    <xf numFmtId="10" fontId="0" fillId="3" borderId="1" xfId="0" applyNumberFormat="1" applyFill="1" applyBorder="1" applyAlignment="1">
      <alignment horizontal="center"/>
    </xf>
    <xf numFmtId="44" fontId="0" fillId="3" borderId="1" xfId="1" applyFont="1" applyFill="1" applyBorder="1" applyAlignment="1">
      <alignment horizontal="center"/>
    </xf>
    <xf numFmtId="164" fontId="0" fillId="0" borderId="1" xfId="0" applyNumberFormat="1" applyFill="1" applyBorder="1" applyAlignment="1"/>
    <xf numFmtId="0" fontId="0" fillId="0" borderId="1" xfId="0" applyFont="1" applyFill="1" applyBorder="1" applyAlignment="1">
      <alignment horizontal="left"/>
    </xf>
    <xf numFmtId="0" fontId="0" fillId="9" borderId="1" xfId="0" applyFill="1" applyBorder="1" applyAlignment="1">
      <alignment horizontal="center"/>
    </xf>
    <xf numFmtId="9" fontId="1" fillId="8" borderId="1" xfId="3" applyFont="1" applyFill="1" applyBorder="1" applyAlignment="1">
      <alignment horizontal="center" vertical="center"/>
    </xf>
    <xf numFmtId="10" fontId="1" fillId="8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/>
    </xf>
    <xf numFmtId="9" fontId="0" fillId="0" borderId="1" xfId="3" applyFon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9" fontId="0" fillId="0" borderId="1" xfId="0" applyNumberFormat="1" applyFont="1" applyBorder="1" applyAlignment="1">
      <alignment horizontal="center"/>
    </xf>
    <xf numFmtId="9" fontId="0" fillId="9" borderId="1" xfId="3" applyFont="1" applyFill="1" applyBorder="1" applyAlignment="1"/>
    <xf numFmtId="164" fontId="0" fillId="9" borderId="1" xfId="0" applyNumberForma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9" fontId="1" fillId="9" borderId="1" xfId="3" applyFont="1" applyFill="1" applyBorder="1" applyAlignment="1"/>
    <xf numFmtId="0" fontId="0" fillId="0" borderId="1" xfId="0" applyFont="1" applyBorder="1"/>
    <xf numFmtId="10" fontId="0" fillId="3" borderId="1" xfId="0" applyNumberFormat="1" applyFont="1" applyFill="1" applyBorder="1" applyAlignment="1">
      <alignment horizontal="center"/>
    </xf>
    <xf numFmtId="164" fontId="0" fillId="3" borderId="1" xfId="0" applyNumberFormat="1" applyFont="1" applyFill="1" applyBorder="1"/>
    <xf numFmtId="10" fontId="1" fillId="9" borderId="1" xfId="3" applyNumberFormat="1" applyFont="1" applyFill="1" applyBorder="1" applyAlignment="1">
      <alignment horizontal="center"/>
    </xf>
    <xf numFmtId="10" fontId="0" fillId="0" borderId="1" xfId="3" applyNumberFormat="1" applyFont="1" applyBorder="1" applyAlignment="1">
      <alignment horizontal="center"/>
    </xf>
    <xf numFmtId="10" fontId="1" fillId="0" borderId="1" xfId="3" applyNumberFormat="1" applyFont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9" fontId="0" fillId="8" borderId="1" xfId="3" applyFont="1" applyFill="1" applyBorder="1" applyAlignment="1"/>
    <xf numFmtId="10" fontId="0" fillId="8" borderId="1" xfId="0" applyNumberFormat="1" applyFill="1" applyBorder="1" applyAlignment="1">
      <alignment horizontal="center"/>
    </xf>
    <xf numFmtId="164" fontId="0" fillId="8" borderId="1" xfId="0" applyNumberFormat="1" applyFill="1" applyBorder="1"/>
    <xf numFmtId="9" fontId="0" fillId="0" borderId="1" xfId="0" applyNumberFormat="1" applyBorder="1" applyAlignment="1">
      <alignment horizontal="center"/>
    </xf>
    <xf numFmtId="0" fontId="1" fillId="8" borderId="1" xfId="0" applyFont="1" applyFill="1" applyBorder="1" applyAlignment="1">
      <alignment horizontal="left"/>
    </xf>
    <xf numFmtId="9" fontId="1" fillId="8" borderId="1" xfId="3" applyFont="1" applyFill="1" applyBorder="1" applyAlignment="1"/>
    <xf numFmtId="0" fontId="1" fillId="8" borderId="1" xfId="0" applyFont="1" applyFill="1" applyBorder="1" applyAlignment="1"/>
    <xf numFmtId="10" fontId="1" fillId="8" borderId="1" xfId="0" applyNumberFormat="1" applyFont="1" applyFill="1" applyBorder="1" applyAlignment="1">
      <alignment horizontal="center"/>
    </xf>
    <xf numFmtId="164" fontId="1" fillId="8" borderId="1" xfId="0" applyNumberFormat="1" applyFont="1" applyFill="1" applyBorder="1" applyAlignment="1">
      <alignment horizontal="center"/>
    </xf>
    <xf numFmtId="0" fontId="0" fillId="0" borderId="1" xfId="0" applyFill="1" applyBorder="1"/>
    <xf numFmtId="10" fontId="0" fillId="9" borderId="1" xfId="0" applyNumberFormat="1" applyFill="1" applyBorder="1" applyAlignment="1">
      <alignment horizontal="center"/>
    </xf>
    <xf numFmtId="164" fontId="0" fillId="9" borderId="1" xfId="0" applyNumberFormat="1" applyFill="1" applyBorder="1"/>
    <xf numFmtId="164" fontId="1" fillId="9" borderId="1" xfId="0" applyNumberFormat="1" applyFont="1" applyFill="1" applyBorder="1" applyAlignment="1">
      <alignment horizontal="center"/>
    </xf>
    <xf numFmtId="164" fontId="16" fillId="9" borderId="1" xfId="0" applyNumberFormat="1" applyFont="1" applyFill="1" applyBorder="1"/>
    <xf numFmtId="10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  <xf numFmtId="164" fontId="1" fillId="8" borderId="1" xfId="1" applyNumberFormat="1" applyFont="1" applyFill="1" applyBorder="1" applyAlignment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4" fontId="0" fillId="0" borderId="1" xfId="1" applyFont="1" applyBorder="1" applyAlignment="1">
      <alignment vertical="center"/>
    </xf>
    <xf numFmtId="0" fontId="0" fillId="0" borderId="1" xfId="0" applyBorder="1" applyAlignment="1">
      <alignment vertical="center"/>
    </xf>
    <xf numFmtId="0" fontId="11" fillId="3" borderId="1" xfId="0" applyFont="1" applyFill="1" applyBorder="1" applyAlignment="1">
      <alignment horizontal="center"/>
    </xf>
    <xf numFmtId="164" fontId="13" fillId="3" borderId="1" xfId="0" applyNumberFormat="1" applyFont="1" applyFill="1" applyBorder="1" applyAlignment="1">
      <alignment horizontal="center"/>
    </xf>
  </cellXfs>
  <cellStyles count="11">
    <cellStyle name="Moeda" xfId="1" builtinId="4"/>
    <cellStyle name="Moeda 2" xfId="5" xr:uid="{9A6F1101-504B-40A6-8749-383CF8FD664B}"/>
    <cellStyle name="Moeda 4" xfId="8" xr:uid="{16465E0F-F8A9-40E7-9FE4-64F0A7058BEA}"/>
    <cellStyle name="Normal" xfId="0" builtinId="0"/>
    <cellStyle name="Normal 18 2" xfId="4" xr:uid="{2DB46BCC-4B4E-4898-A4B3-02805DEFBBD8}"/>
    <cellStyle name="Porcentagem" xfId="3" builtinId="5"/>
    <cellStyle name="Porcentagem 3" xfId="10" xr:uid="{8E83D5DA-0878-4607-ABF5-D707F96887D8}"/>
    <cellStyle name="Separador de milhares 2 2" xfId="9" xr:uid="{2B20BA06-4A97-418B-A1BA-3FF767FCDEBC}"/>
    <cellStyle name="Separador de milhares 4" xfId="7" xr:uid="{0BF26690-7940-4798-9CC9-A7F071594334}"/>
    <cellStyle name="Vírgula" xfId="2" builtinId="3"/>
    <cellStyle name="Vírgula 2" xfId="6" xr:uid="{4C4370A4-7E58-4D0B-AA38-5AC17865C1CE}"/>
  </cellStyles>
  <dxfs count="4">
    <dxf>
      <font>
        <color rgb="FFFF0000"/>
      </font>
    </dxf>
    <dxf>
      <font>
        <color rgb="FFFF0000"/>
      </font>
    </dxf>
    <dxf>
      <border>
        <vertical/>
        <horizontal style="thin">
          <color auto="1"/>
        </horizontal>
      </border>
    </dxf>
    <dxf>
      <border>
        <vertical/>
        <horizontal style="thin">
          <color auto="1"/>
        </horizontal>
      </border>
    </dxf>
  </dxfs>
  <tableStyles count="1" defaultTableStyle="TableStyleMedium2" defaultPivotStyle="PivotStyleLight16">
    <tableStyle name="Table Style 1" pivot="0" count="2" xr9:uid="{E6EB142B-41FC-4E8B-BF76-40649EEA9D0B}">
      <tableStyleElement type="firstRowStripe" dxfId="3"/>
      <tableStyleElement type="firstHeaderCell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254576</xdr:colOff>
      <xdr:row>31</xdr:row>
      <xdr:rowOff>18280</xdr:rowOff>
    </xdr:from>
    <xdr:to>
      <xdr:col>8</xdr:col>
      <xdr:colOff>469931</xdr:colOff>
      <xdr:row>33</xdr:row>
      <xdr:rowOff>142042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9FA63AB-D722-4B22-BC83-B367EA7B8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3712" y="6893598"/>
          <a:ext cx="2033764" cy="5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507998</xdr:colOff>
      <xdr:row>28</xdr:row>
      <xdr:rowOff>63500</xdr:rowOff>
    </xdr:from>
    <xdr:to>
      <xdr:col>6</xdr:col>
      <xdr:colOff>745867</xdr:colOff>
      <xdr:row>30</xdr:row>
      <xdr:rowOff>187262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A61538D-DA70-496D-991A-EDA8010B5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00081" y="8382000"/>
          <a:ext cx="2047619" cy="5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2A5BA-D19B-4FFA-BE7D-0E76E12D7006}">
  <dimension ref="A2:G7"/>
  <sheetViews>
    <sheetView tabSelected="1" workbookViewId="0">
      <selection activeCell="E17" sqref="E17"/>
    </sheetView>
  </sheetViews>
  <sheetFormatPr defaultRowHeight="15" x14ac:dyDescent="0.25"/>
  <cols>
    <col min="1" max="1" width="5.42578125" bestFit="1" customWidth="1"/>
    <col min="2" max="2" width="41.28515625" style="33" bestFit="1" customWidth="1"/>
    <col min="3" max="3" width="8.85546875" bestFit="1" customWidth="1"/>
    <col min="4" max="4" width="11.42578125" customWidth="1"/>
    <col min="5" max="6" width="15.85546875" customWidth="1"/>
    <col min="7" max="7" width="17.85546875" bestFit="1" customWidth="1"/>
  </cols>
  <sheetData>
    <row r="2" spans="1:7" ht="25.5" x14ac:dyDescent="0.25">
      <c r="A2" s="34" t="s">
        <v>92</v>
      </c>
      <c r="B2" s="34" t="s">
        <v>93</v>
      </c>
      <c r="C2" s="34" t="s">
        <v>94</v>
      </c>
      <c r="D2" s="34" t="s">
        <v>95</v>
      </c>
      <c r="E2" s="34" t="s">
        <v>96</v>
      </c>
      <c r="F2" s="34" t="s">
        <v>97</v>
      </c>
      <c r="G2" s="34" t="s">
        <v>98</v>
      </c>
    </row>
    <row r="3" spans="1:7" x14ac:dyDescent="0.25">
      <c r="A3" s="35">
        <v>1</v>
      </c>
      <c r="B3" s="32" t="s">
        <v>211</v>
      </c>
      <c r="C3" s="32">
        <v>13</v>
      </c>
      <c r="D3" s="32" t="s">
        <v>229</v>
      </c>
      <c r="E3" s="75">
        <f>Copeira!G98</f>
        <v>4821.4028339383685</v>
      </c>
      <c r="F3" s="75">
        <f>E3*12</f>
        <v>57856.834007260419</v>
      </c>
      <c r="G3" s="75">
        <f>F3*C3</f>
        <v>752138.84209438541</v>
      </c>
    </row>
    <row r="4" spans="1:7" x14ac:dyDescent="0.25">
      <c r="A4" s="35">
        <v>2</v>
      </c>
      <c r="B4" s="32" t="s">
        <v>236</v>
      </c>
      <c r="C4" s="32">
        <v>21</v>
      </c>
      <c r="D4" s="32" t="s">
        <v>228</v>
      </c>
      <c r="E4" s="75">
        <f>Garçom!G98</f>
        <v>6388.9018033550292</v>
      </c>
      <c r="F4" s="75">
        <f>E4*12</f>
        <v>76666.821640260343</v>
      </c>
      <c r="G4" s="75">
        <f>F4*C4</f>
        <v>1610003.2544454671</v>
      </c>
    </row>
    <row r="5" spans="1:7" x14ac:dyDescent="0.25">
      <c r="A5" s="35">
        <v>3</v>
      </c>
      <c r="B5" s="32" t="s">
        <v>237</v>
      </c>
      <c r="C5" s="32">
        <v>1</v>
      </c>
      <c r="D5" s="32" t="s">
        <v>99</v>
      </c>
      <c r="E5" s="75">
        <f>Encarregado!G98</f>
        <v>9782.2199453061075</v>
      </c>
      <c r="F5" s="75">
        <f>E5*12</f>
        <v>117386.63934367329</v>
      </c>
      <c r="G5" s="75">
        <f>F5*C5</f>
        <v>117386.63934367329</v>
      </c>
    </row>
    <row r="6" spans="1:7" x14ac:dyDescent="0.25">
      <c r="A6" s="74">
        <v>4</v>
      </c>
      <c r="B6" s="74" t="s">
        <v>239</v>
      </c>
      <c r="C6" s="73" t="s">
        <v>66</v>
      </c>
      <c r="D6" s="73" t="s">
        <v>66</v>
      </c>
      <c r="E6" s="76">
        <f>Materiais!L29+Equipamentos!K26</f>
        <v>24610.457805280523</v>
      </c>
      <c r="F6" s="75">
        <f>E6*12</f>
        <v>295325.4936633663</v>
      </c>
      <c r="G6" s="75">
        <f>F6</f>
        <v>295325.4936633663</v>
      </c>
    </row>
    <row r="7" spans="1:7" x14ac:dyDescent="0.25">
      <c r="A7" s="80" t="s">
        <v>238</v>
      </c>
      <c r="B7" s="81"/>
      <c r="C7" s="81"/>
      <c r="D7" s="81"/>
      <c r="E7" s="81"/>
      <c r="F7" s="82"/>
      <c r="G7" s="77">
        <f>SUM(G3:G6)</f>
        <v>2774854.2295468925</v>
      </c>
    </row>
  </sheetData>
  <mergeCells count="1">
    <mergeCell ref="A7:F7"/>
  </mergeCells>
  <conditionalFormatting sqref="A2:D2">
    <cfRule type="cellIs" dxfId="1" priority="1" operator="equal">
      <formula>"PROCURAR"</formula>
    </cfRule>
  </conditionalFormatting>
  <conditionalFormatting sqref="E2:G2">
    <cfRule type="cellIs" dxfId="0" priority="2" operator="equal">
      <formula>"PROCURAR"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2002F-BB7E-48CC-986F-CBFBFABC8A2E}">
  <dimension ref="A1:N101"/>
  <sheetViews>
    <sheetView topLeftCell="A72" workbookViewId="0">
      <selection activeCell="I45" sqref="I45"/>
    </sheetView>
  </sheetViews>
  <sheetFormatPr defaultRowHeight="15" x14ac:dyDescent="0.25"/>
  <cols>
    <col min="1" max="1" width="7.42578125" style="56" customWidth="1"/>
    <col min="2" max="2" width="45.7109375" customWidth="1"/>
    <col min="3" max="3" width="11" style="39" customWidth="1"/>
    <col min="4" max="4" width="10.28515625" style="42" customWidth="1"/>
    <col min="5" max="5" width="9.85546875" style="42" customWidth="1"/>
    <col min="6" max="6" width="16.28515625" style="43" customWidth="1"/>
    <col min="7" max="7" width="35.42578125" style="41" customWidth="1"/>
    <col min="8" max="8" width="0.140625" customWidth="1"/>
    <col min="9" max="9" width="23.85546875" customWidth="1"/>
    <col min="10" max="10" width="14" customWidth="1"/>
  </cols>
  <sheetData>
    <row r="1" spans="1:10" ht="18.75" x14ac:dyDescent="0.3">
      <c r="A1" s="83" t="s">
        <v>204</v>
      </c>
      <c r="B1" s="83"/>
      <c r="C1" s="83"/>
      <c r="D1" s="83"/>
      <c r="E1" s="83"/>
      <c r="F1" s="83"/>
      <c r="G1" s="83"/>
      <c r="H1" s="36"/>
      <c r="I1" s="37"/>
    </row>
    <row r="2" spans="1:10" x14ac:dyDescent="0.25">
      <c r="A2" s="126" t="s">
        <v>100</v>
      </c>
      <c r="B2" s="126"/>
      <c r="C2" s="126"/>
      <c r="D2" s="126"/>
      <c r="E2" s="126"/>
      <c r="F2" s="126"/>
      <c r="G2" s="126"/>
    </row>
    <row r="3" spans="1:10" x14ac:dyDescent="0.25">
      <c r="A3" s="71">
        <v>1</v>
      </c>
      <c r="B3" s="127" t="s">
        <v>101</v>
      </c>
      <c r="C3" s="128"/>
      <c r="D3" s="129" t="s">
        <v>102</v>
      </c>
      <c r="E3" s="71" t="s">
        <v>103</v>
      </c>
      <c r="F3" s="130" t="s">
        <v>104</v>
      </c>
      <c r="G3" s="131" t="s">
        <v>105</v>
      </c>
    </row>
    <row r="4" spans="1:10" x14ac:dyDescent="0.25">
      <c r="A4" s="132" t="s">
        <v>106</v>
      </c>
      <c r="B4" s="127" t="s">
        <v>211</v>
      </c>
      <c r="C4" s="133"/>
      <c r="D4" s="134">
        <v>1</v>
      </c>
      <c r="E4" s="72">
        <v>1</v>
      </c>
      <c r="F4" s="135">
        <v>1287.96</v>
      </c>
      <c r="G4" s="136">
        <f>F4*E4</f>
        <v>1287.96</v>
      </c>
      <c r="I4" s="40"/>
      <c r="J4" s="41"/>
    </row>
    <row r="5" spans="1:10" x14ac:dyDescent="0.25">
      <c r="A5" s="72" t="s">
        <v>107</v>
      </c>
      <c r="B5" s="127" t="s">
        <v>108</v>
      </c>
      <c r="C5" s="133"/>
      <c r="D5" s="137"/>
      <c r="E5" s="137"/>
      <c r="F5" s="138"/>
      <c r="G5" s="27">
        <v>0</v>
      </c>
    </row>
    <row r="6" spans="1:10" x14ac:dyDescent="0.25">
      <c r="A6" s="139" t="s">
        <v>109</v>
      </c>
      <c r="B6" s="139"/>
      <c r="C6" s="139"/>
      <c r="D6" s="139"/>
      <c r="E6" s="139"/>
      <c r="F6" s="140"/>
      <c r="G6" s="141">
        <f>SUM(G4:G5)</f>
        <v>1287.96</v>
      </c>
    </row>
    <row r="7" spans="1:10" x14ac:dyDescent="0.25">
      <c r="A7" s="72"/>
      <c r="B7" s="60"/>
      <c r="C7" s="133"/>
      <c r="D7" s="137"/>
      <c r="E7" s="137"/>
      <c r="F7" s="138"/>
      <c r="G7" s="27"/>
    </row>
    <row r="8" spans="1:10" x14ac:dyDescent="0.25">
      <c r="A8" s="126" t="s">
        <v>110</v>
      </c>
      <c r="B8" s="126"/>
      <c r="C8" s="126"/>
      <c r="D8" s="126"/>
      <c r="E8" s="126"/>
      <c r="F8" s="126"/>
      <c r="G8" s="126"/>
    </row>
    <row r="9" spans="1:10" x14ac:dyDescent="0.25">
      <c r="A9" s="142" t="s">
        <v>111</v>
      </c>
      <c r="B9" s="143" t="s">
        <v>112</v>
      </c>
      <c r="C9" s="144"/>
      <c r="D9" s="144"/>
      <c r="E9" s="144"/>
      <c r="F9" s="145" t="s">
        <v>113</v>
      </c>
      <c r="G9" s="146"/>
    </row>
    <row r="10" spans="1:10" x14ac:dyDescent="0.25">
      <c r="A10" s="147" t="s">
        <v>106</v>
      </c>
      <c r="B10" s="148" t="s">
        <v>114</v>
      </c>
      <c r="C10" s="149"/>
      <c r="D10" s="149"/>
      <c r="E10" s="149"/>
      <c r="F10" s="150">
        <f>1/12</f>
        <v>8.3333333333333329E-2</v>
      </c>
      <c r="G10" s="151">
        <f>ROUND((F10*G6),2)</f>
        <v>107.33</v>
      </c>
    </row>
    <row r="11" spans="1:10" x14ac:dyDescent="0.25">
      <c r="A11" s="147" t="s">
        <v>107</v>
      </c>
      <c r="B11" s="148" t="s">
        <v>240</v>
      </c>
      <c r="C11" s="149"/>
      <c r="D11" s="149"/>
      <c r="E11" s="149"/>
      <c r="F11" s="152">
        <v>0.1111</v>
      </c>
      <c r="G11" s="151">
        <f>ROUND((F11*G6),2)</f>
        <v>143.09</v>
      </c>
    </row>
    <row r="12" spans="1:10" x14ac:dyDescent="0.25">
      <c r="A12" s="147"/>
      <c r="B12" s="153" t="s">
        <v>105</v>
      </c>
      <c r="C12" s="149"/>
      <c r="D12" s="149"/>
      <c r="E12" s="149"/>
      <c r="F12" s="154">
        <f>SUM(F10:F11)</f>
        <v>0.19443333333333335</v>
      </c>
      <c r="G12" s="155">
        <f>SUM(G10:G11)</f>
        <v>250.42000000000002</v>
      </c>
      <c r="I12" s="44"/>
    </row>
    <row r="13" spans="1:10" x14ac:dyDescent="0.25">
      <c r="A13" s="147" t="s">
        <v>116</v>
      </c>
      <c r="B13" s="148" t="s">
        <v>117</v>
      </c>
      <c r="C13" s="149"/>
      <c r="D13" s="149"/>
      <c r="E13" s="149"/>
      <c r="F13" s="150">
        <f>F12*F25</f>
        <v>7.1551466666666674E-2</v>
      </c>
      <c r="G13" s="156">
        <f>ROUND((F13*G6),2)</f>
        <v>92.16</v>
      </c>
    </row>
    <row r="14" spans="1:10" x14ac:dyDescent="0.25">
      <c r="A14" s="157"/>
      <c r="B14" s="157" t="s">
        <v>118</v>
      </c>
      <c r="C14" s="158"/>
      <c r="D14" s="158"/>
      <c r="E14" s="158"/>
      <c r="F14" s="159">
        <f>SUM(F12:F13)</f>
        <v>0.26598480000000002</v>
      </c>
      <c r="G14" s="160">
        <f>SUM(G12:G13)</f>
        <v>342.58000000000004</v>
      </c>
      <c r="I14" s="44"/>
    </row>
    <row r="15" spans="1:10" x14ac:dyDescent="0.25">
      <c r="A15" s="147"/>
      <c r="B15" s="147"/>
      <c r="C15" s="149"/>
      <c r="D15" s="149"/>
      <c r="E15" s="149"/>
      <c r="F15" s="147"/>
      <c r="G15" s="147"/>
    </row>
    <row r="16" spans="1:10" x14ac:dyDescent="0.25">
      <c r="A16" s="161" t="s">
        <v>119</v>
      </c>
      <c r="B16" s="162" t="s">
        <v>120</v>
      </c>
      <c r="C16" s="163"/>
      <c r="D16" s="163"/>
      <c r="E16" s="163"/>
      <c r="F16" s="164" t="s">
        <v>113</v>
      </c>
      <c r="G16" s="165"/>
    </row>
    <row r="17" spans="1:9" x14ac:dyDescent="0.25">
      <c r="A17" s="147" t="s">
        <v>106</v>
      </c>
      <c r="B17" s="148" t="s">
        <v>121</v>
      </c>
      <c r="C17" s="149"/>
      <c r="D17" s="149"/>
      <c r="E17" s="149"/>
      <c r="F17" s="150">
        <v>0.2</v>
      </c>
      <c r="G17" s="151">
        <f>ROUND((F17*G6),2)</f>
        <v>257.58999999999997</v>
      </c>
    </row>
    <row r="18" spans="1:9" x14ac:dyDescent="0.25">
      <c r="A18" s="147" t="s">
        <v>107</v>
      </c>
      <c r="B18" s="148" t="s">
        <v>122</v>
      </c>
      <c r="C18" s="149"/>
      <c r="D18" s="149"/>
      <c r="E18" s="149"/>
      <c r="F18" s="150">
        <v>2.5000000000000001E-2</v>
      </c>
      <c r="G18" s="151">
        <f>ROUND((F18*G6),2)</f>
        <v>32.200000000000003</v>
      </c>
    </row>
    <row r="19" spans="1:9" s="51" customFormat="1" x14ac:dyDescent="0.25">
      <c r="A19" s="166" t="s">
        <v>115</v>
      </c>
      <c r="B19" s="167" t="s">
        <v>123</v>
      </c>
      <c r="C19" s="168"/>
      <c r="D19" s="168"/>
      <c r="E19" s="168"/>
      <c r="F19" s="169">
        <v>0.03</v>
      </c>
      <c r="G19" s="170">
        <f>ROUND((F19*G6),2)</f>
        <v>38.64</v>
      </c>
    </row>
    <row r="20" spans="1:9" x14ac:dyDescent="0.25">
      <c r="A20" s="147" t="s">
        <v>116</v>
      </c>
      <c r="B20" s="148" t="s">
        <v>124</v>
      </c>
      <c r="C20" s="171"/>
      <c r="D20" s="149"/>
      <c r="E20" s="149"/>
      <c r="F20" s="150">
        <v>1.4999999999999999E-2</v>
      </c>
      <c r="G20" s="151">
        <f>ROUND((F20*G6),2)</f>
        <v>19.32</v>
      </c>
    </row>
    <row r="21" spans="1:9" x14ac:dyDescent="0.25">
      <c r="A21" s="147" t="s">
        <v>125</v>
      </c>
      <c r="B21" s="172" t="s">
        <v>126</v>
      </c>
      <c r="C21" s="171"/>
      <c r="D21" s="149"/>
      <c r="E21" s="149"/>
      <c r="F21" s="150">
        <v>0.01</v>
      </c>
      <c r="G21" s="151">
        <f>ROUND((F21*G6),2)</f>
        <v>12.88</v>
      </c>
    </row>
    <row r="22" spans="1:9" x14ac:dyDescent="0.25">
      <c r="A22" s="147" t="s">
        <v>127</v>
      </c>
      <c r="B22" s="148" t="s">
        <v>128</v>
      </c>
      <c r="C22" s="171"/>
      <c r="D22" s="149"/>
      <c r="E22" s="149"/>
      <c r="F22" s="150">
        <v>6.0000000000000001E-3</v>
      </c>
      <c r="G22" s="151">
        <f>ROUND((F22*G6),2)</f>
        <v>7.73</v>
      </c>
    </row>
    <row r="23" spans="1:9" x14ac:dyDescent="0.25">
      <c r="A23" s="147" t="s">
        <v>129</v>
      </c>
      <c r="B23" s="148" t="s">
        <v>130</v>
      </c>
      <c r="C23" s="149"/>
      <c r="D23" s="149"/>
      <c r="E23" s="149"/>
      <c r="F23" s="150">
        <v>2E-3</v>
      </c>
      <c r="G23" s="151">
        <f>ROUND((F23*G6),2)</f>
        <v>2.58</v>
      </c>
    </row>
    <row r="24" spans="1:9" x14ac:dyDescent="0.25">
      <c r="A24" s="147" t="s">
        <v>131</v>
      </c>
      <c r="B24" s="148" t="s">
        <v>132</v>
      </c>
      <c r="C24" s="149"/>
      <c r="D24" s="149"/>
      <c r="E24" s="149"/>
      <c r="F24" s="150">
        <v>0.08</v>
      </c>
      <c r="G24" s="151">
        <f>ROUND((F24*G6),2)</f>
        <v>103.04</v>
      </c>
    </row>
    <row r="25" spans="1:9" x14ac:dyDescent="0.25">
      <c r="A25" s="173"/>
      <c r="B25" s="146" t="s">
        <v>133</v>
      </c>
      <c r="C25" s="158"/>
      <c r="D25" s="158"/>
      <c r="E25" s="158"/>
      <c r="F25" s="159">
        <f>SUM(F17:F24)</f>
        <v>0.36800000000000005</v>
      </c>
      <c r="G25" s="160">
        <f>SUM(G17:G24)</f>
        <v>473.97999999999996</v>
      </c>
      <c r="I25" s="44"/>
    </row>
    <row r="26" spans="1:9" x14ac:dyDescent="0.25">
      <c r="A26" s="147"/>
      <c r="B26" s="153"/>
      <c r="C26" s="149"/>
      <c r="D26" s="149"/>
      <c r="E26" s="149"/>
      <c r="F26" s="147"/>
      <c r="G26" s="147"/>
    </row>
    <row r="27" spans="1:9" x14ac:dyDescent="0.25">
      <c r="A27" s="161" t="s">
        <v>134</v>
      </c>
      <c r="B27" s="162" t="s">
        <v>135</v>
      </c>
      <c r="C27" s="174" t="s">
        <v>136</v>
      </c>
      <c r="D27" s="161" t="s">
        <v>137</v>
      </c>
      <c r="E27" s="161" t="s">
        <v>103</v>
      </c>
      <c r="F27" s="175" t="s">
        <v>45</v>
      </c>
      <c r="G27" s="176" t="s">
        <v>105</v>
      </c>
    </row>
    <row r="28" spans="1:9" x14ac:dyDescent="0.25">
      <c r="A28" s="72" t="s">
        <v>106</v>
      </c>
      <c r="B28" s="60" t="s">
        <v>138</v>
      </c>
      <c r="C28" s="177">
        <v>0.06</v>
      </c>
      <c r="D28" s="132">
        <v>22</v>
      </c>
      <c r="E28" s="132">
        <v>2</v>
      </c>
      <c r="F28" s="178">
        <v>5.5</v>
      </c>
      <c r="G28" s="27">
        <f>IF((F28*D28*E28)-C28*G4&lt;0,0,(F28*D28*E28)-C28*G4)</f>
        <v>164.72239999999999</v>
      </c>
    </row>
    <row r="29" spans="1:9" x14ac:dyDescent="0.25">
      <c r="A29" s="72" t="s">
        <v>107</v>
      </c>
      <c r="B29" s="60" t="s">
        <v>227</v>
      </c>
      <c r="C29" s="179"/>
      <c r="D29" s="132">
        <v>22</v>
      </c>
      <c r="E29" s="132">
        <v>1</v>
      </c>
      <c r="F29" s="178">
        <v>35</v>
      </c>
      <c r="G29" s="31">
        <f>D29*F29</f>
        <v>770</v>
      </c>
    </row>
    <row r="30" spans="1:9" x14ac:dyDescent="0.25">
      <c r="A30" s="72" t="s">
        <v>115</v>
      </c>
      <c r="B30" s="60" t="s">
        <v>206</v>
      </c>
      <c r="C30" s="132"/>
      <c r="D30" s="132"/>
      <c r="E30" s="132"/>
      <c r="F30" s="178">
        <v>10.63</v>
      </c>
      <c r="G30" s="31">
        <v>10.63</v>
      </c>
      <c r="I30" s="44" t="s">
        <v>207</v>
      </c>
    </row>
    <row r="31" spans="1:9" x14ac:dyDescent="0.25">
      <c r="A31" s="173"/>
      <c r="B31" s="143" t="s">
        <v>140</v>
      </c>
      <c r="C31" s="180"/>
      <c r="D31" s="158"/>
      <c r="E31" s="158"/>
      <c r="F31" s="181"/>
      <c r="G31" s="141">
        <f>SUM(G28:G30)</f>
        <v>945.35239999999999</v>
      </c>
      <c r="I31" s="44"/>
    </row>
    <row r="32" spans="1:9" x14ac:dyDescent="0.25">
      <c r="A32" s="72"/>
      <c r="B32" s="60"/>
      <c r="C32" s="133"/>
      <c r="D32" s="137"/>
      <c r="E32" s="137"/>
      <c r="F32" s="178"/>
      <c r="G32" s="27"/>
    </row>
    <row r="33" spans="1:14" x14ac:dyDescent="0.25">
      <c r="A33" s="139" t="s">
        <v>141</v>
      </c>
      <c r="B33" s="139"/>
      <c r="C33" s="139"/>
      <c r="D33" s="139"/>
      <c r="E33" s="139"/>
      <c r="F33" s="139"/>
      <c r="G33" s="141">
        <f>G14+G25+G31</f>
        <v>1761.9123999999999</v>
      </c>
      <c r="I33" s="44"/>
    </row>
    <row r="34" spans="1:14" x14ac:dyDescent="0.25">
      <c r="A34" s="72"/>
      <c r="B34" s="60"/>
      <c r="C34" s="133"/>
      <c r="D34" s="137"/>
      <c r="E34" s="137"/>
      <c r="F34" s="138"/>
      <c r="G34" s="27"/>
    </row>
    <row r="35" spans="1:14" x14ac:dyDescent="0.25">
      <c r="A35" s="126" t="s">
        <v>142</v>
      </c>
      <c r="B35" s="126"/>
      <c r="C35" s="126"/>
      <c r="D35" s="126"/>
      <c r="E35" s="126"/>
      <c r="F35" s="126"/>
      <c r="G35" s="126"/>
    </row>
    <row r="36" spans="1:14" x14ac:dyDescent="0.25">
      <c r="A36" s="182">
        <v>3</v>
      </c>
      <c r="B36" s="143" t="s">
        <v>143</v>
      </c>
      <c r="C36" s="183"/>
      <c r="D36" s="144"/>
      <c r="E36" s="144"/>
      <c r="F36" s="159" t="s">
        <v>144</v>
      </c>
      <c r="G36" s="141" t="s">
        <v>145</v>
      </c>
    </row>
    <row r="37" spans="1:14" x14ac:dyDescent="0.25">
      <c r="A37" s="132" t="s">
        <v>106</v>
      </c>
      <c r="B37" s="184" t="s">
        <v>146</v>
      </c>
      <c r="C37" s="128"/>
      <c r="D37" s="67"/>
      <c r="E37" s="67"/>
      <c r="F37" s="185">
        <f>(1/12)*0.055</f>
        <v>4.5833333333333334E-3</v>
      </c>
      <c r="G37" s="186">
        <f>(($G$6+($G$33-$G$24))*F37)</f>
        <v>13.506315166666667</v>
      </c>
      <c r="I37" s="86" t="s">
        <v>242</v>
      </c>
      <c r="J37" s="87"/>
      <c r="K37" s="87"/>
      <c r="L37" s="88"/>
      <c r="M37" s="59"/>
      <c r="N37" s="59"/>
    </row>
    <row r="38" spans="1:14" x14ac:dyDescent="0.25">
      <c r="A38" s="132" t="s">
        <v>107</v>
      </c>
      <c r="B38" s="184" t="s">
        <v>147</v>
      </c>
      <c r="C38" s="128"/>
      <c r="D38" s="67"/>
      <c r="E38" s="67"/>
      <c r="F38" s="185">
        <f>ROUND((F37*F24),4)</f>
        <v>4.0000000000000002E-4</v>
      </c>
      <c r="G38" s="186">
        <f>(($G$6+($G$33-$G$24))*F38)</f>
        <v>1.1787329600000001</v>
      </c>
      <c r="I38" s="89"/>
      <c r="J38" s="90"/>
      <c r="K38" s="90"/>
      <c r="L38" s="91"/>
      <c r="M38" s="59"/>
      <c r="N38" s="59"/>
    </row>
    <row r="39" spans="1:14" x14ac:dyDescent="0.25">
      <c r="A39" s="132" t="s">
        <v>115</v>
      </c>
      <c r="B39" s="184" t="s">
        <v>148</v>
      </c>
      <c r="C39" s="128"/>
      <c r="D39" s="67"/>
      <c r="E39" s="67"/>
      <c r="F39" s="185">
        <f>4%</f>
        <v>0.04</v>
      </c>
      <c r="G39" s="186">
        <f>(($G$6+($G$33-$G$24))*F39)</f>
        <v>117.87329600000001</v>
      </c>
      <c r="I39" s="92"/>
      <c r="J39" s="93"/>
      <c r="K39" s="93"/>
      <c r="L39" s="94"/>
      <c r="M39" s="59"/>
      <c r="N39" s="59"/>
    </row>
    <row r="40" spans="1:14" x14ac:dyDescent="0.25">
      <c r="A40" s="132" t="s">
        <v>116</v>
      </c>
      <c r="B40" s="184" t="s">
        <v>149</v>
      </c>
      <c r="C40" s="128"/>
      <c r="D40" s="67"/>
      <c r="E40" s="67"/>
      <c r="F40" s="185">
        <f>((1/30)*7)/12</f>
        <v>1.9444444444444445E-2</v>
      </c>
      <c r="G40" s="186">
        <f>($G$6+$G$33)*F40</f>
        <v>59.303074444444448</v>
      </c>
      <c r="I40" s="95" t="s">
        <v>246</v>
      </c>
      <c r="J40" s="95"/>
      <c r="K40" s="95"/>
      <c r="L40" s="95"/>
      <c r="M40" s="59"/>
      <c r="N40" s="59"/>
    </row>
    <row r="41" spans="1:14" x14ac:dyDescent="0.25">
      <c r="A41" s="72" t="s">
        <v>125</v>
      </c>
      <c r="B41" s="184" t="s">
        <v>150</v>
      </c>
      <c r="C41" s="133"/>
      <c r="D41" s="137"/>
      <c r="E41" s="137"/>
      <c r="F41" s="169">
        <f>ROUND((F40*F25),4)</f>
        <v>7.1999999999999998E-3</v>
      </c>
      <c r="G41" s="186">
        <f>($G$6+$G$33)*F41</f>
        <v>21.959081279999999</v>
      </c>
      <c r="I41" s="95"/>
      <c r="J41" s="95"/>
      <c r="K41" s="95"/>
      <c r="L41" s="95"/>
      <c r="M41" s="59"/>
      <c r="N41" s="59"/>
    </row>
    <row r="42" spans="1:14" x14ac:dyDescent="0.25">
      <c r="A42" s="72" t="s">
        <v>127</v>
      </c>
      <c r="B42" s="184" t="s">
        <v>151</v>
      </c>
      <c r="C42" s="133"/>
      <c r="D42" s="137"/>
      <c r="E42" s="137"/>
      <c r="F42" s="169">
        <f>0</f>
        <v>0</v>
      </c>
      <c r="G42" s="186">
        <f>ROUND((F42*G6),2)</f>
        <v>0</v>
      </c>
      <c r="I42" s="95"/>
      <c r="J42" s="95"/>
      <c r="K42" s="95"/>
      <c r="L42" s="95"/>
      <c r="M42" s="59"/>
      <c r="N42" s="59"/>
    </row>
    <row r="43" spans="1:14" x14ac:dyDescent="0.25">
      <c r="A43" s="139" t="s">
        <v>152</v>
      </c>
      <c r="B43" s="139"/>
      <c r="C43" s="139"/>
      <c r="D43" s="139"/>
      <c r="E43" s="139"/>
      <c r="F43" s="159">
        <f>SUM(F37:F42)</f>
        <v>7.1627777777777776E-2</v>
      </c>
      <c r="G43" s="141">
        <f>SUM(G37:G42)</f>
        <v>213.82049985111112</v>
      </c>
      <c r="I43" s="46"/>
      <c r="J43" s="59"/>
      <c r="K43" s="59"/>
      <c r="L43" s="59"/>
      <c r="M43" s="59"/>
      <c r="N43" s="59"/>
    </row>
    <row r="44" spans="1:14" x14ac:dyDescent="0.25">
      <c r="A44" s="72"/>
      <c r="B44" s="60"/>
      <c r="C44" s="133"/>
      <c r="D44" s="137"/>
      <c r="E44" s="137"/>
      <c r="F44" s="138"/>
      <c r="G44" s="27"/>
      <c r="I44" s="59"/>
      <c r="J44" s="59"/>
      <c r="K44" s="59"/>
      <c r="L44" s="59"/>
      <c r="M44" s="59"/>
      <c r="N44" s="59"/>
    </row>
    <row r="45" spans="1:14" x14ac:dyDescent="0.25">
      <c r="A45" s="126" t="s">
        <v>153</v>
      </c>
      <c r="B45" s="126"/>
      <c r="C45" s="126"/>
      <c r="D45" s="126"/>
      <c r="E45" s="126"/>
      <c r="F45" s="126"/>
      <c r="G45" s="126"/>
      <c r="I45" s="59"/>
      <c r="J45" s="59"/>
      <c r="K45" s="59"/>
      <c r="L45" s="59"/>
      <c r="M45" s="59"/>
      <c r="N45" s="59"/>
    </row>
    <row r="46" spans="1:14" x14ac:dyDescent="0.25">
      <c r="A46" s="182" t="s">
        <v>154</v>
      </c>
      <c r="B46" s="143" t="s">
        <v>155</v>
      </c>
      <c r="C46" s="183"/>
      <c r="D46" s="144"/>
      <c r="E46" s="144"/>
      <c r="F46" s="187" t="s">
        <v>113</v>
      </c>
      <c r="G46" s="141"/>
      <c r="I46" s="96" t="s">
        <v>245</v>
      </c>
      <c r="J46" s="96" t="s">
        <v>244</v>
      </c>
      <c r="K46" s="96"/>
      <c r="L46" s="96"/>
      <c r="M46" s="96"/>
      <c r="N46" s="96"/>
    </row>
    <row r="47" spans="1:14" x14ac:dyDescent="0.25">
      <c r="A47" s="72" t="s">
        <v>106</v>
      </c>
      <c r="B47" s="60" t="s">
        <v>156</v>
      </c>
      <c r="C47" s="133"/>
      <c r="D47" s="137"/>
      <c r="E47" s="137"/>
      <c r="F47" s="188">
        <f>(1/12/12)+(1/12/12)+(1/12/12/3)</f>
        <v>1.6203703703703703E-2</v>
      </c>
      <c r="G47" s="27">
        <f t="shared" ref="G47:G52" si="0">F47*($G$43+$G$33+$G$6)</f>
        <v>52.883912729068925</v>
      </c>
      <c r="I47" s="96"/>
      <c r="J47" s="96"/>
      <c r="K47" s="96"/>
      <c r="L47" s="96"/>
      <c r="M47" s="96"/>
      <c r="N47" s="96"/>
    </row>
    <row r="48" spans="1:14" x14ac:dyDescent="0.25">
      <c r="A48" s="72" t="s">
        <v>107</v>
      </c>
      <c r="B48" s="60" t="s">
        <v>155</v>
      </c>
      <c r="C48" s="133"/>
      <c r="D48" s="137"/>
      <c r="E48" s="137"/>
      <c r="F48" s="188">
        <f>(((13/12)/22)*8)/12</f>
        <v>3.2828282828282825E-2</v>
      </c>
      <c r="G48" s="27">
        <f t="shared" si="0"/>
        <v>107.14143358097081</v>
      </c>
      <c r="I48" s="96"/>
      <c r="J48" s="96"/>
      <c r="K48" s="96"/>
      <c r="L48" s="96"/>
      <c r="M48" s="96"/>
      <c r="N48" s="96"/>
    </row>
    <row r="49" spans="1:14" x14ac:dyDescent="0.25">
      <c r="A49" s="72" t="s">
        <v>115</v>
      </c>
      <c r="B49" s="60" t="s">
        <v>157</v>
      </c>
      <c r="C49" s="133"/>
      <c r="D49" s="137"/>
      <c r="E49" s="137"/>
      <c r="F49" s="188">
        <f>(((13/12)/22)*0.2)/12</f>
        <v>8.2070707070707079E-4</v>
      </c>
      <c r="G49" s="27">
        <f t="shared" si="0"/>
        <v>2.6785358395242707</v>
      </c>
      <c r="I49" s="96"/>
      <c r="J49" s="96"/>
      <c r="K49" s="96"/>
      <c r="L49" s="96"/>
      <c r="M49" s="96"/>
      <c r="N49" s="96"/>
    </row>
    <row r="50" spans="1:14" x14ac:dyDescent="0.25">
      <c r="A50" s="72" t="s">
        <v>116</v>
      </c>
      <c r="B50" s="60" t="s">
        <v>158</v>
      </c>
      <c r="C50" s="133"/>
      <c r="D50" s="137"/>
      <c r="E50" s="137"/>
      <c r="F50" s="188">
        <f>(((13/12)/22)*6)/12</f>
        <v>2.4621212121212117E-2</v>
      </c>
      <c r="G50" s="27">
        <f t="shared" si="0"/>
        <v>80.356075185728102</v>
      </c>
      <c r="I50" s="96"/>
      <c r="J50" s="96"/>
      <c r="K50" s="96"/>
      <c r="L50" s="96"/>
      <c r="M50" s="96"/>
      <c r="N50" s="96"/>
    </row>
    <row r="51" spans="1:14" x14ac:dyDescent="0.25">
      <c r="A51" s="72" t="s">
        <v>125</v>
      </c>
      <c r="B51" s="60" t="s">
        <v>159</v>
      </c>
      <c r="C51" s="133"/>
      <c r="D51" s="137"/>
      <c r="E51" s="137"/>
      <c r="F51" s="188">
        <f>(((13/12)/22)*1.8)/12</f>
        <v>7.3863636363636362E-3</v>
      </c>
      <c r="G51" s="27">
        <f t="shared" si="0"/>
        <v>24.106822555718434</v>
      </c>
      <c r="I51" s="96"/>
      <c r="J51" s="96"/>
      <c r="K51" s="96"/>
      <c r="L51" s="96"/>
      <c r="M51" s="96"/>
      <c r="N51" s="96"/>
    </row>
    <row r="52" spans="1:14" x14ac:dyDescent="0.25">
      <c r="A52" s="72" t="s">
        <v>127</v>
      </c>
      <c r="B52" s="60" t="s">
        <v>160</v>
      </c>
      <c r="C52" s="133"/>
      <c r="D52" s="137"/>
      <c r="E52" s="137"/>
      <c r="F52" s="188">
        <v>0</v>
      </c>
      <c r="G52" s="27">
        <f t="shared" si="0"/>
        <v>0</v>
      </c>
      <c r="I52" s="96"/>
      <c r="J52" s="96"/>
      <c r="K52" s="96"/>
      <c r="L52" s="96"/>
      <c r="M52" s="96"/>
      <c r="N52" s="96"/>
    </row>
    <row r="53" spans="1:14" x14ac:dyDescent="0.25">
      <c r="A53" s="72"/>
      <c r="B53" s="127" t="s">
        <v>105</v>
      </c>
      <c r="C53" s="133"/>
      <c r="D53" s="137"/>
      <c r="E53" s="137"/>
      <c r="F53" s="189">
        <f>SUM(F47:F52)</f>
        <v>8.1860269360269342E-2</v>
      </c>
      <c r="G53" s="131">
        <f>SUM(G47:G52)</f>
        <v>267.16677989101055</v>
      </c>
      <c r="I53" s="96"/>
      <c r="J53" s="96"/>
      <c r="K53" s="96"/>
      <c r="L53" s="96"/>
      <c r="M53" s="96"/>
      <c r="N53" s="96"/>
    </row>
    <row r="54" spans="1:14" x14ac:dyDescent="0.25">
      <c r="A54" s="139" t="s">
        <v>161</v>
      </c>
      <c r="B54" s="139"/>
      <c r="C54" s="139"/>
      <c r="D54" s="139"/>
      <c r="E54" s="139"/>
      <c r="F54" s="187">
        <f>SUM(F53:F53)</f>
        <v>8.1860269360269342E-2</v>
      </c>
      <c r="G54" s="141">
        <f>SUM(G53:G53)</f>
        <v>267.16677989101055</v>
      </c>
      <c r="I54" s="96"/>
      <c r="J54" s="96"/>
      <c r="K54" s="96"/>
      <c r="L54" s="96"/>
      <c r="M54" s="96"/>
      <c r="N54" s="96"/>
    </row>
    <row r="55" spans="1:14" x14ac:dyDescent="0.25">
      <c r="A55" s="190" t="s">
        <v>162</v>
      </c>
      <c r="B55" s="162" t="s">
        <v>163</v>
      </c>
      <c r="C55" s="191"/>
      <c r="D55" s="163"/>
      <c r="E55" s="163"/>
      <c r="F55" s="192"/>
      <c r="G55" s="193"/>
      <c r="I55" s="44"/>
      <c r="J55" s="59"/>
      <c r="K55" s="59"/>
      <c r="L55" s="59"/>
      <c r="M55" s="59"/>
      <c r="N55" s="59"/>
    </row>
    <row r="56" spans="1:14" x14ac:dyDescent="0.25">
      <c r="A56" s="72" t="s">
        <v>106</v>
      </c>
      <c r="B56" s="60" t="s">
        <v>164</v>
      </c>
      <c r="C56" s="133"/>
      <c r="D56" s="137"/>
      <c r="E56" s="137"/>
      <c r="F56" s="188">
        <v>0</v>
      </c>
      <c r="G56" s="27">
        <f>F56*G6</f>
        <v>0</v>
      </c>
      <c r="I56" s="59"/>
      <c r="J56" s="59"/>
      <c r="K56" s="59"/>
      <c r="L56" s="59"/>
      <c r="M56" s="59"/>
      <c r="N56" s="59"/>
    </row>
    <row r="57" spans="1:14" x14ac:dyDescent="0.25">
      <c r="A57" s="166"/>
      <c r="B57" s="127" t="s">
        <v>105</v>
      </c>
      <c r="C57" s="137"/>
      <c r="D57" s="137"/>
      <c r="E57" s="137"/>
      <c r="F57" s="194">
        <f>ROUND((SUM(F56:F56)),4)</f>
        <v>0</v>
      </c>
      <c r="G57" s="27">
        <f>F57*$G$6</f>
        <v>0</v>
      </c>
      <c r="I57" s="59"/>
      <c r="J57" s="59"/>
      <c r="K57" s="59"/>
      <c r="L57" s="59"/>
      <c r="M57" s="59"/>
      <c r="N57" s="59"/>
    </row>
    <row r="58" spans="1:14" ht="15" customHeight="1" x14ac:dyDescent="0.25">
      <c r="A58" s="139" t="s">
        <v>165</v>
      </c>
      <c r="B58" s="139"/>
      <c r="C58" s="139"/>
      <c r="D58" s="139"/>
      <c r="E58" s="139"/>
      <c r="F58" s="159">
        <f>SUM(F56:F57)</f>
        <v>0</v>
      </c>
      <c r="G58" s="141">
        <f>SUM(G56:G57)</f>
        <v>0</v>
      </c>
      <c r="I58" s="59"/>
      <c r="J58" s="59"/>
      <c r="K58" s="59"/>
      <c r="L58" s="59"/>
      <c r="M58" s="59"/>
      <c r="N58" s="59"/>
    </row>
    <row r="59" spans="1:14" ht="15" customHeight="1" x14ac:dyDescent="0.25">
      <c r="A59" s="71"/>
      <c r="B59" s="71"/>
      <c r="C59" s="67"/>
      <c r="D59" s="67"/>
      <c r="E59" s="67"/>
      <c r="F59" s="130"/>
      <c r="G59" s="131"/>
      <c r="I59" s="59"/>
      <c r="J59" s="59"/>
      <c r="K59" s="59"/>
      <c r="L59" s="59"/>
      <c r="M59" s="59"/>
      <c r="N59" s="59"/>
    </row>
    <row r="60" spans="1:14" x14ac:dyDescent="0.25">
      <c r="A60" s="195" t="s">
        <v>166</v>
      </c>
      <c r="B60" s="162"/>
      <c r="C60" s="196"/>
      <c r="D60" s="197"/>
      <c r="E60" s="197"/>
      <c r="F60" s="198" t="s">
        <v>167</v>
      </c>
      <c r="G60" s="199" t="s">
        <v>145</v>
      </c>
      <c r="I60" s="59"/>
      <c r="J60" s="59"/>
      <c r="K60" s="59"/>
      <c r="L60" s="59"/>
      <c r="M60" s="59"/>
      <c r="N60" s="59"/>
    </row>
    <row r="61" spans="1:14" x14ac:dyDescent="0.25">
      <c r="A61" s="147" t="s">
        <v>154</v>
      </c>
      <c r="B61" s="200" t="s">
        <v>155</v>
      </c>
      <c r="C61" s="133"/>
      <c r="D61" s="137"/>
      <c r="E61" s="137"/>
      <c r="F61" s="138"/>
      <c r="G61" s="27">
        <f>G54</f>
        <v>267.16677989101055</v>
      </c>
      <c r="I61" s="59"/>
      <c r="J61" s="59"/>
      <c r="K61" s="59"/>
      <c r="L61" s="59"/>
      <c r="M61" s="59"/>
      <c r="N61" s="59"/>
    </row>
    <row r="62" spans="1:14" x14ac:dyDescent="0.25">
      <c r="A62" s="147" t="s">
        <v>162</v>
      </c>
      <c r="B62" s="200" t="s">
        <v>163</v>
      </c>
      <c r="C62" s="133"/>
      <c r="D62" s="137"/>
      <c r="E62" s="137"/>
      <c r="F62" s="138"/>
      <c r="G62" s="27">
        <f>G58</f>
        <v>0</v>
      </c>
      <c r="I62" s="59"/>
      <c r="J62" s="59"/>
      <c r="K62" s="59"/>
      <c r="L62" s="59"/>
      <c r="M62" s="59"/>
      <c r="N62" s="59"/>
    </row>
    <row r="63" spans="1:14" x14ac:dyDescent="0.25">
      <c r="A63" s="139" t="s">
        <v>168</v>
      </c>
      <c r="B63" s="139"/>
      <c r="C63" s="139"/>
      <c r="D63" s="139"/>
      <c r="E63" s="139"/>
      <c r="F63" s="159"/>
      <c r="G63" s="141">
        <f>SUM(G61:G62)</f>
        <v>267.16677989101055</v>
      </c>
      <c r="I63" s="44"/>
      <c r="J63" s="59"/>
      <c r="K63" s="59"/>
      <c r="L63" s="59"/>
      <c r="M63" s="59"/>
      <c r="N63" s="59"/>
    </row>
    <row r="64" spans="1:14" x14ac:dyDescent="0.25">
      <c r="A64" s="72"/>
      <c r="B64" s="60"/>
      <c r="C64" s="133"/>
      <c r="D64" s="137"/>
      <c r="E64" s="137"/>
      <c r="F64" s="138"/>
      <c r="G64" s="27"/>
      <c r="I64" s="59"/>
      <c r="J64" s="59"/>
      <c r="K64" s="59"/>
      <c r="L64" s="59"/>
      <c r="M64" s="59"/>
      <c r="N64" s="59"/>
    </row>
    <row r="65" spans="1:14" x14ac:dyDescent="0.25">
      <c r="A65" s="126" t="s">
        <v>169</v>
      </c>
      <c r="B65" s="126"/>
      <c r="C65" s="126"/>
      <c r="D65" s="126"/>
      <c r="E65" s="126"/>
      <c r="F65" s="126"/>
      <c r="G65" s="126"/>
      <c r="I65" s="59"/>
      <c r="J65" s="59"/>
      <c r="K65" s="59"/>
      <c r="L65" s="59"/>
      <c r="M65" s="59"/>
      <c r="N65" s="59"/>
    </row>
    <row r="66" spans="1:14" x14ac:dyDescent="0.25">
      <c r="A66" s="182">
        <v>5</v>
      </c>
      <c r="B66" s="143" t="s">
        <v>170</v>
      </c>
      <c r="C66" s="180"/>
      <c r="D66" s="158"/>
      <c r="E66" s="158"/>
      <c r="F66" s="201" t="s">
        <v>66</v>
      </c>
      <c r="G66" s="202"/>
      <c r="I66" s="59"/>
      <c r="J66" s="59"/>
      <c r="K66" s="59"/>
      <c r="L66" s="59"/>
      <c r="M66" s="59"/>
      <c r="N66" s="59"/>
    </row>
    <row r="67" spans="1:14" x14ac:dyDescent="0.25">
      <c r="A67" s="72" t="s">
        <v>106</v>
      </c>
      <c r="B67" s="60" t="s">
        <v>171</v>
      </c>
      <c r="C67" s="133"/>
      <c r="D67" s="137"/>
      <c r="E67" s="137"/>
      <c r="F67" s="138"/>
      <c r="G67" s="48">
        <f>Uniformes!H29</f>
        <v>48.666666666666671</v>
      </c>
      <c r="I67" s="59"/>
      <c r="J67" s="59"/>
      <c r="K67" s="59"/>
      <c r="L67" s="59"/>
      <c r="M67" s="59"/>
      <c r="N67" s="59"/>
    </row>
    <row r="68" spans="1:14" x14ac:dyDescent="0.25">
      <c r="A68" s="72" t="s">
        <v>107</v>
      </c>
      <c r="B68" s="60" t="s">
        <v>172</v>
      </c>
      <c r="C68" s="133"/>
      <c r="D68" s="137"/>
      <c r="E68" s="137"/>
      <c r="F68" s="138"/>
      <c r="G68" s="27">
        <v>0</v>
      </c>
      <c r="I68" s="59"/>
      <c r="J68" s="59"/>
      <c r="K68" s="59"/>
      <c r="L68" s="59"/>
      <c r="M68" s="59"/>
      <c r="N68" s="59"/>
    </row>
    <row r="69" spans="1:14" x14ac:dyDescent="0.25">
      <c r="A69" s="72" t="s">
        <v>115</v>
      </c>
      <c r="B69" s="60" t="s">
        <v>173</v>
      </c>
      <c r="C69" s="133"/>
      <c r="D69" s="137"/>
      <c r="E69" s="137"/>
      <c r="F69" s="138"/>
      <c r="G69" s="27">
        <v>0</v>
      </c>
      <c r="I69" s="59"/>
      <c r="J69" s="59"/>
      <c r="K69" s="59"/>
      <c r="L69" s="59"/>
      <c r="M69" s="59"/>
      <c r="N69" s="59"/>
    </row>
    <row r="70" spans="1:14" x14ac:dyDescent="0.25">
      <c r="A70" s="72" t="s">
        <v>107</v>
      </c>
      <c r="B70" s="60" t="s">
        <v>174</v>
      </c>
      <c r="C70" s="133"/>
      <c r="D70" s="137"/>
      <c r="E70" s="137"/>
      <c r="F70" s="138"/>
      <c r="G70" s="27">
        <v>0</v>
      </c>
      <c r="I70" s="59"/>
      <c r="J70" s="59"/>
      <c r="K70" s="59"/>
      <c r="L70" s="59"/>
      <c r="M70" s="59"/>
      <c r="N70" s="59"/>
    </row>
    <row r="71" spans="1:14" x14ac:dyDescent="0.25">
      <c r="A71" s="139" t="s">
        <v>175</v>
      </c>
      <c r="B71" s="139"/>
      <c r="C71" s="139"/>
      <c r="D71" s="139"/>
      <c r="E71" s="139"/>
      <c r="F71" s="159"/>
      <c r="G71" s="141">
        <f>SUM(G67:G70)</f>
        <v>48.666666666666671</v>
      </c>
      <c r="I71" s="44"/>
      <c r="J71" s="59"/>
      <c r="K71" s="59"/>
      <c r="L71" s="59"/>
      <c r="M71" s="59"/>
      <c r="N71" s="59"/>
    </row>
    <row r="72" spans="1:14" x14ac:dyDescent="0.25">
      <c r="A72" s="72"/>
      <c r="B72" s="60"/>
      <c r="C72" s="133"/>
      <c r="D72" s="137"/>
      <c r="E72" s="137"/>
      <c r="F72" s="138"/>
      <c r="G72" s="27"/>
      <c r="I72" s="59"/>
      <c r="J72" s="59"/>
      <c r="K72" s="59"/>
      <c r="L72" s="59"/>
      <c r="M72" s="59"/>
      <c r="N72" s="59"/>
    </row>
    <row r="73" spans="1:14" x14ac:dyDescent="0.25">
      <c r="A73" s="126" t="s">
        <v>176</v>
      </c>
      <c r="B73" s="126"/>
      <c r="C73" s="126"/>
      <c r="D73" s="126"/>
      <c r="E73" s="126"/>
      <c r="F73" s="126"/>
      <c r="G73" s="126"/>
      <c r="I73" s="59"/>
      <c r="J73" s="59"/>
      <c r="K73" s="59"/>
      <c r="L73" s="59"/>
      <c r="M73" s="59"/>
      <c r="N73" s="59"/>
    </row>
    <row r="74" spans="1:14" x14ac:dyDescent="0.25">
      <c r="A74" s="182">
        <v>6</v>
      </c>
      <c r="B74" s="143" t="s">
        <v>177</v>
      </c>
      <c r="C74" s="180"/>
      <c r="D74" s="158"/>
      <c r="E74" s="158"/>
      <c r="F74" s="201" t="s">
        <v>66</v>
      </c>
      <c r="G74" s="202"/>
      <c r="I74" s="59"/>
      <c r="J74" s="59"/>
      <c r="K74" s="59"/>
      <c r="L74" s="59"/>
      <c r="M74" s="59"/>
      <c r="N74" s="59"/>
    </row>
    <row r="75" spans="1:14" x14ac:dyDescent="0.25">
      <c r="A75" s="72" t="s">
        <v>106</v>
      </c>
      <c r="B75" s="60" t="s">
        <v>178</v>
      </c>
      <c r="C75" s="133"/>
      <c r="D75" s="137"/>
      <c r="E75" s="137"/>
      <c r="F75" s="138">
        <v>0.05</v>
      </c>
      <c r="G75" s="27">
        <f>G96*F75</f>
        <v>178.97631732043942</v>
      </c>
      <c r="I75" s="59"/>
      <c r="J75" s="59"/>
      <c r="K75" s="59"/>
      <c r="L75" s="59"/>
      <c r="M75" s="59"/>
      <c r="N75" s="59"/>
    </row>
    <row r="76" spans="1:14" x14ac:dyDescent="0.25">
      <c r="A76" s="72" t="s">
        <v>107</v>
      </c>
      <c r="B76" s="60" t="s">
        <v>179</v>
      </c>
      <c r="C76" s="133"/>
      <c r="D76" s="137"/>
      <c r="E76" s="137"/>
      <c r="F76" s="138">
        <v>0.1</v>
      </c>
      <c r="G76" s="27">
        <f>F76*(G96+G75)</f>
        <v>375.85026637292276</v>
      </c>
      <c r="I76" s="59"/>
      <c r="J76" s="59"/>
      <c r="K76" s="59"/>
      <c r="L76" s="59"/>
      <c r="M76" s="59"/>
      <c r="N76" s="59"/>
    </row>
    <row r="77" spans="1:14" x14ac:dyDescent="0.25">
      <c r="A77" s="72"/>
      <c r="B77" s="127" t="s">
        <v>180</v>
      </c>
      <c r="C77" s="133"/>
      <c r="D77" s="137"/>
      <c r="E77" s="137"/>
      <c r="F77" s="130">
        <f>SUM(F75:F76)</f>
        <v>0.15000000000000002</v>
      </c>
      <c r="G77" s="131">
        <f>SUM(G75:G76)</f>
        <v>554.82658369336218</v>
      </c>
      <c r="I77" s="44"/>
      <c r="J77" s="59"/>
      <c r="K77" s="59"/>
      <c r="L77" s="59"/>
      <c r="M77" s="59"/>
      <c r="N77" s="59"/>
    </row>
    <row r="78" spans="1:14" s="47" customFormat="1" x14ac:dyDescent="0.25">
      <c r="A78" s="72" t="s">
        <v>115</v>
      </c>
      <c r="B78" s="60" t="s">
        <v>181</v>
      </c>
      <c r="C78" s="133"/>
      <c r="D78" s="137"/>
      <c r="E78" s="137"/>
      <c r="F78" s="138"/>
      <c r="G78" s="27"/>
    </row>
    <row r="79" spans="1:14" s="47" customFormat="1" x14ac:dyDescent="0.25">
      <c r="A79" s="72" t="s">
        <v>182</v>
      </c>
      <c r="B79" s="60" t="s">
        <v>183</v>
      </c>
      <c r="C79" s="133"/>
      <c r="D79" s="137"/>
      <c r="E79" s="137"/>
      <c r="F79" s="138"/>
      <c r="G79" s="27"/>
    </row>
    <row r="80" spans="1:14" s="47" customFormat="1" ht="15" customHeight="1" x14ac:dyDescent="0.25">
      <c r="A80" s="72"/>
      <c r="B80" s="60" t="s">
        <v>184</v>
      </c>
      <c r="C80" s="133"/>
      <c r="D80" s="137"/>
      <c r="E80" s="137"/>
      <c r="F80" s="138">
        <v>7.5999999999999998E-2</v>
      </c>
      <c r="G80" s="27">
        <f>(($G$77+$G$96)/(1-($F$80+$F$81+$F$83)))*(F80)</f>
        <v>366.42661537931599</v>
      </c>
      <c r="I80" s="96" t="s">
        <v>253</v>
      </c>
    </row>
    <row r="81" spans="1:10" s="47" customFormat="1" x14ac:dyDescent="0.25">
      <c r="A81" s="72"/>
      <c r="B81" s="60" t="s">
        <v>185</v>
      </c>
      <c r="C81" s="133"/>
      <c r="D81" s="137"/>
      <c r="E81" s="137"/>
      <c r="F81" s="138">
        <v>1.6500000000000001E-2</v>
      </c>
      <c r="G81" s="27">
        <f>(($G$77+$G$96)/(1-($F$80+$F$81+$F$83)))*(F81)</f>
        <v>79.553146759983079</v>
      </c>
      <c r="I81" s="96"/>
    </row>
    <row r="82" spans="1:10" s="47" customFormat="1" x14ac:dyDescent="0.25">
      <c r="A82" s="72" t="s">
        <v>186</v>
      </c>
      <c r="B82" s="60" t="s">
        <v>187</v>
      </c>
      <c r="C82" s="133"/>
      <c r="D82" s="137"/>
      <c r="E82" s="137"/>
      <c r="F82" s="138"/>
      <c r="G82" s="27"/>
      <c r="I82" s="96"/>
    </row>
    <row r="83" spans="1:10" s="47" customFormat="1" x14ac:dyDescent="0.25">
      <c r="A83" s="72"/>
      <c r="B83" s="60" t="s">
        <v>188</v>
      </c>
      <c r="C83" s="133"/>
      <c r="D83" s="137"/>
      <c r="E83" s="137"/>
      <c r="F83" s="138">
        <v>0.05</v>
      </c>
      <c r="G83" s="27">
        <f t="shared" ref="G83" si="1">(($G$77+$G$96)/(1-($F$80+$F$81+$F$83)))*(F83)</f>
        <v>241.07014169691843</v>
      </c>
      <c r="I83" s="96"/>
    </row>
    <row r="84" spans="1:10" s="47" customFormat="1" x14ac:dyDescent="0.25">
      <c r="A84" s="72" t="s">
        <v>189</v>
      </c>
      <c r="B84" s="60" t="s">
        <v>190</v>
      </c>
      <c r="C84" s="133"/>
      <c r="D84" s="137"/>
      <c r="E84" s="137"/>
      <c r="F84" s="138"/>
      <c r="G84" s="27"/>
    </row>
    <row r="85" spans="1:10" s="47" customFormat="1" x14ac:dyDescent="0.25">
      <c r="A85" s="72" t="s">
        <v>191</v>
      </c>
      <c r="B85" s="60" t="s">
        <v>192</v>
      </c>
      <c r="C85" s="133"/>
      <c r="D85" s="137"/>
      <c r="E85" s="137"/>
      <c r="F85" s="138"/>
      <c r="G85" s="27"/>
    </row>
    <row r="86" spans="1:10" s="47" customFormat="1" x14ac:dyDescent="0.25">
      <c r="A86" s="72"/>
      <c r="B86" s="127" t="s">
        <v>193</v>
      </c>
      <c r="C86" s="133"/>
      <c r="D86" s="137"/>
      <c r="E86" s="137"/>
      <c r="F86" s="130">
        <f>F80+F81+F83+F85</f>
        <v>0.14250000000000002</v>
      </c>
      <c r="G86" s="131">
        <f>G80+G81+G83+G85</f>
        <v>687.04990383621748</v>
      </c>
      <c r="I86" s="49"/>
    </row>
    <row r="87" spans="1:10" x14ac:dyDescent="0.25">
      <c r="A87" s="139" t="s">
        <v>194</v>
      </c>
      <c r="B87" s="139"/>
      <c r="C87" s="139"/>
      <c r="D87" s="139"/>
      <c r="E87" s="139"/>
      <c r="F87" s="203"/>
      <c r="G87" s="204">
        <f>G77+G86</f>
        <v>1241.8764875295797</v>
      </c>
      <c r="I87" s="44"/>
      <c r="J87" s="41"/>
    </row>
    <row r="88" spans="1:10" x14ac:dyDescent="0.25">
      <c r="A88" s="166"/>
      <c r="B88" s="166"/>
      <c r="C88" s="168"/>
      <c r="D88" s="168"/>
      <c r="E88" s="168"/>
      <c r="F88" s="205"/>
      <c r="G88" s="206"/>
    </row>
    <row r="89" spans="1:10" x14ac:dyDescent="0.25">
      <c r="A89" s="126" t="s">
        <v>195</v>
      </c>
      <c r="B89" s="126"/>
      <c r="C89" s="126"/>
      <c r="D89" s="126"/>
      <c r="E89" s="126"/>
      <c r="F89" s="126"/>
      <c r="G89" s="126"/>
    </row>
    <row r="90" spans="1:10" x14ac:dyDescent="0.25">
      <c r="A90" s="182"/>
      <c r="B90" s="143" t="s">
        <v>196</v>
      </c>
      <c r="C90" s="180"/>
      <c r="D90" s="158"/>
      <c r="E90" s="158"/>
      <c r="F90" s="201" t="s">
        <v>66</v>
      </c>
      <c r="G90" s="202"/>
    </row>
    <row r="91" spans="1:10" x14ac:dyDescent="0.25">
      <c r="A91" s="72" t="s">
        <v>106</v>
      </c>
      <c r="B91" s="184" t="s">
        <v>197</v>
      </c>
      <c r="C91" s="133"/>
      <c r="D91" s="137"/>
      <c r="E91" s="137"/>
      <c r="F91" s="138"/>
      <c r="G91" s="27">
        <f>G6</f>
        <v>1287.96</v>
      </c>
    </row>
    <row r="92" spans="1:10" x14ac:dyDescent="0.25">
      <c r="A92" s="72" t="s">
        <v>107</v>
      </c>
      <c r="B92" s="184" t="s">
        <v>198</v>
      </c>
      <c r="C92" s="133"/>
      <c r="D92" s="137"/>
      <c r="E92" s="137"/>
      <c r="F92" s="138"/>
      <c r="G92" s="27">
        <f>G33</f>
        <v>1761.9123999999999</v>
      </c>
    </row>
    <row r="93" spans="1:10" x14ac:dyDescent="0.25">
      <c r="A93" s="72" t="s">
        <v>115</v>
      </c>
      <c r="B93" s="184" t="s">
        <v>199</v>
      </c>
      <c r="C93" s="133"/>
      <c r="D93" s="137"/>
      <c r="E93" s="137"/>
      <c r="F93" s="130"/>
      <c r="G93" s="27">
        <f>G43</f>
        <v>213.82049985111112</v>
      </c>
    </row>
    <row r="94" spans="1:10" x14ac:dyDescent="0.25">
      <c r="A94" s="72" t="s">
        <v>116</v>
      </c>
      <c r="B94" s="184" t="s">
        <v>200</v>
      </c>
      <c r="C94" s="133"/>
      <c r="D94" s="137"/>
      <c r="E94" s="137"/>
      <c r="F94" s="138"/>
      <c r="G94" s="27">
        <f>G63</f>
        <v>267.16677989101055</v>
      </c>
    </row>
    <row r="95" spans="1:10" x14ac:dyDescent="0.25">
      <c r="A95" s="72" t="s">
        <v>125</v>
      </c>
      <c r="B95" s="184" t="s">
        <v>201</v>
      </c>
      <c r="C95" s="133"/>
      <c r="D95" s="137"/>
      <c r="E95" s="137"/>
      <c r="F95" s="138"/>
      <c r="G95" s="27">
        <f>G71</f>
        <v>48.666666666666671</v>
      </c>
    </row>
    <row r="96" spans="1:10" x14ac:dyDescent="0.25">
      <c r="A96" s="72"/>
      <c r="B96" s="127" t="s">
        <v>105</v>
      </c>
      <c r="C96" s="133"/>
      <c r="D96" s="137"/>
      <c r="E96" s="137"/>
      <c r="F96" s="138"/>
      <c r="G96" s="131">
        <f>SUM(G91:G95)</f>
        <v>3579.5263464087884</v>
      </c>
    </row>
    <row r="97" spans="1:9" x14ac:dyDescent="0.25">
      <c r="A97" s="72" t="s">
        <v>127</v>
      </c>
      <c r="B97" s="184" t="s">
        <v>202</v>
      </c>
      <c r="C97" s="133"/>
      <c r="D97" s="137"/>
      <c r="E97" s="137"/>
      <c r="F97" s="138"/>
      <c r="G97" s="27">
        <f>G87</f>
        <v>1241.8764875295797</v>
      </c>
    </row>
    <row r="98" spans="1:9" s="47" customFormat="1" x14ac:dyDescent="0.25">
      <c r="A98" s="197"/>
      <c r="B98" s="197" t="s">
        <v>203</v>
      </c>
      <c r="C98" s="197"/>
      <c r="D98" s="197"/>
      <c r="E98" s="197"/>
      <c r="F98" s="190"/>
      <c r="G98" s="207">
        <f>(G96+G77)/(1-F86)</f>
        <v>4821.4028339383685</v>
      </c>
      <c r="I98" s="49"/>
    </row>
    <row r="100" spans="1:9" x14ac:dyDescent="0.25">
      <c r="A100" s="85"/>
      <c r="B100" s="85"/>
      <c r="C100" s="85"/>
      <c r="D100" s="85"/>
      <c r="E100" s="85"/>
      <c r="F100" s="85"/>
      <c r="G100" s="85"/>
      <c r="I100" s="50"/>
    </row>
    <row r="101" spans="1:9" x14ac:dyDescent="0.25">
      <c r="A101" s="84"/>
      <c r="B101" s="84"/>
      <c r="C101" s="84"/>
      <c r="D101" s="84"/>
      <c r="E101" s="84"/>
      <c r="F101" s="84"/>
      <c r="G101" s="84"/>
    </row>
  </sheetData>
  <mergeCells count="23">
    <mergeCell ref="I80:I83"/>
    <mergeCell ref="I37:L39"/>
    <mergeCell ref="I40:L42"/>
    <mergeCell ref="I46:I54"/>
    <mergeCell ref="J46:N54"/>
    <mergeCell ref="A101:G101"/>
    <mergeCell ref="A43:E43"/>
    <mergeCell ref="A45:G45"/>
    <mergeCell ref="A54:E54"/>
    <mergeCell ref="A58:E58"/>
    <mergeCell ref="A63:E63"/>
    <mergeCell ref="A65:G65"/>
    <mergeCell ref="A71:E71"/>
    <mergeCell ref="A73:G73"/>
    <mergeCell ref="A87:E87"/>
    <mergeCell ref="A89:G89"/>
    <mergeCell ref="A100:G100"/>
    <mergeCell ref="A35:G35"/>
    <mergeCell ref="A1:G1"/>
    <mergeCell ref="A2:G2"/>
    <mergeCell ref="A6:E6"/>
    <mergeCell ref="A8:G8"/>
    <mergeCell ref="A33:F3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67FB8-183F-4E3D-AEF8-A43654D91549}">
  <dimension ref="A1:N101"/>
  <sheetViews>
    <sheetView topLeftCell="A79" workbookViewId="0">
      <selection activeCell="G67" sqref="G67"/>
    </sheetView>
  </sheetViews>
  <sheetFormatPr defaultRowHeight="15" x14ac:dyDescent="0.25"/>
  <cols>
    <col min="1" max="1" width="7.42578125" style="1" customWidth="1"/>
    <col min="2" max="2" width="45.7109375" customWidth="1"/>
    <col min="3" max="3" width="11" style="39" customWidth="1"/>
    <col min="4" max="4" width="10.28515625" style="42" customWidth="1"/>
    <col min="5" max="5" width="9.85546875" style="42" customWidth="1"/>
    <col min="6" max="6" width="16.28515625" style="43" customWidth="1"/>
    <col min="7" max="7" width="16.42578125" style="41" bestFit="1" customWidth="1"/>
    <col min="8" max="8" width="0.140625" customWidth="1"/>
    <col min="9" max="9" width="29.7109375" customWidth="1"/>
    <col min="10" max="10" width="14" customWidth="1"/>
  </cols>
  <sheetData>
    <row r="1" spans="1:10" ht="18.75" x14ac:dyDescent="0.3">
      <c r="A1" s="218" t="s">
        <v>204</v>
      </c>
      <c r="B1" s="218"/>
      <c r="C1" s="218"/>
      <c r="D1" s="218"/>
      <c r="E1" s="218"/>
      <c r="F1" s="218"/>
      <c r="G1" s="218"/>
      <c r="H1" s="36"/>
      <c r="I1" s="37"/>
    </row>
    <row r="2" spans="1:10" x14ac:dyDescent="0.25">
      <c r="A2" s="126" t="s">
        <v>100</v>
      </c>
      <c r="B2" s="126"/>
      <c r="C2" s="126"/>
      <c r="D2" s="126"/>
      <c r="E2" s="126"/>
      <c r="F2" s="126"/>
      <c r="G2" s="126"/>
    </row>
    <row r="3" spans="1:10" x14ac:dyDescent="0.25">
      <c r="A3" s="71">
        <v>1</v>
      </c>
      <c r="B3" s="127" t="s">
        <v>101</v>
      </c>
      <c r="C3" s="128"/>
      <c r="D3" s="129" t="s">
        <v>102</v>
      </c>
      <c r="E3" s="71" t="s">
        <v>103</v>
      </c>
      <c r="F3" s="130" t="s">
        <v>104</v>
      </c>
      <c r="G3" s="131" t="s">
        <v>105</v>
      </c>
    </row>
    <row r="4" spans="1:10" x14ac:dyDescent="0.25">
      <c r="A4" s="132" t="s">
        <v>106</v>
      </c>
      <c r="B4" s="127" t="s">
        <v>205</v>
      </c>
      <c r="C4" s="133"/>
      <c r="D4" s="134">
        <v>1</v>
      </c>
      <c r="E4" s="72">
        <v>1</v>
      </c>
      <c r="F4" s="219">
        <v>1901.53</v>
      </c>
      <c r="G4" s="136">
        <f>F4*E4</f>
        <v>1901.53</v>
      </c>
      <c r="I4" s="40"/>
      <c r="J4" s="41"/>
    </row>
    <row r="5" spans="1:10" x14ac:dyDescent="0.25">
      <c r="A5" s="72" t="s">
        <v>107</v>
      </c>
      <c r="B5" s="127" t="s">
        <v>108</v>
      </c>
      <c r="C5" s="133"/>
      <c r="D5" s="137"/>
      <c r="E5" s="137"/>
      <c r="F5" s="138"/>
      <c r="G5" s="27">
        <v>0</v>
      </c>
    </row>
    <row r="6" spans="1:10" x14ac:dyDescent="0.25">
      <c r="A6" s="139" t="s">
        <v>109</v>
      </c>
      <c r="B6" s="139"/>
      <c r="C6" s="139"/>
      <c r="D6" s="139"/>
      <c r="E6" s="139"/>
      <c r="F6" s="140"/>
      <c r="G6" s="141">
        <f>SUM(G4:G5)</f>
        <v>1901.53</v>
      </c>
    </row>
    <row r="7" spans="1:10" x14ac:dyDescent="0.25">
      <c r="A7" s="72"/>
      <c r="B7" s="60"/>
      <c r="C7" s="133"/>
      <c r="D7" s="137"/>
      <c r="E7" s="137"/>
      <c r="F7" s="138"/>
      <c r="G7" s="27"/>
    </row>
    <row r="8" spans="1:10" x14ac:dyDescent="0.25">
      <c r="A8" s="126" t="s">
        <v>110</v>
      </c>
      <c r="B8" s="126"/>
      <c r="C8" s="126"/>
      <c r="D8" s="126"/>
      <c r="E8" s="126"/>
      <c r="F8" s="126"/>
      <c r="G8" s="126"/>
    </row>
    <row r="9" spans="1:10" x14ac:dyDescent="0.25">
      <c r="A9" s="142" t="s">
        <v>111</v>
      </c>
      <c r="B9" s="143" t="s">
        <v>112</v>
      </c>
      <c r="C9" s="144"/>
      <c r="D9" s="144"/>
      <c r="E9" s="144"/>
      <c r="F9" s="145" t="s">
        <v>113</v>
      </c>
      <c r="G9" s="146"/>
    </row>
    <row r="10" spans="1:10" x14ac:dyDescent="0.25">
      <c r="A10" s="147" t="s">
        <v>106</v>
      </c>
      <c r="B10" s="148" t="s">
        <v>114</v>
      </c>
      <c r="C10" s="149"/>
      <c r="D10" s="149"/>
      <c r="E10" s="149"/>
      <c r="F10" s="150">
        <f>1/12</f>
        <v>8.3333333333333329E-2</v>
      </c>
      <c r="G10" s="151">
        <f>ROUND((F10*G6),2)</f>
        <v>158.46</v>
      </c>
      <c r="J10" s="78"/>
    </row>
    <row r="11" spans="1:10" x14ac:dyDescent="0.25">
      <c r="A11" s="147" t="s">
        <v>107</v>
      </c>
      <c r="B11" s="148" t="s">
        <v>241</v>
      </c>
      <c r="C11" s="149"/>
      <c r="D11" s="149"/>
      <c r="E11" s="149"/>
      <c r="F11" s="152">
        <v>0.1111</v>
      </c>
      <c r="G11" s="151">
        <f>ROUND((F11*G6),2)</f>
        <v>211.26</v>
      </c>
    </row>
    <row r="12" spans="1:10" x14ac:dyDescent="0.25">
      <c r="A12" s="147"/>
      <c r="B12" s="153" t="s">
        <v>105</v>
      </c>
      <c r="C12" s="149"/>
      <c r="D12" s="149"/>
      <c r="E12" s="149"/>
      <c r="F12" s="154">
        <f>SUM(F10:F11)</f>
        <v>0.19443333333333335</v>
      </c>
      <c r="G12" s="155">
        <f>SUM(G10:G11)</f>
        <v>369.72</v>
      </c>
      <c r="I12" s="44"/>
    </row>
    <row r="13" spans="1:10" x14ac:dyDescent="0.25">
      <c r="A13" s="147" t="s">
        <v>116</v>
      </c>
      <c r="B13" s="148" t="s">
        <v>117</v>
      </c>
      <c r="C13" s="149"/>
      <c r="D13" s="149"/>
      <c r="E13" s="149"/>
      <c r="F13" s="150">
        <f>F12*F25</f>
        <v>7.1551466666666674E-2</v>
      </c>
      <c r="G13" s="156">
        <f>ROUND((F13*G6),2)</f>
        <v>136.06</v>
      </c>
    </row>
    <row r="14" spans="1:10" x14ac:dyDescent="0.25">
      <c r="A14" s="157"/>
      <c r="B14" s="157" t="s">
        <v>118</v>
      </c>
      <c r="C14" s="158"/>
      <c r="D14" s="158"/>
      <c r="E14" s="158"/>
      <c r="F14" s="159">
        <f>SUM(F12:F13)</f>
        <v>0.26598480000000002</v>
      </c>
      <c r="G14" s="160">
        <f>SUM(G12:G13)</f>
        <v>505.78000000000003</v>
      </c>
      <c r="I14" s="44"/>
    </row>
    <row r="15" spans="1:10" x14ac:dyDescent="0.25">
      <c r="A15" s="147"/>
      <c r="B15" s="147"/>
      <c r="C15" s="149"/>
      <c r="D15" s="149"/>
      <c r="E15" s="149"/>
      <c r="F15" s="147"/>
      <c r="G15" s="147"/>
    </row>
    <row r="16" spans="1:10" x14ac:dyDescent="0.25">
      <c r="A16" s="161" t="s">
        <v>119</v>
      </c>
      <c r="B16" s="162" t="s">
        <v>120</v>
      </c>
      <c r="C16" s="163"/>
      <c r="D16" s="163"/>
      <c r="E16" s="163"/>
      <c r="F16" s="164" t="s">
        <v>113</v>
      </c>
      <c r="G16" s="165"/>
    </row>
    <row r="17" spans="1:9" x14ac:dyDescent="0.25">
      <c r="A17" s="147" t="s">
        <v>106</v>
      </c>
      <c r="B17" s="148" t="s">
        <v>121</v>
      </c>
      <c r="C17" s="149"/>
      <c r="D17" s="149"/>
      <c r="E17" s="149"/>
      <c r="F17" s="150">
        <v>0.2</v>
      </c>
      <c r="G17" s="151">
        <f>ROUND((F17*G6),2)</f>
        <v>380.31</v>
      </c>
    </row>
    <row r="18" spans="1:9" x14ac:dyDescent="0.25">
      <c r="A18" s="147" t="s">
        <v>107</v>
      </c>
      <c r="B18" s="148" t="s">
        <v>122</v>
      </c>
      <c r="C18" s="149"/>
      <c r="D18" s="149"/>
      <c r="E18" s="149"/>
      <c r="F18" s="150">
        <v>2.5000000000000001E-2</v>
      </c>
      <c r="G18" s="151">
        <f>ROUND((F18*G6),2)</f>
        <v>47.54</v>
      </c>
    </row>
    <row r="19" spans="1:9" s="51" customFormat="1" x14ac:dyDescent="0.25">
      <c r="A19" s="166" t="s">
        <v>115</v>
      </c>
      <c r="B19" s="167" t="s">
        <v>123</v>
      </c>
      <c r="C19" s="168"/>
      <c r="D19" s="168"/>
      <c r="E19" s="168"/>
      <c r="F19" s="169">
        <v>0.03</v>
      </c>
      <c r="G19" s="170">
        <f>ROUND((F19*G6),2)</f>
        <v>57.05</v>
      </c>
    </row>
    <row r="20" spans="1:9" x14ac:dyDescent="0.25">
      <c r="A20" s="147" t="s">
        <v>116</v>
      </c>
      <c r="B20" s="148" t="s">
        <v>124</v>
      </c>
      <c r="C20" s="171"/>
      <c r="D20" s="149"/>
      <c r="E20" s="149"/>
      <c r="F20" s="150">
        <v>1.4999999999999999E-2</v>
      </c>
      <c r="G20" s="151">
        <f>ROUND((F20*G6),2)</f>
        <v>28.52</v>
      </c>
    </row>
    <row r="21" spans="1:9" x14ac:dyDescent="0.25">
      <c r="A21" s="147" t="s">
        <v>125</v>
      </c>
      <c r="B21" s="172" t="s">
        <v>126</v>
      </c>
      <c r="C21" s="171"/>
      <c r="D21" s="149"/>
      <c r="E21" s="149"/>
      <c r="F21" s="150">
        <v>0.01</v>
      </c>
      <c r="G21" s="151">
        <f>ROUND((F21*G6),2)</f>
        <v>19.02</v>
      </c>
    </row>
    <row r="22" spans="1:9" x14ac:dyDescent="0.25">
      <c r="A22" s="147" t="s">
        <v>127</v>
      </c>
      <c r="B22" s="148" t="s">
        <v>128</v>
      </c>
      <c r="C22" s="171"/>
      <c r="D22" s="149"/>
      <c r="E22" s="149"/>
      <c r="F22" s="150">
        <v>6.0000000000000001E-3</v>
      </c>
      <c r="G22" s="151">
        <f>ROUND((F22*G6),2)</f>
        <v>11.41</v>
      </c>
    </row>
    <row r="23" spans="1:9" x14ac:dyDescent="0.25">
      <c r="A23" s="147" t="s">
        <v>129</v>
      </c>
      <c r="B23" s="148" t="s">
        <v>130</v>
      </c>
      <c r="C23" s="149"/>
      <c r="D23" s="149"/>
      <c r="E23" s="149"/>
      <c r="F23" s="150">
        <v>2E-3</v>
      </c>
      <c r="G23" s="151">
        <f>ROUND((F23*G6),2)</f>
        <v>3.8</v>
      </c>
    </row>
    <row r="24" spans="1:9" x14ac:dyDescent="0.25">
      <c r="A24" s="147" t="s">
        <v>131</v>
      </c>
      <c r="B24" s="148" t="s">
        <v>132</v>
      </c>
      <c r="C24" s="149"/>
      <c r="D24" s="149"/>
      <c r="E24" s="149"/>
      <c r="F24" s="150">
        <v>0.08</v>
      </c>
      <c r="G24" s="151">
        <f>ROUND((F24*G6),2)</f>
        <v>152.12</v>
      </c>
    </row>
    <row r="25" spans="1:9" x14ac:dyDescent="0.25">
      <c r="A25" s="173"/>
      <c r="B25" s="146" t="s">
        <v>133</v>
      </c>
      <c r="C25" s="158"/>
      <c r="D25" s="158"/>
      <c r="E25" s="158"/>
      <c r="F25" s="159">
        <f>SUM(F17:F24)</f>
        <v>0.36800000000000005</v>
      </c>
      <c r="G25" s="160">
        <f>SUM(G17:G24)</f>
        <v>699.77</v>
      </c>
      <c r="I25" s="44"/>
    </row>
    <row r="26" spans="1:9" x14ac:dyDescent="0.25">
      <c r="A26" s="147"/>
      <c r="B26" s="153"/>
      <c r="C26" s="149"/>
      <c r="D26" s="149"/>
      <c r="E26" s="149"/>
      <c r="F26" s="147"/>
      <c r="G26" s="147"/>
    </row>
    <row r="27" spans="1:9" x14ac:dyDescent="0.25">
      <c r="A27" s="161" t="s">
        <v>134</v>
      </c>
      <c r="B27" s="162" t="s">
        <v>135</v>
      </c>
      <c r="C27" s="174" t="s">
        <v>136</v>
      </c>
      <c r="D27" s="161" t="s">
        <v>137</v>
      </c>
      <c r="E27" s="161" t="s">
        <v>103</v>
      </c>
      <c r="F27" s="175" t="s">
        <v>45</v>
      </c>
      <c r="G27" s="176" t="s">
        <v>105</v>
      </c>
    </row>
    <row r="28" spans="1:9" x14ac:dyDescent="0.25">
      <c r="A28" s="72" t="s">
        <v>106</v>
      </c>
      <c r="B28" s="60" t="s">
        <v>138</v>
      </c>
      <c r="C28" s="177">
        <v>0.06</v>
      </c>
      <c r="D28" s="132">
        <v>22</v>
      </c>
      <c r="E28" s="132">
        <v>2</v>
      </c>
      <c r="F28" s="178">
        <v>5.5</v>
      </c>
      <c r="G28" s="27">
        <f>IF((F28*D28*E28)-C28*G4&lt;0,0,(F28*D28*E28)-C28*G4)</f>
        <v>127.90820000000001</v>
      </c>
    </row>
    <row r="29" spans="1:9" x14ac:dyDescent="0.25">
      <c r="A29" s="72" t="s">
        <v>107</v>
      </c>
      <c r="B29" s="60" t="s">
        <v>139</v>
      </c>
      <c r="C29" s="179"/>
      <c r="D29" s="132">
        <v>22</v>
      </c>
      <c r="E29" s="132">
        <v>1</v>
      </c>
      <c r="F29" s="178">
        <v>35</v>
      </c>
      <c r="G29" s="31">
        <f>D29*F29</f>
        <v>770</v>
      </c>
    </row>
    <row r="30" spans="1:9" x14ac:dyDescent="0.25">
      <c r="A30" s="72" t="s">
        <v>115</v>
      </c>
      <c r="B30" s="60" t="s">
        <v>206</v>
      </c>
      <c r="C30" s="132"/>
      <c r="D30" s="132"/>
      <c r="E30" s="132"/>
      <c r="F30" s="178">
        <v>10.63</v>
      </c>
      <c r="G30" s="31">
        <v>10.63</v>
      </c>
      <c r="I30" s="79" t="s">
        <v>207</v>
      </c>
    </row>
    <row r="31" spans="1:9" x14ac:dyDescent="0.25">
      <c r="A31" s="173"/>
      <c r="B31" s="143" t="s">
        <v>140</v>
      </c>
      <c r="C31" s="180"/>
      <c r="D31" s="158"/>
      <c r="E31" s="158"/>
      <c r="F31" s="181"/>
      <c r="G31" s="141">
        <f>SUM(G28:G30)</f>
        <v>908.53819999999996</v>
      </c>
      <c r="I31" s="44"/>
    </row>
    <row r="32" spans="1:9" x14ac:dyDescent="0.25">
      <c r="A32" s="72"/>
      <c r="B32" s="60"/>
      <c r="C32" s="133"/>
      <c r="D32" s="137"/>
      <c r="E32" s="137"/>
      <c r="F32" s="178"/>
      <c r="G32" s="27"/>
    </row>
    <row r="33" spans="1:14" x14ac:dyDescent="0.25">
      <c r="A33" s="139" t="s">
        <v>141</v>
      </c>
      <c r="B33" s="139"/>
      <c r="C33" s="139"/>
      <c r="D33" s="139"/>
      <c r="E33" s="139"/>
      <c r="F33" s="139"/>
      <c r="G33" s="141">
        <f>G14+G25+G31</f>
        <v>2114.0882000000001</v>
      </c>
      <c r="I33" s="44"/>
    </row>
    <row r="34" spans="1:14" x14ac:dyDescent="0.25">
      <c r="A34" s="72"/>
      <c r="B34" s="60"/>
      <c r="C34" s="133"/>
      <c r="D34" s="137"/>
      <c r="E34" s="137"/>
      <c r="F34" s="138"/>
      <c r="G34" s="27"/>
    </row>
    <row r="35" spans="1:14" x14ac:dyDescent="0.25">
      <c r="A35" s="126" t="s">
        <v>142</v>
      </c>
      <c r="B35" s="126"/>
      <c r="C35" s="126"/>
      <c r="D35" s="126"/>
      <c r="E35" s="126"/>
      <c r="F35" s="126"/>
      <c r="G35" s="126"/>
    </row>
    <row r="36" spans="1:14" x14ac:dyDescent="0.25">
      <c r="A36" s="182">
        <v>3</v>
      </c>
      <c r="B36" s="143" t="s">
        <v>143</v>
      </c>
      <c r="C36" s="183"/>
      <c r="D36" s="144"/>
      <c r="E36" s="144"/>
      <c r="F36" s="159" t="s">
        <v>144</v>
      </c>
      <c r="G36" s="141" t="s">
        <v>145</v>
      </c>
    </row>
    <row r="37" spans="1:14" ht="15" customHeight="1" x14ac:dyDescent="0.25">
      <c r="A37" s="132" t="s">
        <v>106</v>
      </c>
      <c r="B37" s="184" t="s">
        <v>146</v>
      </c>
      <c r="C37" s="128"/>
      <c r="D37" s="67"/>
      <c r="E37" s="67"/>
      <c r="F37" s="185">
        <f>(1/12)*0.055</f>
        <v>4.5833333333333334E-3</v>
      </c>
      <c r="G37" s="186">
        <f>(($G$6+($G$33-$G$24))*F37)</f>
        <v>17.707700083333332</v>
      </c>
      <c r="I37" s="86" t="s">
        <v>242</v>
      </c>
      <c r="J37" s="87"/>
      <c r="K37" s="87"/>
      <c r="L37" s="88"/>
    </row>
    <row r="38" spans="1:14" x14ac:dyDescent="0.25">
      <c r="A38" s="132" t="s">
        <v>107</v>
      </c>
      <c r="B38" s="184" t="s">
        <v>147</v>
      </c>
      <c r="C38" s="128"/>
      <c r="D38" s="67"/>
      <c r="E38" s="67"/>
      <c r="F38" s="185">
        <f>ROUND((F37*F24),4)</f>
        <v>4.0000000000000002E-4</v>
      </c>
      <c r="G38" s="186">
        <f>(($G$6+($G$33-$G$24))*F38)</f>
        <v>1.54539928</v>
      </c>
      <c r="I38" s="89"/>
      <c r="J38" s="90"/>
      <c r="K38" s="90"/>
      <c r="L38" s="91"/>
    </row>
    <row r="39" spans="1:14" x14ac:dyDescent="0.25">
      <c r="A39" s="132" t="s">
        <v>115</v>
      </c>
      <c r="B39" s="184" t="s">
        <v>148</v>
      </c>
      <c r="C39" s="128"/>
      <c r="D39" s="67"/>
      <c r="E39" s="67"/>
      <c r="F39" s="185">
        <f>4%</f>
        <v>0.04</v>
      </c>
      <c r="G39" s="186">
        <f>(($G$6+($G$33-$G$24))*F39)</f>
        <v>154.539928</v>
      </c>
      <c r="I39" s="92"/>
      <c r="J39" s="93"/>
      <c r="K39" s="93"/>
      <c r="L39" s="94"/>
    </row>
    <row r="40" spans="1:14" ht="15" customHeight="1" x14ac:dyDescent="0.25">
      <c r="A40" s="132" t="s">
        <v>116</v>
      </c>
      <c r="B40" s="184" t="s">
        <v>149</v>
      </c>
      <c r="C40" s="128"/>
      <c r="D40" s="67"/>
      <c r="E40" s="67"/>
      <c r="F40" s="185">
        <f>((1/30)*7)/12</f>
        <v>1.9444444444444445E-2</v>
      </c>
      <c r="G40" s="186">
        <f>($G$6+$G$33)*F40</f>
        <v>78.081464999999994</v>
      </c>
      <c r="I40" s="95" t="s">
        <v>246</v>
      </c>
      <c r="J40" s="95"/>
      <c r="K40" s="95"/>
      <c r="L40" s="95"/>
    </row>
    <row r="41" spans="1:14" x14ac:dyDescent="0.25">
      <c r="A41" s="72" t="s">
        <v>125</v>
      </c>
      <c r="B41" s="184" t="s">
        <v>150</v>
      </c>
      <c r="C41" s="133"/>
      <c r="D41" s="137"/>
      <c r="E41" s="137"/>
      <c r="F41" s="169">
        <f>ROUND((F40*F25),4)</f>
        <v>7.1999999999999998E-3</v>
      </c>
      <c r="G41" s="186">
        <f>($G$6+$G$33)*F41</f>
        <v>28.912451039999997</v>
      </c>
      <c r="I41" s="95"/>
      <c r="J41" s="95"/>
      <c r="K41" s="95"/>
      <c r="L41" s="95"/>
    </row>
    <row r="42" spans="1:14" x14ac:dyDescent="0.25">
      <c r="A42" s="72" t="s">
        <v>127</v>
      </c>
      <c r="B42" s="184" t="s">
        <v>151</v>
      </c>
      <c r="C42" s="133"/>
      <c r="D42" s="137"/>
      <c r="E42" s="137"/>
      <c r="F42" s="169">
        <f>0</f>
        <v>0</v>
      </c>
      <c r="G42" s="186">
        <f>ROUND((F42*G6),2)</f>
        <v>0</v>
      </c>
      <c r="I42" s="95"/>
      <c r="J42" s="95"/>
      <c r="K42" s="95"/>
      <c r="L42" s="95"/>
    </row>
    <row r="43" spans="1:14" x14ac:dyDescent="0.25">
      <c r="A43" s="139" t="s">
        <v>152</v>
      </c>
      <c r="B43" s="139"/>
      <c r="C43" s="139"/>
      <c r="D43" s="139"/>
      <c r="E43" s="139"/>
      <c r="F43" s="159">
        <f>SUM(F37:F42)</f>
        <v>7.1627777777777776E-2</v>
      </c>
      <c r="G43" s="141">
        <f>SUM(G37:G42)</f>
        <v>280.78694340333334</v>
      </c>
      <c r="I43" s="46"/>
    </row>
    <row r="44" spans="1:14" x14ac:dyDescent="0.25">
      <c r="A44" s="72"/>
      <c r="B44" s="60"/>
      <c r="C44" s="133"/>
      <c r="D44" s="137"/>
      <c r="E44" s="137"/>
      <c r="F44" s="138"/>
      <c r="G44" s="27"/>
    </row>
    <row r="45" spans="1:14" x14ac:dyDescent="0.25">
      <c r="A45" s="126" t="s">
        <v>153</v>
      </c>
      <c r="B45" s="126"/>
      <c r="C45" s="126"/>
      <c r="D45" s="126"/>
      <c r="E45" s="126"/>
      <c r="F45" s="126"/>
      <c r="G45" s="126"/>
    </row>
    <row r="46" spans="1:14" x14ac:dyDescent="0.25">
      <c r="A46" s="182" t="s">
        <v>154</v>
      </c>
      <c r="B46" s="143" t="s">
        <v>155</v>
      </c>
      <c r="C46" s="183"/>
      <c r="D46" s="144"/>
      <c r="E46" s="144"/>
      <c r="F46" s="187" t="s">
        <v>243</v>
      </c>
      <c r="G46" s="141"/>
      <c r="I46" s="96" t="s">
        <v>245</v>
      </c>
      <c r="J46" s="96" t="s">
        <v>244</v>
      </c>
      <c r="K46" s="96"/>
      <c r="L46" s="96"/>
      <c r="M46" s="96"/>
      <c r="N46" s="96"/>
    </row>
    <row r="47" spans="1:14" ht="15" customHeight="1" x14ac:dyDescent="0.25">
      <c r="A47" s="72" t="s">
        <v>106</v>
      </c>
      <c r="B47" s="60" t="s">
        <v>156</v>
      </c>
      <c r="C47" s="133"/>
      <c r="D47" s="137"/>
      <c r="E47" s="137"/>
      <c r="F47" s="188">
        <f>(1/12/12)+(1/12/12)+(1/12/12/3)</f>
        <v>1.6203703703703703E-2</v>
      </c>
      <c r="G47" s="27">
        <f t="shared" ref="G47:G52" si="0">F47*($G$43+$G$33+$G$6)</f>
        <v>69.61767593477623</v>
      </c>
      <c r="I47" s="96"/>
      <c r="J47" s="96"/>
      <c r="K47" s="96"/>
      <c r="L47" s="96"/>
      <c r="M47" s="96"/>
      <c r="N47" s="96"/>
    </row>
    <row r="48" spans="1:14" x14ac:dyDescent="0.25">
      <c r="A48" s="72" t="s">
        <v>107</v>
      </c>
      <c r="B48" s="60" t="s">
        <v>155</v>
      </c>
      <c r="C48" s="133"/>
      <c r="D48" s="137"/>
      <c r="E48" s="137"/>
      <c r="F48" s="188">
        <f>(((13/12)/22)*8)/12</f>
        <v>3.2828282828282825E-2</v>
      </c>
      <c r="G48" s="27">
        <f t="shared" si="0"/>
        <v>141.04360319253365</v>
      </c>
      <c r="I48" s="96"/>
      <c r="J48" s="96"/>
      <c r="K48" s="96"/>
      <c r="L48" s="96"/>
      <c r="M48" s="96"/>
      <c r="N48" s="96"/>
    </row>
    <row r="49" spans="1:14" x14ac:dyDescent="0.25">
      <c r="A49" s="72" t="s">
        <v>115</v>
      </c>
      <c r="B49" s="60" t="s">
        <v>157</v>
      </c>
      <c r="C49" s="133"/>
      <c r="D49" s="137"/>
      <c r="E49" s="137"/>
      <c r="F49" s="188">
        <f>(((13/12)/22)*0.2)/12</f>
        <v>8.2070707070707079E-4</v>
      </c>
      <c r="G49" s="27">
        <f t="shared" si="0"/>
        <v>3.5260900798133421</v>
      </c>
      <c r="I49" s="96"/>
      <c r="J49" s="96"/>
      <c r="K49" s="96"/>
      <c r="L49" s="96"/>
      <c r="M49" s="96"/>
      <c r="N49" s="96"/>
    </row>
    <row r="50" spans="1:14" x14ac:dyDescent="0.25">
      <c r="A50" s="72" t="s">
        <v>116</v>
      </c>
      <c r="B50" s="60" t="s">
        <v>158</v>
      </c>
      <c r="C50" s="133"/>
      <c r="D50" s="137"/>
      <c r="E50" s="137"/>
      <c r="F50" s="188">
        <f>(((13/12)/22)*6)/12</f>
        <v>2.4621212121212117E-2</v>
      </c>
      <c r="G50" s="27">
        <f t="shared" si="0"/>
        <v>105.78270239440023</v>
      </c>
      <c r="I50" s="96"/>
      <c r="J50" s="96"/>
      <c r="K50" s="96"/>
      <c r="L50" s="96"/>
      <c r="M50" s="96"/>
      <c r="N50" s="96"/>
    </row>
    <row r="51" spans="1:14" x14ac:dyDescent="0.25">
      <c r="A51" s="72" t="s">
        <v>125</v>
      </c>
      <c r="B51" s="60" t="s">
        <v>159</v>
      </c>
      <c r="C51" s="133"/>
      <c r="D51" s="137"/>
      <c r="E51" s="137"/>
      <c r="F51" s="188">
        <f>(((13/12)/22)*1.8)/12</f>
        <v>7.3863636363636362E-3</v>
      </c>
      <c r="G51" s="27">
        <f t="shared" si="0"/>
        <v>31.734810718320077</v>
      </c>
      <c r="I51" s="96"/>
      <c r="J51" s="96"/>
      <c r="K51" s="96"/>
      <c r="L51" s="96"/>
      <c r="M51" s="96"/>
      <c r="N51" s="96"/>
    </row>
    <row r="52" spans="1:14" x14ac:dyDescent="0.25">
      <c r="A52" s="72" t="s">
        <v>127</v>
      </c>
      <c r="B52" s="60" t="s">
        <v>160</v>
      </c>
      <c r="C52" s="133"/>
      <c r="D52" s="137"/>
      <c r="E52" s="137"/>
      <c r="F52" s="188">
        <v>0</v>
      </c>
      <c r="G52" s="27">
        <f t="shared" si="0"/>
        <v>0</v>
      </c>
      <c r="I52" s="96"/>
      <c r="J52" s="96"/>
      <c r="K52" s="96"/>
      <c r="L52" s="96"/>
      <c r="M52" s="96"/>
      <c r="N52" s="96"/>
    </row>
    <row r="53" spans="1:14" x14ac:dyDescent="0.25">
      <c r="A53" s="72"/>
      <c r="B53" s="127" t="s">
        <v>105</v>
      </c>
      <c r="C53" s="133"/>
      <c r="D53" s="137"/>
      <c r="E53" s="137"/>
      <c r="F53" s="189">
        <f>SUM(F47:F52)</f>
        <v>8.1860269360269342E-2</v>
      </c>
      <c r="G53" s="131">
        <f>SUM(G47:G52)</f>
        <v>351.70488231984353</v>
      </c>
      <c r="I53" s="96"/>
      <c r="J53" s="96"/>
      <c r="K53" s="96"/>
      <c r="L53" s="96"/>
      <c r="M53" s="96"/>
      <c r="N53" s="96"/>
    </row>
    <row r="54" spans="1:14" x14ac:dyDescent="0.25">
      <c r="A54" s="139" t="s">
        <v>161</v>
      </c>
      <c r="B54" s="139"/>
      <c r="C54" s="139"/>
      <c r="D54" s="139"/>
      <c r="E54" s="139"/>
      <c r="F54" s="187">
        <f>SUM(F53:F53)</f>
        <v>8.1860269360269342E-2</v>
      </c>
      <c r="G54" s="141">
        <f>SUM(G53:G53)</f>
        <v>351.70488231984353</v>
      </c>
      <c r="I54" s="96"/>
      <c r="J54" s="96"/>
      <c r="K54" s="96"/>
      <c r="L54" s="96"/>
      <c r="M54" s="96"/>
      <c r="N54" s="96"/>
    </row>
    <row r="55" spans="1:14" x14ac:dyDescent="0.25">
      <c r="A55" s="190" t="s">
        <v>162</v>
      </c>
      <c r="B55" s="162" t="s">
        <v>163</v>
      </c>
      <c r="C55" s="191"/>
      <c r="D55" s="163"/>
      <c r="E55" s="163"/>
      <c r="F55" s="192"/>
      <c r="G55" s="193"/>
      <c r="I55" s="44"/>
    </row>
    <row r="56" spans="1:14" x14ac:dyDescent="0.25">
      <c r="A56" s="72" t="s">
        <v>106</v>
      </c>
      <c r="B56" s="60" t="s">
        <v>164</v>
      </c>
      <c r="C56" s="133"/>
      <c r="D56" s="137"/>
      <c r="E56" s="137"/>
      <c r="F56" s="188">
        <v>0</v>
      </c>
      <c r="G56" s="27">
        <f>F56*G6</f>
        <v>0</v>
      </c>
    </row>
    <row r="57" spans="1:14" x14ac:dyDescent="0.25">
      <c r="A57" s="166"/>
      <c r="B57" s="127" t="s">
        <v>105</v>
      </c>
      <c r="C57" s="137"/>
      <c r="D57" s="137"/>
      <c r="E57" s="137"/>
      <c r="F57" s="194">
        <f>ROUND((SUM(F56:F56)),4)</f>
        <v>0</v>
      </c>
      <c r="G57" s="27">
        <f>F57*$G$6</f>
        <v>0</v>
      </c>
    </row>
    <row r="58" spans="1:14" ht="15" customHeight="1" x14ac:dyDescent="0.25">
      <c r="A58" s="139" t="s">
        <v>165</v>
      </c>
      <c r="B58" s="139"/>
      <c r="C58" s="139"/>
      <c r="D58" s="139"/>
      <c r="E58" s="139"/>
      <c r="F58" s="159">
        <f>SUM(F56:F57)</f>
        <v>0</v>
      </c>
      <c r="G58" s="141">
        <f>SUM(G56:G57)</f>
        <v>0</v>
      </c>
    </row>
    <row r="59" spans="1:14" ht="15" customHeight="1" x14ac:dyDescent="0.25">
      <c r="A59" s="71"/>
      <c r="B59" s="71"/>
      <c r="C59" s="67"/>
      <c r="D59" s="67"/>
      <c r="E59" s="67"/>
      <c r="F59" s="130"/>
      <c r="G59" s="131"/>
    </row>
    <row r="60" spans="1:14" x14ac:dyDescent="0.25">
      <c r="A60" s="195" t="s">
        <v>166</v>
      </c>
      <c r="B60" s="162"/>
      <c r="C60" s="196"/>
      <c r="D60" s="197"/>
      <c r="E60" s="197"/>
      <c r="F60" s="198" t="s">
        <v>167</v>
      </c>
      <c r="G60" s="199" t="s">
        <v>145</v>
      </c>
    </row>
    <row r="61" spans="1:14" x14ac:dyDescent="0.25">
      <c r="A61" s="147" t="s">
        <v>154</v>
      </c>
      <c r="B61" s="200" t="s">
        <v>155</v>
      </c>
      <c r="C61" s="133"/>
      <c r="D61" s="137"/>
      <c r="E61" s="137"/>
      <c r="F61" s="138"/>
      <c r="G61" s="27">
        <f>G54</f>
        <v>351.70488231984353</v>
      </c>
    </row>
    <row r="62" spans="1:14" x14ac:dyDescent="0.25">
      <c r="A62" s="147" t="s">
        <v>162</v>
      </c>
      <c r="B62" s="200" t="s">
        <v>163</v>
      </c>
      <c r="C62" s="133"/>
      <c r="D62" s="137"/>
      <c r="E62" s="137"/>
      <c r="F62" s="138"/>
      <c r="G62" s="27">
        <f>G58</f>
        <v>0</v>
      </c>
    </row>
    <row r="63" spans="1:14" x14ac:dyDescent="0.25">
      <c r="A63" s="139" t="s">
        <v>168</v>
      </c>
      <c r="B63" s="139"/>
      <c r="C63" s="139"/>
      <c r="D63" s="139"/>
      <c r="E63" s="139"/>
      <c r="F63" s="159"/>
      <c r="G63" s="141">
        <f>SUM(G61:G62)</f>
        <v>351.70488231984353</v>
      </c>
      <c r="I63" s="44"/>
    </row>
    <row r="64" spans="1:14" x14ac:dyDescent="0.25">
      <c r="A64" s="72"/>
      <c r="B64" s="60"/>
      <c r="C64" s="133"/>
      <c r="D64" s="137"/>
      <c r="E64" s="137"/>
      <c r="F64" s="138"/>
      <c r="G64" s="27"/>
    </row>
    <row r="65" spans="1:9" x14ac:dyDescent="0.25">
      <c r="A65" s="126" t="s">
        <v>169</v>
      </c>
      <c r="B65" s="126"/>
      <c r="C65" s="126"/>
      <c r="D65" s="126"/>
      <c r="E65" s="126"/>
      <c r="F65" s="126"/>
      <c r="G65" s="126"/>
    </row>
    <row r="66" spans="1:9" x14ac:dyDescent="0.25">
      <c r="A66" s="182">
        <v>5</v>
      </c>
      <c r="B66" s="143" t="s">
        <v>170</v>
      </c>
      <c r="C66" s="180"/>
      <c r="D66" s="158"/>
      <c r="E66" s="158"/>
      <c r="F66" s="201" t="s">
        <v>66</v>
      </c>
      <c r="G66" s="202"/>
    </row>
    <row r="67" spans="1:9" x14ac:dyDescent="0.25">
      <c r="A67" s="72" t="s">
        <v>106</v>
      </c>
      <c r="B67" s="60" t="s">
        <v>171</v>
      </c>
      <c r="C67" s="133"/>
      <c r="D67" s="137"/>
      <c r="E67" s="137"/>
      <c r="F67" s="138"/>
      <c r="G67" s="27">
        <f>Uniformes!H14</f>
        <v>95.165555555555557</v>
      </c>
    </row>
    <row r="68" spans="1:9" x14ac:dyDescent="0.25">
      <c r="A68" s="72" t="s">
        <v>107</v>
      </c>
      <c r="B68" s="60" t="s">
        <v>172</v>
      </c>
      <c r="C68" s="133"/>
      <c r="D68" s="137"/>
      <c r="E68" s="137"/>
      <c r="F68" s="138"/>
      <c r="G68" s="27">
        <v>0</v>
      </c>
    </row>
    <row r="69" spans="1:9" x14ac:dyDescent="0.25">
      <c r="A69" s="72" t="s">
        <v>115</v>
      </c>
      <c r="B69" s="60" t="s">
        <v>173</v>
      </c>
      <c r="C69" s="133"/>
      <c r="D69" s="137"/>
      <c r="E69" s="137"/>
      <c r="F69" s="138"/>
      <c r="G69" s="27">
        <v>0</v>
      </c>
    </row>
    <row r="70" spans="1:9" x14ac:dyDescent="0.25">
      <c r="A70" s="72" t="s">
        <v>107</v>
      </c>
      <c r="B70" s="60" t="s">
        <v>174</v>
      </c>
      <c r="C70" s="133"/>
      <c r="D70" s="137"/>
      <c r="E70" s="137"/>
      <c r="F70" s="138"/>
      <c r="G70" s="27">
        <v>0</v>
      </c>
    </row>
    <row r="71" spans="1:9" x14ac:dyDescent="0.25">
      <c r="A71" s="139" t="s">
        <v>175</v>
      </c>
      <c r="B71" s="139"/>
      <c r="C71" s="139"/>
      <c r="D71" s="139"/>
      <c r="E71" s="139"/>
      <c r="F71" s="159"/>
      <c r="G71" s="141">
        <f>SUM(G67:G70)</f>
        <v>95.165555555555557</v>
      </c>
      <c r="I71" s="44"/>
    </row>
    <row r="72" spans="1:9" x14ac:dyDescent="0.25">
      <c r="A72" s="72"/>
      <c r="B72" s="60"/>
      <c r="C72" s="133"/>
      <c r="D72" s="137"/>
      <c r="E72" s="137"/>
      <c r="F72" s="138"/>
      <c r="G72" s="27"/>
    </row>
    <row r="73" spans="1:9" x14ac:dyDescent="0.25">
      <c r="A73" s="126" t="s">
        <v>176</v>
      </c>
      <c r="B73" s="126"/>
      <c r="C73" s="126"/>
      <c r="D73" s="126"/>
      <c r="E73" s="126"/>
      <c r="F73" s="126"/>
      <c r="G73" s="126"/>
    </row>
    <row r="74" spans="1:9" x14ac:dyDescent="0.25">
      <c r="A74" s="182">
        <v>6</v>
      </c>
      <c r="B74" s="143" t="s">
        <v>177</v>
      </c>
      <c r="C74" s="180"/>
      <c r="D74" s="158"/>
      <c r="E74" s="158"/>
      <c r="F74" s="201" t="s">
        <v>66</v>
      </c>
      <c r="G74" s="202"/>
    </row>
    <row r="75" spans="1:9" x14ac:dyDescent="0.25">
      <c r="A75" s="72" t="s">
        <v>106</v>
      </c>
      <c r="B75" s="60" t="s">
        <v>178</v>
      </c>
      <c r="C75" s="133"/>
      <c r="D75" s="137"/>
      <c r="E75" s="137"/>
      <c r="F75" s="138">
        <v>0.05</v>
      </c>
      <c r="G75" s="27">
        <f>G96*F75</f>
        <v>237.16377906393666</v>
      </c>
    </row>
    <row r="76" spans="1:9" x14ac:dyDescent="0.25">
      <c r="A76" s="72" t="s">
        <v>107</v>
      </c>
      <c r="B76" s="60" t="s">
        <v>179</v>
      </c>
      <c r="C76" s="133"/>
      <c r="D76" s="137"/>
      <c r="E76" s="137"/>
      <c r="F76" s="138">
        <v>0.1</v>
      </c>
      <c r="G76" s="27">
        <f>F76*(G96+G75)</f>
        <v>498.04393603426701</v>
      </c>
    </row>
    <row r="77" spans="1:9" x14ac:dyDescent="0.25">
      <c r="A77" s="72"/>
      <c r="B77" s="127" t="s">
        <v>180</v>
      </c>
      <c r="C77" s="133"/>
      <c r="D77" s="137"/>
      <c r="E77" s="137"/>
      <c r="F77" s="130">
        <f>SUM(F75:F76)</f>
        <v>0.15000000000000002</v>
      </c>
      <c r="G77" s="131">
        <f>SUM(G75:G76)</f>
        <v>735.20771509820361</v>
      </c>
      <c r="I77" s="44"/>
    </row>
    <row r="78" spans="1:9" s="47" customFormat="1" x14ac:dyDescent="0.25">
      <c r="A78" s="72" t="s">
        <v>115</v>
      </c>
      <c r="B78" s="60" t="s">
        <v>181</v>
      </c>
      <c r="C78" s="133"/>
      <c r="D78" s="137"/>
      <c r="E78" s="137"/>
      <c r="F78" s="138"/>
      <c r="G78" s="27"/>
    </row>
    <row r="79" spans="1:9" s="47" customFormat="1" x14ac:dyDescent="0.25">
      <c r="A79" s="72" t="s">
        <v>182</v>
      </c>
      <c r="B79" s="60" t="s">
        <v>183</v>
      </c>
      <c r="C79" s="133"/>
      <c r="D79" s="137"/>
      <c r="E79" s="137"/>
      <c r="F79" s="138"/>
      <c r="G79" s="27"/>
    </row>
    <row r="80" spans="1:9" s="47" customFormat="1" x14ac:dyDescent="0.25">
      <c r="A80" s="72"/>
      <c r="B80" s="60" t="s">
        <v>184</v>
      </c>
      <c r="C80" s="133"/>
      <c r="D80" s="137"/>
      <c r="E80" s="137"/>
      <c r="F80" s="138">
        <v>7.5999999999999998E-2</v>
      </c>
      <c r="G80" s="27">
        <f>(($G$77+$G$96)/(1-($F$80+$F$81+$F$83)))*(F80)</f>
        <v>485.55653705498219</v>
      </c>
      <c r="I80" s="96" t="s">
        <v>247</v>
      </c>
    </row>
    <row r="81" spans="1:10" s="47" customFormat="1" x14ac:dyDescent="0.25">
      <c r="A81" s="72"/>
      <c r="B81" s="60" t="s">
        <v>185</v>
      </c>
      <c r="C81" s="133"/>
      <c r="D81" s="137"/>
      <c r="E81" s="137"/>
      <c r="F81" s="138">
        <v>1.6500000000000001E-2</v>
      </c>
      <c r="G81" s="27">
        <f>(($G$77+$G$96)/(1-($F$80+$F$81+$F$83)))*(F81)</f>
        <v>105.41687975535798</v>
      </c>
      <c r="I81" s="96"/>
    </row>
    <row r="82" spans="1:10" s="47" customFormat="1" x14ac:dyDescent="0.25">
      <c r="A82" s="72" t="s">
        <v>186</v>
      </c>
      <c r="B82" s="60" t="s">
        <v>187</v>
      </c>
      <c r="C82" s="133"/>
      <c r="D82" s="137"/>
      <c r="E82" s="137"/>
      <c r="F82" s="138"/>
      <c r="G82" s="27"/>
      <c r="I82" s="96"/>
    </row>
    <row r="83" spans="1:10" s="47" customFormat="1" x14ac:dyDescent="0.25">
      <c r="A83" s="72"/>
      <c r="B83" s="60" t="s">
        <v>188</v>
      </c>
      <c r="C83" s="133"/>
      <c r="D83" s="137"/>
      <c r="E83" s="137"/>
      <c r="F83" s="138">
        <v>0.05</v>
      </c>
      <c r="G83" s="27">
        <f t="shared" ref="G83" si="1">(($G$77+$G$96)/(1-($F$80+$F$81+$F$83)))*(F83)</f>
        <v>319.44509016775146</v>
      </c>
      <c r="I83" s="96"/>
    </row>
    <row r="84" spans="1:10" s="47" customFormat="1" x14ac:dyDescent="0.25">
      <c r="A84" s="72" t="s">
        <v>189</v>
      </c>
      <c r="B84" s="60" t="s">
        <v>190</v>
      </c>
      <c r="C84" s="133"/>
      <c r="D84" s="137"/>
      <c r="E84" s="137"/>
      <c r="F84" s="138"/>
      <c r="G84" s="27"/>
    </row>
    <row r="85" spans="1:10" s="47" customFormat="1" x14ac:dyDescent="0.25">
      <c r="A85" s="72" t="s">
        <v>191</v>
      </c>
      <c r="B85" s="60" t="s">
        <v>192</v>
      </c>
      <c r="C85" s="133"/>
      <c r="D85" s="137"/>
      <c r="E85" s="137"/>
      <c r="F85" s="138"/>
      <c r="G85" s="27"/>
    </row>
    <row r="86" spans="1:10" s="47" customFormat="1" x14ac:dyDescent="0.25">
      <c r="A86" s="72"/>
      <c r="B86" s="127" t="s">
        <v>193</v>
      </c>
      <c r="C86" s="133"/>
      <c r="D86" s="137"/>
      <c r="E86" s="137"/>
      <c r="F86" s="130">
        <f>F80+F81+F83+F85</f>
        <v>0.14250000000000002</v>
      </c>
      <c r="G86" s="131">
        <f>G80+G81+G83+G85</f>
        <v>910.41850697809161</v>
      </c>
      <c r="I86" s="49"/>
    </row>
    <row r="87" spans="1:10" x14ac:dyDescent="0.25">
      <c r="A87" s="139" t="s">
        <v>194</v>
      </c>
      <c r="B87" s="139"/>
      <c r="C87" s="139"/>
      <c r="D87" s="139"/>
      <c r="E87" s="139"/>
      <c r="F87" s="203"/>
      <c r="G87" s="204">
        <f>G77+G86</f>
        <v>1645.6262220762951</v>
      </c>
      <c r="I87" s="44"/>
      <c r="J87" s="41"/>
    </row>
    <row r="88" spans="1:10" x14ac:dyDescent="0.25">
      <c r="A88" s="166"/>
      <c r="B88" s="166"/>
      <c r="C88" s="168"/>
      <c r="D88" s="168"/>
      <c r="E88" s="168"/>
      <c r="F88" s="205"/>
      <c r="G88" s="206"/>
    </row>
    <row r="89" spans="1:10" x14ac:dyDescent="0.25">
      <c r="A89" s="126" t="s">
        <v>195</v>
      </c>
      <c r="B89" s="126"/>
      <c r="C89" s="126"/>
      <c r="D89" s="126"/>
      <c r="E89" s="126"/>
      <c r="F89" s="126"/>
      <c r="G89" s="126"/>
    </row>
    <row r="90" spans="1:10" x14ac:dyDescent="0.25">
      <c r="A90" s="182"/>
      <c r="B90" s="143" t="s">
        <v>196</v>
      </c>
      <c r="C90" s="180"/>
      <c r="D90" s="158"/>
      <c r="E90" s="158"/>
      <c r="F90" s="201" t="s">
        <v>66</v>
      </c>
      <c r="G90" s="202"/>
    </row>
    <row r="91" spans="1:10" x14ac:dyDescent="0.25">
      <c r="A91" s="72" t="s">
        <v>106</v>
      </c>
      <c r="B91" s="184" t="s">
        <v>197</v>
      </c>
      <c r="C91" s="133"/>
      <c r="D91" s="137"/>
      <c r="E91" s="137"/>
      <c r="F91" s="138"/>
      <c r="G91" s="27">
        <f>G6</f>
        <v>1901.53</v>
      </c>
    </row>
    <row r="92" spans="1:10" x14ac:dyDescent="0.25">
      <c r="A92" s="72" t="s">
        <v>107</v>
      </c>
      <c r="B92" s="184" t="s">
        <v>198</v>
      </c>
      <c r="C92" s="133"/>
      <c r="D92" s="137"/>
      <c r="E92" s="137"/>
      <c r="F92" s="138"/>
      <c r="G92" s="27">
        <f>G33</f>
        <v>2114.0882000000001</v>
      </c>
    </row>
    <row r="93" spans="1:10" x14ac:dyDescent="0.25">
      <c r="A93" s="72" t="s">
        <v>115</v>
      </c>
      <c r="B93" s="184" t="s">
        <v>199</v>
      </c>
      <c r="C93" s="133"/>
      <c r="D93" s="137"/>
      <c r="E93" s="137"/>
      <c r="F93" s="130"/>
      <c r="G93" s="27">
        <f>G43</f>
        <v>280.78694340333334</v>
      </c>
    </row>
    <row r="94" spans="1:10" x14ac:dyDescent="0.25">
      <c r="A94" s="72" t="s">
        <v>116</v>
      </c>
      <c r="B94" s="184" t="s">
        <v>200</v>
      </c>
      <c r="C94" s="133"/>
      <c r="D94" s="137"/>
      <c r="E94" s="137"/>
      <c r="F94" s="138"/>
      <c r="G94" s="27">
        <f>G63</f>
        <v>351.70488231984353</v>
      </c>
    </row>
    <row r="95" spans="1:10" x14ac:dyDescent="0.25">
      <c r="A95" s="72" t="s">
        <v>125</v>
      </c>
      <c r="B95" s="184" t="s">
        <v>201</v>
      </c>
      <c r="C95" s="133"/>
      <c r="D95" s="137"/>
      <c r="E95" s="137"/>
      <c r="F95" s="138"/>
      <c r="G95" s="27">
        <f>G71</f>
        <v>95.165555555555557</v>
      </c>
    </row>
    <row r="96" spans="1:10" x14ac:dyDescent="0.25">
      <c r="A96" s="72"/>
      <c r="B96" s="127" t="s">
        <v>105</v>
      </c>
      <c r="C96" s="133"/>
      <c r="D96" s="137"/>
      <c r="E96" s="137"/>
      <c r="F96" s="138"/>
      <c r="G96" s="131">
        <f>SUM(G91:G95)</f>
        <v>4743.2755812787327</v>
      </c>
    </row>
    <row r="97" spans="1:9" x14ac:dyDescent="0.25">
      <c r="A97" s="72" t="s">
        <v>127</v>
      </c>
      <c r="B97" s="184" t="s">
        <v>202</v>
      </c>
      <c r="C97" s="133"/>
      <c r="D97" s="137"/>
      <c r="E97" s="137"/>
      <c r="F97" s="138"/>
      <c r="G97" s="27">
        <f>G87</f>
        <v>1645.6262220762951</v>
      </c>
    </row>
    <row r="98" spans="1:9" s="47" customFormat="1" x14ac:dyDescent="0.25">
      <c r="A98" s="197"/>
      <c r="B98" s="197" t="s">
        <v>203</v>
      </c>
      <c r="C98" s="197"/>
      <c r="D98" s="197"/>
      <c r="E98" s="197"/>
      <c r="F98" s="190"/>
      <c r="G98" s="207">
        <f>(G96+G77)/(1-F86)</f>
        <v>6388.9018033550292</v>
      </c>
      <c r="I98" s="49"/>
    </row>
    <row r="100" spans="1:9" x14ac:dyDescent="0.25">
      <c r="A100" s="85"/>
      <c r="B100" s="85"/>
      <c r="C100" s="85"/>
      <c r="D100" s="85"/>
      <c r="E100" s="85"/>
      <c r="F100" s="85"/>
      <c r="G100" s="85"/>
      <c r="I100" s="50"/>
    </row>
    <row r="101" spans="1:9" x14ac:dyDescent="0.25">
      <c r="A101" s="84"/>
      <c r="B101" s="84"/>
      <c r="C101" s="84"/>
      <c r="D101" s="84"/>
      <c r="E101" s="84"/>
      <c r="F101" s="84"/>
      <c r="G101" s="84"/>
    </row>
  </sheetData>
  <mergeCells count="23">
    <mergeCell ref="I80:I83"/>
    <mergeCell ref="A101:G101"/>
    <mergeCell ref="A43:E43"/>
    <mergeCell ref="A45:G45"/>
    <mergeCell ref="A54:E54"/>
    <mergeCell ref="A58:E58"/>
    <mergeCell ref="A63:E63"/>
    <mergeCell ref="A65:G65"/>
    <mergeCell ref="A71:E71"/>
    <mergeCell ref="A73:G73"/>
    <mergeCell ref="A87:E87"/>
    <mergeCell ref="A89:G89"/>
    <mergeCell ref="A100:G100"/>
    <mergeCell ref="A1:G1"/>
    <mergeCell ref="A2:G2"/>
    <mergeCell ref="A6:E6"/>
    <mergeCell ref="A8:G8"/>
    <mergeCell ref="A33:F33"/>
    <mergeCell ref="I37:L39"/>
    <mergeCell ref="I40:L42"/>
    <mergeCell ref="I46:I54"/>
    <mergeCell ref="J46:N54"/>
    <mergeCell ref="A35:G3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B33FA-7D86-4220-8477-5ADEA270537A}">
  <dimension ref="A1:N101"/>
  <sheetViews>
    <sheetView topLeftCell="A79" workbookViewId="0">
      <selection activeCell="G76" sqref="G76"/>
    </sheetView>
  </sheetViews>
  <sheetFormatPr defaultRowHeight="15" x14ac:dyDescent="0.25"/>
  <cols>
    <col min="1" max="1" width="7.42578125" style="56" customWidth="1"/>
    <col min="2" max="2" width="45.7109375" customWidth="1"/>
    <col min="3" max="3" width="11" style="39" customWidth="1"/>
    <col min="4" max="4" width="10.28515625" style="42" customWidth="1"/>
    <col min="5" max="5" width="9.85546875" style="42" customWidth="1"/>
    <col min="6" max="6" width="16.28515625" style="43" customWidth="1"/>
    <col min="7" max="7" width="16.42578125" style="41" bestFit="1" customWidth="1"/>
    <col min="8" max="8" width="0.140625" customWidth="1"/>
    <col min="9" max="9" width="23.85546875" customWidth="1"/>
    <col min="10" max="10" width="14" customWidth="1"/>
  </cols>
  <sheetData>
    <row r="1" spans="1:10" ht="18.75" x14ac:dyDescent="0.3">
      <c r="A1" s="218" t="s">
        <v>204</v>
      </c>
      <c r="B1" s="218"/>
      <c r="C1" s="218"/>
      <c r="D1" s="218"/>
      <c r="E1" s="218"/>
      <c r="F1" s="218"/>
      <c r="G1" s="218"/>
      <c r="H1" s="36"/>
      <c r="I1" s="37"/>
    </row>
    <row r="2" spans="1:10" x14ac:dyDescent="0.25">
      <c r="A2" s="126" t="s">
        <v>100</v>
      </c>
      <c r="B2" s="126"/>
      <c r="C2" s="126"/>
      <c r="D2" s="126"/>
      <c r="E2" s="126"/>
      <c r="F2" s="126"/>
      <c r="G2" s="126"/>
    </row>
    <row r="3" spans="1:10" x14ac:dyDescent="0.25">
      <c r="A3" s="71">
        <v>1</v>
      </c>
      <c r="B3" s="127" t="s">
        <v>101</v>
      </c>
      <c r="C3" s="128"/>
      <c r="D3" s="129" t="s">
        <v>102</v>
      </c>
      <c r="E3" s="71" t="s">
        <v>103</v>
      </c>
      <c r="F3" s="130" t="s">
        <v>104</v>
      </c>
      <c r="G3" s="131" t="s">
        <v>105</v>
      </c>
    </row>
    <row r="4" spans="1:10" x14ac:dyDescent="0.25">
      <c r="A4" s="132" t="s">
        <v>106</v>
      </c>
      <c r="B4" s="127" t="s">
        <v>234</v>
      </c>
      <c r="C4" s="133"/>
      <c r="D4" s="134">
        <v>1</v>
      </c>
      <c r="E4" s="72">
        <v>1</v>
      </c>
      <c r="F4" s="135">
        <v>3289.5</v>
      </c>
      <c r="G4" s="136">
        <f>F4*E4</f>
        <v>3289.5</v>
      </c>
      <c r="I4" s="40"/>
      <c r="J4" s="41"/>
    </row>
    <row r="5" spans="1:10" x14ac:dyDescent="0.25">
      <c r="A5" s="72" t="s">
        <v>107</v>
      </c>
      <c r="B5" s="127" t="s">
        <v>108</v>
      </c>
      <c r="C5" s="133"/>
      <c r="D5" s="137"/>
      <c r="E5" s="137"/>
      <c r="F5" s="138"/>
      <c r="G5" s="27">
        <v>0</v>
      </c>
    </row>
    <row r="6" spans="1:10" x14ac:dyDescent="0.25">
      <c r="A6" s="139" t="s">
        <v>109</v>
      </c>
      <c r="B6" s="139"/>
      <c r="C6" s="139"/>
      <c r="D6" s="139"/>
      <c r="E6" s="139"/>
      <c r="F6" s="140"/>
      <c r="G6" s="141">
        <f>SUM(G4:G5)</f>
        <v>3289.5</v>
      </c>
    </row>
    <row r="7" spans="1:10" x14ac:dyDescent="0.25">
      <c r="A7" s="72"/>
      <c r="B7" s="60"/>
      <c r="C7" s="133"/>
      <c r="D7" s="137"/>
      <c r="E7" s="137"/>
      <c r="F7" s="138"/>
      <c r="G7" s="27"/>
    </row>
    <row r="8" spans="1:10" x14ac:dyDescent="0.25">
      <c r="A8" s="126" t="s">
        <v>110</v>
      </c>
      <c r="B8" s="126"/>
      <c r="C8" s="126"/>
      <c r="D8" s="126"/>
      <c r="E8" s="126"/>
      <c r="F8" s="126"/>
      <c r="G8" s="126"/>
    </row>
    <row r="9" spans="1:10" x14ac:dyDescent="0.25">
      <c r="A9" s="142" t="s">
        <v>111</v>
      </c>
      <c r="B9" s="143" t="s">
        <v>112</v>
      </c>
      <c r="C9" s="144"/>
      <c r="D9" s="144"/>
      <c r="E9" s="144"/>
      <c r="F9" s="145" t="s">
        <v>113</v>
      </c>
      <c r="G9" s="146"/>
    </row>
    <row r="10" spans="1:10" x14ac:dyDescent="0.25">
      <c r="A10" s="147" t="s">
        <v>106</v>
      </c>
      <c r="B10" s="148" t="s">
        <v>114</v>
      </c>
      <c r="C10" s="149"/>
      <c r="D10" s="149"/>
      <c r="E10" s="149"/>
      <c r="F10" s="150">
        <f>1/12</f>
        <v>8.3333333333333329E-2</v>
      </c>
      <c r="G10" s="151">
        <f>ROUND((F10*G6),2)</f>
        <v>274.13</v>
      </c>
    </row>
    <row r="11" spans="1:10" x14ac:dyDescent="0.25">
      <c r="A11" s="147" t="s">
        <v>107</v>
      </c>
      <c r="B11" s="148" t="s">
        <v>241</v>
      </c>
      <c r="C11" s="149"/>
      <c r="D11" s="149"/>
      <c r="E11" s="149"/>
      <c r="F11" s="152">
        <v>0.1111</v>
      </c>
      <c r="G11" s="151">
        <f>ROUND((F11*G6),2)</f>
        <v>365.46</v>
      </c>
    </row>
    <row r="12" spans="1:10" x14ac:dyDescent="0.25">
      <c r="A12" s="147"/>
      <c r="B12" s="153" t="s">
        <v>105</v>
      </c>
      <c r="C12" s="149"/>
      <c r="D12" s="149"/>
      <c r="E12" s="149"/>
      <c r="F12" s="154">
        <f>SUM(F10:F11)</f>
        <v>0.19443333333333335</v>
      </c>
      <c r="G12" s="155">
        <f>SUM(G10:G11)</f>
        <v>639.58999999999992</v>
      </c>
      <c r="I12" s="44"/>
    </row>
    <row r="13" spans="1:10" x14ac:dyDescent="0.25">
      <c r="A13" s="147" t="s">
        <v>116</v>
      </c>
      <c r="B13" s="148" t="s">
        <v>117</v>
      </c>
      <c r="C13" s="149"/>
      <c r="D13" s="149"/>
      <c r="E13" s="149"/>
      <c r="F13" s="150">
        <f>F12*F25</f>
        <v>7.1551466666666674E-2</v>
      </c>
      <c r="G13" s="156">
        <f>ROUND((F13*G6),2)</f>
        <v>235.37</v>
      </c>
    </row>
    <row r="14" spans="1:10" x14ac:dyDescent="0.25">
      <c r="A14" s="157"/>
      <c r="B14" s="157" t="s">
        <v>118</v>
      </c>
      <c r="C14" s="158"/>
      <c r="D14" s="158"/>
      <c r="E14" s="158"/>
      <c r="F14" s="159">
        <f>SUM(F12:F13)</f>
        <v>0.26598480000000002</v>
      </c>
      <c r="G14" s="160">
        <f>SUM(G12:G13)</f>
        <v>874.95999999999992</v>
      </c>
      <c r="I14" s="44"/>
    </row>
    <row r="15" spans="1:10" x14ac:dyDescent="0.25">
      <c r="A15" s="147"/>
      <c r="B15" s="147"/>
      <c r="C15" s="149"/>
      <c r="D15" s="149"/>
      <c r="E15" s="149"/>
      <c r="F15" s="147"/>
      <c r="G15" s="147"/>
    </row>
    <row r="16" spans="1:10" x14ac:dyDescent="0.25">
      <c r="A16" s="161" t="s">
        <v>119</v>
      </c>
      <c r="B16" s="162" t="s">
        <v>120</v>
      </c>
      <c r="C16" s="163"/>
      <c r="D16" s="163"/>
      <c r="E16" s="163"/>
      <c r="F16" s="164" t="s">
        <v>113</v>
      </c>
      <c r="G16" s="165"/>
    </row>
    <row r="17" spans="1:9" x14ac:dyDescent="0.25">
      <c r="A17" s="147" t="s">
        <v>106</v>
      </c>
      <c r="B17" s="148" t="s">
        <v>121</v>
      </c>
      <c r="C17" s="149"/>
      <c r="D17" s="149"/>
      <c r="E17" s="149"/>
      <c r="F17" s="150">
        <v>0.2</v>
      </c>
      <c r="G17" s="151">
        <f>ROUND((F17*G6),2)</f>
        <v>657.9</v>
      </c>
    </row>
    <row r="18" spans="1:9" x14ac:dyDescent="0.25">
      <c r="A18" s="147" t="s">
        <v>107</v>
      </c>
      <c r="B18" s="148" t="s">
        <v>122</v>
      </c>
      <c r="C18" s="149"/>
      <c r="D18" s="149"/>
      <c r="E18" s="149"/>
      <c r="F18" s="150">
        <v>2.5000000000000001E-2</v>
      </c>
      <c r="G18" s="151">
        <f>ROUND((F18*G6),2)</f>
        <v>82.24</v>
      </c>
    </row>
    <row r="19" spans="1:9" s="51" customFormat="1" x14ac:dyDescent="0.25">
      <c r="A19" s="166" t="s">
        <v>115</v>
      </c>
      <c r="B19" s="167" t="s">
        <v>123</v>
      </c>
      <c r="C19" s="168"/>
      <c r="D19" s="168"/>
      <c r="E19" s="168"/>
      <c r="F19" s="169">
        <v>0.03</v>
      </c>
      <c r="G19" s="170">
        <f>ROUND((F19*G6),2)</f>
        <v>98.69</v>
      </c>
    </row>
    <row r="20" spans="1:9" x14ac:dyDescent="0.25">
      <c r="A20" s="147" t="s">
        <v>116</v>
      </c>
      <c r="B20" s="148" t="s">
        <v>124</v>
      </c>
      <c r="C20" s="171"/>
      <c r="D20" s="149"/>
      <c r="E20" s="149"/>
      <c r="F20" s="150">
        <v>1.4999999999999999E-2</v>
      </c>
      <c r="G20" s="151">
        <f>ROUND((F20*G6),2)</f>
        <v>49.34</v>
      </c>
    </row>
    <row r="21" spans="1:9" x14ac:dyDescent="0.25">
      <c r="A21" s="147" t="s">
        <v>125</v>
      </c>
      <c r="B21" s="172" t="s">
        <v>126</v>
      </c>
      <c r="C21" s="171"/>
      <c r="D21" s="149"/>
      <c r="E21" s="149"/>
      <c r="F21" s="150">
        <v>0.01</v>
      </c>
      <c r="G21" s="151">
        <f>ROUND((F21*G6),2)</f>
        <v>32.9</v>
      </c>
    </row>
    <row r="22" spans="1:9" x14ac:dyDescent="0.25">
      <c r="A22" s="147" t="s">
        <v>127</v>
      </c>
      <c r="B22" s="148" t="s">
        <v>128</v>
      </c>
      <c r="C22" s="171"/>
      <c r="D22" s="149"/>
      <c r="E22" s="149"/>
      <c r="F22" s="150">
        <v>6.0000000000000001E-3</v>
      </c>
      <c r="G22" s="151">
        <f>ROUND((F22*G6),2)</f>
        <v>19.739999999999998</v>
      </c>
    </row>
    <row r="23" spans="1:9" x14ac:dyDescent="0.25">
      <c r="A23" s="147" t="s">
        <v>129</v>
      </c>
      <c r="B23" s="148" t="s">
        <v>130</v>
      </c>
      <c r="C23" s="149"/>
      <c r="D23" s="149"/>
      <c r="E23" s="149"/>
      <c r="F23" s="150">
        <v>2E-3</v>
      </c>
      <c r="G23" s="151">
        <f>ROUND((F23*G6),2)</f>
        <v>6.58</v>
      </c>
    </row>
    <row r="24" spans="1:9" x14ac:dyDescent="0.25">
      <c r="A24" s="147" t="s">
        <v>131</v>
      </c>
      <c r="B24" s="148" t="s">
        <v>132</v>
      </c>
      <c r="C24" s="149"/>
      <c r="D24" s="149"/>
      <c r="E24" s="149"/>
      <c r="F24" s="150">
        <v>0.08</v>
      </c>
      <c r="G24" s="151">
        <f>ROUND((F24*G6),2)</f>
        <v>263.16000000000003</v>
      </c>
    </row>
    <row r="25" spans="1:9" x14ac:dyDescent="0.25">
      <c r="A25" s="173"/>
      <c r="B25" s="146" t="s">
        <v>133</v>
      </c>
      <c r="C25" s="158"/>
      <c r="D25" s="158"/>
      <c r="E25" s="158"/>
      <c r="F25" s="159">
        <f>SUM(F17:F24)</f>
        <v>0.36800000000000005</v>
      </c>
      <c r="G25" s="160">
        <f>SUM(G17:G24)</f>
        <v>1210.55</v>
      </c>
      <c r="I25" s="44"/>
    </row>
    <row r="26" spans="1:9" x14ac:dyDescent="0.25">
      <c r="A26" s="147"/>
      <c r="B26" s="153"/>
      <c r="C26" s="149"/>
      <c r="D26" s="149"/>
      <c r="E26" s="149"/>
      <c r="F26" s="147"/>
      <c r="G26" s="147"/>
    </row>
    <row r="27" spans="1:9" x14ac:dyDescent="0.25">
      <c r="A27" s="161" t="s">
        <v>134</v>
      </c>
      <c r="B27" s="162" t="s">
        <v>135</v>
      </c>
      <c r="C27" s="174" t="s">
        <v>136</v>
      </c>
      <c r="D27" s="161" t="s">
        <v>137</v>
      </c>
      <c r="E27" s="161" t="s">
        <v>103</v>
      </c>
      <c r="F27" s="175" t="s">
        <v>45</v>
      </c>
      <c r="G27" s="176" t="s">
        <v>105</v>
      </c>
    </row>
    <row r="28" spans="1:9" x14ac:dyDescent="0.25">
      <c r="A28" s="72" t="s">
        <v>106</v>
      </c>
      <c r="B28" s="60" t="s">
        <v>138</v>
      </c>
      <c r="C28" s="177">
        <v>0.06</v>
      </c>
      <c r="D28" s="132">
        <v>22</v>
      </c>
      <c r="E28" s="132">
        <v>2</v>
      </c>
      <c r="F28" s="178">
        <v>5.5</v>
      </c>
      <c r="G28" s="27">
        <f>IF((F28*D28*E28)-C28*G4&lt;0,0,(F28*D28*E28)-C28*G4)</f>
        <v>44.629999999999995</v>
      </c>
    </row>
    <row r="29" spans="1:9" x14ac:dyDescent="0.25">
      <c r="A29" s="72" t="s">
        <v>107</v>
      </c>
      <c r="B29" s="60" t="s">
        <v>139</v>
      </c>
      <c r="C29" s="179"/>
      <c r="D29" s="132">
        <v>22</v>
      </c>
      <c r="E29" s="132">
        <v>1</v>
      </c>
      <c r="F29" s="178">
        <v>35</v>
      </c>
      <c r="G29" s="31">
        <f>D29*F29</f>
        <v>770</v>
      </c>
    </row>
    <row r="30" spans="1:9" x14ac:dyDescent="0.25">
      <c r="A30" s="72" t="s">
        <v>115</v>
      </c>
      <c r="B30" s="60" t="s">
        <v>206</v>
      </c>
      <c r="C30" s="132"/>
      <c r="D30" s="132"/>
      <c r="E30" s="132"/>
      <c r="F30" s="178">
        <v>10.63</v>
      </c>
      <c r="G30" s="31">
        <v>10.63</v>
      </c>
      <c r="I30" s="44" t="s">
        <v>207</v>
      </c>
    </row>
    <row r="31" spans="1:9" x14ac:dyDescent="0.25">
      <c r="A31" s="173"/>
      <c r="B31" s="143" t="s">
        <v>140</v>
      </c>
      <c r="C31" s="180"/>
      <c r="D31" s="158"/>
      <c r="E31" s="158"/>
      <c r="F31" s="181"/>
      <c r="G31" s="141">
        <f>SUM(G28:G30)</f>
        <v>825.26</v>
      </c>
      <c r="I31" s="44"/>
    </row>
    <row r="32" spans="1:9" x14ac:dyDescent="0.25">
      <c r="A32" s="72"/>
      <c r="B32" s="60"/>
      <c r="C32" s="133"/>
      <c r="D32" s="137"/>
      <c r="E32" s="137"/>
      <c r="F32" s="178"/>
      <c r="G32" s="27"/>
    </row>
    <row r="33" spans="1:14" x14ac:dyDescent="0.25">
      <c r="A33" s="139" t="s">
        <v>141</v>
      </c>
      <c r="B33" s="139"/>
      <c r="C33" s="139"/>
      <c r="D33" s="139"/>
      <c r="E33" s="139"/>
      <c r="F33" s="139"/>
      <c r="G33" s="141">
        <f>G14+G25+G31</f>
        <v>2910.7699999999995</v>
      </c>
      <c r="I33" s="44"/>
    </row>
    <row r="34" spans="1:14" x14ac:dyDescent="0.25">
      <c r="A34" s="72"/>
      <c r="B34" s="60"/>
      <c r="C34" s="133"/>
      <c r="D34" s="137"/>
      <c r="E34" s="137"/>
      <c r="F34" s="138"/>
      <c r="G34" s="27"/>
    </row>
    <row r="35" spans="1:14" x14ac:dyDescent="0.25">
      <c r="A35" s="126" t="s">
        <v>142</v>
      </c>
      <c r="B35" s="126"/>
      <c r="C35" s="126"/>
      <c r="D35" s="126"/>
      <c r="E35" s="126"/>
      <c r="F35" s="126"/>
      <c r="G35" s="126"/>
    </row>
    <row r="36" spans="1:14" x14ac:dyDescent="0.25">
      <c r="A36" s="182">
        <v>3</v>
      </c>
      <c r="B36" s="143" t="s">
        <v>143</v>
      </c>
      <c r="C36" s="183"/>
      <c r="D36" s="144"/>
      <c r="E36" s="144"/>
      <c r="F36" s="159" t="s">
        <v>144</v>
      </c>
      <c r="G36" s="141" t="s">
        <v>145</v>
      </c>
    </row>
    <row r="37" spans="1:14" x14ac:dyDescent="0.25">
      <c r="A37" s="132" t="s">
        <v>106</v>
      </c>
      <c r="B37" s="184" t="s">
        <v>146</v>
      </c>
      <c r="C37" s="128"/>
      <c r="D37" s="67"/>
      <c r="E37" s="67"/>
      <c r="F37" s="185">
        <f>(1/12)*0.055</f>
        <v>4.5833333333333334E-3</v>
      </c>
      <c r="G37" s="186">
        <f>(($G$6+($G$33-$G$24))*F37)</f>
        <v>27.211754166666665</v>
      </c>
      <c r="I37" s="86" t="s">
        <v>242</v>
      </c>
      <c r="J37" s="87"/>
      <c r="K37" s="87"/>
      <c r="L37" s="88"/>
      <c r="M37" s="59"/>
      <c r="N37" s="59"/>
    </row>
    <row r="38" spans="1:14" x14ac:dyDescent="0.25">
      <c r="A38" s="132" t="s">
        <v>107</v>
      </c>
      <c r="B38" s="184" t="s">
        <v>147</v>
      </c>
      <c r="C38" s="128"/>
      <c r="D38" s="67"/>
      <c r="E38" s="67"/>
      <c r="F38" s="185">
        <f>ROUND((F37*F24),4)</f>
        <v>4.0000000000000002E-4</v>
      </c>
      <c r="G38" s="186">
        <f>(($G$6+($G$33-$G$24))*F38)</f>
        <v>2.374844</v>
      </c>
      <c r="I38" s="89"/>
      <c r="J38" s="90"/>
      <c r="K38" s="90"/>
      <c r="L38" s="91"/>
      <c r="M38" s="59"/>
      <c r="N38" s="59"/>
    </row>
    <row r="39" spans="1:14" x14ac:dyDescent="0.25">
      <c r="A39" s="132" t="s">
        <v>115</v>
      </c>
      <c r="B39" s="184" t="s">
        <v>148</v>
      </c>
      <c r="C39" s="128"/>
      <c r="D39" s="67"/>
      <c r="E39" s="67"/>
      <c r="F39" s="185">
        <f>4%</f>
        <v>0.04</v>
      </c>
      <c r="G39" s="186">
        <f>(($G$6+($G$33-$G$24))*F39)</f>
        <v>237.48439999999999</v>
      </c>
      <c r="I39" s="92"/>
      <c r="J39" s="93"/>
      <c r="K39" s="93"/>
      <c r="L39" s="94"/>
      <c r="M39" s="59"/>
      <c r="N39" s="59"/>
    </row>
    <row r="40" spans="1:14" x14ac:dyDescent="0.25">
      <c r="A40" s="132" t="s">
        <v>116</v>
      </c>
      <c r="B40" s="184" t="s">
        <v>149</v>
      </c>
      <c r="C40" s="128"/>
      <c r="D40" s="67"/>
      <c r="E40" s="67"/>
      <c r="F40" s="185">
        <f>((1/30)*7)/12</f>
        <v>1.9444444444444445E-2</v>
      </c>
      <c r="G40" s="186">
        <f>($G$6+$G$33)*F40</f>
        <v>120.56080555555555</v>
      </c>
      <c r="I40" s="95" t="s">
        <v>246</v>
      </c>
      <c r="J40" s="95"/>
      <c r="K40" s="95"/>
      <c r="L40" s="95"/>
      <c r="M40" s="59"/>
      <c r="N40" s="59"/>
    </row>
    <row r="41" spans="1:14" x14ac:dyDescent="0.25">
      <c r="A41" s="72" t="s">
        <v>125</v>
      </c>
      <c r="B41" s="184" t="s">
        <v>150</v>
      </c>
      <c r="C41" s="133"/>
      <c r="D41" s="137"/>
      <c r="E41" s="137"/>
      <c r="F41" s="169">
        <f>ROUND((F40*F25),4)</f>
        <v>7.1999999999999998E-3</v>
      </c>
      <c r="G41" s="186">
        <f>($G$6+$G$33)*F41</f>
        <v>44.641943999999995</v>
      </c>
      <c r="I41" s="95"/>
      <c r="J41" s="95"/>
      <c r="K41" s="95"/>
      <c r="L41" s="95"/>
      <c r="M41" s="59"/>
      <c r="N41" s="59"/>
    </row>
    <row r="42" spans="1:14" x14ac:dyDescent="0.25">
      <c r="A42" s="72" t="s">
        <v>127</v>
      </c>
      <c r="B42" s="184" t="s">
        <v>151</v>
      </c>
      <c r="C42" s="133"/>
      <c r="D42" s="137"/>
      <c r="E42" s="137"/>
      <c r="F42" s="169">
        <f>0</f>
        <v>0</v>
      </c>
      <c r="G42" s="186">
        <f>ROUND((F42*G6),2)</f>
        <v>0</v>
      </c>
      <c r="I42" s="95"/>
      <c r="J42" s="95"/>
      <c r="K42" s="95"/>
      <c r="L42" s="95"/>
      <c r="M42" s="59"/>
      <c r="N42" s="59"/>
    </row>
    <row r="43" spans="1:14" x14ac:dyDescent="0.25">
      <c r="A43" s="139" t="s">
        <v>152</v>
      </c>
      <c r="B43" s="139"/>
      <c r="C43" s="139"/>
      <c r="D43" s="139"/>
      <c r="E43" s="139"/>
      <c r="F43" s="159">
        <f>SUM(F37:F42)</f>
        <v>7.1627777777777776E-2</v>
      </c>
      <c r="G43" s="141">
        <f>SUM(G37:G42)</f>
        <v>432.2737477222222</v>
      </c>
      <c r="I43" s="46"/>
      <c r="J43" s="59"/>
      <c r="K43" s="59"/>
      <c r="L43" s="59"/>
      <c r="M43" s="59"/>
      <c r="N43" s="59"/>
    </row>
    <row r="44" spans="1:14" x14ac:dyDescent="0.25">
      <c r="A44" s="72"/>
      <c r="B44" s="60"/>
      <c r="C44" s="133"/>
      <c r="D44" s="137"/>
      <c r="E44" s="137"/>
      <c r="F44" s="138"/>
      <c r="G44" s="27"/>
      <c r="I44" s="59"/>
      <c r="J44" s="59"/>
      <c r="K44" s="59"/>
      <c r="L44" s="59"/>
      <c r="M44" s="59"/>
      <c r="N44" s="59"/>
    </row>
    <row r="45" spans="1:14" x14ac:dyDescent="0.25">
      <c r="A45" s="126" t="s">
        <v>153</v>
      </c>
      <c r="B45" s="126"/>
      <c r="C45" s="126"/>
      <c r="D45" s="126"/>
      <c r="E45" s="126"/>
      <c r="F45" s="126"/>
      <c r="G45" s="126"/>
      <c r="I45" s="59"/>
      <c r="J45" s="59"/>
      <c r="K45" s="59"/>
      <c r="L45" s="59"/>
      <c r="M45" s="59"/>
      <c r="N45" s="59"/>
    </row>
    <row r="46" spans="1:14" x14ac:dyDescent="0.25">
      <c r="A46" s="182" t="s">
        <v>154</v>
      </c>
      <c r="B46" s="143" t="s">
        <v>155</v>
      </c>
      <c r="C46" s="183"/>
      <c r="D46" s="144"/>
      <c r="E46" s="144"/>
      <c r="F46" s="187" t="s">
        <v>113</v>
      </c>
      <c r="G46" s="141"/>
      <c r="I46" s="96" t="s">
        <v>245</v>
      </c>
      <c r="J46" s="96" t="s">
        <v>244</v>
      </c>
      <c r="K46" s="96"/>
      <c r="L46" s="96"/>
      <c r="M46" s="96"/>
      <c r="N46" s="96"/>
    </row>
    <row r="47" spans="1:14" x14ac:dyDescent="0.25">
      <c r="A47" s="72" t="s">
        <v>106</v>
      </c>
      <c r="B47" s="60" t="s">
        <v>156</v>
      </c>
      <c r="C47" s="133"/>
      <c r="D47" s="137"/>
      <c r="E47" s="137"/>
      <c r="F47" s="188">
        <f>(1/12/12)+(1/12/12)+(1/12/12/3)</f>
        <v>1.6203703703703703E-2</v>
      </c>
      <c r="G47" s="27">
        <f t="shared" ref="G47:G52" si="0">F47*($G$43+$G$33+$G$6)</f>
        <v>107.4717736899434</v>
      </c>
      <c r="I47" s="96"/>
      <c r="J47" s="96"/>
      <c r="K47" s="96"/>
      <c r="L47" s="96"/>
      <c r="M47" s="96"/>
      <c r="N47" s="96"/>
    </row>
    <row r="48" spans="1:14" x14ac:dyDescent="0.25">
      <c r="A48" s="72" t="s">
        <v>107</v>
      </c>
      <c r="B48" s="60" t="s">
        <v>155</v>
      </c>
      <c r="C48" s="133"/>
      <c r="D48" s="137"/>
      <c r="E48" s="137"/>
      <c r="F48" s="188">
        <f>(((13/12)/22)*8)/12</f>
        <v>3.2828282828282825E-2</v>
      </c>
      <c r="G48" s="27">
        <f t="shared" si="0"/>
        <v>217.73502202118405</v>
      </c>
      <c r="I48" s="96"/>
      <c r="J48" s="96"/>
      <c r="K48" s="96"/>
      <c r="L48" s="96"/>
      <c r="M48" s="96"/>
      <c r="N48" s="96"/>
    </row>
    <row r="49" spans="1:14" x14ac:dyDescent="0.25">
      <c r="A49" s="72" t="s">
        <v>115</v>
      </c>
      <c r="B49" s="60" t="s">
        <v>157</v>
      </c>
      <c r="C49" s="133"/>
      <c r="D49" s="137"/>
      <c r="E49" s="137"/>
      <c r="F49" s="188">
        <f>(((13/12)/22)*0.2)/12</f>
        <v>8.2070707070707079E-4</v>
      </c>
      <c r="G49" s="27">
        <f t="shared" si="0"/>
        <v>5.443375550529602</v>
      </c>
      <c r="I49" s="96"/>
      <c r="J49" s="96"/>
      <c r="K49" s="96"/>
      <c r="L49" s="96"/>
      <c r="M49" s="96"/>
      <c r="N49" s="96"/>
    </row>
    <row r="50" spans="1:14" x14ac:dyDescent="0.25">
      <c r="A50" s="72" t="s">
        <v>116</v>
      </c>
      <c r="B50" s="60" t="s">
        <v>158</v>
      </c>
      <c r="C50" s="133"/>
      <c r="D50" s="137"/>
      <c r="E50" s="137"/>
      <c r="F50" s="188">
        <f>(((13/12)/22)*6)/12</f>
        <v>2.4621212121212117E-2</v>
      </c>
      <c r="G50" s="27">
        <f t="shared" si="0"/>
        <v>163.30126651588802</v>
      </c>
      <c r="I50" s="96"/>
      <c r="J50" s="96"/>
      <c r="K50" s="96"/>
      <c r="L50" s="96"/>
      <c r="M50" s="96"/>
      <c r="N50" s="96"/>
    </row>
    <row r="51" spans="1:14" x14ac:dyDescent="0.25">
      <c r="A51" s="72" t="s">
        <v>125</v>
      </c>
      <c r="B51" s="60" t="s">
        <v>159</v>
      </c>
      <c r="C51" s="133"/>
      <c r="D51" s="137"/>
      <c r="E51" s="137"/>
      <c r="F51" s="188">
        <f>(((13/12)/22)*1.8)/12</f>
        <v>7.3863636363636362E-3</v>
      </c>
      <c r="G51" s="27">
        <f t="shared" si="0"/>
        <v>48.990379954766411</v>
      </c>
      <c r="I51" s="96"/>
      <c r="J51" s="96"/>
      <c r="K51" s="96"/>
      <c r="L51" s="96"/>
      <c r="M51" s="96"/>
      <c r="N51" s="96"/>
    </row>
    <row r="52" spans="1:14" x14ac:dyDescent="0.25">
      <c r="A52" s="72" t="s">
        <v>127</v>
      </c>
      <c r="B52" s="60" t="s">
        <v>160</v>
      </c>
      <c r="C52" s="133"/>
      <c r="D52" s="137"/>
      <c r="E52" s="137"/>
      <c r="F52" s="188">
        <v>0</v>
      </c>
      <c r="G52" s="27">
        <f t="shared" si="0"/>
        <v>0</v>
      </c>
      <c r="I52" s="96"/>
      <c r="J52" s="96"/>
      <c r="K52" s="96"/>
      <c r="L52" s="96"/>
      <c r="M52" s="96"/>
      <c r="N52" s="96"/>
    </row>
    <row r="53" spans="1:14" x14ac:dyDescent="0.25">
      <c r="A53" s="72"/>
      <c r="B53" s="127" t="s">
        <v>105</v>
      </c>
      <c r="C53" s="133"/>
      <c r="D53" s="137"/>
      <c r="E53" s="137"/>
      <c r="F53" s="189">
        <f>SUM(F47:F52)</f>
        <v>8.1860269360269342E-2</v>
      </c>
      <c r="G53" s="131">
        <f>SUM(G47:G52)</f>
        <v>542.94181773231151</v>
      </c>
      <c r="I53" s="96"/>
      <c r="J53" s="96"/>
      <c r="K53" s="96"/>
      <c r="L53" s="96"/>
      <c r="M53" s="96"/>
      <c r="N53" s="96"/>
    </row>
    <row r="54" spans="1:14" x14ac:dyDescent="0.25">
      <c r="A54" s="139" t="s">
        <v>161</v>
      </c>
      <c r="B54" s="139"/>
      <c r="C54" s="139"/>
      <c r="D54" s="139"/>
      <c r="E54" s="139"/>
      <c r="F54" s="187">
        <f>SUM(F53:F53)</f>
        <v>8.1860269360269342E-2</v>
      </c>
      <c r="G54" s="141">
        <f>SUM(G53:G53)</f>
        <v>542.94181773231151</v>
      </c>
      <c r="I54" s="96"/>
      <c r="J54" s="96"/>
      <c r="K54" s="96"/>
      <c r="L54" s="96"/>
      <c r="M54" s="96"/>
      <c r="N54" s="96"/>
    </row>
    <row r="55" spans="1:14" x14ac:dyDescent="0.25">
      <c r="A55" s="190" t="s">
        <v>162</v>
      </c>
      <c r="B55" s="162" t="s">
        <v>163</v>
      </c>
      <c r="C55" s="191"/>
      <c r="D55" s="163"/>
      <c r="E55" s="163"/>
      <c r="F55" s="192"/>
      <c r="G55" s="193"/>
      <c r="I55" s="44"/>
      <c r="J55" s="59"/>
      <c r="K55" s="59"/>
      <c r="L55" s="59"/>
      <c r="M55" s="59"/>
      <c r="N55" s="59"/>
    </row>
    <row r="56" spans="1:14" x14ac:dyDescent="0.25">
      <c r="A56" s="72" t="s">
        <v>106</v>
      </c>
      <c r="B56" s="60" t="s">
        <v>164</v>
      </c>
      <c r="C56" s="133"/>
      <c r="D56" s="137"/>
      <c r="E56" s="137"/>
      <c r="F56" s="188">
        <v>0</v>
      </c>
      <c r="G56" s="27">
        <f>F56*G6</f>
        <v>0</v>
      </c>
      <c r="I56" s="59"/>
      <c r="J56" s="59"/>
      <c r="K56" s="59"/>
      <c r="L56" s="59"/>
      <c r="M56" s="59"/>
      <c r="N56" s="59"/>
    </row>
    <row r="57" spans="1:14" x14ac:dyDescent="0.25">
      <c r="A57" s="166"/>
      <c r="B57" s="127" t="s">
        <v>105</v>
      </c>
      <c r="C57" s="137"/>
      <c r="D57" s="137"/>
      <c r="E57" s="137"/>
      <c r="F57" s="194">
        <f>ROUND((SUM(F56:F56)),4)</f>
        <v>0</v>
      </c>
      <c r="G57" s="27">
        <f>F57*$G$6</f>
        <v>0</v>
      </c>
      <c r="I57" s="59"/>
      <c r="J57" s="59"/>
      <c r="K57" s="59"/>
      <c r="L57" s="59"/>
      <c r="M57" s="59"/>
      <c r="N57" s="59"/>
    </row>
    <row r="58" spans="1:14" ht="15" customHeight="1" x14ac:dyDescent="0.25">
      <c r="A58" s="139" t="s">
        <v>165</v>
      </c>
      <c r="B58" s="139"/>
      <c r="C58" s="139"/>
      <c r="D58" s="139"/>
      <c r="E58" s="139"/>
      <c r="F58" s="159">
        <f>SUM(F56:F57)</f>
        <v>0</v>
      </c>
      <c r="G58" s="141">
        <f>SUM(G56:G57)</f>
        <v>0</v>
      </c>
      <c r="I58" s="59"/>
      <c r="J58" s="59"/>
      <c r="K58" s="59"/>
      <c r="L58" s="59"/>
      <c r="M58" s="59"/>
      <c r="N58" s="59"/>
    </row>
    <row r="59" spans="1:14" ht="15" customHeight="1" x14ac:dyDescent="0.25">
      <c r="A59" s="71"/>
      <c r="B59" s="71"/>
      <c r="C59" s="67"/>
      <c r="D59" s="67"/>
      <c r="E59" s="67"/>
      <c r="F59" s="130"/>
      <c r="G59" s="131"/>
      <c r="I59" s="59"/>
      <c r="J59" s="59"/>
      <c r="K59" s="59"/>
      <c r="L59" s="59"/>
      <c r="M59" s="59"/>
      <c r="N59" s="59"/>
    </row>
    <row r="60" spans="1:14" x14ac:dyDescent="0.25">
      <c r="A60" s="195" t="s">
        <v>166</v>
      </c>
      <c r="B60" s="162"/>
      <c r="C60" s="196"/>
      <c r="D60" s="197"/>
      <c r="E60" s="197"/>
      <c r="F60" s="198" t="s">
        <v>167</v>
      </c>
      <c r="G60" s="199" t="s">
        <v>145</v>
      </c>
      <c r="I60" s="59"/>
      <c r="J60" s="59"/>
      <c r="K60" s="59"/>
      <c r="L60" s="59"/>
      <c r="M60" s="59"/>
      <c r="N60" s="59"/>
    </row>
    <row r="61" spans="1:14" x14ac:dyDescent="0.25">
      <c r="A61" s="147" t="s">
        <v>154</v>
      </c>
      <c r="B61" s="200" t="s">
        <v>155</v>
      </c>
      <c r="C61" s="133"/>
      <c r="D61" s="137"/>
      <c r="E61" s="137"/>
      <c r="F61" s="138"/>
      <c r="G61" s="27">
        <f>G54</f>
        <v>542.94181773231151</v>
      </c>
      <c r="I61" s="59"/>
      <c r="J61" s="59"/>
      <c r="K61" s="59"/>
      <c r="L61" s="59"/>
      <c r="M61" s="59"/>
      <c r="N61" s="59"/>
    </row>
    <row r="62" spans="1:14" x14ac:dyDescent="0.25">
      <c r="A62" s="147" t="s">
        <v>162</v>
      </c>
      <c r="B62" s="200" t="s">
        <v>163</v>
      </c>
      <c r="C62" s="133"/>
      <c r="D62" s="137"/>
      <c r="E62" s="137"/>
      <c r="F62" s="138"/>
      <c r="G62" s="27">
        <f>G58</f>
        <v>0</v>
      </c>
      <c r="I62" s="59"/>
      <c r="J62" s="59"/>
      <c r="K62" s="59"/>
      <c r="L62" s="59"/>
      <c r="M62" s="59"/>
      <c r="N62" s="59"/>
    </row>
    <row r="63" spans="1:14" x14ac:dyDescent="0.25">
      <c r="A63" s="139" t="s">
        <v>168</v>
      </c>
      <c r="B63" s="139"/>
      <c r="C63" s="139"/>
      <c r="D63" s="139"/>
      <c r="E63" s="139"/>
      <c r="F63" s="159"/>
      <c r="G63" s="141">
        <f>SUM(G61:G62)</f>
        <v>542.94181773231151</v>
      </c>
      <c r="I63" s="44"/>
      <c r="J63" s="59"/>
      <c r="K63" s="59"/>
      <c r="L63" s="59"/>
      <c r="M63" s="59"/>
      <c r="N63" s="59"/>
    </row>
    <row r="64" spans="1:14" x14ac:dyDescent="0.25">
      <c r="A64" s="72"/>
      <c r="B64" s="60"/>
      <c r="C64" s="133"/>
      <c r="D64" s="137"/>
      <c r="E64" s="137"/>
      <c r="F64" s="138"/>
      <c r="G64" s="27"/>
      <c r="I64" s="59"/>
      <c r="J64" s="59"/>
      <c r="K64" s="59"/>
      <c r="L64" s="59"/>
      <c r="M64" s="59"/>
      <c r="N64" s="59"/>
    </row>
    <row r="65" spans="1:14" x14ac:dyDescent="0.25">
      <c r="A65" s="126" t="s">
        <v>169</v>
      </c>
      <c r="B65" s="126"/>
      <c r="C65" s="126"/>
      <c r="D65" s="126"/>
      <c r="E65" s="126"/>
      <c r="F65" s="126"/>
      <c r="G65" s="126"/>
      <c r="I65" s="59"/>
      <c r="J65" s="59"/>
      <c r="K65" s="59"/>
      <c r="L65" s="59"/>
      <c r="M65" s="59"/>
      <c r="N65" s="59"/>
    </row>
    <row r="66" spans="1:14" x14ac:dyDescent="0.25">
      <c r="A66" s="182">
        <v>5</v>
      </c>
      <c r="B66" s="143" t="s">
        <v>170</v>
      </c>
      <c r="C66" s="180"/>
      <c r="D66" s="158"/>
      <c r="E66" s="158"/>
      <c r="F66" s="201" t="s">
        <v>66</v>
      </c>
      <c r="G66" s="202"/>
      <c r="I66" s="59"/>
      <c r="J66" s="59"/>
      <c r="K66" s="59"/>
      <c r="L66" s="59"/>
      <c r="M66" s="59"/>
      <c r="N66" s="59"/>
    </row>
    <row r="67" spans="1:14" x14ac:dyDescent="0.25">
      <c r="A67" s="72" t="s">
        <v>106</v>
      </c>
      <c r="B67" s="60" t="s">
        <v>171</v>
      </c>
      <c r="C67" s="133"/>
      <c r="D67" s="137"/>
      <c r="E67" s="137"/>
      <c r="F67" s="138"/>
      <c r="G67" s="27">
        <f>Uniformes!H21</f>
        <v>87.071666666666658</v>
      </c>
      <c r="I67" s="59"/>
      <c r="J67" s="59"/>
      <c r="K67" s="59"/>
      <c r="L67" s="59"/>
      <c r="M67" s="59"/>
      <c r="N67" s="59"/>
    </row>
    <row r="68" spans="1:14" x14ac:dyDescent="0.25">
      <c r="A68" s="72" t="s">
        <v>107</v>
      </c>
      <c r="B68" s="60" t="s">
        <v>172</v>
      </c>
      <c r="C68" s="133"/>
      <c r="D68" s="137"/>
      <c r="E68" s="137"/>
      <c r="F68" s="138"/>
      <c r="G68" s="27">
        <v>0</v>
      </c>
      <c r="I68" s="59"/>
      <c r="J68" s="59"/>
      <c r="K68" s="59"/>
      <c r="L68" s="59"/>
      <c r="M68" s="59"/>
      <c r="N68" s="59"/>
    </row>
    <row r="69" spans="1:14" x14ac:dyDescent="0.25">
      <c r="A69" s="72" t="s">
        <v>115</v>
      </c>
      <c r="B69" s="60" t="s">
        <v>173</v>
      </c>
      <c r="C69" s="133"/>
      <c r="D69" s="137"/>
      <c r="E69" s="137"/>
      <c r="F69" s="138"/>
      <c r="G69" s="27">
        <v>0</v>
      </c>
      <c r="I69" s="59"/>
      <c r="J69" s="59"/>
      <c r="K69" s="59"/>
      <c r="L69" s="59"/>
      <c r="M69" s="59"/>
      <c r="N69" s="59"/>
    </row>
    <row r="70" spans="1:14" x14ac:dyDescent="0.25">
      <c r="A70" s="72" t="s">
        <v>107</v>
      </c>
      <c r="B70" s="60" t="s">
        <v>174</v>
      </c>
      <c r="C70" s="133"/>
      <c r="D70" s="137"/>
      <c r="E70" s="137"/>
      <c r="F70" s="138"/>
      <c r="G70" s="27">
        <v>0</v>
      </c>
      <c r="I70" s="59"/>
      <c r="J70" s="59"/>
      <c r="K70" s="59"/>
      <c r="L70" s="59"/>
      <c r="M70" s="59"/>
      <c r="N70" s="59"/>
    </row>
    <row r="71" spans="1:14" x14ac:dyDescent="0.25">
      <c r="A71" s="139" t="s">
        <v>175</v>
      </c>
      <c r="B71" s="139"/>
      <c r="C71" s="139"/>
      <c r="D71" s="139"/>
      <c r="E71" s="139"/>
      <c r="F71" s="159"/>
      <c r="G71" s="141">
        <f>SUM(G67:G70)</f>
        <v>87.071666666666658</v>
      </c>
      <c r="I71" s="44"/>
      <c r="J71" s="59"/>
      <c r="K71" s="59"/>
      <c r="L71" s="59"/>
      <c r="M71" s="59"/>
      <c r="N71" s="59"/>
    </row>
    <row r="72" spans="1:14" x14ac:dyDescent="0.25">
      <c r="A72" s="72"/>
      <c r="B72" s="60"/>
      <c r="C72" s="133"/>
      <c r="D72" s="137"/>
      <c r="E72" s="137"/>
      <c r="F72" s="138"/>
      <c r="G72" s="27"/>
      <c r="I72" s="59"/>
      <c r="J72" s="59"/>
      <c r="K72" s="59"/>
      <c r="L72" s="59"/>
      <c r="M72" s="59"/>
      <c r="N72" s="59"/>
    </row>
    <row r="73" spans="1:14" x14ac:dyDescent="0.25">
      <c r="A73" s="126" t="s">
        <v>176</v>
      </c>
      <c r="B73" s="126"/>
      <c r="C73" s="126"/>
      <c r="D73" s="126"/>
      <c r="E73" s="126"/>
      <c r="F73" s="126"/>
      <c r="G73" s="126"/>
      <c r="I73" s="59"/>
      <c r="J73" s="59"/>
      <c r="K73" s="59"/>
      <c r="L73" s="59"/>
      <c r="M73" s="59"/>
      <c r="N73" s="59"/>
    </row>
    <row r="74" spans="1:14" x14ac:dyDescent="0.25">
      <c r="A74" s="182">
        <v>6</v>
      </c>
      <c r="B74" s="143" t="s">
        <v>177</v>
      </c>
      <c r="C74" s="180"/>
      <c r="D74" s="158"/>
      <c r="E74" s="158"/>
      <c r="F74" s="201" t="s">
        <v>66</v>
      </c>
      <c r="G74" s="202"/>
      <c r="I74" s="59"/>
      <c r="J74" s="59"/>
      <c r="K74" s="59"/>
      <c r="L74" s="59"/>
      <c r="M74" s="59"/>
      <c r="N74" s="59"/>
    </row>
    <row r="75" spans="1:14" x14ac:dyDescent="0.25">
      <c r="A75" s="72" t="s">
        <v>106</v>
      </c>
      <c r="B75" s="60" t="s">
        <v>178</v>
      </c>
      <c r="C75" s="133"/>
      <c r="D75" s="137"/>
      <c r="E75" s="137"/>
      <c r="F75" s="138">
        <v>0.05</v>
      </c>
      <c r="G75" s="27">
        <f>G96*F75</f>
        <v>363.12786160606004</v>
      </c>
      <c r="I75" s="59"/>
      <c r="J75" s="59"/>
      <c r="K75" s="59"/>
      <c r="L75" s="59"/>
      <c r="M75" s="59"/>
      <c r="N75" s="59"/>
    </row>
    <row r="76" spans="1:14" x14ac:dyDescent="0.25">
      <c r="A76" s="72" t="s">
        <v>107</v>
      </c>
      <c r="B76" s="60" t="s">
        <v>179</v>
      </c>
      <c r="C76" s="133"/>
      <c r="D76" s="137"/>
      <c r="E76" s="137"/>
      <c r="F76" s="138">
        <v>0.1</v>
      </c>
      <c r="G76" s="27">
        <f>F76*(G96+G75)</f>
        <v>762.56850937272611</v>
      </c>
      <c r="I76" s="59"/>
      <c r="J76" s="59"/>
      <c r="K76" s="59"/>
      <c r="L76" s="59"/>
      <c r="M76" s="59"/>
      <c r="N76" s="59"/>
    </row>
    <row r="77" spans="1:14" x14ac:dyDescent="0.25">
      <c r="A77" s="72"/>
      <c r="B77" s="127" t="s">
        <v>180</v>
      </c>
      <c r="C77" s="133"/>
      <c r="D77" s="137"/>
      <c r="E77" s="137"/>
      <c r="F77" s="130">
        <f>SUM(F75:F76)</f>
        <v>0.15000000000000002</v>
      </c>
      <c r="G77" s="131">
        <f>SUM(G75:G76)</f>
        <v>1125.696370978786</v>
      </c>
      <c r="I77" s="44"/>
      <c r="J77" s="59"/>
      <c r="K77" s="59"/>
      <c r="L77" s="59"/>
      <c r="M77" s="59"/>
      <c r="N77" s="59"/>
    </row>
    <row r="78" spans="1:14" s="47" customFormat="1" x14ac:dyDescent="0.25">
      <c r="A78" s="72" t="s">
        <v>115</v>
      </c>
      <c r="B78" s="60" t="s">
        <v>181</v>
      </c>
      <c r="C78" s="133"/>
      <c r="D78" s="137"/>
      <c r="E78" s="137"/>
      <c r="F78" s="138"/>
      <c r="G78" s="27"/>
    </row>
    <row r="79" spans="1:14" s="47" customFormat="1" x14ac:dyDescent="0.25">
      <c r="A79" s="72" t="s">
        <v>182</v>
      </c>
      <c r="B79" s="60" t="s">
        <v>183</v>
      </c>
      <c r="C79" s="133"/>
      <c r="D79" s="137"/>
      <c r="E79" s="137"/>
      <c r="F79" s="138"/>
      <c r="G79" s="27"/>
    </row>
    <row r="80" spans="1:14" s="47" customFormat="1" x14ac:dyDescent="0.25">
      <c r="A80" s="72"/>
      <c r="B80" s="60" t="s">
        <v>184</v>
      </c>
      <c r="C80" s="133"/>
      <c r="D80" s="137"/>
      <c r="E80" s="137"/>
      <c r="F80" s="138">
        <v>7.5999999999999998E-2</v>
      </c>
      <c r="G80" s="27">
        <f>(($G$77+$G$96)/(1-($F$80+$F$81+$F$83)))*(F80)</f>
        <v>743.44871584326415</v>
      </c>
      <c r="I80" s="96" t="s">
        <v>247</v>
      </c>
    </row>
    <row r="81" spans="1:10" s="47" customFormat="1" x14ac:dyDescent="0.25">
      <c r="A81" s="72"/>
      <c r="B81" s="60" t="s">
        <v>185</v>
      </c>
      <c r="C81" s="133"/>
      <c r="D81" s="137"/>
      <c r="E81" s="137"/>
      <c r="F81" s="138">
        <v>1.6500000000000001E-2</v>
      </c>
      <c r="G81" s="27">
        <f>(($G$77+$G$96)/(1-($F$80+$F$81+$F$83)))*(F81)</f>
        <v>161.40662909755079</v>
      </c>
      <c r="I81" s="96"/>
    </row>
    <row r="82" spans="1:10" s="47" customFormat="1" x14ac:dyDescent="0.25">
      <c r="A82" s="72" t="s">
        <v>186</v>
      </c>
      <c r="B82" s="60" t="s">
        <v>187</v>
      </c>
      <c r="C82" s="133"/>
      <c r="D82" s="137"/>
      <c r="E82" s="137"/>
      <c r="F82" s="138"/>
      <c r="G82" s="27"/>
      <c r="I82" s="96"/>
    </row>
    <row r="83" spans="1:10" s="47" customFormat="1" x14ac:dyDescent="0.25">
      <c r="A83" s="72"/>
      <c r="B83" s="60" t="s">
        <v>188</v>
      </c>
      <c r="C83" s="133"/>
      <c r="D83" s="137"/>
      <c r="E83" s="137"/>
      <c r="F83" s="138">
        <v>0.05</v>
      </c>
      <c r="G83" s="27">
        <f t="shared" ref="G83" si="1">(($G$77+$G$96)/(1-($F$80+$F$81+$F$83)))*(F83)</f>
        <v>489.1109972653054</v>
      </c>
      <c r="I83" s="96"/>
    </row>
    <row r="84" spans="1:10" s="47" customFormat="1" x14ac:dyDescent="0.25">
      <c r="A84" s="72" t="s">
        <v>189</v>
      </c>
      <c r="B84" s="60" t="s">
        <v>190</v>
      </c>
      <c r="C84" s="133"/>
      <c r="D84" s="137"/>
      <c r="E84" s="137"/>
      <c r="F84" s="138"/>
      <c r="G84" s="27"/>
    </row>
    <row r="85" spans="1:10" s="47" customFormat="1" x14ac:dyDescent="0.25">
      <c r="A85" s="72" t="s">
        <v>191</v>
      </c>
      <c r="B85" s="60" t="s">
        <v>192</v>
      </c>
      <c r="C85" s="133"/>
      <c r="D85" s="137"/>
      <c r="E85" s="137"/>
      <c r="F85" s="138"/>
      <c r="G85" s="27"/>
    </row>
    <row r="86" spans="1:10" s="47" customFormat="1" x14ac:dyDescent="0.25">
      <c r="A86" s="72"/>
      <c r="B86" s="127" t="s">
        <v>193</v>
      </c>
      <c r="C86" s="133"/>
      <c r="D86" s="137"/>
      <c r="E86" s="137"/>
      <c r="F86" s="130">
        <f>F80+F81+F83+F85</f>
        <v>0.14250000000000002</v>
      </c>
      <c r="G86" s="131">
        <f>G80+G81+G83+G85</f>
        <v>1393.9663422061203</v>
      </c>
      <c r="I86" s="49"/>
    </row>
    <row r="87" spans="1:10" x14ac:dyDescent="0.25">
      <c r="A87" s="139" t="s">
        <v>194</v>
      </c>
      <c r="B87" s="139"/>
      <c r="C87" s="139"/>
      <c r="D87" s="139"/>
      <c r="E87" s="139"/>
      <c r="F87" s="203"/>
      <c r="G87" s="204">
        <f>G77+G86</f>
        <v>2519.6627131849064</v>
      </c>
      <c r="I87" s="44"/>
      <c r="J87" s="41"/>
    </row>
    <row r="88" spans="1:10" x14ac:dyDescent="0.25">
      <c r="A88" s="166"/>
      <c r="B88" s="166"/>
      <c r="C88" s="168"/>
      <c r="D88" s="168"/>
      <c r="E88" s="168"/>
      <c r="F88" s="205"/>
      <c r="G88" s="206"/>
    </row>
    <row r="89" spans="1:10" x14ac:dyDescent="0.25">
      <c r="A89" s="126" t="s">
        <v>195</v>
      </c>
      <c r="B89" s="126"/>
      <c r="C89" s="126"/>
      <c r="D89" s="126"/>
      <c r="E89" s="126"/>
      <c r="F89" s="126"/>
      <c r="G89" s="126"/>
    </row>
    <row r="90" spans="1:10" x14ac:dyDescent="0.25">
      <c r="A90" s="182"/>
      <c r="B90" s="143" t="s">
        <v>196</v>
      </c>
      <c r="C90" s="180"/>
      <c r="D90" s="158"/>
      <c r="E90" s="158"/>
      <c r="F90" s="201" t="s">
        <v>66</v>
      </c>
      <c r="G90" s="202"/>
    </row>
    <row r="91" spans="1:10" x14ac:dyDescent="0.25">
      <c r="A91" s="72" t="s">
        <v>106</v>
      </c>
      <c r="B91" s="184" t="s">
        <v>197</v>
      </c>
      <c r="C91" s="133"/>
      <c r="D91" s="137"/>
      <c r="E91" s="137"/>
      <c r="F91" s="138"/>
      <c r="G91" s="27">
        <f>G6</f>
        <v>3289.5</v>
      </c>
    </row>
    <row r="92" spans="1:10" x14ac:dyDescent="0.25">
      <c r="A92" s="72" t="s">
        <v>107</v>
      </c>
      <c r="B92" s="184" t="s">
        <v>198</v>
      </c>
      <c r="C92" s="133"/>
      <c r="D92" s="137"/>
      <c r="E92" s="137"/>
      <c r="F92" s="138"/>
      <c r="G92" s="27">
        <f>G33</f>
        <v>2910.7699999999995</v>
      </c>
    </row>
    <row r="93" spans="1:10" x14ac:dyDescent="0.25">
      <c r="A93" s="72" t="s">
        <v>115</v>
      </c>
      <c r="B93" s="184" t="s">
        <v>199</v>
      </c>
      <c r="C93" s="133"/>
      <c r="D93" s="137"/>
      <c r="E93" s="137"/>
      <c r="F93" s="130"/>
      <c r="G93" s="27">
        <f>G43</f>
        <v>432.2737477222222</v>
      </c>
    </row>
    <row r="94" spans="1:10" x14ac:dyDescent="0.25">
      <c r="A94" s="72" t="s">
        <v>116</v>
      </c>
      <c r="B94" s="184" t="s">
        <v>200</v>
      </c>
      <c r="C94" s="133"/>
      <c r="D94" s="137"/>
      <c r="E94" s="137"/>
      <c r="F94" s="138"/>
      <c r="G94" s="27">
        <f>G63</f>
        <v>542.94181773231151</v>
      </c>
    </row>
    <row r="95" spans="1:10" x14ac:dyDescent="0.25">
      <c r="A95" s="72" t="s">
        <v>125</v>
      </c>
      <c r="B95" s="184" t="s">
        <v>201</v>
      </c>
      <c r="C95" s="133"/>
      <c r="D95" s="137"/>
      <c r="E95" s="137"/>
      <c r="F95" s="138"/>
      <c r="G95" s="27">
        <f>G71</f>
        <v>87.071666666666658</v>
      </c>
    </row>
    <row r="96" spans="1:10" x14ac:dyDescent="0.25">
      <c r="A96" s="72"/>
      <c r="B96" s="127" t="s">
        <v>105</v>
      </c>
      <c r="C96" s="133"/>
      <c r="D96" s="137"/>
      <c r="E96" s="137"/>
      <c r="F96" s="138"/>
      <c r="G96" s="131">
        <f>SUM(G91:G95)</f>
        <v>7262.5572321212003</v>
      </c>
    </row>
    <row r="97" spans="1:9" x14ac:dyDescent="0.25">
      <c r="A97" s="72" t="s">
        <v>127</v>
      </c>
      <c r="B97" s="184" t="s">
        <v>202</v>
      </c>
      <c r="C97" s="133"/>
      <c r="D97" s="137"/>
      <c r="E97" s="137"/>
      <c r="F97" s="138"/>
      <c r="G97" s="27">
        <f>G87</f>
        <v>2519.6627131849064</v>
      </c>
    </row>
    <row r="98" spans="1:9" s="47" customFormat="1" x14ac:dyDescent="0.25">
      <c r="A98" s="197"/>
      <c r="B98" s="197" t="s">
        <v>203</v>
      </c>
      <c r="C98" s="197"/>
      <c r="D98" s="197"/>
      <c r="E98" s="197"/>
      <c r="F98" s="190"/>
      <c r="G98" s="207">
        <f>(G96+G77)/(1-F86)</f>
        <v>9782.2199453061075</v>
      </c>
      <c r="I98" s="49"/>
    </row>
    <row r="100" spans="1:9" x14ac:dyDescent="0.25">
      <c r="A100" s="85"/>
      <c r="B100" s="85"/>
      <c r="C100" s="85"/>
      <c r="D100" s="85"/>
      <c r="E100" s="85"/>
      <c r="F100" s="85"/>
      <c r="G100" s="85"/>
      <c r="I100" s="50"/>
    </row>
    <row r="101" spans="1:9" x14ac:dyDescent="0.25">
      <c r="A101" s="84"/>
      <c r="B101" s="84"/>
      <c r="C101" s="84"/>
      <c r="D101" s="84"/>
      <c r="E101" s="84"/>
      <c r="F101" s="84"/>
      <c r="G101" s="84"/>
    </row>
  </sheetData>
  <mergeCells count="23">
    <mergeCell ref="I37:L39"/>
    <mergeCell ref="I40:L42"/>
    <mergeCell ref="I46:I54"/>
    <mergeCell ref="J46:N54"/>
    <mergeCell ref="I80:I83"/>
    <mergeCell ref="A101:G101"/>
    <mergeCell ref="A43:E43"/>
    <mergeCell ref="A45:G45"/>
    <mergeCell ref="A54:E54"/>
    <mergeCell ref="A58:E58"/>
    <mergeCell ref="A63:E63"/>
    <mergeCell ref="A65:G65"/>
    <mergeCell ref="A71:E71"/>
    <mergeCell ref="A73:G73"/>
    <mergeCell ref="A87:E87"/>
    <mergeCell ref="A89:G89"/>
    <mergeCell ref="A100:G100"/>
    <mergeCell ref="A35:G35"/>
    <mergeCell ref="A1:G1"/>
    <mergeCell ref="A2:G2"/>
    <mergeCell ref="A6:E6"/>
    <mergeCell ref="A8:G8"/>
    <mergeCell ref="A33:F3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3AAD7-1846-4674-9ED9-CCF3500AFBA9}">
  <dimension ref="A1:I31"/>
  <sheetViews>
    <sheetView topLeftCell="A16" zoomScaleNormal="100" workbookViewId="0">
      <selection activeCell="J23" sqref="J23"/>
    </sheetView>
  </sheetViews>
  <sheetFormatPr defaultRowHeight="15" x14ac:dyDescent="0.25"/>
  <cols>
    <col min="1" max="1" width="5.140625" style="1" customWidth="1"/>
    <col min="2" max="2" width="17.140625" customWidth="1"/>
    <col min="3" max="3" width="61.5703125" customWidth="1"/>
    <col min="4" max="5" width="12" style="1" customWidth="1"/>
    <col min="6" max="6" width="11.28515625" style="1" customWidth="1"/>
    <col min="7" max="7" width="12" customWidth="1"/>
    <col min="8" max="8" width="12.140625" customWidth="1"/>
    <col min="9" max="9" width="22.28515625" customWidth="1"/>
  </cols>
  <sheetData>
    <row r="1" spans="1:9" x14ac:dyDescent="0.25">
      <c r="A1" s="102" t="s">
        <v>78</v>
      </c>
      <c r="B1" s="102"/>
      <c r="C1" s="102"/>
      <c r="D1" s="102"/>
      <c r="E1" s="102"/>
      <c r="F1" s="102"/>
      <c r="G1" s="102"/>
      <c r="H1" s="102"/>
      <c r="I1" s="102"/>
    </row>
    <row r="2" spans="1:9" ht="15.75" x14ac:dyDescent="0.25">
      <c r="A2" s="10"/>
      <c r="B2" s="8"/>
      <c r="C2" s="8"/>
      <c r="D2" s="21"/>
      <c r="E2" s="20"/>
      <c r="F2" s="103" t="s">
        <v>46</v>
      </c>
      <c r="G2" s="104"/>
      <c r="H2" s="18"/>
      <c r="I2" s="10"/>
    </row>
    <row r="3" spans="1:9" ht="15.75" x14ac:dyDescent="0.25">
      <c r="A3" s="10"/>
      <c r="B3" s="8"/>
      <c r="C3" s="8"/>
      <c r="D3" s="21"/>
      <c r="E3" s="20"/>
      <c r="F3" s="103" t="s">
        <v>47</v>
      </c>
      <c r="G3" s="104"/>
      <c r="H3" s="18"/>
      <c r="I3" s="10"/>
    </row>
    <row r="4" spans="1:9" ht="38.25" x14ac:dyDescent="0.25">
      <c r="A4" s="105" t="s">
        <v>49</v>
      </c>
      <c r="B4" s="105" t="s">
        <v>0</v>
      </c>
      <c r="C4" s="105" t="s">
        <v>50</v>
      </c>
      <c r="D4" s="105" t="s">
        <v>80</v>
      </c>
      <c r="E4" s="105" t="s">
        <v>43</v>
      </c>
      <c r="F4" s="2" t="s">
        <v>51</v>
      </c>
      <c r="G4" s="3" t="s">
        <v>67</v>
      </c>
      <c r="H4" s="3" t="s">
        <v>69</v>
      </c>
      <c r="I4" s="4" t="s">
        <v>8</v>
      </c>
    </row>
    <row r="5" spans="1:9" ht="25.5" x14ac:dyDescent="0.25">
      <c r="A5" s="106"/>
      <c r="B5" s="106"/>
      <c r="C5" s="106"/>
      <c r="D5" s="108"/>
      <c r="E5" s="106"/>
      <c r="F5" s="5" t="s">
        <v>45</v>
      </c>
      <c r="G5" s="5" t="s">
        <v>45</v>
      </c>
      <c r="H5" s="19" t="s">
        <v>45</v>
      </c>
      <c r="I5" s="6" t="s">
        <v>45</v>
      </c>
    </row>
    <row r="6" spans="1:9" x14ac:dyDescent="0.25">
      <c r="A6" s="107" t="s">
        <v>73</v>
      </c>
      <c r="B6" s="107"/>
      <c r="C6" s="107"/>
      <c r="D6" s="107"/>
      <c r="E6" s="107"/>
      <c r="F6" s="17"/>
      <c r="G6" s="12"/>
      <c r="H6" s="12"/>
      <c r="I6" s="12"/>
    </row>
    <row r="7" spans="1:9" ht="45" x14ac:dyDescent="0.25">
      <c r="A7" s="32">
        <v>1</v>
      </c>
      <c r="B7" s="32" t="s">
        <v>16</v>
      </c>
      <c r="C7" s="210" t="s">
        <v>27</v>
      </c>
      <c r="D7" s="32">
        <v>3</v>
      </c>
      <c r="E7" s="32">
        <v>6</v>
      </c>
      <c r="F7" s="213">
        <v>25.94</v>
      </c>
      <c r="G7" s="214">
        <v>29.85</v>
      </c>
      <c r="H7" s="214">
        <v>53.81</v>
      </c>
      <c r="I7" s="214">
        <f>AVERAGE(F7:H7)*E7</f>
        <v>219.20000000000005</v>
      </c>
    </row>
    <row r="8" spans="1:9" x14ac:dyDescent="0.25">
      <c r="A8" s="32">
        <v>2</v>
      </c>
      <c r="B8" s="32" t="s">
        <v>17</v>
      </c>
      <c r="C8" s="32" t="s">
        <v>28</v>
      </c>
      <c r="D8" s="32">
        <v>3</v>
      </c>
      <c r="E8" s="32">
        <v>6</v>
      </c>
      <c r="F8" s="214">
        <v>25.94</v>
      </c>
      <c r="G8" s="214">
        <v>47.14</v>
      </c>
      <c r="H8" s="214">
        <v>34.409999999999997</v>
      </c>
      <c r="I8" s="214">
        <f t="shared" ref="I8:I13" si="0">AVERAGE(F8:H8)*E8</f>
        <v>214.98</v>
      </c>
    </row>
    <row r="9" spans="1:9" x14ac:dyDescent="0.25">
      <c r="A9" s="32">
        <v>3</v>
      </c>
      <c r="B9" s="32" t="s">
        <v>18</v>
      </c>
      <c r="C9" s="32" t="s">
        <v>29</v>
      </c>
      <c r="D9" s="32"/>
      <c r="E9" s="32">
        <v>4</v>
      </c>
      <c r="F9" s="214">
        <v>8.3000000000000007</v>
      </c>
      <c r="G9" s="214">
        <v>21.67</v>
      </c>
      <c r="H9" s="214">
        <v>14.49</v>
      </c>
      <c r="I9" s="214">
        <f t="shared" si="0"/>
        <v>59.28</v>
      </c>
    </row>
    <row r="10" spans="1:9" ht="45" x14ac:dyDescent="0.25">
      <c r="A10" s="32">
        <v>4</v>
      </c>
      <c r="B10" s="32" t="s">
        <v>19</v>
      </c>
      <c r="C10" s="210" t="s">
        <v>30</v>
      </c>
      <c r="D10" s="32">
        <v>2</v>
      </c>
      <c r="E10" s="32">
        <v>4</v>
      </c>
      <c r="F10" s="213">
        <v>84.86</v>
      </c>
      <c r="G10" s="214">
        <v>47.14</v>
      </c>
      <c r="H10" s="214">
        <v>215</v>
      </c>
      <c r="I10" s="214">
        <f t="shared" si="0"/>
        <v>462.66666666666669</v>
      </c>
    </row>
    <row r="11" spans="1:9" ht="30" x14ac:dyDescent="0.25">
      <c r="A11" s="32">
        <v>5</v>
      </c>
      <c r="B11" s="32" t="s">
        <v>20</v>
      </c>
      <c r="C11" s="210" t="s">
        <v>31</v>
      </c>
      <c r="D11" s="32">
        <v>4</v>
      </c>
      <c r="E11" s="32">
        <v>8</v>
      </c>
      <c r="F11" s="213">
        <v>9.34</v>
      </c>
      <c r="G11" s="214">
        <v>5.16</v>
      </c>
      <c r="H11" s="214" t="s">
        <v>66</v>
      </c>
      <c r="I11" s="214">
        <f t="shared" si="0"/>
        <v>58</v>
      </c>
    </row>
    <row r="12" spans="1:9" x14ac:dyDescent="0.25">
      <c r="A12" s="32">
        <v>6</v>
      </c>
      <c r="B12" s="32" t="s">
        <v>21</v>
      </c>
      <c r="C12" s="32" t="s">
        <v>32</v>
      </c>
      <c r="D12" s="32">
        <v>1</v>
      </c>
      <c r="E12" s="32">
        <v>2</v>
      </c>
      <c r="F12" s="214">
        <v>8.3000000000000007</v>
      </c>
      <c r="G12" s="214" t="s">
        <v>66</v>
      </c>
      <c r="H12" s="214" t="s">
        <v>66</v>
      </c>
      <c r="I12" s="214">
        <f t="shared" si="0"/>
        <v>16.600000000000001</v>
      </c>
    </row>
    <row r="13" spans="1:9" x14ac:dyDescent="0.25">
      <c r="A13" s="32">
        <v>7</v>
      </c>
      <c r="B13" s="32" t="s">
        <v>22</v>
      </c>
      <c r="C13" s="210" t="s">
        <v>84</v>
      </c>
      <c r="D13" s="32">
        <v>1</v>
      </c>
      <c r="E13" s="32">
        <v>2</v>
      </c>
      <c r="F13" s="213">
        <v>41.5</v>
      </c>
      <c r="G13" s="214">
        <v>51.86</v>
      </c>
      <c r="H13" s="214">
        <v>73.53</v>
      </c>
      <c r="I13" s="214">
        <f t="shared" si="0"/>
        <v>111.25999999999999</v>
      </c>
    </row>
    <row r="14" spans="1:9" ht="15.75" x14ac:dyDescent="0.25">
      <c r="A14" s="13"/>
      <c r="B14" s="13"/>
      <c r="C14" s="14"/>
      <c r="D14" s="13"/>
      <c r="E14" s="97" t="s">
        <v>81</v>
      </c>
      <c r="F14" s="98"/>
      <c r="G14" s="99"/>
      <c r="H14" s="100" cm="1">
        <f t="array" ref="H14">SUM(I7:I13/12)</f>
        <v>95.165555555555557</v>
      </c>
      <c r="I14" s="101"/>
    </row>
    <row r="15" spans="1:9" ht="15.75" x14ac:dyDescent="0.25">
      <c r="A15" s="80" t="s">
        <v>85</v>
      </c>
      <c r="B15" s="81"/>
      <c r="C15" s="81"/>
      <c r="D15" s="81"/>
      <c r="E15" s="81"/>
      <c r="F15" s="65"/>
      <c r="G15" s="66"/>
      <c r="H15" s="109"/>
      <c r="I15" s="110"/>
    </row>
    <row r="16" spans="1:9" ht="60" customHeight="1" x14ac:dyDescent="0.25">
      <c r="A16" s="32">
        <v>1</v>
      </c>
      <c r="B16" s="32" t="s">
        <v>16</v>
      </c>
      <c r="C16" s="210" t="s">
        <v>33</v>
      </c>
      <c r="D16" s="32">
        <v>3</v>
      </c>
      <c r="E16" s="32">
        <v>6</v>
      </c>
      <c r="F16" s="211">
        <v>25.94</v>
      </c>
      <c r="G16" s="212">
        <v>47.14</v>
      </c>
      <c r="H16" s="212">
        <v>35.43</v>
      </c>
      <c r="I16" s="212">
        <f>AVERAGE(F16:H16)*E16</f>
        <v>217.01999999999998</v>
      </c>
    </row>
    <row r="17" spans="1:9" x14ac:dyDescent="0.25">
      <c r="A17" s="32">
        <v>2</v>
      </c>
      <c r="B17" s="32" t="s">
        <v>17</v>
      </c>
      <c r="C17" s="32" t="s">
        <v>34</v>
      </c>
      <c r="D17" s="32">
        <v>3</v>
      </c>
      <c r="E17" s="32">
        <v>6</v>
      </c>
      <c r="F17" s="212">
        <v>25.94</v>
      </c>
      <c r="G17" s="212">
        <v>47.14</v>
      </c>
      <c r="H17" s="212">
        <v>34.409999999999997</v>
      </c>
      <c r="I17" s="212">
        <f t="shared" ref="I17:I20" si="1">AVERAGE(F17:H17)*E17</f>
        <v>214.98</v>
      </c>
    </row>
    <row r="18" spans="1:9" ht="60" x14ac:dyDescent="0.25">
      <c r="A18" s="32">
        <v>3</v>
      </c>
      <c r="B18" s="32" t="s">
        <v>19</v>
      </c>
      <c r="C18" s="210" t="s">
        <v>35</v>
      </c>
      <c r="D18" s="32">
        <v>2</v>
      </c>
      <c r="E18" s="32">
        <v>4</v>
      </c>
      <c r="F18" s="211">
        <v>84.86</v>
      </c>
      <c r="G18" s="212">
        <v>47.14</v>
      </c>
      <c r="H18" s="212">
        <v>215</v>
      </c>
      <c r="I18" s="212">
        <f t="shared" si="1"/>
        <v>462.66666666666669</v>
      </c>
    </row>
    <row r="19" spans="1:9" ht="30" x14ac:dyDescent="0.25">
      <c r="A19" s="32">
        <v>4</v>
      </c>
      <c r="B19" s="32" t="s">
        <v>22</v>
      </c>
      <c r="C19" s="210" t="s">
        <v>36</v>
      </c>
      <c r="D19" s="32">
        <v>1</v>
      </c>
      <c r="E19" s="32">
        <v>2</v>
      </c>
      <c r="F19" s="211">
        <v>41.5</v>
      </c>
      <c r="G19" s="212">
        <v>51.86</v>
      </c>
      <c r="H19" s="212">
        <v>44.93</v>
      </c>
      <c r="I19" s="212">
        <f t="shared" si="1"/>
        <v>92.193333333333328</v>
      </c>
    </row>
    <row r="20" spans="1:9" ht="30" x14ac:dyDescent="0.25">
      <c r="A20" s="208">
        <v>5</v>
      </c>
      <c r="B20" s="208" t="s">
        <v>20</v>
      </c>
      <c r="C20" s="209" t="s">
        <v>31</v>
      </c>
      <c r="D20" s="208">
        <v>4</v>
      </c>
      <c r="E20" s="32">
        <v>8</v>
      </c>
      <c r="F20" s="213">
        <v>9.34</v>
      </c>
      <c r="G20" s="214">
        <v>5.16</v>
      </c>
      <c r="H20" s="212" t="s">
        <v>66</v>
      </c>
      <c r="I20" s="212">
        <f t="shared" si="1"/>
        <v>58</v>
      </c>
    </row>
    <row r="21" spans="1:9" ht="15.75" x14ac:dyDescent="0.25">
      <c r="A21" s="13"/>
      <c r="B21" s="13"/>
      <c r="C21" s="12"/>
      <c r="D21" s="13"/>
      <c r="E21" s="97" t="s">
        <v>81</v>
      </c>
      <c r="F21" s="98"/>
      <c r="G21" s="99"/>
      <c r="H21" s="100" cm="1">
        <f t="array" ref="H21">SUM(I16:I20/12)</f>
        <v>87.071666666666658</v>
      </c>
      <c r="I21" s="101"/>
    </row>
    <row r="22" spans="1:9" x14ac:dyDescent="0.25">
      <c r="A22" s="80" t="s">
        <v>74</v>
      </c>
      <c r="B22" s="81"/>
      <c r="C22" s="81"/>
      <c r="D22" s="81"/>
      <c r="E22" s="82"/>
      <c r="F22" s="67"/>
      <c r="G22" s="12"/>
      <c r="H22" s="12"/>
      <c r="I22" s="29"/>
    </row>
    <row r="23" spans="1:9" ht="45" x14ac:dyDescent="0.25">
      <c r="A23" s="32">
        <v>1</v>
      </c>
      <c r="B23" s="32" t="s">
        <v>23</v>
      </c>
      <c r="C23" s="215" t="s">
        <v>37</v>
      </c>
      <c r="D23" s="32">
        <v>3</v>
      </c>
      <c r="E23" s="32">
        <v>6</v>
      </c>
      <c r="F23" s="211">
        <v>25.94</v>
      </c>
      <c r="G23" s="216">
        <v>28.75</v>
      </c>
      <c r="H23" s="216">
        <v>35.43</v>
      </c>
      <c r="I23" s="216">
        <f>AVERAGE(F23:H23)*E23</f>
        <v>180.24</v>
      </c>
    </row>
    <row r="24" spans="1:9" x14ac:dyDescent="0.25">
      <c r="A24" s="32">
        <v>2</v>
      </c>
      <c r="B24" s="32" t="s">
        <v>17</v>
      </c>
      <c r="C24" s="217" t="s">
        <v>38</v>
      </c>
      <c r="D24" s="32">
        <v>3</v>
      </c>
      <c r="E24" s="32">
        <v>6</v>
      </c>
      <c r="F24" s="212">
        <v>25.94</v>
      </c>
      <c r="G24" s="216">
        <v>36.6</v>
      </c>
      <c r="H24" s="216">
        <v>34.409999999999997</v>
      </c>
      <c r="I24" s="216">
        <f t="shared" ref="I24:I28" si="2">AVERAGE(F24:H24)*E24</f>
        <v>193.90000000000003</v>
      </c>
    </row>
    <row r="25" spans="1:9" x14ac:dyDescent="0.25">
      <c r="A25" s="32">
        <v>3</v>
      </c>
      <c r="B25" s="32" t="s">
        <v>24</v>
      </c>
      <c r="C25" s="217" t="s">
        <v>39</v>
      </c>
      <c r="D25" s="32">
        <v>1</v>
      </c>
      <c r="E25" s="32">
        <v>2</v>
      </c>
      <c r="F25" s="212">
        <v>10.37</v>
      </c>
      <c r="G25" s="216">
        <v>17.98</v>
      </c>
      <c r="H25" s="216">
        <v>11.25</v>
      </c>
      <c r="I25" s="216">
        <f t="shared" si="2"/>
        <v>26.400000000000002</v>
      </c>
    </row>
    <row r="26" spans="1:9" x14ac:dyDescent="0.25">
      <c r="A26" s="32">
        <v>4</v>
      </c>
      <c r="B26" s="32" t="s">
        <v>25</v>
      </c>
      <c r="C26" s="217" t="s">
        <v>40</v>
      </c>
      <c r="D26" s="32">
        <v>3</v>
      </c>
      <c r="E26" s="32">
        <v>3</v>
      </c>
      <c r="F26" s="212">
        <v>6.74</v>
      </c>
      <c r="G26" s="216">
        <v>10.6</v>
      </c>
      <c r="H26" s="216">
        <v>7.4</v>
      </c>
      <c r="I26" s="216">
        <f t="shared" si="2"/>
        <v>24.740000000000002</v>
      </c>
    </row>
    <row r="27" spans="1:9" x14ac:dyDescent="0.25">
      <c r="A27" s="32">
        <v>5</v>
      </c>
      <c r="B27" s="32" t="s">
        <v>26</v>
      </c>
      <c r="C27" s="217" t="s">
        <v>41</v>
      </c>
      <c r="D27" s="32">
        <v>4</v>
      </c>
      <c r="E27" s="32">
        <v>8</v>
      </c>
      <c r="F27" s="212">
        <v>9.34</v>
      </c>
      <c r="G27" s="216">
        <v>4.25</v>
      </c>
      <c r="H27" s="216" t="s">
        <v>66</v>
      </c>
      <c r="I27" s="216">
        <f t="shared" si="2"/>
        <v>54.36</v>
      </c>
    </row>
    <row r="28" spans="1:9" ht="30" x14ac:dyDescent="0.25">
      <c r="A28" s="32">
        <v>6</v>
      </c>
      <c r="B28" s="32" t="s">
        <v>22</v>
      </c>
      <c r="C28" s="215" t="s">
        <v>42</v>
      </c>
      <c r="D28" s="32">
        <v>1</v>
      </c>
      <c r="E28" s="32">
        <v>2</v>
      </c>
      <c r="F28" s="211">
        <v>41.5</v>
      </c>
      <c r="G28" s="216">
        <v>41.51</v>
      </c>
      <c r="H28" s="216">
        <v>73.53</v>
      </c>
      <c r="I28" s="216">
        <f t="shared" si="2"/>
        <v>104.36</v>
      </c>
    </row>
    <row r="29" spans="1:9" ht="15.75" x14ac:dyDescent="0.25">
      <c r="A29" s="13"/>
      <c r="B29" s="12"/>
      <c r="C29" s="12"/>
      <c r="D29" s="13"/>
      <c r="E29" s="97" t="s">
        <v>81</v>
      </c>
      <c r="F29" s="98"/>
      <c r="G29" s="99"/>
      <c r="H29" s="100" cm="1">
        <f t="array" ref="H29">SUM(I23:I28/12)</f>
        <v>48.666666666666671</v>
      </c>
      <c r="I29" s="101"/>
    </row>
    <row r="30" spans="1:9" x14ac:dyDescent="0.25">
      <c r="A30" s="15"/>
      <c r="B30" s="16"/>
      <c r="C30" s="16"/>
      <c r="D30" s="15"/>
      <c r="E30" s="15"/>
      <c r="F30" s="15"/>
      <c r="G30" s="16"/>
      <c r="H30" s="16"/>
      <c r="I30" s="16"/>
    </row>
    <row r="31" spans="1:9" x14ac:dyDescent="0.25">
      <c r="A31" s="15"/>
      <c r="B31" s="16"/>
      <c r="C31" s="16"/>
      <c r="D31" s="15"/>
      <c r="E31" s="15"/>
      <c r="F31" s="15"/>
      <c r="G31" s="16"/>
      <c r="H31" s="16"/>
      <c r="I31" s="16"/>
    </row>
  </sheetData>
  <mergeCells count="18">
    <mergeCell ref="H15:I15"/>
    <mergeCell ref="A15:E15"/>
    <mergeCell ref="A22:E22"/>
    <mergeCell ref="E29:G29"/>
    <mergeCell ref="H29:I29"/>
    <mergeCell ref="A1:I1"/>
    <mergeCell ref="F2:G2"/>
    <mergeCell ref="F3:G3"/>
    <mergeCell ref="A4:A5"/>
    <mergeCell ref="A6:E6"/>
    <mergeCell ref="B4:B5"/>
    <mergeCell ref="E4:E5"/>
    <mergeCell ref="C4:C5"/>
    <mergeCell ref="D4:D5"/>
    <mergeCell ref="E14:G14"/>
    <mergeCell ref="H14:I14"/>
    <mergeCell ref="E21:G21"/>
    <mergeCell ref="H21:I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91F5B-8360-41D2-A821-42888D65A601}">
  <dimension ref="A1:M37"/>
  <sheetViews>
    <sheetView topLeftCell="A19" zoomScale="110" zoomScaleNormal="110" zoomScaleSheetLayoutView="160" workbookViewId="0">
      <selection activeCell="B35" sqref="B35"/>
    </sheetView>
  </sheetViews>
  <sheetFormatPr defaultRowHeight="15" x14ac:dyDescent="0.25"/>
  <cols>
    <col min="1" max="1" width="4.7109375" style="1" customWidth="1"/>
    <col min="2" max="2" width="46.42578125" customWidth="1"/>
    <col min="3" max="3" width="13" style="1" customWidth="1"/>
    <col min="4" max="4" width="10.140625" customWidth="1"/>
    <col min="9" max="9" width="9.140625" style="59"/>
    <col min="12" max="12" width="14" customWidth="1"/>
    <col min="13" max="13" width="13.28515625" customWidth="1"/>
  </cols>
  <sheetData>
    <row r="1" spans="1:13" x14ac:dyDescent="0.25">
      <c r="A1" s="102" t="s">
        <v>77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3" ht="15.75" x14ac:dyDescent="0.25">
      <c r="A2" s="7"/>
      <c r="B2" s="8"/>
      <c r="C2" s="20"/>
      <c r="D2" s="103" t="s">
        <v>46</v>
      </c>
      <c r="E2" s="104"/>
      <c r="F2" s="104"/>
      <c r="G2" s="104"/>
      <c r="H2" s="23"/>
      <c r="I2" s="62"/>
      <c r="J2" s="9"/>
      <c r="K2" s="11"/>
      <c r="L2" s="8"/>
      <c r="M2" s="22"/>
    </row>
    <row r="3" spans="1:13" ht="15.75" x14ac:dyDescent="0.25">
      <c r="A3" s="7"/>
      <c r="B3" s="8"/>
      <c r="C3" s="20"/>
      <c r="D3" s="103" t="s">
        <v>47</v>
      </c>
      <c r="E3" s="104"/>
      <c r="F3" s="104"/>
      <c r="G3" s="104"/>
      <c r="H3" s="23"/>
      <c r="I3" s="62"/>
      <c r="J3" s="9"/>
      <c r="K3" s="11"/>
      <c r="L3" s="8"/>
      <c r="M3" s="22"/>
    </row>
    <row r="4" spans="1:13" ht="51" x14ac:dyDescent="0.25">
      <c r="A4" s="105" t="s">
        <v>49</v>
      </c>
      <c r="B4" s="105" t="s">
        <v>0</v>
      </c>
      <c r="C4" s="105" t="s">
        <v>1</v>
      </c>
      <c r="D4" s="105" t="s">
        <v>91</v>
      </c>
      <c r="E4" s="2" t="s">
        <v>52</v>
      </c>
      <c r="F4" s="3" t="s">
        <v>68</v>
      </c>
      <c r="G4" s="3" t="s">
        <v>70</v>
      </c>
      <c r="H4" s="3" t="s">
        <v>79</v>
      </c>
      <c r="I4" s="3" t="s">
        <v>235</v>
      </c>
      <c r="J4" s="2" t="s">
        <v>75</v>
      </c>
      <c r="K4" s="4" t="s">
        <v>8</v>
      </c>
      <c r="L4" s="113" t="s">
        <v>90</v>
      </c>
      <c r="M4" s="113" t="s">
        <v>44</v>
      </c>
    </row>
    <row r="5" spans="1:13" ht="25.5" x14ac:dyDescent="0.25">
      <c r="A5" s="108"/>
      <c r="B5" s="108"/>
      <c r="C5" s="108"/>
      <c r="D5" s="108"/>
      <c r="E5" s="5" t="s">
        <v>45</v>
      </c>
      <c r="F5" s="5" t="s">
        <v>45</v>
      </c>
      <c r="G5" s="5" t="s">
        <v>45</v>
      </c>
      <c r="H5" s="24" t="s">
        <v>45</v>
      </c>
      <c r="I5" s="63"/>
      <c r="J5" s="5" t="s">
        <v>45</v>
      </c>
      <c r="K5" s="6" t="s">
        <v>45</v>
      </c>
      <c r="L5" s="114"/>
      <c r="M5" s="114"/>
    </row>
    <row r="6" spans="1:13" x14ac:dyDescent="0.25">
      <c r="A6" s="13">
        <v>1</v>
      </c>
      <c r="B6" s="12" t="s">
        <v>3</v>
      </c>
      <c r="C6" s="13" t="s">
        <v>4</v>
      </c>
      <c r="D6" s="12">
        <v>160</v>
      </c>
      <c r="E6" s="27">
        <v>2.21</v>
      </c>
      <c r="F6" s="27" t="s">
        <v>66</v>
      </c>
      <c r="G6" s="27" t="s">
        <v>66</v>
      </c>
      <c r="H6" s="27">
        <v>1.7</v>
      </c>
      <c r="I6" s="27"/>
      <c r="J6" s="27">
        <v>3.23</v>
      </c>
      <c r="K6" s="27">
        <f>AVERAGE(E6:J6)</f>
        <v>2.3800000000000003</v>
      </c>
      <c r="L6" s="27">
        <f>D6*K6</f>
        <v>380.80000000000007</v>
      </c>
      <c r="M6" s="27">
        <f>L6*12</f>
        <v>4569.6000000000004</v>
      </c>
    </row>
    <row r="7" spans="1:13" x14ac:dyDescent="0.25">
      <c r="A7" s="13">
        <v>2</v>
      </c>
      <c r="B7" s="12" t="s">
        <v>2</v>
      </c>
      <c r="C7" s="13" t="s">
        <v>4</v>
      </c>
      <c r="D7" s="12">
        <v>500</v>
      </c>
      <c r="E7" s="27">
        <v>2.0299999999999998</v>
      </c>
      <c r="F7" s="27" t="s">
        <v>66</v>
      </c>
      <c r="G7" s="27">
        <v>2.23</v>
      </c>
      <c r="H7" s="27" t="s">
        <v>66</v>
      </c>
      <c r="I7" s="27"/>
      <c r="J7" s="27">
        <v>3.21</v>
      </c>
      <c r="K7" s="27">
        <f t="shared" ref="K7:K26" si="0">AVERAGE(E7:J7)</f>
        <v>2.4899999999999998</v>
      </c>
      <c r="L7" s="27">
        <f t="shared" ref="L7:L9" si="1">D7*K7</f>
        <v>1244.9999999999998</v>
      </c>
      <c r="M7" s="27">
        <f t="shared" ref="M7:M29" si="2">L7*12</f>
        <v>14939.999999999996</v>
      </c>
    </row>
    <row r="8" spans="1:13" x14ac:dyDescent="0.25">
      <c r="A8" s="13">
        <v>3</v>
      </c>
      <c r="B8" s="12" t="s">
        <v>76</v>
      </c>
      <c r="C8" s="13" t="s">
        <v>4</v>
      </c>
      <c r="D8" s="12">
        <v>500</v>
      </c>
      <c r="E8" s="27">
        <v>12.44</v>
      </c>
      <c r="F8" s="27" t="s">
        <v>66</v>
      </c>
      <c r="G8" s="27">
        <v>12.15</v>
      </c>
      <c r="H8" s="27">
        <v>15</v>
      </c>
      <c r="I8" s="27">
        <v>25.57</v>
      </c>
      <c r="J8" s="27">
        <v>7.98</v>
      </c>
      <c r="K8" s="27">
        <f t="shared" si="0"/>
        <v>14.628</v>
      </c>
      <c r="L8" s="27">
        <f t="shared" si="1"/>
        <v>7314</v>
      </c>
      <c r="M8" s="27">
        <f t="shared" si="2"/>
        <v>87768</v>
      </c>
    </row>
    <row r="9" spans="1:13" x14ac:dyDescent="0.25">
      <c r="A9" s="13">
        <v>4</v>
      </c>
      <c r="B9" s="12" t="s">
        <v>213</v>
      </c>
      <c r="C9" s="13" t="s">
        <v>5</v>
      </c>
      <c r="D9" s="12">
        <v>250</v>
      </c>
      <c r="E9" s="27"/>
      <c r="F9" s="27" t="s">
        <v>66</v>
      </c>
      <c r="G9" s="27">
        <v>3.15</v>
      </c>
      <c r="H9" s="27">
        <v>2</v>
      </c>
      <c r="I9" s="27"/>
      <c r="J9" s="27" t="s">
        <v>66</v>
      </c>
      <c r="K9" s="27">
        <f t="shared" si="0"/>
        <v>2.5750000000000002</v>
      </c>
      <c r="L9" s="27">
        <f t="shared" si="1"/>
        <v>643.75</v>
      </c>
      <c r="M9" s="27">
        <f t="shared" si="2"/>
        <v>7725</v>
      </c>
    </row>
    <row r="10" spans="1:13" x14ac:dyDescent="0.25">
      <c r="A10" s="13">
        <v>5</v>
      </c>
      <c r="B10" s="12" t="s">
        <v>212</v>
      </c>
      <c r="C10" s="13" t="s">
        <v>14</v>
      </c>
      <c r="D10" s="12">
        <v>55</v>
      </c>
      <c r="E10" s="27">
        <v>3.5</v>
      </c>
      <c r="F10" s="27" t="s">
        <v>66</v>
      </c>
      <c r="G10" s="27">
        <v>4.57</v>
      </c>
      <c r="H10" s="27">
        <v>2.8</v>
      </c>
      <c r="I10" s="27"/>
      <c r="J10" s="27" t="s">
        <v>66</v>
      </c>
      <c r="K10" s="27">
        <f t="shared" si="0"/>
        <v>3.6233333333333335</v>
      </c>
      <c r="L10" s="27">
        <f>D10*K10</f>
        <v>199.28333333333333</v>
      </c>
      <c r="M10" s="27">
        <f t="shared" si="2"/>
        <v>2391.4</v>
      </c>
    </row>
    <row r="11" spans="1:13" ht="28.5" customHeight="1" x14ac:dyDescent="0.25">
      <c r="A11" s="13">
        <v>6</v>
      </c>
      <c r="B11" s="14" t="s">
        <v>215</v>
      </c>
      <c r="C11" s="32" t="s">
        <v>6</v>
      </c>
      <c r="D11" s="12">
        <v>150</v>
      </c>
      <c r="E11" s="27">
        <v>0.14000000000000001</v>
      </c>
      <c r="F11" s="27">
        <v>0.6</v>
      </c>
      <c r="G11" s="27">
        <v>4.4400000000000004</v>
      </c>
      <c r="H11" s="27">
        <v>3</v>
      </c>
      <c r="I11" s="27"/>
      <c r="J11" s="27" t="s">
        <v>66</v>
      </c>
      <c r="K11" s="27">
        <f t="shared" si="0"/>
        <v>2.0449999999999999</v>
      </c>
      <c r="L11" s="27">
        <f t="shared" ref="L11:L26" si="3">D11*K11</f>
        <v>306.75</v>
      </c>
      <c r="M11" s="27">
        <f t="shared" si="2"/>
        <v>3681</v>
      </c>
    </row>
    <row r="12" spans="1:13" ht="30" x14ac:dyDescent="0.25">
      <c r="A12" s="13">
        <v>7</v>
      </c>
      <c r="B12" s="14" t="s">
        <v>214</v>
      </c>
      <c r="C12" s="13" t="s">
        <v>6</v>
      </c>
      <c r="D12" s="12">
        <v>400</v>
      </c>
      <c r="E12" s="27">
        <v>0.1</v>
      </c>
      <c r="F12" s="27">
        <v>0.7</v>
      </c>
      <c r="G12" s="27">
        <v>2.1800000000000002</v>
      </c>
      <c r="H12" s="27">
        <v>3</v>
      </c>
      <c r="I12" s="27"/>
      <c r="J12" s="27"/>
      <c r="K12" s="27">
        <f t="shared" si="0"/>
        <v>1.4950000000000001</v>
      </c>
      <c r="L12" s="27">
        <f t="shared" si="3"/>
        <v>598</v>
      </c>
      <c r="M12" s="27">
        <f t="shared" si="2"/>
        <v>7176</v>
      </c>
    </row>
    <row r="13" spans="1:13" x14ac:dyDescent="0.25">
      <c r="A13" s="13">
        <v>8</v>
      </c>
      <c r="B13" s="12" t="s">
        <v>216</v>
      </c>
      <c r="C13" s="25" t="s">
        <v>14</v>
      </c>
      <c r="D13" s="12">
        <v>12</v>
      </c>
      <c r="E13" s="27">
        <v>12</v>
      </c>
      <c r="F13" s="27" t="s">
        <v>66</v>
      </c>
      <c r="G13" s="27"/>
      <c r="H13" s="27"/>
      <c r="I13" s="27"/>
      <c r="J13" s="27">
        <v>12.98</v>
      </c>
      <c r="K13" s="27">
        <f t="shared" si="0"/>
        <v>12.49</v>
      </c>
      <c r="L13" s="27">
        <f t="shared" si="3"/>
        <v>149.88</v>
      </c>
      <c r="M13" s="27">
        <f t="shared" si="2"/>
        <v>1798.56</v>
      </c>
    </row>
    <row r="14" spans="1:13" x14ac:dyDescent="0.25">
      <c r="A14" s="13">
        <v>9</v>
      </c>
      <c r="B14" s="12" t="s">
        <v>13</v>
      </c>
      <c r="C14" s="26" t="s">
        <v>14</v>
      </c>
      <c r="D14" s="12">
        <v>90</v>
      </c>
      <c r="E14" s="27">
        <v>1.52</v>
      </c>
      <c r="F14" s="27">
        <v>0.8</v>
      </c>
      <c r="G14" s="27"/>
      <c r="H14" s="27">
        <v>1.3</v>
      </c>
      <c r="I14" s="27"/>
      <c r="J14" s="27" t="s">
        <v>66</v>
      </c>
      <c r="K14" s="27">
        <f t="shared" si="0"/>
        <v>1.2066666666666668</v>
      </c>
      <c r="L14" s="27">
        <f t="shared" si="3"/>
        <v>108.60000000000001</v>
      </c>
      <c r="M14" s="27">
        <f t="shared" si="2"/>
        <v>1303.2</v>
      </c>
    </row>
    <row r="15" spans="1:13" x14ac:dyDescent="0.25">
      <c r="A15" s="13">
        <v>10</v>
      </c>
      <c r="B15" s="12" t="s">
        <v>12</v>
      </c>
      <c r="C15" s="26" t="s">
        <v>14</v>
      </c>
      <c r="D15" s="12">
        <v>70</v>
      </c>
      <c r="E15" s="27"/>
      <c r="F15" s="27" t="s">
        <v>66</v>
      </c>
      <c r="G15" s="27">
        <v>1.9</v>
      </c>
      <c r="H15" s="27"/>
      <c r="I15" s="27"/>
      <c r="J15" s="27" t="s">
        <v>66</v>
      </c>
      <c r="K15" s="27">
        <f t="shared" si="0"/>
        <v>1.9</v>
      </c>
      <c r="L15" s="27">
        <f t="shared" si="3"/>
        <v>133</v>
      </c>
      <c r="M15" s="27">
        <f t="shared" si="2"/>
        <v>1596</v>
      </c>
    </row>
    <row r="16" spans="1:13" x14ac:dyDescent="0.25">
      <c r="A16" s="13">
        <v>11</v>
      </c>
      <c r="B16" s="12" t="s">
        <v>217</v>
      </c>
      <c r="C16" s="25" t="s">
        <v>14</v>
      </c>
      <c r="D16" s="12">
        <v>50</v>
      </c>
      <c r="E16" s="27">
        <v>1.52</v>
      </c>
      <c r="F16" s="27">
        <v>0.8</v>
      </c>
      <c r="G16" s="27">
        <v>8.27</v>
      </c>
      <c r="H16" s="27">
        <v>1.3</v>
      </c>
      <c r="I16" s="27"/>
      <c r="J16" s="27" t="s">
        <v>66</v>
      </c>
      <c r="K16" s="27">
        <f t="shared" si="0"/>
        <v>2.9725000000000001</v>
      </c>
      <c r="L16" s="27">
        <f t="shared" si="3"/>
        <v>148.625</v>
      </c>
      <c r="M16" s="27">
        <f t="shared" si="2"/>
        <v>1783.5</v>
      </c>
    </row>
    <row r="17" spans="1:13" x14ac:dyDescent="0.25">
      <c r="A17" s="13">
        <v>12</v>
      </c>
      <c r="B17" s="12" t="s">
        <v>218</v>
      </c>
      <c r="C17" s="25" t="s">
        <v>15</v>
      </c>
      <c r="D17" s="12">
        <v>12</v>
      </c>
      <c r="E17" s="27">
        <v>2.2000000000000002</v>
      </c>
      <c r="F17" s="27">
        <v>0.7</v>
      </c>
      <c r="G17" s="27">
        <v>1.17</v>
      </c>
      <c r="H17" s="27">
        <v>1.45</v>
      </c>
      <c r="I17" s="27"/>
      <c r="J17" s="27" t="s">
        <v>66</v>
      </c>
      <c r="K17" s="27">
        <f t="shared" si="0"/>
        <v>1.3800000000000001</v>
      </c>
      <c r="L17" s="27">
        <f t="shared" si="3"/>
        <v>16.560000000000002</v>
      </c>
      <c r="M17" s="27">
        <f t="shared" si="2"/>
        <v>198.72000000000003</v>
      </c>
    </row>
    <row r="18" spans="1:13" x14ac:dyDescent="0.25">
      <c r="A18" s="13">
        <v>13</v>
      </c>
      <c r="B18" s="12" t="s">
        <v>219</v>
      </c>
      <c r="C18" s="25" t="s">
        <v>14</v>
      </c>
      <c r="D18" s="12">
        <v>70</v>
      </c>
      <c r="E18" s="27">
        <v>1.03</v>
      </c>
      <c r="F18" s="27">
        <v>0.7</v>
      </c>
      <c r="G18" s="27">
        <v>1.01</v>
      </c>
      <c r="H18" s="27">
        <v>0.4</v>
      </c>
      <c r="I18" s="27"/>
      <c r="J18" s="27" t="s">
        <v>66</v>
      </c>
      <c r="K18" s="27">
        <f t="shared" si="0"/>
        <v>0.78500000000000003</v>
      </c>
      <c r="L18" s="27">
        <f t="shared" si="3"/>
        <v>54.95</v>
      </c>
      <c r="M18" s="27">
        <f t="shared" si="2"/>
        <v>659.40000000000009</v>
      </c>
    </row>
    <row r="19" spans="1:13" x14ac:dyDescent="0.25">
      <c r="A19" s="13">
        <v>14</v>
      </c>
      <c r="B19" s="12" t="s">
        <v>220</v>
      </c>
      <c r="C19" s="25" t="s">
        <v>15</v>
      </c>
      <c r="D19" s="12">
        <v>21</v>
      </c>
      <c r="E19" s="27">
        <v>1.18</v>
      </c>
      <c r="F19" s="27"/>
      <c r="G19" s="27">
        <v>2.4</v>
      </c>
      <c r="H19" s="27">
        <v>3.65</v>
      </c>
      <c r="I19" s="27"/>
      <c r="J19" s="27" t="s">
        <v>66</v>
      </c>
      <c r="K19" s="27">
        <f t="shared" si="0"/>
        <v>2.41</v>
      </c>
      <c r="L19" s="27">
        <f t="shared" si="3"/>
        <v>50.61</v>
      </c>
      <c r="M19" s="27">
        <f t="shared" si="2"/>
        <v>607.31999999999994</v>
      </c>
    </row>
    <row r="20" spans="1:13" x14ac:dyDescent="0.25">
      <c r="A20" s="13">
        <v>15</v>
      </c>
      <c r="B20" s="12" t="s">
        <v>221</v>
      </c>
      <c r="C20" s="13" t="s">
        <v>14</v>
      </c>
      <c r="D20" s="12">
        <v>30</v>
      </c>
      <c r="E20" s="27"/>
      <c r="F20" s="27">
        <v>3.2</v>
      </c>
      <c r="G20" s="27"/>
      <c r="H20" s="27">
        <v>2.4500000000000002</v>
      </c>
      <c r="I20" s="27"/>
      <c r="J20" s="27" t="s">
        <v>66</v>
      </c>
      <c r="K20" s="27">
        <f t="shared" si="0"/>
        <v>2.8250000000000002</v>
      </c>
      <c r="L20" s="27">
        <f t="shared" si="3"/>
        <v>84.75</v>
      </c>
      <c r="M20" s="27">
        <f t="shared" si="2"/>
        <v>1017</v>
      </c>
    </row>
    <row r="21" spans="1:13" x14ac:dyDescent="0.25">
      <c r="A21" s="13">
        <v>16</v>
      </c>
      <c r="B21" s="12" t="s">
        <v>222</v>
      </c>
      <c r="C21" s="13" t="s">
        <v>14</v>
      </c>
      <c r="D21" s="12">
        <v>30</v>
      </c>
      <c r="E21" s="27">
        <v>3</v>
      </c>
      <c r="F21" s="27"/>
      <c r="G21" s="27">
        <v>2.25</v>
      </c>
      <c r="H21" s="27">
        <v>2.5</v>
      </c>
      <c r="I21" s="27"/>
      <c r="J21" s="27">
        <v>17.68</v>
      </c>
      <c r="K21" s="27">
        <f t="shared" si="0"/>
        <v>6.3574999999999999</v>
      </c>
      <c r="L21" s="27">
        <f t="shared" si="3"/>
        <v>190.72499999999999</v>
      </c>
      <c r="M21" s="27">
        <f t="shared" si="2"/>
        <v>2288.6999999999998</v>
      </c>
    </row>
    <row r="22" spans="1:13" x14ac:dyDescent="0.25">
      <c r="A22" s="13">
        <v>17</v>
      </c>
      <c r="B22" s="12" t="s">
        <v>223</v>
      </c>
      <c r="C22" s="13" t="s">
        <v>14</v>
      </c>
      <c r="D22" s="12">
        <v>30</v>
      </c>
      <c r="E22" s="27">
        <v>4.5</v>
      </c>
      <c r="F22" s="27"/>
      <c r="G22" s="27">
        <v>2.2599999999999998</v>
      </c>
      <c r="H22" s="27">
        <v>2.5</v>
      </c>
      <c r="I22" s="27"/>
      <c r="J22" s="27">
        <v>17.68</v>
      </c>
      <c r="K22" s="27">
        <f t="shared" si="0"/>
        <v>6.7349999999999994</v>
      </c>
      <c r="L22" s="27">
        <f t="shared" si="3"/>
        <v>202.04999999999998</v>
      </c>
      <c r="M22" s="27">
        <f t="shared" si="2"/>
        <v>2424.6</v>
      </c>
    </row>
    <row r="23" spans="1:13" x14ac:dyDescent="0.25">
      <c r="A23" s="13">
        <v>18</v>
      </c>
      <c r="B23" s="12" t="s">
        <v>11</v>
      </c>
      <c r="C23" s="13" t="s">
        <v>14</v>
      </c>
      <c r="D23" s="12">
        <v>10</v>
      </c>
      <c r="E23" s="27">
        <v>8.14</v>
      </c>
      <c r="F23" s="27">
        <v>6.2</v>
      </c>
      <c r="G23" s="27"/>
      <c r="H23" s="27">
        <v>3.65</v>
      </c>
      <c r="I23" s="27"/>
      <c r="J23" s="27" t="s">
        <v>66</v>
      </c>
      <c r="K23" s="27">
        <f t="shared" si="0"/>
        <v>5.9966666666666661</v>
      </c>
      <c r="L23" s="27">
        <f t="shared" si="3"/>
        <v>59.966666666666661</v>
      </c>
      <c r="M23" s="27">
        <f t="shared" si="2"/>
        <v>719.59999999999991</v>
      </c>
    </row>
    <row r="24" spans="1:13" x14ac:dyDescent="0.25">
      <c r="A24" s="13">
        <v>19</v>
      </c>
      <c r="B24" s="12" t="s">
        <v>224</v>
      </c>
      <c r="C24" s="13" t="s">
        <v>225</v>
      </c>
      <c r="D24" s="12">
        <v>40</v>
      </c>
      <c r="E24" s="27">
        <v>4.63</v>
      </c>
      <c r="F24" s="27">
        <v>2.2999999999999998</v>
      </c>
      <c r="G24" s="27"/>
      <c r="H24" s="27">
        <v>4.5</v>
      </c>
      <c r="I24" s="27"/>
      <c r="J24" s="27" t="s">
        <v>66</v>
      </c>
      <c r="K24" s="27">
        <f t="shared" si="0"/>
        <v>3.81</v>
      </c>
      <c r="L24" s="27">
        <f t="shared" si="3"/>
        <v>152.4</v>
      </c>
      <c r="M24" s="27">
        <f t="shared" si="2"/>
        <v>1828.8000000000002</v>
      </c>
    </row>
    <row r="25" spans="1:13" x14ac:dyDescent="0.25">
      <c r="A25" s="13">
        <v>21</v>
      </c>
      <c r="B25" s="60" t="s">
        <v>226</v>
      </c>
      <c r="C25" s="13" t="s">
        <v>14</v>
      </c>
      <c r="D25" s="12">
        <v>10</v>
      </c>
      <c r="E25" s="27"/>
      <c r="F25" s="27">
        <v>18.399999999999999</v>
      </c>
      <c r="G25" s="27"/>
      <c r="H25" s="27"/>
      <c r="I25" s="27"/>
      <c r="J25" s="27"/>
      <c r="K25" s="27">
        <f t="shared" si="0"/>
        <v>18.399999999999999</v>
      </c>
      <c r="L25" s="27">
        <f t="shared" si="3"/>
        <v>184</v>
      </c>
      <c r="M25" s="27">
        <f t="shared" si="2"/>
        <v>2208</v>
      </c>
    </row>
    <row r="26" spans="1:13" x14ac:dyDescent="0.25">
      <c r="A26" s="13">
        <v>23</v>
      </c>
      <c r="B26" s="12" t="s">
        <v>87</v>
      </c>
      <c r="C26" s="13" t="s">
        <v>88</v>
      </c>
      <c r="D26" s="12">
        <v>1000</v>
      </c>
      <c r="E26" s="27"/>
      <c r="F26" s="27"/>
      <c r="G26" s="27">
        <v>4.5</v>
      </c>
      <c r="H26" s="27"/>
      <c r="I26" s="27"/>
      <c r="J26" s="27"/>
      <c r="K26" s="27">
        <f t="shared" si="0"/>
        <v>4.5</v>
      </c>
      <c r="L26" s="27">
        <f t="shared" si="3"/>
        <v>4500</v>
      </c>
      <c r="M26" s="27">
        <f t="shared" si="2"/>
        <v>54000</v>
      </c>
    </row>
    <row r="27" spans="1:13" s="59" customFormat="1" x14ac:dyDescent="0.25">
      <c r="A27" s="107" t="s">
        <v>250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27">
        <f>SUM(L6:L26)</f>
        <v>16723.699999999997</v>
      </c>
      <c r="M27" s="27">
        <f t="shared" si="2"/>
        <v>200684.39999999997</v>
      </c>
    </row>
    <row r="28" spans="1:13" s="59" customFormat="1" x14ac:dyDescent="0.25">
      <c r="A28" s="80" t="s">
        <v>251</v>
      </c>
      <c r="B28" s="81"/>
      <c r="C28" s="81"/>
      <c r="D28" s="81"/>
      <c r="E28" s="81"/>
      <c r="F28" s="81"/>
      <c r="G28" s="81"/>
      <c r="H28" s="81"/>
      <c r="I28" s="81"/>
      <c r="J28" s="81"/>
      <c r="K28" s="82"/>
      <c r="L28" s="27">
        <f>L27*J33</f>
        <v>6457.6663366336606</v>
      </c>
      <c r="M28" s="27">
        <f>M27*J33</f>
        <v>77491.996039603924</v>
      </c>
    </row>
    <row r="29" spans="1:13" s="59" customFormat="1" x14ac:dyDescent="0.25">
      <c r="A29" s="64"/>
      <c r="B29" s="111" t="s">
        <v>230</v>
      </c>
      <c r="C29" s="111"/>
      <c r="D29" s="111"/>
      <c r="E29" s="111"/>
      <c r="F29" s="111"/>
      <c r="G29" s="111"/>
      <c r="H29" s="111"/>
      <c r="I29" s="111"/>
      <c r="J29" s="111"/>
      <c r="K29" s="111"/>
      <c r="L29" s="69">
        <f>L27+L28</f>
        <v>23181.366336633659</v>
      </c>
      <c r="M29" s="69">
        <f>M27+M28</f>
        <v>278176.39603960386</v>
      </c>
    </row>
    <row r="30" spans="1:13" s="59" customFormat="1" x14ac:dyDescent="0.25">
      <c r="A30" s="15"/>
      <c r="B30" s="61"/>
      <c r="C30" s="15"/>
      <c r="D30" s="61"/>
      <c r="E30" s="57"/>
      <c r="F30" s="57"/>
      <c r="G30" s="57"/>
      <c r="H30" s="57"/>
      <c r="I30" s="57"/>
      <c r="J30" s="57"/>
      <c r="K30" s="57"/>
      <c r="L30" s="57"/>
      <c r="M30" s="57"/>
    </row>
    <row r="31" spans="1:13" s="59" customFormat="1" x14ac:dyDescent="0.25">
      <c r="A31" s="15"/>
      <c r="B31" s="61"/>
      <c r="C31" s="15"/>
      <c r="D31" s="61"/>
      <c r="E31" s="57"/>
      <c r="F31" s="57"/>
      <c r="G31" s="57"/>
      <c r="H31" s="57"/>
      <c r="I31" s="57"/>
      <c r="J31" s="57"/>
      <c r="K31" s="57"/>
      <c r="L31" s="57"/>
      <c r="M31" s="57"/>
    </row>
    <row r="32" spans="1:13" x14ac:dyDescent="0.25">
      <c r="C32" s="70"/>
      <c r="D32" s="59"/>
      <c r="E32" s="59"/>
      <c r="F32" s="59"/>
      <c r="G32" s="59"/>
      <c r="H32" s="59"/>
    </row>
    <row r="33" spans="3:10" x14ac:dyDescent="0.25">
      <c r="C33" s="45" t="s">
        <v>248</v>
      </c>
      <c r="D33" s="45"/>
      <c r="E33" s="38"/>
      <c r="F33" s="59"/>
      <c r="G33" s="59"/>
      <c r="J33" s="78">
        <f>((1+(5%))/(1-(14.25%)-(10%)))-1</f>
        <v>0.38613861386138604</v>
      </c>
    </row>
    <row r="34" spans="3:10" x14ac:dyDescent="0.25">
      <c r="C34" s="70"/>
      <c r="D34" s="59"/>
      <c r="E34" s="59"/>
      <c r="F34" s="59"/>
      <c r="G34" s="59"/>
      <c r="H34" s="59"/>
    </row>
    <row r="36" spans="3:10" x14ac:dyDescent="0.25">
      <c r="C36" s="123" t="s">
        <v>252</v>
      </c>
      <c r="D36" s="123"/>
      <c r="E36" s="123"/>
      <c r="F36" s="123"/>
      <c r="G36" s="123"/>
      <c r="H36" s="123"/>
      <c r="I36" s="123"/>
      <c r="J36" s="123"/>
    </row>
    <row r="37" spans="3:10" x14ac:dyDescent="0.25">
      <c r="C37" s="123"/>
      <c r="D37" s="123"/>
      <c r="E37" s="123"/>
      <c r="F37" s="123"/>
      <c r="G37" s="123"/>
      <c r="H37" s="123"/>
      <c r="I37" s="123"/>
      <c r="J37" s="123"/>
    </row>
  </sheetData>
  <mergeCells count="13">
    <mergeCell ref="C36:J37"/>
    <mergeCell ref="B29:K29"/>
    <mergeCell ref="A27:K27"/>
    <mergeCell ref="A1:M1"/>
    <mergeCell ref="M4:M5"/>
    <mergeCell ref="D2:G2"/>
    <mergeCell ref="D3:G3"/>
    <mergeCell ref="A4:A5"/>
    <mergeCell ref="B4:B5"/>
    <mergeCell ref="C4:C5"/>
    <mergeCell ref="D4:D5"/>
    <mergeCell ref="L4:L5"/>
    <mergeCell ref="A28:K2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6E8F2-FDE8-42D4-8E7D-0DB505C01CD0}">
  <dimension ref="A1:M34"/>
  <sheetViews>
    <sheetView topLeftCell="A20" zoomScale="90" zoomScaleNormal="90" zoomScaleSheetLayoutView="100" workbookViewId="0">
      <selection activeCell="D36" sqref="D36"/>
    </sheetView>
  </sheetViews>
  <sheetFormatPr defaultRowHeight="15" x14ac:dyDescent="0.25"/>
  <cols>
    <col min="1" max="1" width="5.28515625" style="1" customWidth="1"/>
    <col min="2" max="2" width="33.42578125" customWidth="1"/>
    <col min="3" max="3" width="9.140625" style="1"/>
    <col min="4" max="4" width="17.85546875" customWidth="1"/>
    <col min="5" max="5" width="14.7109375" customWidth="1"/>
    <col min="6" max="6" width="12.42578125" customWidth="1"/>
    <col min="7" max="7" width="15" customWidth="1"/>
    <col min="8" max="8" width="16.85546875" bestFit="1" customWidth="1"/>
    <col min="9" max="9" width="9.140625" style="1" customWidth="1"/>
    <col min="10" max="10" width="15.28515625" style="52" customWidth="1"/>
    <col min="11" max="11" width="30.28515625" customWidth="1"/>
  </cols>
  <sheetData>
    <row r="1" spans="1:11" x14ac:dyDescent="0.25">
      <c r="A1" s="115" t="s">
        <v>48</v>
      </c>
      <c r="B1" s="115"/>
      <c r="C1" s="115"/>
      <c r="D1" s="115"/>
      <c r="E1" s="115"/>
      <c r="F1" s="115"/>
      <c r="G1" s="115"/>
      <c r="H1" s="54"/>
      <c r="I1" s="54"/>
      <c r="J1" s="54"/>
      <c r="K1" s="12"/>
    </row>
    <row r="2" spans="1:11" ht="15.75" x14ac:dyDescent="0.25">
      <c r="A2" s="10"/>
      <c r="B2" s="7"/>
      <c r="C2" s="116"/>
      <c r="D2" s="116"/>
      <c r="E2" s="116"/>
      <c r="F2" s="116"/>
      <c r="G2" s="11"/>
      <c r="H2" s="10"/>
      <c r="I2" s="10"/>
      <c r="J2" s="10"/>
      <c r="K2" s="12"/>
    </row>
    <row r="3" spans="1:11" ht="15.75" x14ac:dyDescent="0.25">
      <c r="A3" s="10"/>
      <c r="B3" s="7"/>
      <c r="C3" s="116"/>
      <c r="D3" s="116"/>
      <c r="E3" s="116"/>
      <c r="F3" s="116"/>
      <c r="G3" s="11"/>
      <c r="H3" s="10"/>
      <c r="I3" s="10"/>
      <c r="J3" s="10"/>
      <c r="K3" s="12"/>
    </row>
    <row r="4" spans="1:11" ht="38.25" x14ac:dyDescent="0.25">
      <c r="A4" s="117" t="s">
        <v>49</v>
      </c>
      <c r="B4" s="117" t="s">
        <v>0</v>
      </c>
      <c r="C4" s="117" t="s">
        <v>208</v>
      </c>
      <c r="D4" s="2" t="s">
        <v>51</v>
      </c>
      <c r="E4" s="2" t="s">
        <v>68</v>
      </c>
      <c r="F4" s="2" t="s">
        <v>70</v>
      </c>
      <c r="G4" s="4" t="s">
        <v>8</v>
      </c>
      <c r="H4" s="121" t="s">
        <v>83</v>
      </c>
      <c r="I4" s="121" t="s">
        <v>89</v>
      </c>
      <c r="J4" s="4" t="s">
        <v>209</v>
      </c>
      <c r="K4" s="121" t="s">
        <v>210</v>
      </c>
    </row>
    <row r="5" spans="1:11" x14ac:dyDescent="0.25">
      <c r="A5" s="117"/>
      <c r="B5" s="117"/>
      <c r="C5" s="117"/>
      <c r="D5" s="2" t="s">
        <v>45</v>
      </c>
      <c r="E5" s="2" t="s">
        <v>45</v>
      </c>
      <c r="F5" s="2" t="s">
        <v>45</v>
      </c>
      <c r="G5" s="4" t="s">
        <v>45</v>
      </c>
      <c r="H5" s="121"/>
      <c r="I5" s="121"/>
      <c r="J5" s="55">
        <v>0.1</v>
      </c>
      <c r="K5" s="121"/>
    </row>
    <row r="6" spans="1:11" ht="45" x14ac:dyDescent="0.25">
      <c r="A6" s="13">
        <v>1</v>
      </c>
      <c r="B6" s="14" t="s">
        <v>53</v>
      </c>
      <c r="C6" s="13">
        <v>8</v>
      </c>
      <c r="D6" s="28">
        <v>28.23</v>
      </c>
      <c r="E6" s="28">
        <v>13</v>
      </c>
      <c r="F6" s="28">
        <v>11.71</v>
      </c>
      <c r="G6" s="30">
        <f t="shared" ref="G6:G16" si="0">AVERAGE(D6:F6)</f>
        <v>17.646666666666668</v>
      </c>
      <c r="H6" s="30">
        <f t="shared" ref="H6:H15" si="1">C6*G6</f>
        <v>141.17333333333335</v>
      </c>
      <c r="I6" s="25">
        <v>3</v>
      </c>
      <c r="J6" s="53">
        <f>G6*$J$5</f>
        <v>1.7646666666666668</v>
      </c>
      <c r="K6" s="30">
        <f>C6*((G6-J6)/I6)</f>
        <v>42.352000000000004</v>
      </c>
    </row>
    <row r="7" spans="1:11" ht="30" x14ac:dyDescent="0.25">
      <c r="A7" s="13">
        <v>2</v>
      </c>
      <c r="B7" s="14" t="s">
        <v>54</v>
      </c>
      <c r="C7" s="13">
        <v>900</v>
      </c>
      <c r="D7" s="28" t="s">
        <v>66</v>
      </c>
      <c r="E7" s="28" t="s">
        <v>66</v>
      </c>
      <c r="F7" s="28">
        <v>4.3499999999999996</v>
      </c>
      <c r="G7" s="30">
        <f t="shared" si="0"/>
        <v>4.3499999999999996</v>
      </c>
      <c r="H7" s="30">
        <f t="shared" si="1"/>
        <v>3914.9999999999995</v>
      </c>
      <c r="I7" s="25">
        <v>3</v>
      </c>
      <c r="J7" s="53">
        <f t="shared" ref="J7:J23" si="2">G7*$J$5</f>
        <v>0.435</v>
      </c>
      <c r="K7" s="30">
        <f t="shared" ref="K7:K23" si="3">C7*((G7-J7)/I7)</f>
        <v>1174.5</v>
      </c>
    </row>
    <row r="8" spans="1:11" ht="30" x14ac:dyDescent="0.25">
      <c r="A8" s="13">
        <v>3</v>
      </c>
      <c r="B8" s="14" t="s">
        <v>55</v>
      </c>
      <c r="C8" s="13">
        <v>10</v>
      </c>
      <c r="D8" s="28">
        <v>11</v>
      </c>
      <c r="E8" s="28" t="s">
        <v>66</v>
      </c>
      <c r="F8" s="28">
        <v>6.29</v>
      </c>
      <c r="G8" s="30">
        <f t="shared" si="0"/>
        <v>8.6449999999999996</v>
      </c>
      <c r="H8" s="30">
        <f t="shared" si="1"/>
        <v>86.449999999999989</v>
      </c>
      <c r="I8" s="25">
        <v>0.5</v>
      </c>
      <c r="J8" s="53">
        <f t="shared" si="2"/>
        <v>0.86450000000000005</v>
      </c>
      <c r="K8" s="30">
        <f t="shared" si="3"/>
        <v>155.61000000000001</v>
      </c>
    </row>
    <row r="9" spans="1:11" ht="60" x14ac:dyDescent="0.25">
      <c r="A9" s="13">
        <v>4</v>
      </c>
      <c r="B9" s="14" t="s">
        <v>56</v>
      </c>
      <c r="C9" s="13">
        <v>15</v>
      </c>
      <c r="D9" s="28">
        <v>46</v>
      </c>
      <c r="E9" s="28">
        <v>23.8</v>
      </c>
      <c r="F9" s="28">
        <v>41.52</v>
      </c>
      <c r="G9" s="30">
        <f t="shared" si="0"/>
        <v>37.106666666666662</v>
      </c>
      <c r="H9" s="30">
        <f t="shared" si="1"/>
        <v>556.59999999999991</v>
      </c>
      <c r="I9" s="25">
        <v>3</v>
      </c>
      <c r="J9" s="53">
        <f t="shared" si="2"/>
        <v>3.7106666666666666</v>
      </c>
      <c r="K9" s="30">
        <f t="shared" si="3"/>
        <v>166.97999999999996</v>
      </c>
    </row>
    <row r="10" spans="1:11" ht="30" x14ac:dyDescent="0.25">
      <c r="A10" s="13">
        <v>5</v>
      </c>
      <c r="B10" s="14" t="s">
        <v>57</v>
      </c>
      <c r="C10" s="13">
        <v>8</v>
      </c>
      <c r="D10" s="28">
        <v>37.14</v>
      </c>
      <c r="E10" s="28"/>
      <c r="F10" s="28">
        <v>65.400000000000006</v>
      </c>
      <c r="G10" s="30">
        <f t="shared" si="0"/>
        <v>51.27</v>
      </c>
      <c r="H10" s="30">
        <f t="shared" si="1"/>
        <v>410.16</v>
      </c>
      <c r="I10" s="25">
        <v>3</v>
      </c>
      <c r="J10" s="53">
        <f t="shared" si="2"/>
        <v>5.1270000000000007</v>
      </c>
      <c r="K10" s="30">
        <f t="shared" si="3"/>
        <v>123.048</v>
      </c>
    </row>
    <row r="11" spans="1:11" x14ac:dyDescent="0.25">
      <c r="A11" s="13">
        <v>6</v>
      </c>
      <c r="B11" s="12" t="s">
        <v>58</v>
      </c>
      <c r="C11" s="13">
        <v>4</v>
      </c>
      <c r="D11" s="28">
        <v>1535.54</v>
      </c>
      <c r="E11" s="28">
        <v>150</v>
      </c>
      <c r="F11" s="28">
        <v>894.47</v>
      </c>
      <c r="G11" s="30">
        <f t="shared" si="0"/>
        <v>860.00333333333344</v>
      </c>
      <c r="H11" s="30">
        <f t="shared" si="1"/>
        <v>3440.0133333333338</v>
      </c>
      <c r="I11" s="25">
        <v>3</v>
      </c>
      <c r="J11" s="53">
        <f t="shared" si="2"/>
        <v>86.000333333333344</v>
      </c>
      <c r="K11" s="30">
        <f t="shared" si="3"/>
        <v>1032.0040000000001</v>
      </c>
    </row>
    <row r="12" spans="1:11" x14ac:dyDescent="0.25">
      <c r="A12" s="13">
        <v>7</v>
      </c>
      <c r="B12" s="12" t="s">
        <v>72</v>
      </c>
      <c r="C12" s="13">
        <v>600</v>
      </c>
      <c r="D12" s="28">
        <v>3</v>
      </c>
      <c r="E12" s="28">
        <v>2.2000000000000002</v>
      </c>
      <c r="F12" s="28">
        <v>1.67</v>
      </c>
      <c r="G12" s="30">
        <f t="shared" si="0"/>
        <v>2.29</v>
      </c>
      <c r="H12" s="30">
        <f t="shared" si="1"/>
        <v>1374</v>
      </c>
      <c r="I12" s="25">
        <v>3</v>
      </c>
      <c r="J12" s="53">
        <f t="shared" si="2"/>
        <v>0.22900000000000001</v>
      </c>
      <c r="K12" s="30">
        <f t="shared" si="3"/>
        <v>412.2</v>
      </c>
    </row>
    <row r="13" spans="1:11" ht="30" x14ac:dyDescent="0.25">
      <c r="A13" s="13">
        <v>9</v>
      </c>
      <c r="B13" s="14" t="s">
        <v>59</v>
      </c>
      <c r="C13" s="13">
        <v>900</v>
      </c>
      <c r="D13" s="28" t="s">
        <v>66</v>
      </c>
      <c r="E13" s="28">
        <v>0.5</v>
      </c>
      <c r="F13" s="28">
        <v>6.06</v>
      </c>
      <c r="G13" s="30">
        <f t="shared" si="0"/>
        <v>3.28</v>
      </c>
      <c r="H13" s="30">
        <f t="shared" si="1"/>
        <v>2952</v>
      </c>
      <c r="I13" s="25">
        <v>1</v>
      </c>
      <c r="J13" s="53">
        <f t="shared" si="2"/>
        <v>0.32800000000000001</v>
      </c>
      <c r="K13" s="30">
        <f t="shared" si="3"/>
        <v>2656.8</v>
      </c>
    </row>
    <row r="14" spans="1:11" ht="30" x14ac:dyDescent="0.25">
      <c r="A14" s="13">
        <v>10</v>
      </c>
      <c r="B14" s="14" t="s">
        <v>60</v>
      </c>
      <c r="C14" s="13">
        <v>18</v>
      </c>
      <c r="D14" s="28">
        <v>65</v>
      </c>
      <c r="E14" s="28">
        <v>150</v>
      </c>
      <c r="F14" s="28">
        <v>17.21</v>
      </c>
      <c r="G14" s="30">
        <f t="shared" si="0"/>
        <v>77.403333333333336</v>
      </c>
      <c r="H14" s="30">
        <f t="shared" si="1"/>
        <v>1393.26</v>
      </c>
      <c r="I14" s="25">
        <v>1</v>
      </c>
      <c r="J14" s="53">
        <f t="shared" si="2"/>
        <v>7.740333333333334</v>
      </c>
      <c r="K14" s="30">
        <f t="shared" si="3"/>
        <v>1253.934</v>
      </c>
    </row>
    <row r="15" spans="1:11" x14ac:dyDescent="0.25">
      <c r="A15" s="13">
        <v>11</v>
      </c>
      <c r="B15" s="12" t="s">
        <v>61</v>
      </c>
      <c r="C15" s="13">
        <v>18</v>
      </c>
      <c r="D15" s="28">
        <v>48</v>
      </c>
      <c r="E15" s="28">
        <v>55</v>
      </c>
      <c r="F15" s="28">
        <v>62.67</v>
      </c>
      <c r="G15" s="30">
        <f t="shared" si="0"/>
        <v>55.223333333333336</v>
      </c>
      <c r="H15" s="30">
        <f t="shared" si="1"/>
        <v>994.0200000000001</v>
      </c>
      <c r="I15" s="25">
        <v>3</v>
      </c>
      <c r="J15" s="53">
        <f t="shared" si="2"/>
        <v>5.522333333333334</v>
      </c>
      <c r="K15" s="30">
        <f t="shared" si="3"/>
        <v>298.20600000000002</v>
      </c>
    </row>
    <row r="16" spans="1:11" ht="30" x14ac:dyDescent="0.25">
      <c r="A16" s="13">
        <v>12</v>
      </c>
      <c r="B16" s="14" t="s">
        <v>62</v>
      </c>
      <c r="C16" s="13">
        <v>8</v>
      </c>
      <c r="D16" s="28" t="s">
        <v>66</v>
      </c>
      <c r="E16" s="28" t="s">
        <v>66</v>
      </c>
      <c r="F16" s="28">
        <v>22.6</v>
      </c>
      <c r="G16" s="30">
        <f t="shared" si="0"/>
        <v>22.6</v>
      </c>
      <c r="H16" s="30" t="s">
        <v>82</v>
      </c>
      <c r="I16" s="25">
        <v>3</v>
      </c>
      <c r="J16" s="53">
        <f t="shared" si="2"/>
        <v>2.2600000000000002</v>
      </c>
      <c r="K16" s="30">
        <f t="shared" si="3"/>
        <v>54.24</v>
      </c>
    </row>
    <row r="17" spans="1:13" ht="30" x14ac:dyDescent="0.25">
      <c r="A17" s="13">
        <v>13</v>
      </c>
      <c r="B17" s="14" t="s">
        <v>63</v>
      </c>
      <c r="C17" s="13">
        <v>8</v>
      </c>
      <c r="D17" s="28"/>
      <c r="E17" s="28">
        <v>48</v>
      </c>
      <c r="F17" s="28" t="s">
        <v>71</v>
      </c>
      <c r="G17" s="30">
        <f>AVERAGE(D17:F17)</f>
        <v>48</v>
      </c>
      <c r="H17" s="30">
        <f>C17*G17</f>
        <v>384</v>
      </c>
      <c r="I17" s="25">
        <v>3</v>
      </c>
      <c r="J17" s="53">
        <f t="shared" si="2"/>
        <v>4.8000000000000007</v>
      </c>
      <c r="K17" s="30">
        <f t="shared" si="3"/>
        <v>115.2</v>
      </c>
    </row>
    <row r="18" spans="1:13" ht="30" x14ac:dyDescent="0.25">
      <c r="A18" s="13">
        <v>14</v>
      </c>
      <c r="B18" s="14" t="s">
        <v>64</v>
      </c>
      <c r="C18" s="13">
        <v>600</v>
      </c>
      <c r="D18" s="28"/>
      <c r="E18" s="28">
        <v>3.2</v>
      </c>
      <c r="F18" s="28">
        <v>8.6999999999999993</v>
      </c>
      <c r="G18" s="30">
        <f>AVERAGE(D18:F18)</f>
        <v>5.9499999999999993</v>
      </c>
      <c r="H18" s="30">
        <f>C18*G18</f>
        <v>3569.9999999999995</v>
      </c>
      <c r="I18" s="25">
        <v>1</v>
      </c>
      <c r="J18" s="53">
        <f t="shared" si="2"/>
        <v>0.59499999999999997</v>
      </c>
      <c r="K18" s="30">
        <f t="shared" si="3"/>
        <v>3212.9999999999995</v>
      </c>
    </row>
    <row r="19" spans="1:13" ht="30" x14ac:dyDescent="0.25">
      <c r="A19" s="13">
        <v>15</v>
      </c>
      <c r="B19" s="14" t="s">
        <v>65</v>
      </c>
      <c r="C19" s="13">
        <v>150</v>
      </c>
      <c r="D19" s="28"/>
      <c r="E19" s="28">
        <v>3.2</v>
      </c>
      <c r="F19" s="28">
        <v>8.3699999999999992</v>
      </c>
      <c r="G19" s="30">
        <f>AVERAGE(D19:F19)</f>
        <v>5.7850000000000001</v>
      </c>
      <c r="H19" s="30">
        <f>C19*G19</f>
        <v>867.75</v>
      </c>
      <c r="I19" s="25">
        <v>1</v>
      </c>
      <c r="J19" s="53">
        <f t="shared" si="2"/>
        <v>0.57850000000000001</v>
      </c>
      <c r="K19" s="30">
        <f t="shared" si="3"/>
        <v>780.97500000000002</v>
      </c>
    </row>
    <row r="20" spans="1:13" x14ac:dyDescent="0.25">
      <c r="A20" s="13">
        <v>16</v>
      </c>
      <c r="B20" s="12" t="s">
        <v>10</v>
      </c>
      <c r="C20" s="13">
        <v>10</v>
      </c>
      <c r="D20" s="28"/>
      <c r="E20" s="28">
        <v>25</v>
      </c>
      <c r="F20" s="28">
        <v>11.8</v>
      </c>
      <c r="G20" s="30">
        <f>AVERAGE(D20:F20)</f>
        <v>18.399999999999999</v>
      </c>
      <c r="H20" s="30" t="s">
        <v>82</v>
      </c>
      <c r="I20" s="25">
        <v>0.5</v>
      </c>
      <c r="J20" s="53">
        <f t="shared" si="2"/>
        <v>1.8399999999999999</v>
      </c>
      <c r="K20" s="30">
        <f t="shared" si="3"/>
        <v>331.2</v>
      </c>
    </row>
    <row r="21" spans="1:13" x14ac:dyDescent="0.25">
      <c r="A21" s="13">
        <v>17</v>
      </c>
      <c r="B21" s="12" t="s">
        <v>9</v>
      </c>
      <c r="C21" s="13">
        <v>10</v>
      </c>
      <c r="D21" s="28"/>
      <c r="E21" s="28">
        <v>3.2</v>
      </c>
      <c r="F21" s="28"/>
      <c r="G21" s="30">
        <f>AVERAGE(D21:F21)</f>
        <v>3.2</v>
      </c>
      <c r="H21" s="30">
        <f>C21*G21</f>
        <v>32</v>
      </c>
      <c r="I21" s="25">
        <v>0.5</v>
      </c>
      <c r="J21" s="53">
        <f t="shared" si="2"/>
        <v>0.32000000000000006</v>
      </c>
      <c r="K21" s="30">
        <f t="shared" si="3"/>
        <v>57.599999999999994</v>
      </c>
    </row>
    <row r="22" spans="1:13" s="59" customFormat="1" x14ac:dyDescent="0.25">
      <c r="A22" s="13">
        <v>22</v>
      </c>
      <c r="B22" s="60" t="s">
        <v>86</v>
      </c>
      <c r="C22" s="13">
        <v>20</v>
      </c>
      <c r="D22" s="58">
        <v>8</v>
      </c>
      <c r="E22" s="27"/>
      <c r="F22" s="27"/>
      <c r="G22" s="27">
        <v>8</v>
      </c>
      <c r="H22" s="27"/>
      <c r="I22" s="27">
        <v>0.5</v>
      </c>
      <c r="J22" s="53">
        <f>G22*$J$5</f>
        <v>0.8</v>
      </c>
      <c r="K22" s="30">
        <f t="shared" si="3"/>
        <v>288</v>
      </c>
      <c r="L22" s="31"/>
    </row>
    <row r="23" spans="1:13" x14ac:dyDescent="0.25">
      <c r="A23" s="13">
        <v>18</v>
      </c>
      <c r="B23" s="12" t="s">
        <v>7</v>
      </c>
      <c r="C23" s="13">
        <v>10</v>
      </c>
      <c r="D23" s="28"/>
      <c r="E23" s="28">
        <v>12</v>
      </c>
      <c r="F23" s="28"/>
      <c r="G23" s="30">
        <f>AVERAGE(D23:F23)</f>
        <v>12</v>
      </c>
      <c r="H23" s="30">
        <f>C23*G23</f>
        <v>120</v>
      </c>
      <c r="I23" s="25">
        <v>0.5</v>
      </c>
      <c r="J23" s="53">
        <f t="shared" si="2"/>
        <v>1.2000000000000002</v>
      </c>
      <c r="K23" s="30">
        <f t="shared" si="3"/>
        <v>216</v>
      </c>
    </row>
    <row r="24" spans="1:13" x14ac:dyDescent="0.25">
      <c r="A24" s="107" t="s">
        <v>231</v>
      </c>
      <c r="B24" s="107"/>
      <c r="C24" s="107"/>
      <c r="D24" s="107"/>
      <c r="E24" s="107"/>
      <c r="F24" s="107"/>
      <c r="G24" s="107"/>
      <c r="H24" s="107"/>
      <c r="I24" s="107"/>
      <c r="J24" s="107"/>
      <c r="K24" s="30">
        <f>SUM(K6:K23)/12</f>
        <v>1030.9874166666668</v>
      </c>
    </row>
    <row r="25" spans="1:13" x14ac:dyDescent="0.25">
      <c r="A25" s="107" t="s">
        <v>249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30">
        <f>K24*H30</f>
        <v>398.10405198019799</v>
      </c>
    </row>
    <row r="26" spans="1:13" x14ac:dyDescent="0.25">
      <c r="A26" s="64"/>
      <c r="B26" s="111" t="s">
        <v>232</v>
      </c>
      <c r="C26" s="111"/>
      <c r="D26" s="111"/>
      <c r="E26" s="111"/>
      <c r="F26" s="111"/>
      <c r="G26" s="111"/>
      <c r="H26" s="111"/>
      <c r="I26" s="111"/>
      <c r="J26" s="111"/>
      <c r="K26" s="68">
        <f>K24+K25</f>
        <v>1429.0914686468648</v>
      </c>
    </row>
    <row r="27" spans="1:13" x14ac:dyDescent="0.25">
      <c r="A27" s="64"/>
      <c r="B27" s="118" t="s">
        <v>233</v>
      </c>
      <c r="C27" s="119"/>
      <c r="D27" s="119"/>
      <c r="E27" s="119"/>
      <c r="F27" s="119"/>
      <c r="G27" s="119"/>
      <c r="H27" s="119"/>
      <c r="I27" s="119"/>
      <c r="J27" s="120"/>
      <c r="K27" s="68">
        <f>K26*12</f>
        <v>17149.097623762376</v>
      </c>
    </row>
    <row r="30" spans="1:13" x14ac:dyDescent="0.25">
      <c r="C30" s="45" t="s">
        <v>248</v>
      </c>
      <c r="D30" s="45"/>
      <c r="E30" s="38"/>
      <c r="H30" s="78">
        <f>((1+(5%))/(1-(14.25%)-(10%)))-1</f>
        <v>0.38613861386138604</v>
      </c>
    </row>
    <row r="31" spans="1:13" x14ac:dyDescent="0.25">
      <c r="M31" s="122"/>
    </row>
    <row r="32" spans="1:13" x14ac:dyDescent="0.25">
      <c r="C32" s="125" t="s">
        <v>252</v>
      </c>
      <c r="D32" s="125"/>
      <c r="E32" s="125"/>
      <c r="F32" s="125"/>
      <c r="G32" s="125"/>
      <c r="H32" s="125"/>
    </row>
    <row r="33" spans="3:10" ht="15" customHeight="1" x14ac:dyDescent="0.25">
      <c r="C33" s="125"/>
      <c r="D33" s="125"/>
      <c r="E33" s="125"/>
      <c r="F33" s="125"/>
      <c r="G33" s="125"/>
      <c r="H33" s="125"/>
      <c r="I33" s="124"/>
      <c r="J33" s="124"/>
    </row>
    <row r="34" spans="3:10" x14ac:dyDescent="0.25">
      <c r="C34" s="124"/>
      <c r="D34" s="124"/>
      <c r="E34" s="124"/>
      <c r="F34" s="124"/>
      <c r="G34" s="124"/>
      <c r="H34" s="124"/>
      <c r="I34" s="124"/>
      <c r="J34" s="124"/>
    </row>
  </sheetData>
  <mergeCells count="14">
    <mergeCell ref="C32:H33"/>
    <mergeCell ref="B26:J26"/>
    <mergeCell ref="B27:J27"/>
    <mergeCell ref="A24:J24"/>
    <mergeCell ref="A25:J25"/>
    <mergeCell ref="K4:K5"/>
    <mergeCell ref="I4:I5"/>
    <mergeCell ref="H4:H5"/>
    <mergeCell ref="A1:G1"/>
    <mergeCell ref="C2:F2"/>
    <mergeCell ref="C3:F3"/>
    <mergeCell ref="A4:A5"/>
    <mergeCell ref="B4:B5"/>
    <mergeCell ref="C4:C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Resumo</vt:lpstr>
      <vt:lpstr>Copeira</vt:lpstr>
      <vt:lpstr>Garçom</vt:lpstr>
      <vt:lpstr>Encarregado</vt:lpstr>
      <vt:lpstr>Uniformes</vt:lpstr>
      <vt:lpstr>Materiais</vt:lpstr>
      <vt:lpstr>Equipamentos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Viviam  Hellem Cabral Castro</dc:creator>
  <cp:lastModifiedBy>victor hugo martins dos santos</cp:lastModifiedBy>
  <dcterms:created xsi:type="dcterms:W3CDTF">2021-01-12T18:09:25Z</dcterms:created>
  <dcterms:modified xsi:type="dcterms:W3CDTF">2021-03-12T14:15:42Z</dcterms:modified>
</cp:coreProperties>
</file>