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ra.sales\Downloads\"/>
    </mc:Choice>
  </mc:AlternateContent>
  <xr:revisionPtr revIDLastSave="0" documentId="8_{17C1A9D3-A463-4DB5-B70E-F46E98AA3552}" xr6:coauthVersionLast="45" xr6:coauthVersionMax="45" xr10:uidLastSave="{00000000-0000-0000-0000-000000000000}"/>
  <bookViews>
    <workbookView xWindow="28680" yWindow="-120" windowWidth="19440" windowHeight="15000" tabRatio="969" xr2:uid="{00000000-000D-0000-FFFF-FFFF00000000}"/>
  </bookViews>
  <sheets>
    <sheet name="RESUMO" sheetId="39" r:id="rId1"/>
    <sheet name=" Vigilante Diurno Desarmado" sheetId="33" r:id="rId2"/>
    <sheet name=" Vigilante Noturno Desarmado" sheetId="45" r:id="rId3"/>
    <sheet name=" Vigilante Diurno Armado" sheetId="46" r:id="rId4"/>
    <sheet name=" Vigilante Noturno Armado" sheetId="47" r:id="rId5"/>
    <sheet name="Uniformes e Equipamentos" sheetId="34" r:id="rId6"/>
  </sheets>
  <definedNames>
    <definedName name="_xlnm.Print_Area" localSheetId="3">' Vigilante Diurno Armado'!$A$1:$D$136</definedName>
    <definedName name="_xlnm.Print_Area" localSheetId="1">' Vigilante Diurno Desarmado'!$A$1:$D$137</definedName>
    <definedName name="_xlnm.Print_Area" localSheetId="4">' Vigilante Noturno Armado'!$A$1:$D$136</definedName>
    <definedName name="_xlnm.Print_Area" localSheetId="2">' Vigilante Noturno Desarmado'!$A$1:$D$137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39" l="1"/>
  <c r="H4" i="39"/>
  <c r="H5" i="39"/>
  <c r="G5" i="39"/>
  <c r="G6" i="39"/>
  <c r="G4" i="39"/>
  <c r="G3" i="39"/>
  <c r="H3" i="39"/>
  <c r="H7" i="39" l="1"/>
  <c r="D137" i="45"/>
  <c r="D113" i="47"/>
  <c r="D132" i="47" s="1"/>
  <c r="C119" i="47"/>
  <c r="D110" i="47"/>
  <c r="C105" i="47"/>
  <c r="C95" i="47"/>
  <c r="C82" i="47"/>
  <c r="C78" i="47"/>
  <c r="C64" i="47"/>
  <c r="C63" i="47"/>
  <c r="C62" i="47"/>
  <c r="C57" i="47"/>
  <c r="C41" i="47"/>
  <c r="C43" i="47" s="1"/>
  <c r="D37" i="47"/>
  <c r="D31" i="47"/>
  <c r="D24" i="47"/>
  <c r="D22" i="47"/>
  <c r="C119" i="46"/>
  <c r="D110" i="46"/>
  <c r="D113" i="46" s="1"/>
  <c r="D132" i="46" s="1"/>
  <c r="C105" i="46"/>
  <c r="C95" i="46"/>
  <c r="C82" i="46"/>
  <c r="C78" i="46"/>
  <c r="C79" i="46" s="1"/>
  <c r="C64" i="46"/>
  <c r="C63" i="46"/>
  <c r="C62" i="46"/>
  <c r="C57" i="46"/>
  <c r="C41" i="46"/>
  <c r="C43" i="46" s="1"/>
  <c r="D31" i="46"/>
  <c r="D37" i="46" s="1"/>
  <c r="D24" i="46"/>
  <c r="D22" i="46"/>
  <c r="C120" i="45"/>
  <c r="D112" i="45"/>
  <c r="D110" i="45"/>
  <c r="D114" i="45" s="1"/>
  <c r="D133" i="45" s="1"/>
  <c r="C105" i="45"/>
  <c r="C95" i="45"/>
  <c r="C79" i="45"/>
  <c r="C78" i="45"/>
  <c r="C67" i="45"/>
  <c r="C73" i="45" s="1"/>
  <c r="C64" i="45"/>
  <c r="C63" i="45"/>
  <c r="C62" i="45"/>
  <c r="C57" i="45"/>
  <c r="C82" i="45" s="1"/>
  <c r="C43" i="45"/>
  <c r="C41" i="45"/>
  <c r="D31" i="45"/>
  <c r="D37" i="45" s="1"/>
  <c r="D24" i="45"/>
  <c r="D22" i="45"/>
  <c r="C63" i="33"/>
  <c r="C62" i="33"/>
  <c r="C67" i="47" l="1"/>
  <c r="C73" i="47" s="1"/>
  <c r="D41" i="47"/>
  <c r="D43" i="47" s="1"/>
  <c r="D54" i="47" s="1"/>
  <c r="D50" i="47"/>
  <c r="D42" i="47"/>
  <c r="C79" i="47"/>
  <c r="D128" i="47"/>
  <c r="C67" i="46"/>
  <c r="C73" i="46" s="1"/>
  <c r="D128" i="46"/>
  <c r="D42" i="46"/>
  <c r="C84" i="46"/>
  <c r="D41" i="46"/>
  <c r="D129" i="45"/>
  <c r="D41" i="45"/>
  <c r="D42" i="45"/>
  <c r="C84" i="45"/>
  <c r="D45" i="47" l="1"/>
  <c r="D51" i="47"/>
  <c r="D53" i="47"/>
  <c r="C71" i="47"/>
  <c r="D49" i="47"/>
  <c r="D52" i="47"/>
  <c r="D55" i="47"/>
  <c r="C84" i="47"/>
  <c r="D56" i="47"/>
  <c r="D43" i="46"/>
  <c r="D43" i="45"/>
  <c r="D57" i="47" l="1"/>
  <c r="C72" i="47" s="1"/>
  <c r="C74" i="47"/>
  <c r="D53" i="46"/>
  <c r="C71" i="46"/>
  <c r="D56" i="46"/>
  <c r="D50" i="46"/>
  <c r="D54" i="46"/>
  <c r="D45" i="46"/>
  <c r="D51" i="46"/>
  <c r="D55" i="46"/>
  <c r="D49" i="46"/>
  <c r="D52" i="46"/>
  <c r="D53" i="45"/>
  <c r="C71" i="45"/>
  <c r="D49" i="45"/>
  <c r="D56" i="45"/>
  <c r="D50" i="45"/>
  <c r="D52" i="45"/>
  <c r="D54" i="45"/>
  <c r="D45" i="45"/>
  <c r="D51" i="45"/>
  <c r="D55" i="45"/>
  <c r="D129" i="47" l="1"/>
  <c r="D78" i="47"/>
  <c r="D81" i="47"/>
  <c r="D82" i="47"/>
  <c r="D83" i="47"/>
  <c r="D80" i="47"/>
  <c r="D79" i="47"/>
  <c r="D57" i="46"/>
  <c r="C72" i="46" s="1"/>
  <c r="C74" i="46" s="1"/>
  <c r="D57" i="45"/>
  <c r="C72" i="45" s="1"/>
  <c r="C74" i="45" s="1"/>
  <c r="D84" i="47" l="1"/>
  <c r="D129" i="46"/>
  <c r="D80" i="46"/>
  <c r="D82" i="46"/>
  <c r="D81" i="46"/>
  <c r="D79" i="46"/>
  <c r="D83" i="46"/>
  <c r="D78" i="46"/>
  <c r="D130" i="45"/>
  <c r="D78" i="45"/>
  <c r="D80" i="45"/>
  <c r="D82" i="45"/>
  <c r="D79" i="45"/>
  <c r="D81" i="45"/>
  <c r="D83" i="45"/>
  <c r="D130" i="47" l="1"/>
  <c r="D94" i="47"/>
  <c r="D91" i="47"/>
  <c r="D89" i="47"/>
  <c r="D93" i="47"/>
  <c r="D92" i="47"/>
  <c r="D90" i="47"/>
  <c r="D84" i="46"/>
  <c r="D84" i="45"/>
  <c r="D95" i="47" l="1"/>
  <c r="C104" i="47" s="1"/>
  <c r="C106" i="47" s="1"/>
  <c r="D131" i="47" s="1"/>
  <c r="D133" i="47" s="1"/>
  <c r="D130" i="46"/>
  <c r="D89" i="46"/>
  <c r="D93" i="46"/>
  <c r="D92" i="46"/>
  <c r="D94" i="46"/>
  <c r="D91" i="46"/>
  <c r="D90" i="46"/>
  <c r="D131" i="45"/>
  <c r="D89" i="45"/>
  <c r="D90" i="45"/>
  <c r="D93" i="45"/>
  <c r="D91" i="45"/>
  <c r="D94" i="45"/>
  <c r="D92" i="45"/>
  <c r="D117" i="47" l="1"/>
  <c r="D95" i="46"/>
  <c r="C104" i="46" s="1"/>
  <c r="C106" i="46" s="1"/>
  <c r="D131" i="46" s="1"/>
  <c r="D133" i="46" s="1"/>
  <c r="D95" i="45"/>
  <c r="C104" i="45" s="1"/>
  <c r="C106" i="45" s="1"/>
  <c r="D132" i="45" s="1"/>
  <c r="D134" i="45" s="1"/>
  <c r="D118" i="47" l="1"/>
  <c r="D117" i="46"/>
  <c r="D118" i="45"/>
  <c r="D121" i="47" l="1"/>
  <c r="D122" i="47"/>
  <c r="D123" i="47"/>
  <c r="D118" i="46"/>
  <c r="D122" i="46" s="1"/>
  <c r="D119" i="45"/>
  <c r="D124" i="47" l="1"/>
  <c r="D134" i="47" s="1"/>
  <c r="D136" i="47" s="1"/>
  <c r="D135" i="47"/>
  <c r="D121" i="46"/>
  <c r="D123" i="46"/>
  <c r="D124" i="46" s="1"/>
  <c r="D134" i="46" s="1"/>
  <c r="D123" i="45"/>
  <c r="D122" i="45"/>
  <c r="D124" i="45"/>
  <c r="D135" i="46" l="1"/>
  <c r="D136" i="46"/>
  <c r="D125" i="45"/>
  <c r="D135" i="45" s="1"/>
  <c r="D136" i="45" s="1"/>
  <c r="J34" i="34" l="1"/>
  <c r="N34" i="34" s="1"/>
  <c r="J35" i="34"/>
  <c r="L35" i="34" s="1"/>
  <c r="J36" i="34"/>
  <c r="L36" i="34" s="1"/>
  <c r="J37" i="34"/>
  <c r="L37" i="34" s="1"/>
  <c r="J38" i="34"/>
  <c r="N38" i="34" s="1"/>
  <c r="J39" i="34"/>
  <c r="L39" i="34" s="1"/>
  <c r="J33" i="34"/>
  <c r="N33" i="34" s="1"/>
  <c r="K32" i="34"/>
  <c r="J32" i="34"/>
  <c r="K31" i="34"/>
  <c r="J31" i="34"/>
  <c r="N35" i="34" l="1"/>
  <c r="N36" i="34"/>
  <c r="L38" i="34"/>
  <c r="N39" i="34"/>
  <c r="L34" i="34"/>
  <c r="N37" i="34"/>
  <c r="L32" i="34"/>
  <c r="L31" i="34"/>
  <c r="N31" i="34"/>
  <c r="N32" i="34"/>
  <c r="L33" i="34"/>
  <c r="K7" i="34"/>
  <c r="M7" i="34" s="1"/>
  <c r="J21" i="34"/>
  <c r="L21" i="34" s="1"/>
  <c r="K20" i="34"/>
  <c r="N40" i="34" l="1"/>
  <c r="N41" i="34" s="1"/>
  <c r="N21" i="34"/>
  <c r="C64" i="33" l="1"/>
  <c r="K19" i="34" l="1"/>
  <c r="K22" i="34"/>
  <c r="K18" i="34"/>
  <c r="J19" i="34"/>
  <c r="J20" i="34"/>
  <c r="J22" i="34"/>
  <c r="J18" i="34"/>
  <c r="N22" i="34" l="1"/>
  <c r="N18" i="34"/>
  <c r="N19" i="34"/>
  <c r="N20" i="34"/>
  <c r="L20" i="34"/>
  <c r="L22" i="34"/>
  <c r="L19" i="34"/>
  <c r="L18" i="34"/>
  <c r="K5" i="34"/>
  <c r="K6" i="34"/>
  <c r="K9" i="34"/>
  <c r="K4" i="34"/>
  <c r="C5" i="34" l="1"/>
  <c r="C6" i="34"/>
  <c r="C9" i="34"/>
  <c r="C4" i="34"/>
  <c r="N23" i="34" l="1"/>
  <c r="N24" i="34" s="1"/>
  <c r="M9" i="34"/>
  <c r="M6" i="34"/>
  <c r="M5" i="34"/>
  <c r="M4" i="34"/>
  <c r="D112" i="33" l="1"/>
  <c r="M10" i="34"/>
  <c r="M11" i="34" s="1"/>
  <c r="D110" i="33" l="1"/>
  <c r="D114" i="33" s="1"/>
  <c r="D133" i="33" s="1"/>
  <c r="C120" i="33"/>
  <c r="C105" i="33"/>
  <c r="C78" i="33"/>
  <c r="C79" i="33" s="1"/>
  <c r="C57" i="33"/>
  <c r="C82" i="33" s="1"/>
  <c r="C41" i="33"/>
  <c r="C43" i="33" s="1"/>
  <c r="D24" i="33"/>
  <c r="D22" i="33"/>
  <c r="D31" i="33" l="1"/>
  <c r="D37" i="33" s="1"/>
  <c r="D129" i="33" s="1"/>
  <c r="C95" i="33"/>
  <c r="C84" i="33"/>
  <c r="C67" i="33" l="1"/>
  <c r="C73" i="33" s="1"/>
  <c r="D41" i="33"/>
  <c r="D42" i="33"/>
  <c r="D43" i="33" s="1"/>
  <c r="D52" i="33" s="1"/>
  <c r="D51" i="33" l="1"/>
  <c r="D54" i="33"/>
  <c r="D53" i="33"/>
  <c r="D55" i="33"/>
  <c r="D56" i="33"/>
  <c r="C71" i="33"/>
  <c r="D50" i="33"/>
  <c r="D49" i="33"/>
  <c r="D45" i="33"/>
  <c r="D57" i="33" l="1"/>
  <c r="C72" i="33" s="1"/>
  <c r="C74" i="33" s="1"/>
  <c r="D79" i="33" s="1"/>
  <c r="D130" i="33" l="1"/>
  <c r="D81" i="33"/>
  <c r="D80" i="33"/>
  <c r="D78" i="33"/>
  <c r="D82" i="33"/>
  <c r="D83" i="33"/>
  <c r="D84" i="33" l="1"/>
  <c r="D89" i="33" s="1"/>
  <c r="D90" i="33" l="1"/>
  <c r="D91" i="33"/>
  <c r="D94" i="33"/>
  <c r="D131" i="33"/>
  <c r="D93" i="33"/>
  <c r="D92" i="33"/>
  <c r="D95" i="33" l="1"/>
  <c r="C104" i="33" s="1"/>
  <c r="C106" i="33" s="1"/>
  <c r="D132" i="33" s="1"/>
  <c r="D134" i="33" s="1"/>
  <c r="D118" i="33" l="1"/>
  <c r="D119" i="33" s="1"/>
  <c r="D122" i="33" s="1"/>
  <c r="D124" i="33" l="1"/>
  <c r="D123" i="33"/>
  <c r="D125" i="33" l="1"/>
  <c r="D135" i="33" s="1"/>
  <c r="D137" i="33" l="1"/>
  <c r="F3" i="39" s="1"/>
  <c r="D136" i="33"/>
</calcChain>
</file>

<file path=xl/sharedStrings.xml><?xml version="1.0" encoding="utf-8"?>
<sst xmlns="http://schemas.openxmlformats.org/spreadsheetml/2006/main" count="983" uniqueCount="196">
  <si>
    <t>Dados complementares para composição dos custos referente à mão-de-obra</t>
  </si>
  <si>
    <t>Tipo de serviço (mesmo serviço com características distintas)</t>
  </si>
  <si>
    <t>Data base da categoria (dia/mês/ano)</t>
  </si>
  <si>
    <t>MÓDULO 1 - COMPOSIÇÃO DA REMUNERAÇÃO</t>
  </si>
  <si>
    <t>I</t>
  </si>
  <si>
    <t>Composição da Remuneração</t>
  </si>
  <si>
    <t>Valor (R$)</t>
  </si>
  <si>
    <t>A</t>
  </si>
  <si>
    <t>Salário Base</t>
  </si>
  <si>
    <t>B</t>
  </si>
  <si>
    <t>Adicional de periculosidade</t>
  </si>
  <si>
    <t>C</t>
  </si>
  <si>
    <t>Adicional de insalubridade</t>
  </si>
  <si>
    <t>D</t>
  </si>
  <si>
    <t>E</t>
  </si>
  <si>
    <t>Hora noturna adicional</t>
  </si>
  <si>
    <t>F</t>
  </si>
  <si>
    <t>G</t>
  </si>
  <si>
    <t>H</t>
  </si>
  <si>
    <t>Outros (especificar)</t>
  </si>
  <si>
    <t>Total da Remuneração</t>
  </si>
  <si>
    <t>MÓDULO 2 - BENEFÍCIOS MENSAIS E DIÁRIOS</t>
  </si>
  <si>
    <t>Benefícios Mensais e Diários</t>
  </si>
  <si>
    <t>Total de benefícios mensais e diários</t>
  </si>
  <si>
    <t>Insumos diversos</t>
  </si>
  <si>
    <t>4.1</t>
  </si>
  <si>
    <t>Encargos previdenciários e FGTS</t>
  </si>
  <si>
    <t>%</t>
  </si>
  <si>
    <t>INSS</t>
  </si>
  <si>
    <t>SESI OU SESC</t>
  </si>
  <si>
    <t>SENAI OU SENAC</t>
  </si>
  <si>
    <t>INCRA</t>
  </si>
  <si>
    <t>Salário Educação</t>
  </si>
  <si>
    <t>FGTS</t>
  </si>
  <si>
    <t>SEBRAE</t>
  </si>
  <si>
    <t>Total</t>
  </si>
  <si>
    <t>4.2</t>
  </si>
  <si>
    <t>13º Salário</t>
  </si>
  <si>
    <t>Provisão para Rescisão</t>
  </si>
  <si>
    <t>Custo de Reposição do Profissional Ausente</t>
  </si>
  <si>
    <t>Custos Indiretos, Tributos e Lucro</t>
  </si>
  <si>
    <t>Custos Indiretos</t>
  </si>
  <si>
    <t>Tributos</t>
  </si>
  <si>
    <t>Tributos Federais (especificar)</t>
  </si>
  <si>
    <t>Lucro</t>
  </si>
  <si>
    <t>Mão-de-Obra vinculada à execução contratual (valor por empregado)</t>
  </si>
  <si>
    <t>(R$)</t>
  </si>
  <si>
    <t>Módulo 1 - Composição da Remuneração</t>
  </si>
  <si>
    <t>A.1</t>
  </si>
  <si>
    <t>Desconto Transporte</t>
  </si>
  <si>
    <t>PIS</t>
  </si>
  <si>
    <t>COFINS</t>
  </si>
  <si>
    <t>MODELO DE PLANILHA DE COMPOSIÇÃO DE CUSTOS E FORMAÇÃO DE PREÇOS</t>
  </si>
  <si>
    <t>Discriminação dos Serviços (dados referentes à contratação)</t>
  </si>
  <si>
    <t>Data de apresentação da proposta (dia/mês/ano)</t>
  </si>
  <si>
    <t>Município/UF</t>
  </si>
  <si>
    <t>Ano, Acordo, Convenção ou Sentença Normativa em Dissídio Coletivo</t>
  </si>
  <si>
    <t>Nº de meses de execução contratual</t>
  </si>
  <si>
    <t>Identificação do Serviço</t>
  </si>
  <si>
    <t>C.1</t>
  </si>
  <si>
    <t>C.1.1</t>
  </si>
  <si>
    <t>C.1.2</t>
  </si>
  <si>
    <t>Materiais</t>
  </si>
  <si>
    <t>Equipamentos</t>
  </si>
  <si>
    <t>CCT (REFERÊNCIA)</t>
  </si>
  <si>
    <t>Total de Insumos Diversos</t>
  </si>
  <si>
    <t>Nº da Licitação</t>
  </si>
  <si>
    <t>Nº do Processo</t>
  </si>
  <si>
    <t>Empresa</t>
  </si>
  <si>
    <t>TIPO DE SERVIÇO</t>
  </si>
  <si>
    <t>UNIDADE DE MEDIDA</t>
  </si>
  <si>
    <t>QUANTIDADE MENSAL A CONTRATAR</t>
  </si>
  <si>
    <t>Posto</t>
  </si>
  <si>
    <t>Quantidade (nº de trabalhadores)</t>
  </si>
  <si>
    <t>Adicional Noturno + Prorrogação Jornada Noturna</t>
  </si>
  <si>
    <t>Uniformes/EPIs</t>
  </si>
  <si>
    <t>Incidência do FGTS sobre o Aviso Prévio Indenizado</t>
  </si>
  <si>
    <t>Aviso Prévio Indenizado</t>
  </si>
  <si>
    <t>Aviso Prévio Trabalhado</t>
  </si>
  <si>
    <t>Feriado Trabalhado (Súmula 444 TST)</t>
  </si>
  <si>
    <t>Adicional de Férias</t>
  </si>
  <si>
    <t>Assistência médica e familiar</t>
  </si>
  <si>
    <t>13º (décimo terceiro) Salário, Férias e Adicional de Férias</t>
  </si>
  <si>
    <t>2.1</t>
  </si>
  <si>
    <t>Submódulo 2.2 - Encargos Previdenciários (GPS), Fundo de Garantia por Tempo de Serviço (FGTS) e outras contribuições.</t>
  </si>
  <si>
    <t>2.2</t>
  </si>
  <si>
    <t xml:space="preserve">Seguro Acidente do Trabalho </t>
  </si>
  <si>
    <t>Submódulo 2.3 - Benefícios Mensais e Diários.</t>
  </si>
  <si>
    <t>2.3</t>
  </si>
  <si>
    <t>Encargos e Benefícios Anuais, Mensais e Diários</t>
  </si>
  <si>
    <t>GPS, FGTS e outras contribuições</t>
  </si>
  <si>
    <t>TOTAL</t>
  </si>
  <si>
    <t>MÓDULO 3 - PROVISÃO PARA RESCISÃO</t>
  </si>
  <si>
    <t>Incidência do submódulo 2.2 sobre o Aviso Prévio Trabalhado</t>
  </si>
  <si>
    <t>MÓDULO 4 - CUSTO DE REPOSIÇÃO DE PROFISSIONAL AUSENTE</t>
  </si>
  <si>
    <t>Quadro-Resumo do Módulo 2 - Encargos e Benefícios Anuais, Mensais e Diários</t>
  </si>
  <si>
    <t>Submódulo 4.1 - Ausências Legais</t>
  </si>
  <si>
    <t>Ausências Legais</t>
  </si>
  <si>
    <t>Ausência Legais</t>
  </si>
  <si>
    <t>Licença Paternidade</t>
  </si>
  <si>
    <t>Submódulo 4.2 - Intrajornada</t>
  </si>
  <si>
    <t>Intrajornada</t>
  </si>
  <si>
    <t>Intervalo para repouso e alimentação</t>
  </si>
  <si>
    <t>Quadro-Resumo do Módulo 4 - Custo de Reposição de Profissional Ausente</t>
  </si>
  <si>
    <t>MÓDULO 5 - INSUMOS DIVERSOS</t>
  </si>
  <si>
    <t>MÓDULO 6 - CUSTOS INDIRETOS, TRIBUTOS E LUCRO</t>
  </si>
  <si>
    <t>C.1.3</t>
  </si>
  <si>
    <t>Módulo 2 - Encargos e Benefícios Anuais, Mensais e Diários</t>
  </si>
  <si>
    <t>Módulo 3 - Provisão para Rescisão</t>
  </si>
  <si>
    <t>Módulo 4 - Custo de Reposição do Profissional Ausente</t>
  </si>
  <si>
    <t>Módulo 5 - Insumos Diversos</t>
  </si>
  <si>
    <t>Subtotal (A + B + C + D + E):</t>
  </si>
  <si>
    <t>Módulo 6 - Custos Indiretos, Tributos e Lucro</t>
  </si>
  <si>
    <t>Quadro-Resumo do Custo por Empregados</t>
  </si>
  <si>
    <t>Multa FGTS  e Contribuições Sociais do Aviso Prévio Trabalhado</t>
  </si>
  <si>
    <t>Ausência por Acidente de trabalho</t>
  </si>
  <si>
    <t>ISS</t>
  </si>
  <si>
    <t xml:space="preserve">Ausências Maternidade </t>
  </si>
  <si>
    <t>Categoria profissional (vinculada à execução contratual)</t>
  </si>
  <si>
    <t xml:space="preserve">Multa FGTS e contribuições sociais sobre o Aviso Prévio Indenizado </t>
  </si>
  <si>
    <t>Férias</t>
  </si>
  <si>
    <t>Valor Total Mensal do Empregado</t>
  </si>
  <si>
    <t>Valor Total Mensal do Posto</t>
  </si>
  <si>
    <t>Total - Módulo 1 + 2.1</t>
  </si>
  <si>
    <t xml:space="preserve">Salário normativo da categoria profissional </t>
  </si>
  <si>
    <t>ITEM</t>
  </si>
  <si>
    <t xml:space="preserve"> </t>
  </si>
  <si>
    <t>POSTO</t>
  </si>
  <si>
    <t>CBO</t>
  </si>
  <si>
    <t>QTD DE POSTOS</t>
  </si>
  <si>
    <t>Item</t>
  </si>
  <si>
    <t>Valor Unitário</t>
  </si>
  <si>
    <t xml:space="preserve">Qtd. Anual </t>
  </si>
  <si>
    <t>VALOR MENSAL DO POSTO</t>
  </si>
  <si>
    <t>VALOR ANUAL DO POSTO</t>
  </si>
  <si>
    <t>VALOR TOTAL DA CONTRATAÇÃO</t>
  </si>
  <si>
    <t>Valor Total Anual (R$)</t>
  </si>
  <si>
    <t>B.1</t>
  </si>
  <si>
    <r>
      <rPr>
        <b/>
        <sz val="11"/>
        <color theme="1"/>
        <rFont val="Calibri"/>
        <family val="2"/>
        <scheme val="minor"/>
      </rPr>
      <t>MINISTÉRIO DO TURISMO</t>
    </r>
    <r>
      <rPr>
        <sz val="11"/>
        <color theme="1"/>
        <rFont val="Calibri"/>
        <family val="2"/>
        <scheme val="minor"/>
      </rPr>
      <t xml:space="preserve">
Subsecretaria de Planejamento, Orçamento e Administração
Coordenação-Geral de Recursos Logísticos </t>
    </r>
  </si>
  <si>
    <t>Vigilante Diurno 12x36</t>
  </si>
  <si>
    <t>Quantidade Semestral</t>
  </si>
  <si>
    <t xml:space="preserve">Quantidade Anual </t>
  </si>
  <si>
    <t>Camisa de Manga Comprida</t>
  </si>
  <si>
    <t>Sapatos pretos</t>
  </si>
  <si>
    <t>Meias pretas</t>
  </si>
  <si>
    <t>Livros de Ocorrência</t>
  </si>
  <si>
    <t>-</t>
  </si>
  <si>
    <t>Média</t>
  </si>
  <si>
    <t xml:space="preserve">Vida útil (meses) </t>
  </si>
  <si>
    <t xml:space="preserve">Valor mensal por posto </t>
  </si>
  <si>
    <t xml:space="preserve">TOTAL MENSAL POR POSTO </t>
  </si>
  <si>
    <t>TOTAL MENSAL POR VIGILANTE</t>
  </si>
  <si>
    <t>TOTAL ANUAL</t>
  </si>
  <si>
    <t>Desconto Auxílio-Refeição/ Alimentção</t>
  </si>
  <si>
    <t xml:space="preserve">Assistência médica e familiar </t>
  </si>
  <si>
    <t>5173-30</t>
  </si>
  <si>
    <t xml:space="preserve">Gravata </t>
  </si>
  <si>
    <t>Porta Cassetete*</t>
  </si>
  <si>
    <t>Rádio Comunicador*</t>
  </si>
  <si>
    <t>Cassetete*</t>
  </si>
  <si>
    <t xml:space="preserve">Obs. Os itens marcados (*) serão entregues uma única vez no início do contrato. </t>
  </si>
  <si>
    <t>Painel de Preços</t>
  </si>
  <si>
    <t>Pregão 38/2019 Câmara dos Deputados</t>
  </si>
  <si>
    <t>Pregão 13/2020 - Ministério da Justiça e Segurança Pública</t>
  </si>
  <si>
    <t xml:space="preserve">Cinto </t>
  </si>
  <si>
    <t>Pregão 09.2020 - Conselho da Justiça Federal</t>
  </si>
  <si>
    <t>Contrato DI - 001/2020 Tribunal Superior do Trabalho</t>
  </si>
  <si>
    <t>Contrato 150/2019 TJDFT</t>
  </si>
  <si>
    <t>Pregão 01/2019 Conselho Nacional de Justiça</t>
  </si>
  <si>
    <t>Pregão 040/2019 - Tribunal de Contas da União</t>
  </si>
  <si>
    <t>Pregão Ministério Público Federal</t>
  </si>
  <si>
    <t>Equipamentos por Posto - Desarmado</t>
  </si>
  <si>
    <t>Equipamentos por Posto - Armado</t>
  </si>
  <si>
    <t>Revolver Calibre 38</t>
  </si>
  <si>
    <t>Munição</t>
  </si>
  <si>
    <t>Colete Balístico</t>
  </si>
  <si>
    <t>Armário de Aço</t>
  </si>
  <si>
    <t>Cinto Tático guarnição completa ( com coldre, porta lanterna e porta munição e revolver</t>
  </si>
  <si>
    <t>Apito (de metal, com corrdão e com bolinha)</t>
  </si>
  <si>
    <t>Lanterna Tática Profissional (com bateria e recarregável e carregador)</t>
  </si>
  <si>
    <t xml:space="preserve">Uniforme - Vigilante </t>
  </si>
  <si>
    <t>Pregão 18/2019 - Ministério Público Federal</t>
  </si>
  <si>
    <t>Lanterna Tática Recarregável</t>
  </si>
  <si>
    <t>Terno Preto (calça e paletó)</t>
  </si>
  <si>
    <t>Distrito Federal/DF</t>
  </si>
  <si>
    <t>MR068331/2020</t>
  </si>
  <si>
    <t>CCT 2021</t>
  </si>
  <si>
    <t xml:space="preserve">Transporte (15x (5,50x2)) </t>
  </si>
  <si>
    <t>Auxílio-Refeição/Alimentação (15 x 39,29)</t>
  </si>
  <si>
    <t>2021</t>
  </si>
  <si>
    <t xml:space="preserve">Equipamentos/Materiais </t>
  </si>
  <si>
    <t>Vigilante Diurno Desarmado 12x36</t>
  </si>
  <si>
    <t>Vigilante Noturno Desarmado 12x36</t>
  </si>
  <si>
    <t>Vigilante Diurno Armado 12x36</t>
  </si>
  <si>
    <t>Vigilante Noturno Armado 12x36</t>
  </si>
  <si>
    <t>Contrato  13.2020 - Superior Tribunal de Justiça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</si>
</sst>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0.0000%"/>
    <numFmt numFmtId="166" formatCode="#,##0_ ;\-#,##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1.5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b/>
      <sz val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206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10" fontId="9" fillId="4" borderId="15" xfId="2" applyNumberFormat="1" applyFont="1" applyFill="1" applyBorder="1" applyAlignment="1">
      <alignment horizontal="center"/>
    </xf>
    <xf numFmtId="10" fontId="9" fillId="4" borderId="15" xfId="2" applyNumberFormat="1" applyFont="1" applyFill="1" applyBorder="1" applyAlignment="1">
      <alignment horizontal="center" vertical="center"/>
    </xf>
    <xf numFmtId="10" fontId="13" fillId="4" borderId="15" xfId="2" applyNumberFormat="1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4" fillId="4" borderId="39" xfId="0" applyFont="1" applyFill="1" applyBorder="1" applyAlignment="1">
      <alignment vertical="center" wrapText="1"/>
    </xf>
    <xf numFmtId="10" fontId="12" fillId="4" borderId="1" xfId="0" applyNumberFormat="1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vertical="center" wrapText="1"/>
    </xf>
    <xf numFmtId="10" fontId="10" fillId="4" borderId="1" xfId="2" applyNumberFormat="1" applyFont="1" applyFill="1" applyBorder="1" applyAlignment="1">
      <alignment horizontal="center" vertical="center" wrapText="1"/>
    </xf>
    <xf numFmtId="44" fontId="4" fillId="4" borderId="28" xfId="1" applyFont="1" applyFill="1" applyBorder="1" applyAlignment="1">
      <alignment horizontal="center" vertical="center" wrapText="1"/>
    </xf>
    <xf numFmtId="44" fontId="4" fillId="4" borderId="39" xfId="1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0" fillId="4" borderId="0" xfId="0" applyFont="1" applyFill="1"/>
    <xf numFmtId="0" fontId="2" fillId="4" borderId="0" xfId="0" applyFont="1" applyFill="1" applyAlignment="1">
      <alignment horizontal="center" vertical="center"/>
    </xf>
    <xf numFmtId="0" fontId="0" fillId="4" borderId="0" xfId="0" applyFont="1" applyFill="1" applyAlignment="1">
      <alignment horizontal="center"/>
    </xf>
    <xf numFmtId="0" fontId="3" fillId="4" borderId="19" xfId="0" applyFont="1" applyFill="1" applyBorder="1" applyAlignment="1">
      <alignment horizontal="left" vertical="center" wrapText="1"/>
    </xf>
    <xf numFmtId="0" fontId="3" fillId="4" borderId="32" xfId="0" applyFont="1" applyFill="1" applyBorder="1" applyAlignment="1">
      <alignment horizontal="left" vertical="center" wrapText="1"/>
    </xf>
    <xf numFmtId="0" fontId="3" fillId="4" borderId="20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39" xfId="0" applyFont="1" applyFill="1" applyBorder="1" applyAlignment="1">
      <alignment horizontal="center" vertical="center" wrapText="1"/>
    </xf>
    <xf numFmtId="49" fontId="4" fillId="4" borderId="12" xfId="0" applyNumberFormat="1" applyFont="1" applyFill="1" applyBorder="1" applyAlignment="1">
      <alignment horizontal="center" vertical="center" wrapText="1"/>
    </xf>
    <xf numFmtId="0" fontId="4" fillId="4" borderId="12" xfId="0" applyNumberFormat="1" applyFont="1" applyFill="1" applyBorder="1" applyAlignment="1">
      <alignment horizontal="center" vertical="center" wrapText="1"/>
    </xf>
    <xf numFmtId="0" fontId="0" fillId="4" borderId="0" xfId="0" applyFont="1" applyFill="1" applyBorder="1"/>
    <xf numFmtId="0" fontId="4" fillId="4" borderId="0" xfId="0" applyFont="1" applyFill="1" applyAlignment="1">
      <alignment horizontal="center" vertical="center"/>
    </xf>
    <xf numFmtId="0" fontId="3" fillId="4" borderId="28" xfId="0" applyFont="1" applyFill="1" applyBorder="1" applyAlignment="1">
      <alignment vertical="center" wrapText="1"/>
    </xf>
    <xf numFmtId="44" fontId="4" fillId="4" borderId="39" xfId="1" applyFont="1" applyFill="1" applyBorder="1" applyAlignment="1">
      <alignment vertical="center" wrapText="1"/>
    </xf>
    <xf numFmtId="44" fontId="4" fillId="4" borderId="12" xfId="1" applyFont="1" applyFill="1" applyBorder="1" applyAlignment="1">
      <alignment vertical="center" wrapText="1"/>
    </xf>
    <xf numFmtId="0" fontId="11" fillId="4" borderId="0" xfId="0" applyFont="1" applyFill="1"/>
    <xf numFmtId="0" fontId="4" fillId="4" borderId="26" xfId="0" applyFont="1" applyFill="1" applyBorder="1" applyAlignment="1">
      <alignment horizontal="center" vertical="center" wrapText="1"/>
    </xf>
    <xf numFmtId="44" fontId="4" fillId="4" borderId="36" xfId="1" applyFont="1" applyFill="1" applyBorder="1" applyAlignment="1">
      <alignment vertical="center" wrapText="1"/>
    </xf>
    <xf numFmtId="44" fontId="4" fillId="4" borderId="28" xfId="1" applyFont="1" applyFill="1" applyBorder="1" applyAlignment="1">
      <alignment vertical="center" wrapText="1"/>
    </xf>
    <xf numFmtId="0" fontId="0" fillId="4" borderId="0" xfId="0" applyFont="1" applyFill="1" applyAlignment="1">
      <alignment horizontal="center" vertical="center"/>
    </xf>
    <xf numFmtId="0" fontId="3" fillId="4" borderId="28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vertical="center" wrapText="1"/>
    </xf>
    <xf numFmtId="10" fontId="3" fillId="4" borderId="21" xfId="2" applyNumberFormat="1" applyFont="1" applyFill="1" applyBorder="1" applyAlignment="1">
      <alignment horizontal="center" vertical="center" wrapText="1"/>
    </xf>
    <xf numFmtId="164" fontId="0" fillId="4" borderId="12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justify" vertical="center" wrapText="1"/>
    </xf>
    <xf numFmtId="0" fontId="4" fillId="4" borderId="27" xfId="0" applyFont="1" applyFill="1" applyBorder="1" applyAlignment="1">
      <alignment vertical="center" wrapText="1"/>
    </xf>
    <xf numFmtId="44" fontId="3" fillId="4" borderId="28" xfId="1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horizontal="left" vertical="center" wrapText="1"/>
    </xf>
    <xf numFmtId="44" fontId="4" fillId="4" borderId="1" xfId="1" applyFont="1" applyFill="1" applyBorder="1" applyAlignment="1">
      <alignment vertical="center" wrapText="1"/>
    </xf>
    <xf numFmtId="44" fontId="3" fillId="4" borderId="8" xfId="1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left" vertical="center" wrapText="1"/>
    </xf>
    <xf numFmtId="10" fontId="0" fillId="4" borderId="0" xfId="0" applyNumberFormat="1" applyFont="1" applyFill="1"/>
    <xf numFmtId="0" fontId="6" fillId="4" borderId="0" xfId="0" applyFont="1" applyFill="1" applyBorder="1" applyAlignment="1">
      <alignment horizontal="center" vertical="center"/>
    </xf>
    <xf numFmtId="0" fontId="3" fillId="4" borderId="38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4" fontId="4" fillId="4" borderId="15" xfId="1" applyFont="1" applyFill="1" applyBorder="1" applyAlignment="1">
      <alignment vertical="center" wrapText="1"/>
    </xf>
    <xf numFmtId="165" fontId="3" fillId="4" borderId="21" xfId="2" applyNumberFormat="1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vertical="center" wrapText="1"/>
    </xf>
    <xf numFmtId="44" fontId="3" fillId="4" borderId="21" xfId="1" applyFont="1" applyFill="1" applyBorder="1" applyAlignment="1">
      <alignment horizontal="center" vertical="center" wrapText="1"/>
    </xf>
    <xf numFmtId="44" fontId="4" fillId="4" borderId="40" xfId="0" applyNumberFormat="1" applyFont="1" applyFill="1" applyBorder="1" applyAlignment="1">
      <alignment horizontal="center" vertical="center" wrapText="1"/>
    </xf>
    <xf numFmtId="10" fontId="3" fillId="4" borderId="15" xfId="2" applyNumberFormat="1" applyFont="1" applyFill="1" applyBorder="1" applyAlignment="1">
      <alignment horizontal="center" vertical="center" wrapText="1"/>
    </xf>
    <xf numFmtId="44" fontId="4" fillId="4" borderId="39" xfId="0" applyNumberFormat="1" applyFont="1" applyFill="1" applyBorder="1" applyAlignment="1">
      <alignment horizontal="center" vertical="center" wrapText="1"/>
    </xf>
    <xf numFmtId="10" fontId="4" fillId="4" borderId="1" xfId="2" applyNumberFormat="1" applyFont="1" applyFill="1" applyBorder="1" applyAlignment="1">
      <alignment horizontal="center" vertical="center" wrapText="1"/>
    </xf>
    <xf numFmtId="44" fontId="4" fillId="4" borderId="28" xfId="0" applyNumberFormat="1" applyFont="1" applyFill="1" applyBorder="1" applyAlignment="1">
      <alignment horizontal="center" vertical="center" wrapText="1"/>
    </xf>
    <xf numFmtId="44" fontId="4" fillId="4" borderId="39" xfId="0" applyNumberFormat="1" applyFont="1" applyFill="1" applyBorder="1" applyAlignment="1">
      <alignment vertical="center" wrapText="1"/>
    </xf>
    <xf numFmtId="44" fontId="4" fillId="4" borderId="12" xfId="0" applyNumberFormat="1" applyFont="1" applyFill="1" applyBorder="1" applyAlignment="1">
      <alignment vertical="center" wrapText="1"/>
    </xf>
    <xf numFmtId="0" fontId="4" fillId="4" borderId="12" xfId="0" applyFont="1" applyFill="1" applyBorder="1" applyAlignment="1">
      <alignment horizontal="left" vertical="center" wrapText="1"/>
    </xf>
    <xf numFmtId="0" fontId="4" fillId="4" borderId="14" xfId="0" applyFont="1" applyFill="1" applyBorder="1" applyAlignment="1">
      <alignment horizontal="left" vertical="center" wrapText="1"/>
    </xf>
    <xf numFmtId="44" fontId="4" fillId="4" borderId="36" xfId="0" applyNumberFormat="1" applyFont="1" applyFill="1" applyBorder="1" applyAlignment="1">
      <alignment vertical="center" wrapText="1"/>
    </xf>
    <xf numFmtId="44" fontId="3" fillId="4" borderId="12" xfId="0" applyNumberFormat="1" applyFont="1" applyFill="1" applyBorder="1" applyAlignment="1">
      <alignment vertical="center" wrapText="1"/>
    </xf>
    <xf numFmtId="44" fontId="3" fillId="4" borderId="41" xfId="0" applyNumberFormat="1" applyFont="1" applyFill="1" applyBorder="1" applyAlignment="1">
      <alignment vertical="center" wrapText="1"/>
    </xf>
    <xf numFmtId="0" fontId="14" fillId="5" borderId="1" xfId="4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44" fontId="9" fillId="0" borderId="1" xfId="0" applyNumberFormat="1" applyFont="1" applyBorder="1"/>
    <xf numFmtId="0" fontId="15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 wrapText="1"/>
    </xf>
    <xf numFmtId="164" fontId="16" fillId="2" borderId="1" xfId="0" applyNumberFormat="1" applyFont="1" applyFill="1" applyBorder="1" applyAlignment="1">
      <alignment horizontal="center" vertical="center" wrapText="1"/>
    </xf>
    <xf numFmtId="44" fontId="16" fillId="2" borderId="1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6" fontId="16" fillId="2" borderId="1" xfId="0" applyNumberFormat="1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wrapText="1"/>
    </xf>
    <xf numFmtId="164" fontId="16" fillId="4" borderId="0" xfId="0" applyNumberFormat="1" applyFont="1" applyFill="1" applyBorder="1" applyAlignment="1">
      <alignment horizontal="center" vertical="center" wrapText="1"/>
    </xf>
    <xf numFmtId="164" fontId="11" fillId="4" borderId="0" xfId="0" applyNumberFormat="1" applyFont="1" applyFill="1" applyBorder="1" applyAlignment="1">
      <alignment horizontal="center" vertical="center" wrapText="1"/>
    </xf>
    <xf numFmtId="44" fontId="0" fillId="0" borderId="0" xfId="0" applyNumberFormat="1" applyAlignment="1">
      <alignment wrapText="1"/>
    </xf>
    <xf numFmtId="44" fontId="11" fillId="2" borderId="1" xfId="0" applyNumberFormat="1" applyFont="1" applyFill="1" applyBorder="1" applyAlignment="1">
      <alignment wrapText="1"/>
    </xf>
    <xf numFmtId="0" fontId="18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44" fontId="5" fillId="2" borderId="1" xfId="0" applyNumberFormat="1" applyFont="1" applyFill="1" applyBorder="1" applyAlignment="1">
      <alignment wrapText="1"/>
    </xf>
    <xf numFmtId="44" fontId="11" fillId="3" borderId="1" xfId="0" applyNumberFormat="1" applyFont="1" applyFill="1" applyBorder="1" applyAlignment="1">
      <alignment wrapText="1"/>
    </xf>
    <xf numFmtId="164" fontId="11" fillId="3" borderId="1" xfId="0" applyNumberFormat="1" applyFont="1" applyFill="1" applyBorder="1" applyAlignment="1">
      <alignment horizontal="center" vertical="center" wrapText="1"/>
    </xf>
    <xf numFmtId="44" fontId="4" fillId="4" borderId="1" xfId="1" applyFont="1" applyFill="1" applyBorder="1" applyAlignment="1">
      <alignment horizontal="center" vertical="center" wrapText="1"/>
    </xf>
    <xf numFmtId="10" fontId="3" fillId="4" borderId="1" xfId="2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4" fontId="17" fillId="0" borderId="1" xfId="1" applyFont="1" applyBorder="1" applyAlignment="1">
      <alignment horizontal="center"/>
    </xf>
    <xf numFmtId="0" fontId="19" fillId="0" borderId="1" xfId="0" applyFont="1" applyBorder="1" applyAlignment="1">
      <alignment vertical="center" wrapText="1"/>
    </xf>
    <xf numFmtId="0" fontId="11" fillId="4" borderId="0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left" vertical="center" wrapText="1"/>
    </xf>
    <xf numFmtId="0" fontId="4" fillId="4" borderId="14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left" vertical="center" wrapText="1"/>
    </xf>
    <xf numFmtId="44" fontId="20" fillId="0" borderId="1" xfId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4" fontId="0" fillId="0" borderId="0" xfId="0" applyNumberFormat="1"/>
    <xf numFmtId="44" fontId="11" fillId="2" borderId="15" xfId="0" applyNumberFormat="1" applyFont="1" applyFill="1" applyBorder="1" applyAlignment="1">
      <alignment horizontal="center" vertical="center"/>
    </xf>
    <xf numFmtId="44" fontId="7" fillId="2" borderId="15" xfId="0" applyNumberFormat="1" applyFont="1" applyFill="1" applyBorder="1" applyAlignment="1">
      <alignment vertical="center"/>
    </xf>
    <xf numFmtId="44" fontId="4" fillId="4" borderId="41" xfId="0" applyNumberFormat="1" applyFont="1" applyFill="1" applyBorder="1" applyAlignment="1">
      <alignment vertical="center" wrapText="1"/>
    </xf>
    <xf numFmtId="0" fontId="0" fillId="0" borderId="42" xfId="0" applyBorder="1" applyAlignment="1">
      <alignment wrapText="1"/>
    </xf>
    <xf numFmtId="0" fontId="0" fillId="0" borderId="35" xfId="0" applyBorder="1" applyAlignment="1">
      <alignment wrapText="1"/>
    </xf>
    <xf numFmtId="0" fontId="0" fillId="4" borderId="1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left" vertical="center" wrapText="1"/>
    </xf>
    <xf numFmtId="17" fontId="4" fillId="4" borderId="13" xfId="0" applyNumberFormat="1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left" vertical="center" wrapText="1"/>
    </xf>
    <xf numFmtId="0" fontId="4" fillId="4" borderId="30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horizontal="left" vertical="center" wrapText="1"/>
    </xf>
    <xf numFmtId="0" fontId="4" fillId="4" borderId="14" xfId="0" applyFont="1" applyFill="1" applyBorder="1" applyAlignment="1">
      <alignment horizontal="left" vertical="center" wrapText="1"/>
    </xf>
    <xf numFmtId="0" fontId="4" fillId="4" borderId="29" xfId="0" applyFont="1" applyFill="1" applyBorder="1" applyAlignment="1">
      <alignment horizontal="left" vertical="center" wrapText="1"/>
    </xf>
    <xf numFmtId="0" fontId="4" fillId="4" borderId="18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left" vertical="center" wrapText="1"/>
    </xf>
    <xf numFmtId="0" fontId="10" fillId="4" borderId="14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4" fontId="3" fillId="4" borderId="3" xfId="1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3" fillId="4" borderId="34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4" borderId="36" xfId="0" applyFont="1" applyFill="1" applyBorder="1" applyAlignment="1">
      <alignment horizontal="left" vertical="center" wrapText="1"/>
    </xf>
    <xf numFmtId="0" fontId="4" fillId="4" borderId="35" xfId="0" applyFont="1" applyFill="1" applyBorder="1" applyAlignment="1">
      <alignment horizontal="left" vertical="center" wrapText="1"/>
    </xf>
    <xf numFmtId="44" fontId="4" fillId="4" borderId="12" xfId="1" applyFont="1" applyFill="1" applyBorder="1" applyAlignment="1">
      <alignment horizontal="center" vertical="center" wrapText="1"/>
    </xf>
    <xf numFmtId="44" fontId="4" fillId="4" borderId="13" xfId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0" fillId="4" borderId="0" xfId="0" applyFill="1" applyAlignment="1">
      <alignment horizontal="center" wrapText="1"/>
    </xf>
    <xf numFmtId="0" fontId="0" fillId="4" borderId="0" xfId="0" applyFill="1" applyAlignment="1">
      <alignment horizontal="center"/>
    </xf>
    <xf numFmtId="0" fontId="0" fillId="4" borderId="4" xfId="0" applyFill="1" applyBorder="1" applyAlignment="1">
      <alignment horizontal="center"/>
    </xf>
    <xf numFmtId="0" fontId="8" fillId="4" borderId="0" xfId="0" applyFont="1" applyFill="1" applyBorder="1" applyAlignment="1">
      <alignment horizontal="left" vertical="center" wrapText="1"/>
    </xf>
    <xf numFmtId="44" fontId="4" fillId="4" borderId="16" xfId="1" applyFont="1" applyFill="1" applyBorder="1" applyAlignment="1">
      <alignment horizontal="center" vertical="center" wrapText="1"/>
    </xf>
    <xf numFmtId="44" fontId="4" fillId="4" borderId="17" xfId="1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6" fillId="2" borderId="27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</cellXfs>
  <cellStyles count="5">
    <cellStyle name="Moeda" xfId="1" builtinId="4"/>
    <cellStyle name="Normal" xfId="0" builtinId="0"/>
    <cellStyle name="Normal 18 2" xfId="4" xr:uid="{00000000-0005-0000-0000-000002000000}"/>
    <cellStyle name="Normal 2" xfId="3" xr:uid="{00000000-0005-0000-0000-000003000000}"/>
    <cellStyle name="Porcentagem" xfId="2" builtinId="5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3031980</xdr:colOff>
      <xdr:row>0</xdr:row>
      <xdr:rowOff>182707</xdr:rowOff>
    </xdr:from>
    <xdr:to>
      <xdr:col>1</xdr:col>
      <xdr:colOff>3619500</xdr:colOff>
      <xdr:row>1</xdr:row>
      <xdr:rowOff>445943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3530" y="182707"/>
          <a:ext cx="587520" cy="606136"/>
        </a:xfrm>
        <a:prstGeom prst="rect">
          <a:avLst/>
        </a:prstGeom>
      </xdr:spPr>
    </xdr:pic>
    <xdr:clientData/>
  </xdr:twoCellAnchor>
  <xdr:twoCellAnchor editAs="oneCell">
    <xdr:from>
      <xdr:col>1</xdr:col>
      <xdr:colOff>3031980</xdr:colOff>
      <xdr:row>0</xdr:row>
      <xdr:rowOff>182707</xdr:rowOff>
    </xdr:from>
    <xdr:to>
      <xdr:col>1</xdr:col>
      <xdr:colOff>3629025</xdr:colOff>
      <xdr:row>1</xdr:row>
      <xdr:rowOff>445943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3530" y="182707"/>
          <a:ext cx="597045" cy="606136"/>
        </a:xfrm>
        <a:prstGeom prst="rect">
          <a:avLst/>
        </a:prstGeom>
      </xdr:spPr>
    </xdr:pic>
    <xdr:clientData/>
  </xdr:twoCellAnchor>
  <xdr:twoCellAnchor editAs="oneCell">
    <xdr:from>
      <xdr:col>1</xdr:col>
      <xdr:colOff>3031980</xdr:colOff>
      <xdr:row>0</xdr:row>
      <xdr:rowOff>182707</xdr:rowOff>
    </xdr:from>
    <xdr:to>
      <xdr:col>1</xdr:col>
      <xdr:colOff>3619500</xdr:colOff>
      <xdr:row>1</xdr:row>
      <xdr:rowOff>445943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3530" y="182707"/>
          <a:ext cx="587520" cy="606136"/>
        </a:xfrm>
        <a:prstGeom prst="rect">
          <a:avLst/>
        </a:prstGeom>
      </xdr:spPr>
    </xdr:pic>
    <xdr:clientData/>
  </xdr:twoCellAnchor>
  <xdr:twoCellAnchor editAs="oneCell">
    <xdr:from>
      <xdr:col>1</xdr:col>
      <xdr:colOff>3031980</xdr:colOff>
      <xdr:row>0</xdr:row>
      <xdr:rowOff>182707</xdr:rowOff>
    </xdr:from>
    <xdr:to>
      <xdr:col>1</xdr:col>
      <xdr:colOff>3629025</xdr:colOff>
      <xdr:row>1</xdr:row>
      <xdr:rowOff>445943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3530" y="182707"/>
          <a:ext cx="597045" cy="6061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3031980</xdr:colOff>
      <xdr:row>0</xdr:row>
      <xdr:rowOff>182707</xdr:rowOff>
    </xdr:from>
    <xdr:to>
      <xdr:col>1</xdr:col>
      <xdr:colOff>3619500</xdr:colOff>
      <xdr:row>1</xdr:row>
      <xdr:rowOff>445943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01BB814-E5AA-40D1-BAAF-118C58CE8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3530" y="182707"/>
          <a:ext cx="587520" cy="606136"/>
        </a:xfrm>
        <a:prstGeom prst="rect">
          <a:avLst/>
        </a:prstGeom>
      </xdr:spPr>
    </xdr:pic>
    <xdr:clientData/>
  </xdr:twoCellAnchor>
  <xdr:twoCellAnchor editAs="oneCell">
    <xdr:from>
      <xdr:col>1</xdr:col>
      <xdr:colOff>3031980</xdr:colOff>
      <xdr:row>0</xdr:row>
      <xdr:rowOff>182707</xdr:rowOff>
    </xdr:from>
    <xdr:to>
      <xdr:col>1</xdr:col>
      <xdr:colOff>3629025</xdr:colOff>
      <xdr:row>1</xdr:row>
      <xdr:rowOff>445943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E885AC5-F3D9-4ADA-AFA5-0ABC446D2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3530" y="182707"/>
          <a:ext cx="597045" cy="606136"/>
        </a:xfrm>
        <a:prstGeom prst="rect">
          <a:avLst/>
        </a:prstGeom>
      </xdr:spPr>
    </xdr:pic>
    <xdr:clientData/>
  </xdr:twoCellAnchor>
  <xdr:twoCellAnchor editAs="oneCell">
    <xdr:from>
      <xdr:col>1</xdr:col>
      <xdr:colOff>3031980</xdr:colOff>
      <xdr:row>0</xdr:row>
      <xdr:rowOff>182707</xdr:rowOff>
    </xdr:from>
    <xdr:to>
      <xdr:col>1</xdr:col>
      <xdr:colOff>3619500</xdr:colOff>
      <xdr:row>1</xdr:row>
      <xdr:rowOff>445943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15E1CDEB-1245-4A35-BCB3-767574DA7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3530" y="182707"/>
          <a:ext cx="587520" cy="606136"/>
        </a:xfrm>
        <a:prstGeom prst="rect">
          <a:avLst/>
        </a:prstGeom>
      </xdr:spPr>
    </xdr:pic>
    <xdr:clientData/>
  </xdr:twoCellAnchor>
  <xdr:twoCellAnchor editAs="oneCell">
    <xdr:from>
      <xdr:col>1</xdr:col>
      <xdr:colOff>3031980</xdr:colOff>
      <xdr:row>0</xdr:row>
      <xdr:rowOff>182707</xdr:rowOff>
    </xdr:from>
    <xdr:to>
      <xdr:col>1</xdr:col>
      <xdr:colOff>3629025</xdr:colOff>
      <xdr:row>1</xdr:row>
      <xdr:rowOff>445943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7F7F4A95-5CC2-45C5-8F79-41DE0AEF1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3530" y="182707"/>
          <a:ext cx="597045" cy="6061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3031980</xdr:colOff>
      <xdr:row>0</xdr:row>
      <xdr:rowOff>182707</xdr:rowOff>
    </xdr:from>
    <xdr:to>
      <xdr:col>1</xdr:col>
      <xdr:colOff>3619500</xdr:colOff>
      <xdr:row>1</xdr:row>
      <xdr:rowOff>445943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2AACA29-2EA8-4A40-88BA-4E8C4EB79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3530" y="182707"/>
          <a:ext cx="587520" cy="606136"/>
        </a:xfrm>
        <a:prstGeom prst="rect">
          <a:avLst/>
        </a:prstGeom>
      </xdr:spPr>
    </xdr:pic>
    <xdr:clientData/>
  </xdr:twoCellAnchor>
  <xdr:twoCellAnchor editAs="oneCell">
    <xdr:from>
      <xdr:col>1</xdr:col>
      <xdr:colOff>3031980</xdr:colOff>
      <xdr:row>0</xdr:row>
      <xdr:rowOff>182707</xdr:rowOff>
    </xdr:from>
    <xdr:to>
      <xdr:col>1</xdr:col>
      <xdr:colOff>3629025</xdr:colOff>
      <xdr:row>1</xdr:row>
      <xdr:rowOff>445943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83460BC-FCB8-45E2-B963-36068424C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3530" y="182707"/>
          <a:ext cx="597045" cy="606136"/>
        </a:xfrm>
        <a:prstGeom prst="rect">
          <a:avLst/>
        </a:prstGeom>
      </xdr:spPr>
    </xdr:pic>
    <xdr:clientData/>
  </xdr:twoCellAnchor>
  <xdr:twoCellAnchor editAs="oneCell">
    <xdr:from>
      <xdr:col>1</xdr:col>
      <xdr:colOff>3031980</xdr:colOff>
      <xdr:row>0</xdr:row>
      <xdr:rowOff>182707</xdr:rowOff>
    </xdr:from>
    <xdr:to>
      <xdr:col>1</xdr:col>
      <xdr:colOff>3619500</xdr:colOff>
      <xdr:row>1</xdr:row>
      <xdr:rowOff>445943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9A50CAD-4D18-4689-9A2F-705346650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3530" y="182707"/>
          <a:ext cx="587520" cy="606136"/>
        </a:xfrm>
        <a:prstGeom prst="rect">
          <a:avLst/>
        </a:prstGeom>
      </xdr:spPr>
    </xdr:pic>
    <xdr:clientData/>
  </xdr:twoCellAnchor>
  <xdr:twoCellAnchor editAs="oneCell">
    <xdr:from>
      <xdr:col>1</xdr:col>
      <xdr:colOff>3031980</xdr:colOff>
      <xdr:row>0</xdr:row>
      <xdr:rowOff>182707</xdr:rowOff>
    </xdr:from>
    <xdr:to>
      <xdr:col>1</xdr:col>
      <xdr:colOff>3629025</xdr:colOff>
      <xdr:row>1</xdr:row>
      <xdr:rowOff>445943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6FEAD051-6B57-4CC7-8441-2453A07F7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3530" y="182707"/>
          <a:ext cx="597045" cy="6061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3031980</xdr:colOff>
      <xdr:row>0</xdr:row>
      <xdr:rowOff>182707</xdr:rowOff>
    </xdr:from>
    <xdr:to>
      <xdr:col>1</xdr:col>
      <xdr:colOff>3619500</xdr:colOff>
      <xdr:row>1</xdr:row>
      <xdr:rowOff>445943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249E853-3183-4065-97C3-A248D3B31A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3530" y="182707"/>
          <a:ext cx="587520" cy="606136"/>
        </a:xfrm>
        <a:prstGeom prst="rect">
          <a:avLst/>
        </a:prstGeom>
      </xdr:spPr>
    </xdr:pic>
    <xdr:clientData/>
  </xdr:twoCellAnchor>
  <xdr:twoCellAnchor editAs="oneCell">
    <xdr:from>
      <xdr:col>1</xdr:col>
      <xdr:colOff>3031980</xdr:colOff>
      <xdr:row>0</xdr:row>
      <xdr:rowOff>182707</xdr:rowOff>
    </xdr:from>
    <xdr:to>
      <xdr:col>1</xdr:col>
      <xdr:colOff>3629025</xdr:colOff>
      <xdr:row>1</xdr:row>
      <xdr:rowOff>445943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C4FC6E1-34EB-4BFF-A2A4-14A37F90A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3530" y="182707"/>
          <a:ext cx="597045" cy="606136"/>
        </a:xfrm>
        <a:prstGeom prst="rect">
          <a:avLst/>
        </a:prstGeom>
      </xdr:spPr>
    </xdr:pic>
    <xdr:clientData/>
  </xdr:twoCellAnchor>
  <xdr:twoCellAnchor editAs="oneCell">
    <xdr:from>
      <xdr:col>1</xdr:col>
      <xdr:colOff>3031980</xdr:colOff>
      <xdr:row>0</xdr:row>
      <xdr:rowOff>182707</xdr:rowOff>
    </xdr:from>
    <xdr:to>
      <xdr:col>1</xdr:col>
      <xdr:colOff>3619500</xdr:colOff>
      <xdr:row>1</xdr:row>
      <xdr:rowOff>445943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DF20C541-71E3-4F6F-AB76-6240DC284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3530" y="182707"/>
          <a:ext cx="587520" cy="606136"/>
        </a:xfrm>
        <a:prstGeom prst="rect">
          <a:avLst/>
        </a:prstGeom>
      </xdr:spPr>
    </xdr:pic>
    <xdr:clientData/>
  </xdr:twoCellAnchor>
  <xdr:twoCellAnchor editAs="oneCell">
    <xdr:from>
      <xdr:col>1</xdr:col>
      <xdr:colOff>3031980</xdr:colOff>
      <xdr:row>0</xdr:row>
      <xdr:rowOff>182707</xdr:rowOff>
    </xdr:from>
    <xdr:to>
      <xdr:col>1</xdr:col>
      <xdr:colOff>3629025</xdr:colOff>
      <xdr:row>1</xdr:row>
      <xdr:rowOff>445943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D05C58AB-E214-4795-A11C-96463FAFB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3530" y="182707"/>
          <a:ext cx="597045" cy="6061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7"/>
  <sheetViews>
    <sheetView tabSelected="1" zoomScale="130" zoomScaleNormal="130" workbookViewId="0">
      <selection activeCell="H7" sqref="H7"/>
    </sheetView>
  </sheetViews>
  <sheetFormatPr defaultRowHeight="15" x14ac:dyDescent="0.25"/>
  <cols>
    <col min="2" max="2" width="5.42578125" bestFit="1" customWidth="1"/>
    <col min="3" max="3" width="23.140625" style="81" bestFit="1" customWidth="1"/>
    <col min="4" max="4" width="8.85546875" bestFit="1" customWidth="1"/>
    <col min="5" max="5" width="8.5703125" bestFit="1" customWidth="1"/>
    <col min="6" max="6" width="15.85546875" bestFit="1" customWidth="1"/>
    <col min="7" max="7" width="17.85546875" bestFit="1" customWidth="1"/>
    <col min="8" max="8" width="22" bestFit="1" customWidth="1"/>
  </cols>
  <sheetData>
    <row r="2" spans="2:8" ht="25.5" x14ac:dyDescent="0.25">
      <c r="B2" s="77" t="s">
        <v>125</v>
      </c>
      <c r="C2" s="77" t="s">
        <v>127</v>
      </c>
      <c r="D2" s="77" t="s">
        <v>129</v>
      </c>
      <c r="E2" s="77" t="s">
        <v>128</v>
      </c>
      <c r="F2" s="77" t="s">
        <v>133</v>
      </c>
      <c r="G2" s="77" t="s">
        <v>134</v>
      </c>
      <c r="H2" s="77" t="s">
        <v>135</v>
      </c>
    </row>
    <row r="3" spans="2:8" ht="28.5" x14ac:dyDescent="0.25">
      <c r="B3" s="78">
        <v>1</v>
      </c>
      <c r="C3" s="80" t="s">
        <v>191</v>
      </c>
      <c r="D3" s="78">
        <v>3</v>
      </c>
      <c r="E3" s="78" t="s">
        <v>155</v>
      </c>
      <c r="F3" s="79">
        <f>' Vigilante Diurno Desarmado'!D137</f>
        <v>14399.22</v>
      </c>
      <c r="G3" s="79">
        <f>F3*12</f>
        <v>172790.64</v>
      </c>
      <c r="H3" s="79">
        <f>G3*D3</f>
        <v>518371.92</v>
      </c>
    </row>
    <row r="4" spans="2:8" ht="29.25" thickBot="1" x14ac:dyDescent="0.3">
      <c r="B4" s="78">
        <v>2</v>
      </c>
      <c r="C4" s="80" t="s">
        <v>192</v>
      </c>
      <c r="D4" s="78">
        <v>1</v>
      </c>
      <c r="E4" s="78" t="s">
        <v>155</v>
      </c>
      <c r="F4" s="134">
        <v>15909.22</v>
      </c>
      <c r="G4" s="79">
        <f>F4*12</f>
        <v>190910.64</v>
      </c>
      <c r="H4" s="79">
        <f>G4*D4</f>
        <v>190910.64</v>
      </c>
    </row>
    <row r="5" spans="2:8" ht="28.5" x14ac:dyDescent="0.25">
      <c r="B5" s="78">
        <v>3</v>
      </c>
      <c r="C5" s="80" t="s">
        <v>193</v>
      </c>
      <c r="D5" s="78">
        <v>2</v>
      </c>
      <c r="E5" s="78" t="s">
        <v>155</v>
      </c>
      <c r="F5" s="79">
        <v>14717.42</v>
      </c>
      <c r="G5" s="79">
        <f>F5*12</f>
        <v>176609.04</v>
      </c>
      <c r="H5" s="79">
        <f>G5*D5</f>
        <v>353218.08</v>
      </c>
    </row>
    <row r="6" spans="2:8" ht="28.5" x14ac:dyDescent="0.25">
      <c r="B6" s="78">
        <v>4</v>
      </c>
      <c r="C6" s="80" t="s">
        <v>194</v>
      </c>
      <c r="D6" s="78">
        <v>3</v>
      </c>
      <c r="E6" s="78" t="s">
        <v>155</v>
      </c>
      <c r="F6" s="79">
        <v>16227.44</v>
      </c>
      <c r="G6" s="79">
        <f>F6*12</f>
        <v>194729.28</v>
      </c>
      <c r="H6" s="79">
        <f>G6*D6</f>
        <v>584187.84</v>
      </c>
    </row>
    <row r="7" spans="2:8" ht="18.75" x14ac:dyDescent="0.25">
      <c r="B7" s="135" t="s">
        <v>126</v>
      </c>
      <c r="C7" s="135"/>
      <c r="D7" s="135"/>
      <c r="E7" s="135"/>
      <c r="F7" s="136"/>
      <c r="G7" s="132" t="s">
        <v>152</v>
      </c>
      <c r="H7" s="133">
        <f>SUM(H3:H6)</f>
        <v>1646688.48</v>
      </c>
    </row>
  </sheetData>
  <mergeCells count="1">
    <mergeCell ref="B7:F7"/>
  </mergeCells>
  <conditionalFormatting sqref="H2 B2:E2">
    <cfRule type="cellIs" dxfId="1" priority="1" operator="equal">
      <formula>"PROCURAR"</formula>
    </cfRule>
  </conditionalFormatting>
  <conditionalFormatting sqref="F2:G2">
    <cfRule type="cellIs" dxfId="0" priority="2" operator="equal">
      <formula>"PROCURAR"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37"/>
  <sheetViews>
    <sheetView showGridLines="0" view="pageBreakPreview" topLeftCell="A25" zoomScale="130" zoomScaleNormal="90" zoomScaleSheetLayoutView="130" workbookViewId="0">
      <selection activeCell="B129" sqref="B129:C129"/>
    </sheetView>
  </sheetViews>
  <sheetFormatPr defaultRowHeight="15" x14ac:dyDescent="0.25"/>
  <cols>
    <col min="1" max="1" width="14.5703125" style="2" bestFit="1" customWidth="1"/>
    <col min="2" max="2" width="59" style="1" bestFit="1" customWidth="1"/>
    <col min="3" max="3" width="20" style="1" bestFit="1" customWidth="1"/>
    <col min="4" max="4" width="34.7109375" style="2" bestFit="1" customWidth="1"/>
    <col min="5" max="5" width="9.140625" style="1"/>
    <col min="6" max="6" width="17.85546875" style="1" customWidth="1"/>
    <col min="7" max="16384" width="9.140625" style="1"/>
  </cols>
  <sheetData>
    <row r="1" spans="1:4" s="19" customFormat="1" ht="27" customHeight="1" x14ac:dyDescent="0.25">
      <c r="A1" s="186" t="s">
        <v>138</v>
      </c>
      <c r="B1" s="187"/>
      <c r="C1" s="187"/>
      <c r="D1" s="187"/>
    </row>
    <row r="2" spans="1:4" s="19" customFormat="1" ht="99" customHeight="1" thickBot="1" x14ac:dyDescent="0.3">
      <c r="A2" s="188"/>
      <c r="B2" s="188"/>
      <c r="C2" s="188"/>
      <c r="D2" s="188"/>
    </row>
    <row r="3" spans="1:4" s="19" customFormat="1" ht="15" customHeight="1" x14ac:dyDescent="0.25">
      <c r="A3" s="145" t="s">
        <v>52</v>
      </c>
      <c r="B3" s="146"/>
      <c r="C3" s="146"/>
      <c r="D3" s="146"/>
    </row>
    <row r="4" spans="1:4" s="19" customFormat="1" ht="15.75" customHeight="1" thickBot="1" x14ac:dyDescent="0.3">
      <c r="A4" s="147"/>
      <c r="B4" s="148"/>
      <c r="C4" s="148"/>
      <c r="D4" s="148"/>
    </row>
    <row r="5" spans="1:4" s="19" customFormat="1" ht="15.75" thickBot="1" x14ac:dyDescent="0.3">
      <c r="A5" s="20"/>
      <c r="D5" s="21"/>
    </row>
    <row r="6" spans="1:4" s="19" customFormat="1" x14ac:dyDescent="0.25">
      <c r="A6" s="22" t="s">
        <v>67</v>
      </c>
      <c r="B6" s="149"/>
      <c r="C6" s="149"/>
      <c r="D6" s="149"/>
    </row>
    <row r="7" spans="1:4" s="19" customFormat="1" x14ac:dyDescent="0.25">
      <c r="A7" s="23" t="s">
        <v>66</v>
      </c>
      <c r="B7" s="150"/>
      <c r="C7" s="151"/>
      <c r="D7" s="151"/>
    </row>
    <row r="8" spans="1:4" s="19" customFormat="1" ht="15.75" thickBot="1" x14ac:dyDescent="0.3">
      <c r="A8" s="24" t="s">
        <v>68</v>
      </c>
      <c r="B8" s="152"/>
      <c r="C8" s="152"/>
      <c r="D8" s="152"/>
    </row>
    <row r="9" spans="1:4" s="19" customFormat="1" ht="15.75" thickBot="1" x14ac:dyDescent="0.3">
      <c r="A9" s="25"/>
      <c r="B9" s="25"/>
      <c r="C9" s="25"/>
      <c r="D9" s="21"/>
    </row>
    <row r="10" spans="1:4" s="19" customFormat="1" ht="15.75" thickBot="1" x14ac:dyDescent="0.3">
      <c r="A10" s="153" t="s">
        <v>53</v>
      </c>
      <c r="B10" s="154"/>
      <c r="C10" s="154"/>
      <c r="D10" s="155"/>
    </row>
    <row r="11" spans="1:4" s="19" customFormat="1" x14ac:dyDescent="0.25">
      <c r="A11" s="10" t="s">
        <v>7</v>
      </c>
      <c r="B11" s="156" t="s">
        <v>54</v>
      </c>
      <c r="C11" s="157"/>
      <c r="D11" s="11"/>
    </row>
    <row r="12" spans="1:4" s="19" customFormat="1" x14ac:dyDescent="0.25">
      <c r="A12" s="6" t="s">
        <v>9</v>
      </c>
      <c r="B12" s="158" t="s">
        <v>55</v>
      </c>
      <c r="C12" s="159"/>
      <c r="D12" s="26" t="s">
        <v>184</v>
      </c>
    </row>
    <row r="13" spans="1:4" s="19" customFormat="1" x14ac:dyDescent="0.25">
      <c r="A13" s="6" t="s">
        <v>11</v>
      </c>
      <c r="B13" s="158" t="s">
        <v>64</v>
      </c>
      <c r="C13" s="159"/>
      <c r="D13" s="26" t="s">
        <v>185</v>
      </c>
    </row>
    <row r="14" spans="1:4" s="19" customFormat="1" ht="15" customHeight="1" x14ac:dyDescent="0.25">
      <c r="A14" s="6" t="s">
        <v>13</v>
      </c>
      <c r="B14" s="158" t="s">
        <v>56</v>
      </c>
      <c r="C14" s="159"/>
      <c r="D14" s="26" t="s">
        <v>186</v>
      </c>
    </row>
    <row r="15" spans="1:4" s="19" customFormat="1" ht="15.75" thickBot="1" x14ac:dyDescent="0.3">
      <c r="A15" s="27" t="s">
        <v>14</v>
      </c>
      <c r="B15" s="160" t="s">
        <v>57</v>
      </c>
      <c r="C15" s="161"/>
      <c r="D15" s="28">
        <v>12</v>
      </c>
    </row>
    <row r="16" spans="1:4" s="19" customFormat="1" ht="15.75" thickBot="1" x14ac:dyDescent="0.3">
      <c r="A16" s="25"/>
      <c r="B16" s="25"/>
      <c r="C16" s="25"/>
      <c r="D16" s="21"/>
    </row>
    <row r="17" spans="1:6" s="19" customFormat="1" ht="15.75" thickBot="1" x14ac:dyDescent="0.3">
      <c r="A17" s="162" t="s">
        <v>58</v>
      </c>
      <c r="B17" s="163"/>
      <c r="C17" s="163"/>
      <c r="D17" s="163"/>
    </row>
    <row r="18" spans="1:6" s="19" customFormat="1" x14ac:dyDescent="0.25">
      <c r="A18" s="143" t="s">
        <v>69</v>
      </c>
      <c r="B18" s="144"/>
      <c r="C18" s="29" t="s">
        <v>70</v>
      </c>
      <c r="D18" s="30" t="s">
        <v>71</v>
      </c>
    </row>
    <row r="19" spans="1:6" s="19" customFormat="1" ht="15.75" customHeight="1" thickBot="1" x14ac:dyDescent="0.3">
      <c r="A19" s="138" t="s">
        <v>139</v>
      </c>
      <c r="B19" s="139"/>
      <c r="C19" s="31" t="s">
        <v>72</v>
      </c>
      <c r="D19" s="28">
        <v>12</v>
      </c>
    </row>
    <row r="20" spans="1:6" s="19" customFormat="1" ht="15.75" thickBot="1" x14ac:dyDescent="0.3">
      <c r="A20" s="21"/>
      <c r="D20" s="21"/>
    </row>
    <row r="21" spans="1:6" s="19" customFormat="1" ht="15.75" customHeight="1" thickBot="1" x14ac:dyDescent="0.3">
      <c r="A21" s="140" t="s">
        <v>0</v>
      </c>
      <c r="B21" s="141"/>
      <c r="C21" s="141"/>
      <c r="D21" s="142"/>
    </row>
    <row r="22" spans="1:6" s="19" customFormat="1" x14ac:dyDescent="0.25">
      <c r="A22" s="10">
        <v>1</v>
      </c>
      <c r="B22" s="156" t="s">
        <v>1</v>
      </c>
      <c r="C22" s="157"/>
      <c r="D22" s="32" t="str">
        <f>A19</f>
        <v>Vigilante Diurno 12x36</v>
      </c>
    </row>
    <row r="23" spans="1:6" s="19" customFormat="1" x14ac:dyDescent="0.25">
      <c r="A23" s="6">
        <v>2</v>
      </c>
      <c r="B23" s="158" t="s">
        <v>124</v>
      </c>
      <c r="C23" s="159"/>
      <c r="D23" s="131">
        <v>2258.4299999999998</v>
      </c>
    </row>
    <row r="24" spans="1:6" s="19" customFormat="1" x14ac:dyDescent="0.25">
      <c r="A24" s="6">
        <v>3</v>
      </c>
      <c r="B24" s="164" t="s">
        <v>118</v>
      </c>
      <c r="C24" s="165"/>
      <c r="D24" s="26" t="str">
        <f>A19</f>
        <v>Vigilante Diurno 12x36</v>
      </c>
    </row>
    <row r="25" spans="1:6" s="19" customFormat="1" x14ac:dyDescent="0.25">
      <c r="A25" s="6">
        <v>4</v>
      </c>
      <c r="B25" s="158" t="s">
        <v>2</v>
      </c>
      <c r="C25" s="159"/>
      <c r="D25" s="33" t="s">
        <v>189</v>
      </c>
    </row>
    <row r="26" spans="1:6" s="35" customFormat="1" ht="15.75" thickBot="1" x14ac:dyDescent="0.3">
      <c r="A26" s="27">
        <v>5</v>
      </c>
      <c r="B26" s="160" t="s">
        <v>73</v>
      </c>
      <c r="C26" s="161"/>
      <c r="D26" s="34"/>
    </row>
    <row r="27" spans="1:6" s="19" customFormat="1" x14ac:dyDescent="0.25">
      <c r="A27" s="36"/>
      <c r="D27" s="21"/>
    </row>
    <row r="28" spans="1:6" s="19" customFormat="1" ht="16.5" thickBot="1" x14ac:dyDescent="0.3">
      <c r="A28" s="166" t="s">
        <v>3</v>
      </c>
      <c r="B28" s="166"/>
      <c r="C28" s="166"/>
      <c r="D28" s="166"/>
    </row>
    <row r="29" spans="1:6" s="19" customFormat="1" ht="15.75" thickBot="1" x14ac:dyDescent="0.3">
      <c r="A29" s="17" t="s">
        <v>4</v>
      </c>
      <c r="B29" s="142" t="s">
        <v>5</v>
      </c>
      <c r="C29" s="167"/>
      <c r="D29" s="37" t="s">
        <v>6</v>
      </c>
    </row>
    <row r="30" spans="1:6" s="19" customFormat="1" x14ac:dyDescent="0.25">
      <c r="A30" s="10" t="s">
        <v>7</v>
      </c>
      <c r="B30" s="156" t="s">
        <v>8</v>
      </c>
      <c r="C30" s="157"/>
      <c r="D30" s="131">
        <v>2258.4299999999998</v>
      </c>
    </row>
    <row r="31" spans="1:6" s="19" customFormat="1" x14ac:dyDescent="0.25">
      <c r="A31" s="6" t="s">
        <v>9</v>
      </c>
      <c r="B31" s="158" t="s">
        <v>10</v>
      </c>
      <c r="C31" s="159"/>
      <c r="D31" s="39">
        <f>D30*30%</f>
        <v>677.53</v>
      </c>
    </row>
    <row r="32" spans="1:6" s="19" customFormat="1" x14ac:dyDescent="0.25">
      <c r="A32" s="6" t="s">
        <v>11</v>
      </c>
      <c r="B32" s="158" t="s">
        <v>12</v>
      </c>
      <c r="C32" s="159"/>
      <c r="D32" s="39"/>
      <c r="F32" s="40"/>
    </row>
    <row r="33" spans="1:4" s="19" customFormat="1" x14ac:dyDescent="0.25">
      <c r="A33" s="6" t="s">
        <v>13</v>
      </c>
      <c r="B33" s="158" t="s">
        <v>74</v>
      </c>
      <c r="C33" s="159"/>
      <c r="D33" s="39"/>
    </row>
    <row r="34" spans="1:4" s="19" customFormat="1" x14ac:dyDescent="0.25">
      <c r="A34" s="6" t="s">
        <v>14</v>
      </c>
      <c r="B34" s="158" t="s">
        <v>15</v>
      </c>
      <c r="C34" s="159"/>
      <c r="D34" s="39"/>
    </row>
    <row r="35" spans="1:4" s="19" customFormat="1" ht="15.75" customHeight="1" x14ac:dyDescent="0.25">
      <c r="A35" s="6" t="s">
        <v>16</v>
      </c>
      <c r="B35" s="164" t="s">
        <v>79</v>
      </c>
      <c r="C35" s="165"/>
      <c r="D35" s="39"/>
    </row>
    <row r="36" spans="1:4" s="19" customFormat="1" ht="15.75" thickBot="1" x14ac:dyDescent="0.3">
      <c r="A36" s="41" t="s">
        <v>17</v>
      </c>
      <c r="B36" s="160" t="s">
        <v>19</v>
      </c>
      <c r="C36" s="161"/>
      <c r="D36" s="42"/>
    </row>
    <row r="37" spans="1:4" s="19" customFormat="1" ht="15.75" customHeight="1" thickBot="1" x14ac:dyDescent="0.3">
      <c r="A37" s="168" t="s">
        <v>20</v>
      </c>
      <c r="B37" s="169"/>
      <c r="C37" s="167"/>
      <c r="D37" s="43">
        <f>SUM(D30:D36)</f>
        <v>2935.96</v>
      </c>
    </row>
    <row r="38" spans="1:4" s="19" customFormat="1" x14ac:dyDescent="0.25">
      <c r="A38" s="44"/>
      <c r="D38" s="21"/>
    </row>
    <row r="39" spans="1:4" s="19" customFormat="1" ht="16.5" thickBot="1" x14ac:dyDescent="0.3">
      <c r="A39" s="166" t="s">
        <v>21</v>
      </c>
      <c r="B39" s="166"/>
      <c r="C39" s="166"/>
      <c r="D39" s="166"/>
    </row>
    <row r="40" spans="1:4" s="19" customFormat="1" ht="15.75" thickBot="1" x14ac:dyDescent="0.3">
      <c r="A40" s="17" t="s">
        <v>83</v>
      </c>
      <c r="B40" s="18" t="s">
        <v>82</v>
      </c>
      <c r="C40" s="18" t="s">
        <v>27</v>
      </c>
      <c r="D40" s="45" t="s">
        <v>6</v>
      </c>
    </row>
    <row r="41" spans="1:4" s="19" customFormat="1" x14ac:dyDescent="0.25">
      <c r="A41" s="10" t="s">
        <v>7</v>
      </c>
      <c r="B41" s="46" t="s">
        <v>37</v>
      </c>
      <c r="C41" s="3">
        <f>1/12</f>
        <v>8.3299999999999999E-2</v>
      </c>
      <c r="D41" s="16">
        <f>C41*D37</f>
        <v>244.57</v>
      </c>
    </row>
    <row r="42" spans="1:4" s="19" customFormat="1" ht="15.75" thickBot="1" x14ac:dyDescent="0.3">
      <c r="A42" s="10" t="s">
        <v>9</v>
      </c>
      <c r="B42" s="46" t="s">
        <v>80</v>
      </c>
      <c r="C42" s="3">
        <v>0.121</v>
      </c>
      <c r="D42" s="16">
        <f>D37*C42</f>
        <v>355.25</v>
      </c>
    </row>
    <row r="43" spans="1:4" s="19" customFormat="1" ht="15.75" thickBot="1" x14ac:dyDescent="0.3">
      <c r="A43" s="140" t="s">
        <v>35</v>
      </c>
      <c r="B43" s="141"/>
      <c r="C43" s="47">
        <f>SUM(C41:C42)</f>
        <v>0.20430000000000001</v>
      </c>
      <c r="D43" s="15">
        <f>SUM(D41:D42)</f>
        <v>599.82000000000005</v>
      </c>
    </row>
    <row r="44" spans="1:4" s="19" customFormat="1" x14ac:dyDescent="0.25">
      <c r="A44" s="44"/>
      <c r="D44" s="21"/>
    </row>
    <row r="45" spans="1:4" s="19" customFormat="1" x14ac:dyDescent="0.25">
      <c r="A45" s="137" t="s">
        <v>123</v>
      </c>
      <c r="B45" s="137"/>
      <c r="C45" s="137"/>
      <c r="D45" s="48">
        <f>D37+D43</f>
        <v>3535.78</v>
      </c>
    </row>
    <row r="46" spans="1:4" s="19" customFormat="1" x14ac:dyDescent="0.25">
      <c r="A46" s="44"/>
      <c r="D46" s="21"/>
    </row>
    <row r="47" spans="1:4" s="19" customFormat="1" ht="16.5" thickBot="1" x14ac:dyDescent="0.3">
      <c r="A47" s="166" t="s">
        <v>84</v>
      </c>
      <c r="B47" s="166"/>
      <c r="C47" s="166"/>
      <c r="D47" s="166"/>
    </row>
    <row r="48" spans="1:4" s="19" customFormat="1" ht="15.75" thickBot="1" x14ac:dyDescent="0.3">
      <c r="A48" s="17" t="s">
        <v>85</v>
      </c>
      <c r="B48" s="18" t="s">
        <v>26</v>
      </c>
      <c r="C48" s="18" t="s">
        <v>27</v>
      </c>
      <c r="D48" s="45" t="s">
        <v>6</v>
      </c>
    </row>
    <row r="49" spans="1:4" s="19" customFormat="1" x14ac:dyDescent="0.25">
      <c r="A49" s="10" t="s">
        <v>7</v>
      </c>
      <c r="B49" s="46" t="s">
        <v>28</v>
      </c>
      <c r="C49" s="3">
        <v>0.2</v>
      </c>
      <c r="D49" s="16">
        <f>C49*(D37+D43)</f>
        <v>707.16</v>
      </c>
    </row>
    <row r="50" spans="1:4" s="19" customFormat="1" x14ac:dyDescent="0.25">
      <c r="A50" s="10" t="s">
        <v>9</v>
      </c>
      <c r="B50" s="49" t="s">
        <v>32</v>
      </c>
      <c r="C50" s="3">
        <v>2.5000000000000001E-2</v>
      </c>
      <c r="D50" s="16">
        <f>C50*(D$37+D43)</f>
        <v>88.39</v>
      </c>
    </row>
    <row r="51" spans="1:4" s="19" customFormat="1" x14ac:dyDescent="0.25">
      <c r="A51" s="10" t="s">
        <v>11</v>
      </c>
      <c r="B51" s="7" t="s">
        <v>86</v>
      </c>
      <c r="C51" s="3">
        <v>1.4999999999999999E-2</v>
      </c>
      <c r="D51" s="16">
        <f>C51*(D$37+D43)</f>
        <v>53.04</v>
      </c>
    </row>
    <row r="52" spans="1:4" s="19" customFormat="1" x14ac:dyDescent="0.25">
      <c r="A52" s="6" t="s">
        <v>13</v>
      </c>
      <c r="B52" s="7" t="s">
        <v>29</v>
      </c>
      <c r="C52" s="3">
        <v>1.4999999999999999E-2</v>
      </c>
      <c r="D52" s="16">
        <f>C52*(D$37+D43)</f>
        <v>53.04</v>
      </c>
    </row>
    <row r="53" spans="1:4" s="19" customFormat="1" x14ac:dyDescent="0.25">
      <c r="A53" s="6" t="s">
        <v>14</v>
      </c>
      <c r="B53" s="7" t="s">
        <v>30</v>
      </c>
      <c r="C53" s="3">
        <v>0.01</v>
      </c>
      <c r="D53" s="16">
        <f>C53*(D43+D$37)</f>
        <v>35.36</v>
      </c>
    </row>
    <row r="54" spans="1:4" s="19" customFormat="1" x14ac:dyDescent="0.25">
      <c r="A54" s="6" t="s">
        <v>16</v>
      </c>
      <c r="B54" s="50" t="s">
        <v>34</v>
      </c>
      <c r="C54" s="3">
        <v>6.0000000000000001E-3</v>
      </c>
      <c r="D54" s="16">
        <f>C54*(D$37+D43)</f>
        <v>21.21</v>
      </c>
    </row>
    <row r="55" spans="1:4" s="19" customFormat="1" x14ac:dyDescent="0.25">
      <c r="A55" s="6" t="s">
        <v>17</v>
      </c>
      <c r="B55" s="7" t="s">
        <v>31</v>
      </c>
      <c r="C55" s="3">
        <v>2E-3</v>
      </c>
      <c r="D55" s="16">
        <f>C55*(D$37+D43)</f>
        <v>7.07</v>
      </c>
    </row>
    <row r="56" spans="1:4" s="19" customFormat="1" ht="15.75" thickBot="1" x14ac:dyDescent="0.3">
      <c r="A56" s="6" t="s">
        <v>18</v>
      </c>
      <c r="B56" s="7" t="s">
        <v>33</v>
      </c>
      <c r="C56" s="3">
        <v>0.08</v>
      </c>
      <c r="D56" s="16">
        <f>C56*(D$37+D43)</f>
        <v>282.86</v>
      </c>
    </row>
    <row r="57" spans="1:4" s="19" customFormat="1" ht="15.75" thickBot="1" x14ac:dyDescent="0.3">
      <c r="A57" s="140" t="s">
        <v>35</v>
      </c>
      <c r="B57" s="141"/>
      <c r="C57" s="47">
        <f>SUM(C49:C56)</f>
        <v>0.35299999999999998</v>
      </c>
      <c r="D57" s="51">
        <f>SUM(D49:D56)</f>
        <v>1248.1300000000001</v>
      </c>
    </row>
    <row r="58" spans="1:4" s="19" customFormat="1" x14ac:dyDescent="0.25">
      <c r="A58" s="44"/>
      <c r="D58" s="21"/>
    </row>
    <row r="59" spans="1:4" s="19" customFormat="1" ht="16.5" thickBot="1" x14ac:dyDescent="0.3">
      <c r="A59" s="166" t="s">
        <v>87</v>
      </c>
      <c r="B59" s="166"/>
      <c r="C59" s="166"/>
      <c r="D59" s="166"/>
    </row>
    <row r="60" spans="1:4" s="19" customFormat="1" ht="15.75" thickBot="1" x14ac:dyDescent="0.3">
      <c r="A60" s="17" t="s">
        <v>88</v>
      </c>
      <c r="B60" s="18" t="s">
        <v>22</v>
      </c>
      <c r="C60" s="142" t="s">
        <v>6</v>
      </c>
      <c r="D60" s="169"/>
    </row>
    <row r="61" spans="1:4" s="19" customFormat="1" x14ac:dyDescent="0.25">
      <c r="A61" s="10" t="s">
        <v>7</v>
      </c>
      <c r="B61" s="46" t="s">
        <v>187</v>
      </c>
      <c r="C61" s="190">
        <v>165</v>
      </c>
      <c r="D61" s="191"/>
    </row>
    <row r="62" spans="1:4" s="19" customFormat="1" x14ac:dyDescent="0.25">
      <c r="A62" s="6" t="s">
        <v>48</v>
      </c>
      <c r="B62" s="7" t="s">
        <v>49</v>
      </c>
      <c r="C62" s="183">
        <f>-(6%*D30)</f>
        <v>-135.51</v>
      </c>
      <c r="D62" s="184"/>
    </row>
    <row r="63" spans="1:4" s="19" customFormat="1" x14ac:dyDescent="0.25">
      <c r="A63" s="6" t="s">
        <v>9</v>
      </c>
      <c r="B63" s="7" t="s">
        <v>188</v>
      </c>
      <c r="C63" s="183">
        <f>15*39.29</f>
        <v>589.35</v>
      </c>
      <c r="D63" s="184"/>
    </row>
    <row r="64" spans="1:4" s="19" customFormat="1" x14ac:dyDescent="0.25">
      <c r="A64" s="6" t="s">
        <v>137</v>
      </c>
      <c r="B64" s="7" t="s">
        <v>153</v>
      </c>
      <c r="C64" s="183">
        <f>-(27.44*18%)*15</f>
        <v>-74.09</v>
      </c>
      <c r="D64" s="184"/>
    </row>
    <row r="65" spans="1:4" s="19" customFormat="1" x14ac:dyDescent="0.25">
      <c r="A65" s="6" t="s">
        <v>11</v>
      </c>
      <c r="B65" s="8" t="s">
        <v>81</v>
      </c>
      <c r="C65" s="183">
        <v>140</v>
      </c>
      <c r="D65" s="184"/>
    </row>
    <row r="66" spans="1:4" s="19" customFormat="1" ht="15.75" thickBot="1" x14ac:dyDescent="0.3">
      <c r="A66" s="6" t="s">
        <v>59</v>
      </c>
      <c r="B66" s="8" t="s">
        <v>154</v>
      </c>
      <c r="C66" s="183">
        <v>-95.58</v>
      </c>
      <c r="D66" s="184"/>
    </row>
    <row r="67" spans="1:4" s="19" customFormat="1" ht="15" customHeight="1" thickBot="1" x14ac:dyDescent="0.3">
      <c r="A67" s="168" t="s">
        <v>23</v>
      </c>
      <c r="B67" s="169"/>
      <c r="C67" s="170">
        <f>SUM(C61:D66)</f>
        <v>589.16999999999996</v>
      </c>
      <c r="D67" s="170"/>
    </row>
    <row r="68" spans="1:4" s="19" customFormat="1" x14ac:dyDescent="0.25">
      <c r="A68" s="189"/>
      <c r="B68" s="189"/>
      <c r="C68" s="189"/>
      <c r="D68" s="189"/>
    </row>
    <row r="69" spans="1:4" s="19" customFormat="1" ht="16.5" thickBot="1" x14ac:dyDescent="0.3">
      <c r="A69" s="185" t="s">
        <v>95</v>
      </c>
      <c r="B69" s="185"/>
      <c r="C69" s="185"/>
      <c r="D69" s="52"/>
    </row>
    <row r="70" spans="1:4" s="19" customFormat="1" ht="15.75" thickBot="1" x14ac:dyDescent="0.3">
      <c r="A70" s="17">
        <v>2</v>
      </c>
      <c r="B70" s="18" t="s">
        <v>89</v>
      </c>
      <c r="C70" s="18" t="s">
        <v>6</v>
      </c>
      <c r="D70" s="53"/>
    </row>
    <row r="71" spans="1:4" s="19" customFormat="1" x14ac:dyDescent="0.25">
      <c r="A71" s="9" t="s">
        <v>83</v>
      </c>
      <c r="B71" s="7" t="s">
        <v>82</v>
      </c>
      <c r="C71" s="54">
        <f>D43</f>
        <v>599.82000000000005</v>
      </c>
      <c r="D71" s="53"/>
    </row>
    <row r="72" spans="1:4" s="19" customFormat="1" x14ac:dyDescent="0.25">
      <c r="A72" s="9" t="s">
        <v>85</v>
      </c>
      <c r="B72" s="7" t="s">
        <v>90</v>
      </c>
      <c r="C72" s="54">
        <f>D57</f>
        <v>1248.1300000000001</v>
      </c>
      <c r="D72" s="53"/>
    </row>
    <row r="73" spans="1:4" s="19" customFormat="1" ht="15.75" thickBot="1" x14ac:dyDescent="0.3">
      <c r="A73" s="9" t="s">
        <v>88</v>
      </c>
      <c r="B73" s="7" t="s">
        <v>22</v>
      </c>
      <c r="C73" s="54">
        <f>C67</f>
        <v>589.16999999999996</v>
      </c>
      <c r="D73" s="53"/>
    </row>
    <row r="74" spans="1:4" s="19" customFormat="1" ht="15" customHeight="1" thickBot="1" x14ac:dyDescent="0.3">
      <c r="A74" s="168" t="s">
        <v>91</v>
      </c>
      <c r="B74" s="169"/>
      <c r="C74" s="55">
        <f>SUM(C71:C73)</f>
        <v>2437.12</v>
      </c>
      <c r="D74" s="53"/>
    </row>
    <row r="75" spans="1:4" s="19" customFormat="1" ht="15" customHeight="1" x14ac:dyDescent="0.25">
      <c r="A75" s="53"/>
      <c r="B75" s="53"/>
      <c r="C75" s="53"/>
      <c r="D75" s="53"/>
    </row>
    <row r="76" spans="1:4" s="19" customFormat="1" ht="15" customHeight="1" thickBot="1" x14ac:dyDescent="0.3">
      <c r="A76" s="166" t="s">
        <v>92</v>
      </c>
      <c r="B76" s="166"/>
      <c r="C76" s="166"/>
      <c r="D76" s="166"/>
    </row>
    <row r="77" spans="1:4" s="19" customFormat="1" ht="15" customHeight="1" thickBot="1" x14ac:dyDescent="0.3">
      <c r="A77" s="17">
        <v>3</v>
      </c>
      <c r="B77" s="18" t="s">
        <v>38</v>
      </c>
      <c r="C77" s="18" t="s">
        <v>27</v>
      </c>
      <c r="D77" s="45" t="s">
        <v>6</v>
      </c>
    </row>
    <row r="78" spans="1:4" s="19" customFormat="1" x14ac:dyDescent="0.25">
      <c r="A78" s="10" t="s">
        <v>7</v>
      </c>
      <c r="B78" s="46" t="s">
        <v>77</v>
      </c>
      <c r="C78" s="4">
        <f>0.46%</f>
        <v>4.5999999999999999E-3</v>
      </c>
      <c r="D78" s="16">
        <f t="shared" ref="D78:D83" si="0">C78*($D$37+$C$74)</f>
        <v>24.72</v>
      </c>
    </row>
    <row r="79" spans="1:4" s="19" customFormat="1" ht="15" customHeight="1" x14ac:dyDescent="0.25">
      <c r="A79" s="6" t="s">
        <v>9</v>
      </c>
      <c r="B79" s="7" t="s">
        <v>76</v>
      </c>
      <c r="C79" s="4">
        <f>(C78*C56)</f>
        <v>4.0000000000000002E-4</v>
      </c>
      <c r="D79" s="16">
        <f t="shared" si="0"/>
        <v>2.15</v>
      </c>
    </row>
    <row r="80" spans="1:4" s="19" customFormat="1" ht="15" customHeight="1" x14ac:dyDescent="0.25">
      <c r="A80" s="6" t="s">
        <v>11</v>
      </c>
      <c r="B80" s="7" t="s">
        <v>119</v>
      </c>
      <c r="C80" s="4">
        <v>0.04</v>
      </c>
      <c r="D80" s="16">
        <f t="shared" si="0"/>
        <v>214.92</v>
      </c>
    </row>
    <row r="81" spans="1:6" s="19" customFormat="1" ht="15" customHeight="1" x14ac:dyDescent="0.25">
      <c r="A81" s="6" t="s">
        <v>13</v>
      </c>
      <c r="B81" s="7" t="s">
        <v>78</v>
      </c>
      <c r="C81" s="4">
        <v>1.9400000000000001E-2</v>
      </c>
      <c r="D81" s="16">
        <f t="shared" si="0"/>
        <v>104.24</v>
      </c>
    </row>
    <row r="82" spans="1:6" s="19" customFormat="1" ht="15" customHeight="1" x14ac:dyDescent="0.25">
      <c r="A82" s="6" t="s">
        <v>14</v>
      </c>
      <c r="B82" s="7" t="s">
        <v>93</v>
      </c>
      <c r="C82" s="4">
        <f>C81*C57</f>
        <v>6.7999999999999996E-3</v>
      </c>
      <c r="D82" s="16">
        <f t="shared" si="0"/>
        <v>36.54</v>
      </c>
    </row>
    <row r="83" spans="1:6" s="19" customFormat="1" ht="15" customHeight="1" thickBot="1" x14ac:dyDescent="0.3">
      <c r="A83" s="41" t="s">
        <v>16</v>
      </c>
      <c r="B83" s="56" t="s">
        <v>114</v>
      </c>
      <c r="C83" s="5"/>
      <c r="D83" s="16">
        <f t="shared" si="0"/>
        <v>0</v>
      </c>
      <c r="F83" s="57"/>
    </row>
    <row r="84" spans="1:6" s="19" customFormat="1" ht="15" customHeight="1" thickBot="1" x14ac:dyDescent="0.3">
      <c r="A84" s="140" t="s">
        <v>35</v>
      </c>
      <c r="B84" s="141"/>
      <c r="C84" s="47">
        <f>SUM(C78:C83)</f>
        <v>7.1199999999999999E-2</v>
      </c>
      <c r="D84" s="15">
        <f>SUM(D78:D83)</f>
        <v>382.57</v>
      </c>
    </row>
    <row r="85" spans="1:6" s="19" customFormat="1" ht="15" customHeight="1" x14ac:dyDescent="0.25">
      <c r="A85" s="58"/>
      <c r="B85" s="58"/>
      <c r="C85" s="58"/>
      <c r="D85" s="58"/>
    </row>
    <row r="86" spans="1:6" s="19" customFormat="1" ht="15" customHeight="1" x14ac:dyDescent="0.25">
      <c r="A86" s="166" t="s">
        <v>94</v>
      </c>
      <c r="B86" s="166"/>
      <c r="C86" s="166"/>
      <c r="D86" s="166"/>
    </row>
    <row r="87" spans="1:6" s="19" customFormat="1" ht="15" customHeight="1" x14ac:dyDescent="0.25">
      <c r="A87" s="166" t="s">
        <v>96</v>
      </c>
      <c r="B87" s="166"/>
      <c r="C87" s="166"/>
      <c r="D87" s="166"/>
    </row>
    <row r="88" spans="1:6" s="19" customFormat="1" ht="15" customHeight="1" x14ac:dyDescent="0.25">
      <c r="A88" s="90" t="s">
        <v>25</v>
      </c>
      <c r="B88" s="90" t="s">
        <v>97</v>
      </c>
      <c r="C88" s="90" t="s">
        <v>27</v>
      </c>
      <c r="D88" s="90" t="s">
        <v>6</v>
      </c>
    </row>
    <row r="89" spans="1:6" s="19" customFormat="1" x14ac:dyDescent="0.25">
      <c r="A89" s="9" t="s">
        <v>7</v>
      </c>
      <c r="B89" s="7" t="s">
        <v>120</v>
      </c>
      <c r="C89" s="14">
        <v>9.0899999999999995E-2</v>
      </c>
      <c r="D89" s="103">
        <f t="shared" ref="D89:D94" si="1">C89*($D$37+$C$74+$D$84)</f>
        <v>523.19000000000005</v>
      </c>
    </row>
    <row r="90" spans="1:6" s="19" customFormat="1" x14ac:dyDescent="0.25">
      <c r="A90" s="9" t="s">
        <v>9</v>
      </c>
      <c r="B90" s="7" t="s">
        <v>98</v>
      </c>
      <c r="C90" s="14">
        <v>3.5000000000000001E-3</v>
      </c>
      <c r="D90" s="103">
        <f t="shared" si="1"/>
        <v>20.14</v>
      </c>
    </row>
    <row r="91" spans="1:6" s="19" customFormat="1" x14ac:dyDescent="0.25">
      <c r="A91" s="9" t="s">
        <v>11</v>
      </c>
      <c r="B91" s="7" t="s">
        <v>99</v>
      </c>
      <c r="C91" s="14">
        <v>2.0000000000000001E-4</v>
      </c>
      <c r="D91" s="103">
        <f t="shared" si="1"/>
        <v>1.1499999999999999</v>
      </c>
    </row>
    <row r="92" spans="1:6" s="19" customFormat="1" x14ac:dyDescent="0.25">
      <c r="A92" s="9" t="s">
        <v>13</v>
      </c>
      <c r="B92" s="7" t="s">
        <v>117</v>
      </c>
      <c r="C92" s="14">
        <v>1.4E-3</v>
      </c>
      <c r="D92" s="103">
        <f t="shared" si="1"/>
        <v>8.06</v>
      </c>
    </row>
    <row r="93" spans="1:6" s="19" customFormat="1" x14ac:dyDescent="0.25">
      <c r="A93" s="9" t="s">
        <v>14</v>
      </c>
      <c r="B93" s="7" t="s">
        <v>115</v>
      </c>
      <c r="C93" s="14">
        <v>2.9999999999999997E-4</v>
      </c>
      <c r="D93" s="103">
        <f t="shared" si="1"/>
        <v>1.73</v>
      </c>
    </row>
    <row r="94" spans="1:6" s="19" customFormat="1" x14ac:dyDescent="0.25">
      <c r="A94" s="9" t="s">
        <v>16</v>
      </c>
      <c r="B94" s="7" t="s">
        <v>19</v>
      </c>
      <c r="C94" s="14"/>
      <c r="D94" s="103">
        <f t="shared" si="1"/>
        <v>0</v>
      </c>
    </row>
    <row r="95" spans="1:6" s="19" customFormat="1" x14ac:dyDescent="0.25">
      <c r="A95" s="180" t="s">
        <v>35</v>
      </c>
      <c r="B95" s="180"/>
      <c r="C95" s="104">
        <f>SUM(C89:C94)</f>
        <v>9.6299999999999997E-2</v>
      </c>
      <c r="D95" s="103">
        <f>SUM(D89:D94)</f>
        <v>554.27</v>
      </c>
    </row>
    <row r="96" spans="1:6" s="19" customFormat="1" x14ac:dyDescent="0.25"/>
    <row r="97" spans="1:4" s="19" customFormat="1" ht="16.5" thickBot="1" x14ac:dyDescent="0.3">
      <c r="A97" s="172" t="s">
        <v>100</v>
      </c>
      <c r="B97" s="172"/>
      <c r="C97" s="172"/>
      <c r="D97" s="172"/>
    </row>
    <row r="98" spans="1:4" s="19" customFormat="1" ht="15.75" thickBot="1" x14ac:dyDescent="0.3">
      <c r="A98" s="17" t="s">
        <v>36</v>
      </c>
      <c r="B98" s="18" t="s">
        <v>101</v>
      </c>
      <c r="C98" s="60" t="s">
        <v>6</v>
      </c>
    </row>
    <row r="99" spans="1:4" s="19" customFormat="1" ht="15.75" thickBot="1" x14ac:dyDescent="0.3">
      <c r="A99" s="10" t="s">
        <v>7</v>
      </c>
      <c r="B99" s="46" t="s">
        <v>102</v>
      </c>
      <c r="C99" s="61">
        <v>0</v>
      </c>
    </row>
    <row r="100" spans="1:4" s="19" customFormat="1" ht="15.75" thickBot="1" x14ac:dyDescent="0.3">
      <c r="A100" s="140" t="s">
        <v>35</v>
      </c>
      <c r="B100" s="141"/>
      <c r="C100" s="62"/>
    </row>
    <row r="101" spans="1:4" s="19" customFormat="1" x14ac:dyDescent="0.25"/>
    <row r="102" spans="1:4" s="19" customFormat="1" ht="15.75" thickBot="1" x14ac:dyDescent="0.3">
      <c r="A102" s="171" t="s">
        <v>103</v>
      </c>
      <c r="B102" s="171"/>
      <c r="C102" s="171"/>
    </row>
    <row r="103" spans="1:4" s="19" customFormat="1" ht="15.75" thickBot="1" x14ac:dyDescent="0.3">
      <c r="A103" s="17">
        <v>4</v>
      </c>
      <c r="B103" s="18" t="s">
        <v>39</v>
      </c>
      <c r="C103" s="60" t="s">
        <v>6</v>
      </c>
    </row>
    <row r="104" spans="1:4" s="19" customFormat="1" x14ac:dyDescent="0.25">
      <c r="A104" s="6" t="s">
        <v>25</v>
      </c>
      <c r="B104" s="46" t="s">
        <v>97</v>
      </c>
      <c r="C104" s="61">
        <f>D95</f>
        <v>554.27</v>
      </c>
    </row>
    <row r="105" spans="1:4" s="19" customFormat="1" ht="15.75" thickBot="1" x14ac:dyDescent="0.3">
      <c r="A105" s="6" t="s">
        <v>36</v>
      </c>
      <c r="B105" s="63" t="s">
        <v>101</v>
      </c>
      <c r="C105" s="61">
        <f>C99</f>
        <v>0</v>
      </c>
    </row>
    <row r="106" spans="1:4" s="19" customFormat="1" ht="15.75" thickBot="1" x14ac:dyDescent="0.3">
      <c r="A106" s="140" t="s">
        <v>35</v>
      </c>
      <c r="B106" s="141"/>
      <c r="C106" s="64">
        <f>SUM(C104:C105)</f>
        <v>554.27</v>
      </c>
    </row>
    <row r="107" spans="1:4" s="19" customFormat="1" x14ac:dyDescent="0.25">
      <c r="A107" s="44"/>
      <c r="D107" s="21"/>
    </row>
    <row r="108" spans="1:4" s="19" customFormat="1" ht="16.5" thickBot="1" x14ac:dyDescent="0.3">
      <c r="A108" s="166" t="s">
        <v>104</v>
      </c>
      <c r="B108" s="166"/>
      <c r="C108" s="166"/>
      <c r="D108" s="166"/>
    </row>
    <row r="109" spans="1:4" s="19" customFormat="1" ht="15.75" thickBot="1" x14ac:dyDescent="0.3">
      <c r="A109" s="17">
        <v>5</v>
      </c>
      <c r="B109" s="142" t="s">
        <v>24</v>
      </c>
      <c r="C109" s="167"/>
      <c r="D109" s="37" t="s">
        <v>6</v>
      </c>
    </row>
    <row r="110" spans="1:4" s="19" customFormat="1" x14ac:dyDescent="0.25">
      <c r="A110" s="10" t="s">
        <v>7</v>
      </c>
      <c r="B110" s="156" t="s">
        <v>75</v>
      </c>
      <c r="C110" s="157"/>
      <c r="D110" s="38">
        <f>'Uniformes e Equipamentos'!M11</f>
        <v>50.67</v>
      </c>
    </row>
    <row r="111" spans="1:4" s="19" customFormat="1" x14ac:dyDescent="0.25">
      <c r="A111" s="6" t="s">
        <v>9</v>
      </c>
      <c r="B111" s="158" t="s">
        <v>62</v>
      </c>
      <c r="C111" s="159"/>
      <c r="D111" s="39">
        <v>0</v>
      </c>
    </row>
    <row r="112" spans="1:4" s="19" customFormat="1" x14ac:dyDescent="0.25">
      <c r="A112" s="6" t="s">
        <v>11</v>
      </c>
      <c r="B112" s="158" t="s">
        <v>63</v>
      </c>
      <c r="C112" s="159"/>
      <c r="D112" s="39">
        <f>'Uniformes e Equipamentos'!N24</f>
        <v>22.68</v>
      </c>
    </row>
    <row r="113" spans="1:4" s="19" customFormat="1" ht="15.75" thickBot="1" x14ac:dyDescent="0.3">
      <c r="A113" s="41" t="s">
        <v>13</v>
      </c>
      <c r="B113" s="160" t="s">
        <v>19</v>
      </c>
      <c r="C113" s="161"/>
      <c r="D113" s="42"/>
    </row>
    <row r="114" spans="1:4" s="19" customFormat="1" ht="15.75" customHeight="1" thickBot="1" x14ac:dyDescent="0.3">
      <c r="A114" s="168" t="s">
        <v>65</v>
      </c>
      <c r="B114" s="169"/>
      <c r="C114" s="167"/>
      <c r="D114" s="43">
        <f>SUM(D110:D113)</f>
        <v>73.349999999999994</v>
      </c>
    </row>
    <row r="115" spans="1:4" s="19" customFormat="1" x14ac:dyDescent="0.25"/>
    <row r="116" spans="1:4" s="19" customFormat="1" ht="16.5" thickBot="1" x14ac:dyDescent="0.3">
      <c r="A116" s="166" t="s">
        <v>105</v>
      </c>
      <c r="B116" s="166"/>
      <c r="C116" s="166"/>
      <c r="D116" s="166"/>
    </row>
    <row r="117" spans="1:4" s="19" customFormat="1" ht="15.75" thickBot="1" x14ac:dyDescent="0.3">
      <c r="A117" s="17">
        <v>5</v>
      </c>
      <c r="B117" s="18" t="s">
        <v>40</v>
      </c>
      <c r="C117" s="59" t="s">
        <v>27</v>
      </c>
      <c r="D117" s="45" t="s">
        <v>6</v>
      </c>
    </row>
    <row r="118" spans="1:4" s="19" customFormat="1" x14ac:dyDescent="0.25">
      <c r="A118" s="10" t="s">
        <v>7</v>
      </c>
      <c r="B118" s="11" t="s">
        <v>41</v>
      </c>
      <c r="C118" s="12">
        <v>1.6199999999999999E-2</v>
      </c>
      <c r="D118" s="65">
        <f>C118*$D$134</f>
        <v>103.41</v>
      </c>
    </row>
    <row r="119" spans="1:4" s="19" customFormat="1" x14ac:dyDescent="0.25">
      <c r="A119" s="6" t="s">
        <v>9</v>
      </c>
      <c r="B119" s="13" t="s">
        <v>44</v>
      </c>
      <c r="C119" s="12">
        <v>1.3899999999999999E-2</v>
      </c>
      <c r="D119" s="65">
        <f>C119*(D118+$D$134)</f>
        <v>90.16</v>
      </c>
    </row>
    <row r="120" spans="1:4" s="19" customFormat="1" x14ac:dyDescent="0.25">
      <c r="A120" s="6" t="s">
        <v>11</v>
      </c>
      <c r="B120" s="7" t="s">
        <v>42</v>
      </c>
      <c r="C120" s="66">
        <f>SUM(C121:C124)</f>
        <v>8.6499999999999994E-2</v>
      </c>
      <c r="D120" s="67"/>
    </row>
    <row r="121" spans="1:4" s="19" customFormat="1" x14ac:dyDescent="0.25">
      <c r="A121" s="6" t="s">
        <v>59</v>
      </c>
      <c r="B121" s="7" t="s">
        <v>43</v>
      </c>
      <c r="C121" s="68">
        <v>0</v>
      </c>
      <c r="D121" s="67"/>
    </row>
    <row r="122" spans="1:4" s="19" customFormat="1" x14ac:dyDescent="0.25">
      <c r="A122" s="6" t="s">
        <v>60</v>
      </c>
      <c r="B122" s="7" t="s">
        <v>50</v>
      </c>
      <c r="C122" s="68">
        <v>6.4999999999999997E-3</v>
      </c>
      <c r="D122" s="67">
        <f>(D134+D118+D119)/(1-C120)*C122</f>
        <v>46.8</v>
      </c>
    </row>
    <row r="123" spans="1:4" s="19" customFormat="1" x14ac:dyDescent="0.25">
      <c r="A123" s="6" t="s">
        <v>61</v>
      </c>
      <c r="B123" s="7" t="s">
        <v>51</v>
      </c>
      <c r="C123" s="68">
        <v>0.03</v>
      </c>
      <c r="D123" s="67">
        <f>(D134+D118+D119)/(1-C120)*C123</f>
        <v>215.99</v>
      </c>
    </row>
    <row r="124" spans="1:4" s="19" customFormat="1" ht="15.75" thickBot="1" x14ac:dyDescent="0.3">
      <c r="A124" s="6" t="s">
        <v>106</v>
      </c>
      <c r="B124" s="49" t="s">
        <v>116</v>
      </c>
      <c r="C124" s="68">
        <v>0.05</v>
      </c>
      <c r="D124" s="67">
        <f>(D134+D118+D119)/(1-C120)*C124</f>
        <v>359.98</v>
      </c>
    </row>
    <row r="125" spans="1:4" s="35" customFormat="1" ht="15.75" thickBot="1" x14ac:dyDescent="0.3">
      <c r="A125" s="140" t="s">
        <v>35</v>
      </c>
      <c r="B125" s="141"/>
      <c r="C125" s="141"/>
      <c r="D125" s="69">
        <f>SUM(D118:D124)</f>
        <v>816.34</v>
      </c>
    </row>
    <row r="126" spans="1:4" s="19" customFormat="1" ht="15.75" customHeight="1" x14ac:dyDescent="0.25">
      <c r="A126" s="44"/>
      <c r="D126" s="21"/>
    </row>
    <row r="127" spans="1:4" s="19" customFormat="1" ht="16.5" thickBot="1" x14ac:dyDescent="0.3">
      <c r="A127" s="179" t="s">
        <v>113</v>
      </c>
      <c r="B127" s="179"/>
      <c r="C127" s="179"/>
      <c r="D127" s="179"/>
    </row>
    <row r="128" spans="1:4" s="19" customFormat="1" ht="15.75" customHeight="1" thickBot="1" x14ac:dyDescent="0.3">
      <c r="A128" s="168" t="s">
        <v>45</v>
      </c>
      <c r="B128" s="169"/>
      <c r="C128" s="167"/>
      <c r="D128" s="45" t="s">
        <v>46</v>
      </c>
    </row>
    <row r="129" spans="1:4" s="19" customFormat="1" x14ac:dyDescent="0.25">
      <c r="A129" s="10" t="s">
        <v>7</v>
      </c>
      <c r="B129" s="156" t="s">
        <v>47</v>
      </c>
      <c r="C129" s="157"/>
      <c r="D129" s="70">
        <f>D37</f>
        <v>2935.96</v>
      </c>
    </row>
    <row r="130" spans="1:4" s="19" customFormat="1" x14ac:dyDescent="0.25">
      <c r="A130" s="6" t="s">
        <v>9</v>
      </c>
      <c r="B130" s="158" t="s">
        <v>107</v>
      </c>
      <c r="C130" s="159"/>
      <c r="D130" s="71">
        <f>C74</f>
        <v>2437.12</v>
      </c>
    </row>
    <row r="131" spans="1:4" s="19" customFormat="1" x14ac:dyDescent="0.25">
      <c r="A131" s="6" t="s">
        <v>11</v>
      </c>
      <c r="B131" s="158" t="s">
        <v>108</v>
      </c>
      <c r="C131" s="159"/>
      <c r="D131" s="71">
        <f>D84</f>
        <v>382.57</v>
      </c>
    </row>
    <row r="132" spans="1:4" s="19" customFormat="1" ht="15" customHeight="1" x14ac:dyDescent="0.25">
      <c r="A132" s="6" t="s">
        <v>13</v>
      </c>
      <c r="B132" s="72" t="s">
        <v>109</v>
      </c>
      <c r="C132" s="73"/>
      <c r="D132" s="71">
        <f>C106</f>
        <v>554.27</v>
      </c>
    </row>
    <row r="133" spans="1:4" s="19" customFormat="1" x14ac:dyDescent="0.25">
      <c r="A133" s="6" t="s">
        <v>14</v>
      </c>
      <c r="B133" s="158" t="s">
        <v>110</v>
      </c>
      <c r="C133" s="159"/>
      <c r="D133" s="71">
        <f>D114</f>
        <v>73.349999999999994</v>
      </c>
    </row>
    <row r="134" spans="1:4" s="19" customFormat="1" ht="15" customHeight="1" x14ac:dyDescent="0.25">
      <c r="A134" s="173" t="s">
        <v>111</v>
      </c>
      <c r="B134" s="174"/>
      <c r="C134" s="175"/>
      <c r="D134" s="71">
        <f>SUM(D129:D133)</f>
        <v>6383.27</v>
      </c>
    </row>
    <row r="135" spans="1:4" s="19" customFormat="1" ht="15.75" customHeight="1" x14ac:dyDescent="0.25">
      <c r="A135" s="41" t="s">
        <v>16</v>
      </c>
      <c r="B135" s="181" t="s">
        <v>112</v>
      </c>
      <c r="C135" s="182"/>
      <c r="D135" s="74">
        <f>D125</f>
        <v>816.34</v>
      </c>
    </row>
    <row r="136" spans="1:4" s="19" customFormat="1" ht="15" customHeight="1" x14ac:dyDescent="0.25">
      <c r="A136" s="180" t="s">
        <v>121</v>
      </c>
      <c r="B136" s="180"/>
      <c r="C136" s="180"/>
      <c r="D136" s="75">
        <f>SUM(D134:D135)</f>
        <v>7199.61</v>
      </c>
    </row>
    <row r="137" spans="1:4" s="19" customFormat="1" ht="15.75" customHeight="1" thickBot="1" x14ac:dyDescent="0.3">
      <c r="A137" s="176" t="s">
        <v>122</v>
      </c>
      <c r="B137" s="177"/>
      <c r="C137" s="178"/>
      <c r="D137" s="76">
        <f>SUM(D134:D135)*2</f>
        <v>14399.22</v>
      </c>
    </row>
  </sheetData>
  <mergeCells count="76">
    <mergeCell ref="A1:D2"/>
    <mergeCell ref="B109:C109"/>
    <mergeCell ref="B110:C110"/>
    <mergeCell ref="B111:C111"/>
    <mergeCell ref="A106:B106"/>
    <mergeCell ref="A39:D39"/>
    <mergeCell ref="A68:D68"/>
    <mergeCell ref="A87:D87"/>
    <mergeCell ref="A43:B43"/>
    <mergeCell ref="A84:B84"/>
    <mergeCell ref="A47:D47"/>
    <mergeCell ref="A57:B57"/>
    <mergeCell ref="C60:D60"/>
    <mergeCell ref="A59:D59"/>
    <mergeCell ref="A74:B74"/>
    <mergeCell ref="C61:D61"/>
    <mergeCell ref="C62:D62"/>
    <mergeCell ref="A95:B95"/>
    <mergeCell ref="C63:D63"/>
    <mergeCell ref="C65:D65"/>
    <mergeCell ref="A69:C69"/>
    <mergeCell ref="A76:D76"/>
    <mergeCell ref="A86:D86"/>
    <mergeCell ref="C64:D64"/>
    <mergeCell ref="C66:D66"/>
    <mergeCell ref="A134:C134"/>
    <mergeCell ref="A137:C137"/>
    <mergeCell ref="A127:D127"/>
    <mergeCell ref="A128:C128"/>
    <mergeCell ref="B129:C129"/>
    <mergeCell ref="B130:C130"/>
    <mergeCell ref="B131:C131"/>
    <mergeCell ref="A136:C136"/>
    <mergeCell ref="B135:C135"/>
    <mergeCell ref="B133:C133"/>
    <mergeCell ref="A116:D116"/>
    <mergeCell ref="A125:C125"/>
    <mergeCell ref="B112:C112"/>
    <mergeCell ref="B113:C113"/>
    <mergeCell ref="C67:D67"/>
    <mergeCell ref="A67:B67"/>
    <mergeCell ref="A114:C114"/>
    <mergeCell ref="A102:C102"/>
    <mergeCell ref="A108:D108"/>
    <mergeCell ref="A97:D97"/>
    <mergeCell ref="A100:B100"/>
    <mergeCell ref="B30:C30"/>
    <mergeCell ref="B29:C29"/>
    <mergeCell ref="A37:C37"/>
    <mergeCell ref="B32:C32"/>
    <mergeCell ref="B33:C33"/>
    <mergeCell ref="B34:C34"/>
    <mergeCell ref="B35:C35"/>
    <mergeCell ref="B36:C36"/>
    <mergeCell ref="B31:C31"/>
    <mergeCell ref="B23:C23"/>
    <mergeCell ref="B24:C24"/>
    <mergeCell ref="B25:C25"/>
    <mergeCell ref="B26:C26"/>
    <mergeCell ref="A28:D28"/>
    <mergeCell ref="A45:C45"/>
    <mergeCell ref="A19:B19"/>
    <mergeCell ref="A21:D21"/>
    <mergeCell ref="A18:B18"/>
    <mergeCell ref="A3:D4"/>
    <mergeCell ref="B6:D6"/>
    <mergeCell ref="B7:D7"/>
    <mergeCell ref="B8:D8"/>
    <mergeCell ref="A10:D10"/>
    <mergeCell ref="B11:C11"/>
    <mergeCell ref="B12:C12"/>
    <mergeCell ref="B13:C13"/>
    <mergeCell ref="B14:C14"/>
    <mergeCell ref="B15:C15"/>
    <mergeCell ref="A17:D17"/>
    <mergeCell ref="B22:C22"/>
  </mergeCells>
  <printOptions horizontalCentered="1"/>
  <pageMargins left="0.23622047244094491" right="0.23622047244094491" top="0.86614173228346458" bottom="0.43307086614173229" header="0.15748031496062992" footer="0.31496062992125984"/>
  <pageSetup paperSize="9" scale="6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5396F-32D3-49D0-9F66-F7348B448AFB}">
  <dimension ref="A1:F137"/>
  <sheetViews>
    <sheetView showGridLines="0" view="pageBreakPreview" topLeftCell="B115" zoomScale="130" zoomScaleNormal="90" zoomScaleSheetLayoutView="130" workbookViewId="0">
      <selection activeCell="D136" sqref="D136"/>
    </sheetView>
  </sheetViews>
  <sheetFormatPr defaultRowHeight="15" x14ac:dyDescent="0.25"/>
  <cols>
    <col min="1" max="1" width="14.5703125" style="2" bestFit="1" customWidth="1"/>
    <col min="2" max="2" width="59" style="1" bestFit="1" customWidth="1"/>
    <col min="3" max="3" width="20" style="1" bestFit="1" customWidth="1"/>
    <col min="4" max="4" width="34.7109375" style="2" bestFit="1" customWidth="1"/>
    <col min="5" max="5" width="9.140625" style="1"/>
    <col min="6" max="6" width="17.85546875" style="1" customWidth="1"/>
    <col min="7" max="16384" width="9.140625" style="1"/>
  </cols>
  <sheetData>
    <row r="1" spans="1:4" s="19" customFormat="1" ht="27" customHeight="1" x14ac:dyDescent="0.25">
      <c r="A1" s="186" t="s">
        <v>138</v>
      </c>
      <c r="B1" s="187"/>
      <c r="C1" s="187"/>
      <c r="D1" s="187"/>
    </row>
    <row r="2" spans="1:4" s="19" customFormat="1" ht="99" customHeight="1" thickBot="1" x14ac:dyDescent="0.3">
      <c r="A2" s="188"/>
      <c r="B2" s="188"/>
      <c r="C2" s="188"/>
      <c r="D2" s="188"/>
    </row>
    <row r="3" spans="1:4" s="19" customFormat="1" ht="15" customHeight="1" x14ac:dyDescent="0.25">
      <c r="A3" s="145" t="s">
        <v>52</v>
      </c>
      <c r="B3" s="146"/>
      <c r="C3" s="146"/>
      <c r="D3" s="146"/>
    </row>
    <row r="4" spans="1:4" s="19" customFormat="1" ht="15.75" customHeight="1" thickBot="1" x14ac:dyDescent="0.3">
      <c r="A4" s="147"/>
      <c r="B4" s="148"/>
      <c r="C4" s="148"/>
      <c r="D4" s="148"/>
    </row>
    <row r="5" spans="1:4" s="19" customFormat="1" ht="15.75" thickBot="1" x14ac:dyDescent="0.3">
      <c r="A5" s="20"/>
      <c r="D5" s="21"/>
    </row>
    <row r="6" spans="1:4" s="19" customFormat="1" x14ac:dyDescent="0.25">
      <c r="A6" s="22" t="s">
        <v>67</v>
      </c>
      <c r="B6" s="149"/>
      <c r="C6" s="149"/>
      <c r="D6" s="149"/>
    </row>
    <row r="7" spans="1:4" s="19" customFormat="1" x14ac:dyDescent="0.25">
      <c r="A7" s="23" t="s">
        <v>66</v>
      </c>
      <c r="B7" s="150"/>
      <c r="C7" s="151"/>
      <c r="D7" s="151"/>
    </row>
    <row r="8" spans="1:4" s="19" customFormat="1" ht="15.75" thickBot="1" x14ac:dyDescent="0.3">
      <c r="A8" s="24" t="s">
        <v>68</v>
      </c>
      <c r="B8" s="152"/>
      <c r="C8" s="152"/>
      <c r="D8" s="152"/>
    </row>
    <row r="9" spans="1:4" s="19" customFormat="1" ht="15.75" thickBot="1" x14ac:dyDescent="0.3">
      <c r="A9" s="25"/>
      <c r="B9" s="25"/>
      <c r="C9" s="25"/>
      <c r="D9" s="21"/>
    </row>
    <row r="10" spans="1:4" s="19" customFormat="1" ht="15.75" thickBot="1" x14ac:dyDescent="0.3">
      <c r="A10" s="153" t="s">
        <v>53</v>
      </c>
      <c r="B10" s="154"/>
      <c r="C10" s="154"/>
      <c r="D10" s="155"/>
    </row>
    <row r="11" spans="1:4" s="19" customFormat="1" x14ac:dyDescent="0.25">
      <c r="A11" s="10" t="s">
        <v>7</v>
      </c>
      <c r="B11" s="156" t="s">
        <v>54</v>
      </c>
      <c r="C11" s="157"/>
      <c r="D11" s="11"/>
    </row>
    <row r="12" spans="1:4" s="19" customFormat="1" x14ac:dyDescent="0.25">
      <c r="A12" s="6" t="s">
        <v>9</v>
      </c>
      <c r="B12" s="158" t="s">
        <v>55</v>
      </c>
      <c r="C12" s="159"/>
      <c r="D12" s="26" t="s">
        <v>184</v>
      </c>
    </row>
    <row r="13" spans="1:4" s="19" customFormat="1" x14ac:dyDescent="0.25">
      <c r="A13" s="6" t="s">
        <v>11</v>
      </c>
      <c r="B13" s="158" t="s">
        <v>64</v>
      </c>
      <c r="C13" s="159"/>
      <c r="D13" s="26" t="s">
        <v>185</v>
      </c>
    </row>
    <row r="14" spans="1:4" s="19" customFormat="1" ht="15" customHeight="1" x14ac:dyDescent="0.25">
      <c r="A14" s="6" t="s">
        <v>13</v>
      </c>
      <c r="B14" s="158" t="s">
        <v>56</v>
      </c>
      <c r="C14" s="159"/>
      <c r="D14" s="26" t="s">
        <v>186</v>
      </c>
    </row>
    <row r="15" spans="1:4" s="19" customFormat="1" ht="15.75" thickBot="1" x14ac:dyDescent="0.3">
      <c r="A15" s="27" t="s">
        <v>14</v>
      </c>
      <c r="B15" s="160" t="s">
        <v>57</v>
      </c>
      <c r="C15" s="161"/>
      <c r="D15" s="28">
        <v>12</v>
      </c>
    </row>
    <row r="16" spans="1:4" s="19" customFormat="1" ht="15.75" thickBot="1" x14ac:dyDescent="0.3">
      <c r="A16" s="25"/>
      <c r="B16" s="25"/>
      <c r="C16" s="25"/>
      <c r="D16" s="21"/>
    </row>
    <row r="17" spans="1:6" s="19" customFormat="1" ht="15.75" thickBot="1" x14ac:dyDescent="0.3">
      <c r="A17" s="162" t="s">
        <v>58</v>
      </c>
      <c r="B17" s="163"/>
      <c r="C17" s="163"/>
      <c r="D17" s="163"/>
    </row>
    <row r="18" spans="1:6" s="19" customFormat="1" x14ac:dyDescent="0.25">
      <c r="A18" s="143" t="s">
        <v>69</v>
      </c>
      <c r="B18" s="144"/>
      <c r="C18" s="29" t="s">
        <v>70</v>
      </c>
      <c r="D18" s="30" t="s">
        <v>71</v>
      </c>
    </row>
    <row r="19" spans="1:6" s="19" customFormat="1" ht="15.75" customHeight="1" thickBot="1" x14ac:dyDescent="0.3">
      <c r="A19" s="138" t="s">
        <v>139</v>
      </c>
      <c r="B19" s="139"/>
      <c r="C19" s="31" t="s">
        <v>72</v>
      </c>
      <c r="D19" s="28">
        <v>12</v>
      </c>
    </row>
    <row r="20" spans="1:6" s="19" customFormat="1" ht="15.75" thickBot="1" x14ac:dyDescent="0.3">
      <c r="A20" s="21"/>
      <c r="D20" s="21"/>
    </row>
    <row r="21" spans="1:6" s="19" customFormat="1" ht="15.75" customHeight="1" thickBot="1" x14ac:dyDescent="0.3">
      <c r="A21" s="140" t="s">
        <v>0</v>
      </c>
      <c r="B21" s="141"/>
      <c r="C21" s="141"/>
      <c r="D21" s="142"/>
    </row>
    <row r="22" spans="1:6" s="19" customFormat="1" x14ac:dyDescent="0.25">
      <c r="A22" s="10">
        <v>1</v>
      </c>
      <c r="B22" s="156" t="s">
        <v>1</v>
      </c>
      <c r="C22" s="157"/>
      <c r="D22" s="32" t="str">
        <f>A19</f>
        <v>Vigilante Diurno 12x36</v>
      </c>
    </row>
    <row r="23" spans="1:6" s="19" customFormat="1" x14ac:dyDescent="0.25">
      <c r="A23" s="6">
        <v>2</v>
      </c>
      <c r="B23" s="158" t="s">
        <v>124</v>
      </c>
      <c r="C23" s="159"/>
      <c r="D23" s="131">
        <v>2258.4299999999998</v>
      </c>
    </row>
    <row r="24" spans="1:6" s="19" customFormat="1" x14ac:dyDescent="0.25">
      <c r="A24" s="6">
        <v>3</v>
      </c>
      <c r="B24" s="164" t="s">
        <v>118</v>
      </c>
      <c r="C24" s="165"/>
      <c r="D24" s="26" t="str">
        <f>A19</f>
        <v>Vigilante Diurno 12x36</v>
      </c>
    </row>
    <row r="25" spans="1:6" s="19" customFormat="1" x14ac:dyDescent="0.25">
      <c r="A25" s="6">
        <v>4</v>
      </c>
      <c r="B25" s="158" t="s">
        <v>2</v>
      </c>
      <c r="C25" s="159"/>
      <c r="D25" s="33" t="s">
        <v>189</v>
      </c>
    </row>
    <row r="26" spans="1:6" s="35" customFormat="1" ht="15.75" thickBot="1" x14ac:dyDescent="0.3">
      <c r="A26" s="27">
        <v>5</v>
      </c>
      <c r="B26" s="160" t="s">
        <v>73</v>
      </c>
      <c r="C26" s="161"/>
      <c r="D26" s="34"/>
    </row>
    <row r="27" spans="1:6" s="19" customFormat="1" x14ac:dyDescent="0.25">
      <c r="A27" s="36"/>
      <c r="D27" s="21"/>
    </row>
    <row r="28" spans="1:6" s="19" customFormat="1" ht="16.5" thickBot="1" x14ac:dyDescent="0.3">
      <c r="A28" s="166" t="s">
        <v>3</v>
      </c>
      <c r="B28" s="166"/>
      <c r="C28" s="166"/>
      <c r="D28" s="166"/>
    </row>
    <row r="29" spans="1:6" s="19" customFormat="1" ht="15.75" thickBot="1" x14ac:dyDescent="0.3">
      <c r="A29" s="121" t="s">
        <v>4</v>
      </c>
      <c r="B29" s="142" t="s">
        <v>5</v>
      </c>
      <c r="C29" s="167"/>
      <c r="D29" s="37" t="s">
        <v>6</v>
      </c>
    </row>
    <row r="30" spans="1:6" s="19" customFormat="1" x14ac:dyDescent="0.25">
      <c r="A30" s="10" t="s">
        <v>7</v>
      </c>
      <c r="B30" s="156" t="s">
        <v>8</v>
      </c>
      <c r="C30" s="157"/>
      <c r="D30" s="131">
        <v>2258.4299999999998</v>
      </c>
    </row>
    <row r="31" spans="1:6" s="19" customFormat="1" x14ac:dyDescent="0.25">
      <c r="A31" s="6" t="s">
        <v>9</v>
      </c>
      <c r="B31" s="158" t="s">
        <v>10</v>
      </c>
      <c r="C31" s="159"/>
      <c r="D31" s="39">
        <f>D30*30%</f>
        <v>677.53</v>
      </c>
    </row>
    <row r="32" spans="1:6" s="19" customFormat="1" x14ac:dyDescent="0.25">
      <c r="A32" s="6" t="s">
        <v>11</v>
      </c>
      <c r="B32" s="158" t="s">
        <v>12</v>
      </c>
      <c r="C32" s="159"/>
      <c r="D32" s="39"/>
      <c r="F32" s="40"/>
    </row>
    <row r="33" spans="1:4" s="19" customFormat="1" x14ac:dyDescent="0.25">
      <c r="A33" s="6" t="s">
        <v>13</v>
      </c>
      <c r="B33" s="158" t="s">
        <v>74</v>
      </c>
      <c r="C33" s="159"/>
      <c r="D33" s="39">
        <v>310.95999999999998</v>
      </c>
    </row>
    <row r="34" spans="1:4" s="19" customFormat="1" x14ac:dyDescent="0.25">
      <c r="A34" s="6" t="s">
        <v>14</v>
      </c>
      <c r="B34" s="158" t="s">
        <v>15</v>
      </c>
      <c r="C34" s="159"/>
      <c r="D34" s="39">
        <v>38.869999999999997</v>
      </c>
    </row>
    <row r="35" spans="1:4" s="19" customFormat="1" ht="15.75" customHeight="1" x14ac:dyDescent="0.25">
      <c r="A35" s="6" t="s">
        <v>16</v>
      </c>
      <c r="B35" s="164" t="s">
        <v>79</v>
      </c>
      <c r="C35" s="165"/>
      <c r="D35" s="39"/>
    </row>
    <row r="36" spans="1:4" s="19" customFormat="1" ht="15.75" thickBot="1" x14ac:dyDescent="0.3">
      <c r="A36" s="41" t="s">
        <v>17</v>
      </c>
      <c r="B36" s="160" t="s">
        <v>19</v>
      </c>
      <c r="C36" s="161"/>
      <c r="D36" s="42"/>
    </row>
    <row r="37" spans="1:4" s="19" customFormat="1" ht="15.75" customHeight="1" thickBot="1" x14ac:dyDescent="0.3">
      <c r="A37" s="168" t="s">
        <v>20</v>
      </c>
      <c r="B37" s="169"/>
      <c r="C37" s="167"/>
      <c r="D37" s="43">
        <f>SUM(D30:D36)</f>
        <v>3285.79</v>
      </c>
    </row>
    <row r="38" spans="1:4" s="19" customFormat="1" x14ac:dyDescent="0.25">
      <c r="A38" s="44"/>
      <c r="D38" s="21"/>
    </row>
    <row r="39" spans="1:4" s="19" customFormat="1" ht="16.5" thickBot="1" x14ac:dyDescent="0.3">
      <c r="A39" s="166" t="s">
        <v>21</v>
      </c>
      <c r="B39" s="166"/>
      <c r="C39" s="166"/>
      <c r="D39" s="166"/>
    </row>
    <row r="40" spans="1:4" s="19" customFormat="1" ht="15.75" thickBot="1" x14ac:dyDescent="0.3">
      <c r="A40" s="121" t="s">
        <v>83</v>
      </c>
      <c r="B40" s="122" t="s">
        <v>82</v>
      </c>
      <c r="C40" s="122" t="s">
        <v>27</v>
      </c>
      <c r="D40" s="123" t="s">
        <v>6</v>
      </c>
    </row>
    <row r="41" spans="1:4" s="19" customFormat="1" x14ac:dyDescent="0.25">
      <c r="A41" s="10" t="s">
        <v>7</v>
      </c>
      <c r="B41" s="46" t="s">
        <v>37</v>
      </c>
      <c r="C41" s="3">
        <f>1/12</f>
        <v>8.3299999999999999E-2</v>
      </c>
      <c r="D41" s="16">
        <f>C41*D37</f>
        <v>273.70999999999998</v>
      </c>
    </row>
    <row r="42" spans="1:4" s="19" customFormat="1" ht="15.75" thickBot="1" x14ac:dyDescent="0.3">
      <c r="A42" s="10" t="s">
        <v>9</v>
      </c>
      <c r="B42" s="46" t="s">
        <v>80</v>
      </c>
      <c r="C42" s="3">
        <v>0.121</v>
      </c>
      <c r="D42" s="16">
        <f>D37*C42</f>
        <v>397.58</v>
      </c>
    </row>
    <row r="43" spans="1:4" s="19" customFormat="1" ht="15.75" thickBot="1" x14ac:dyDescent="0.3">
      <c r="A43" s="140" t="s">
        <v>35</v>
      </c>
      <c r="B43" s="141"/>
      <c r="C43" s="47">
        <f>SUM(C41:C42)</f>
        <v>0.20430000000000001</v>
      </c>
      <c r="D43" s="15">
        <f>SUM(D41:D42)</f>
        <v>671.29</v>
      </c>
    </row>
    <row r="44" spans="1:4" s="19" customFormat="1" x14ac:dyDescent="0.25">
      <c r="A44" s="44"/>
      <c r="D44" s="21"/>
    </row>
    <row r="45" spans="1:4" s="19" customFormat="1" x14ac:dyDescent="0.25">
      <c r="A45" s="137" t="s">
        <v>123</v>
      </c>
      <c r="B45" s="137"/>
      <c r="C45" s="137"/>
      <c r="D45" s="48">
        <f>D37+D43</f>
        <v>3957.08</v>
      </c>
    </row>
    <row r="46" spans="1:4" s="19" customFormat="1" x14ac:dyDescent="0.25">
      <c r="A46" s="44"/>
      <c r="D46" s="21"/>
    </row>
    <row r="47" spans="1:4" s="19" customFormat="1" ht="16.5" thickBot="1" x14ac:dyDescent="0.3">
      <c r="A47" s="166" t="s">
        <v>84</v>
      </c>
      <c r="B47" s="166"/>
      <c r="C47" s="166"/>
      <c r="D47" s="166"/>
    </row>
    <row r="48" spans="1:4" s="19" customFormat="1" ht="15.75" thickBot="1" x14ac:dyDescent="0.3">
      <c r="A48" s="121" t="s">
        <v>85</v>
      </c>
      <c r="B48" s="122" t="s">
        <v>26</v>
      </c>
      <c r="C48" s="122" t="s">
        <v>27</v>
      </c>
      <c r="D48" s="123" t="s">
        <v>6</v>
      </c>
    </row>
    <row r="49" spans="1:4" s="19" customFormat="1" x14ac:dyDescent="0.25">
      <c r="A49" s="10" t="s">
        <v>7</v>
      </c>
      <c r="B49" s="46" t="s">
        <v>28</v>
      </c>
      <c r="C49" s="3">
        <v>0.2</v>
      </c>
      <c r="D49" s="16">
        <f>C49*(D37+D43)</f>
        <v>791.42</v>
      </c>
    </row>
    <row r="50" spans="1:4" s="19" customFormat="1" x14ac:dyDescent="0.25">
      <c r="A50" s="10" t="s">
        <v>9</v>
      </c>
      <c r="B50" s="49" t="s">
        <v>32</v>
      </c>
      <c r="C50" s="3">
        <v>2.5000000000000001E-2</v>
      </c>
      <c r="D50" s="16">
        <f>C50*(D$37+D43)</f>
        <v>98.93</v>
      </c>
    </row>
    <row r="51" spans="1:4" s="19" customFormat="1" x14ac:dyDescent="0.25">
      <c r="A51" s="10" t="s">
        <v>11</v>
      </c>
      <c r="B51" s="7" t="s">
        <v>86</v>
      </c>
      <c r="C51" s="3">
        <v>1.4999999999999999E-2</v>
      </c>
      <c r="D51" s="16">
        <f>C51*(D$37+D43)</f>
        <v>59.36</v>
      </c>
    </row>
    <row r="52" spans="1:4" s="19" customFormat="1" x14ac:dyDescent="0.25">
      <c r="A52" s="6" t="s">
        <v>13</v>
      </c>
      <c r="B52" s="7" t="s">
        <v>29</v>
      </c>
      <c r="C52" s="3">
        <v>1.4999999999999999E-2</v>
      </c>
      <c r="D52" s="16">
        <f>C52*(D$37+D43)</f>
        <v>59.36</v>
      </c>
    </row>
    <row r="53" spans="1:4" s="19" customFormat="1" x14ac:dyDescent="0.25">
      <c r="A53" s="6" t="s">
        <v>14</v>
      </c>
      <c r="B53" s="7" t="s">
        <v>30</v>
      </c>
      <c r="C53" s="3">
        <v>0.01</v>
      </c>
      <c r="D53" s="16">
        <f>C53*(D43+D$37)</f>
        <v>39.57</v>
      </c>
    </row>
    <row r="54" spans="1:4" s="19" customFormat="1" x14ac:dyDescent="0.25">
      <c r="A54" s="6" t="s">
        <v>16</v>
      </c>
      <c r="B54" s="50" t="s">
        <v>34</v>
      </c>
      <c r="C54" s="3">
        <v>6.0000000000000001E-3</v>
      </c>
      <c r="D54" s="16">
        <f>C54*(D$37+D43)</f>
        <v>23.74</v>
      </c>
    </row>
    <row r="55" spans="1:4" s="19" customFormat="1" x14ac:dyDescent="0.25">
      <c r="A55" s="6" t="s">
        <v>17</v>
      </c>
      <c r="B55" s="7" t="s">
        <v>31</v>
      </c>
      <c r="C55" s="3">
        <v>2E-3</v>
      </c>
      <c r="D55" s="16">
        <f>C55*(D$37+D43)</f>
        <v>7.91</v>
      </c>
    </row>
    <row r="56" spans="1:4" s="19" customFormat="1" ht="15.75" thickBot="1" x14ac:dyDescent="0.3">
      <c r="A56" s="6" t="s">
        <v>18</v>
      </c>
      <c r="B56" s="7" t="s">
        <v>33</v>
      </c>
      <c r="C56" s="3">
        <v>0.08</v>
      </c>
      <c r="D56" s="16">
        <f>C56*(D$37+D43)</f>
        <v>316.57</v>
      </c>
    </row>
    <row r="57" spans="1:4" s="19" customFormat="1" ht="15.75" thickBot="1" x14ac:dyDescent="0.3">
      <c r="A57" s="140" t="s">
        <v>35</v>
      </c>
      <c r="B57" s="141"/>
      <c r="C57" s="47">
        <f>SUM(C49:C56)</f>
        <v>0.35299999999999998</v>
      </c>
      <c r="D57" s="51">
        <f>SUM(D49:D56)</f>
        <v>1396.86</v>
      </c>
    </row>
    <row r="58" spans="1:4" s="19" customFormat="1" x14ac:dyDescent="0.25">
      <c r="A58" s="44"/>
      <c r="D58" s="21"/>
    </row>
    <row r="59" spans="1:4" s="19" customFormat="1" ht="16.5" thickBot="1" x14ac:dyDescent="0.3">
      <c r="A59" s="166" t="s">
        <v>87</v>
      </c>
      <c r="B59" s="166"/>
      <c r="C59" s="166"/>
      <c r="D59" s="166"/>
    </row>
    <row r="60" spans="1:4" s="19" customFormat="1" ht="15.75" thickBot="1" x14ac:dyDescent="0.3">
      <c r="A60" s="121" t="s">
        <v>88</v>
      </c>
      <c r="B60" s="122" t="s">
        <v>22</v>
      </c>
      <c r="C60" s="142" t="s">
        <v>6</v>
      </c>
      <c r="D60" s="169"/>
    </row>
    <row r="61" spans="1:4" s="19" customFormat="1" x14ac:dyDescent="0.25">
      <c r="A61" s="10" t="s">
        <v>7</v>
      </c>
      <c r="B61" s="46" t="s">
        <v>187</v>
      </c>
      <c r="C61" s="190">
        <v>165</v>
      </c>
      <c r="D61" s="191"/>
    </row>
    <row r="62" spans="1:4" s="19" customFormat="1" x14ac:dyDescent="0.25">
      <c r="A62" s="6" t="s">
        <v>48</v>
      </c>
      <c r="B62" s="7" t="s">
        <v>49</v>
      </c>
      <c r="C62" s="183">
        <f>-(6%*D30)</f>
        <v>-135.51</v>
      </c>
      <c r="D62" s="184"/>
    </row>
    <row r="63" spans="1:4" s="19" customFormat="1" x14ac:dyDescent="0.25">
      <c r="A63" s="6" t="s">
        <v>9</v>
      </c>
      <c r="B63" s="7" t="s">
        <v>188</v>
      </c>
      <c r="C63" s="183">
        <f>15*39.29</f>
        <v>589.35</v>
      </c>
      <c r="D63" s="184"/>
    </row>
    <row r="64" spans="1:4" s="19" customFormat="1" x14ac:dyDescent="0.25">
      <c r="A64" s="6" t="s">
        <v>137</v>
      </c>
      <c r="B64" s="7" t="s">
        <v>153</v>
      </c>
      <c r="C64" s="183">
        <f>-(27.44*18%)*15</f>
        <v>-74.09</v>
      </c>
      <c r="D64" s="184"/>
    </row>
    <row r="65" spans="1:4" s="19" customFormat="1" x14ac:dyDescent="0.25">
      <c r="A65" s="6" t="s">
        <v>11</v>
      </c>
      <c r="B65" s="8" t="s">
        <v>81</v>
      </c>
      <c r="C65" s="183">
        <v>140</v>
      </c>
      <c r="D65" s="184"/>
    </row>
    <row r="66" spans="1:4" s="19" customFormat="1" ht="15.75" thickBot="1" x14ac:dyDescent="0.3">
      <c r="A66" s="6" t="s">
        <v>59</v>
      </c>
      <c r="B66" s="8" t="s">
        <v>154</v>
      </c>
      <c r="C66" s="183">
        <v>-95.58</v>
      </c>
      <c r="D66" s="184"/>
    </row>
    <row r="67" spans="1:4" s="19" customFormat="1" ht="15" customHeight="1" thickBot="1" x14ac:dyDescent="0.3">
      <c r="A67" s="168" t="s">
        <v>23</v>
      </c>
      <c r="B67" s="169"/>
      <c r="C67" s="170">
        <f>SUM(C61:D66)</f>
        <v>589.16999999999996</v>
      </c>
      <c r="D67" s="170"/>
    </row>
    <row r="68" spans="1:4" s="19" customFormat="1" x14ac:dyDescent="0.25">
      <c r="A68" s="189"/>
      <c r="B68" s="189"/>
      <c r="C68" s="189"/>
      <c r="D68" s="189"/>
    </row>
    <row r="69" spans="1:4" s="19" customFormat="1" ht="16.5" thickBot="1" x14ac:dyDescent="0.3">
      <c r="A69" s="185" t="s">
        <v>95</v>
      </c>
      <c r="B69" s="185"/>
      <c r="C69" s="185"/>
      <c r="D69" s="52"/>
    </row>
    <row r="70" spans="1:4" s="19" customFormat="1" ht="15.75" thickBot="1" x14ac:dyDescent="0.3">
      <c r="A70" s="121">
        <v>2</v>
      </c>
      <c r="B70" s="122" t="s">
        <v>89</v>
      </c>
      <c r="C70" s="122" t="s">
        <v>6</v>
      </c>
      <c r="D70" s="128"/>
    </row>
    <row r="71" spans="1:4" s="19" customFormat="1" x14ac:dyDescent="0.25">
      <c r="A71" s="9" t="s">
        <v>83</v>
      </c>
      <c r="B71" s="7" t="s">
        <v>82</v>
      </c>
      <c r="C71" s="54">
        <f>D43</f>
        <v>671.29</v>
      </c>
      <c r="D71" s="128"/>
    </row>
    <row r="72" spans="1:4" s="19" customFormat="1" x14ac:dyDescent="0.25">
      <c r="A72" s="9" t="s">
        <v>85</v>
      </c>
      <c r="B72" s="7" t="s">
        <v>90</v>
      </c>
      <c r="C72" s="54">
        <f>D57</f>
        <v>1396.86</v>
      </c>
      <c r="D72" s="128"/>
    </row>
    <row r="73" spans="1:4" s="19" customFormat="1" ht="15.75" thickBot="1" x14ac:dyDescent="0.3">
      <c r="A73" s="9" t="s">
        <v>88</v>
      </c>
      <c r="B73" s="7" t="s">
        <v>22</v>
      </c>
      <c r="C73" s="54">
        <f>C67</f>
        <v>589.16999999999996</v>
      </c>
      <c r="D73" s="128"/>
    </row>
    <row r="74" spans="1:4" s="19" customFormat="1" ht="15" customHeight="1" thickBot="1" x14ac:dyDescent="0.3">
      <c r="A74" s="168" t="s">
        <v>91</v>
      </c>
      <c r="B74" s="169"/>
      <c r="C74" s="55">
        <f>SUM(C71:C73)</f>
        <v>2657.32</v>
      </c>
      <c r="D74" s="128"/>
    </row>
    <row r="75" spans="1:4" s="19" customFormat="1" ht="15" customHeight="1" x14ac:dyDescent="0.25">
      <c r="A75" s="128"/>
      <c r="B75" s="128"/>
      <c r="C75" s="128"/>
      <c r="D75" s="128"/>
    </row>
    <row r="76" spans="1:4" s="19" customFormat="1" ht="15" customHeight="1" thickBot="1" x14ac:dyDescent="0.3">
      <c r="A76" s="166" t="s">
        <v>92</v>
      </c>
      <c r="B76" s="166"/>
      <c r="C76" s="166"/>
      <c r="D76" s="166"/>
    </row>
    <row r="77" spans="1:4" s="19" customFormat="1" ht="15" customHeight="1" thickBot="1" x14ac:dyDescent="0.3">
      <c r="A77" s="121">
        <v>3</v>
      </c>
      <c r="B77" s="122" t="s">
        <v>38</v>
      </c>
      <c r="C77" s="122" t="s">
        <v>27</v>
      </c>
      <c r="D77" s="123" t="s">
        <v>6</v>
      </c>
    </row>
    <row r="78" spans="1:4" s="19" customFormat="1" x14ac:dyDescent="0.25">
      <c r="A78" s="10" t="s">
        <v>7</v>
      </c>
      <c r="B78" s="46" t="s">
        <v>77</v>
      </c>
      <c r="C78" s="4">
        <f>0.46%</f>
        <v>4.5999999999999999E-3</v>
      </c>
      <c r="D78" s="16">
        <f t="shared" ref="D78:D83" si="0">C78*($D$37+$C$74)</f>
        <v>27.34</v>
      </c>
    </row>
    <row r="79" spans="1:4" s="19" customFormat="1" ht="15" customHeight="1" x14ac:dyDescent="0.25">
      <c r="A79" s="6" t="s">
        <v>9</v>
      </c>
      <c r="B79" s="7" t="s">
        <v>76</v>
      </c>
      <c r="C79" s="4">
        <f>(C78*C56)</f>
        <v>4.0000000000000002E-4</v>
      </c>
      <c r="D79" s="16">
        <f t="shared" si="0"/>
        <v>2.38</v>
      </c>
    </row>
    <row r="80" spans="1:4" s="19" customFormat="1" ht="15" customHeight="1" x14ac:dyDescent="0.25">
      <c r="A80" s="6" t="s">
        <v>11</v>
      </c>
      <c r="B80" s="7" t="s">
        <v>119</v>
      </c>
      <c r="C80" s="4">
        <v>0.04</v>
      </c>
      <c r="D80" s="16">
        <f t="shared" si="0"/>
        <v>237.72</v>
      </c>
    </row>
    <row r="81" spans="1:6" s="19" customFormat="1" ht="15" customHeight="1" x14ac:dyDescent="0.25">
      <c r="A81" s="6" t="s">
        <v>13</v>
      </c>
      <c r="B81" s="7" t="s">
        <v>78</v>
      </c>
      <c r="C81" s="4">
        <v>1.9400000000000001E-2</v>
      </c>
      <c r="D81" s="16">
        <f t="shared" si="0"/>
        <v>115.3</v>
      </c>
    </row>
    <row r="82" spans="1:6" s="19" customFormat="1" ht="15" customHeight="1" x14ac:dyDescent="0.25">
      <c r="A82" s="6" t="s">
        <v>14</v>
      </c>
      <c r="B82" s="7" t="s">
        <v>93</v>
      </c>
      <c r="C82" s="4">
        <f>C81*C57</f>
        <v>6.7999999999999996E-3</v>
      </c>
      <c r="D82" s="16">
        <f t="shared" si="0"/>
        <v>40.409999999999997</v>
      </c>
    </row>
    <row r="83" spans="1:6" s="19" customFormat="1" ht="15" customHeight="1" thickBot="1" x14ac:dyDescent="0.3">
      <c r="A83" s="41" t="s">
        <v>16</v>
      </c>
      <c r="B83" s="56" t="s">
        <v>114</v>
      </c>
      <c r="C83" s="5"/>
      <c r="D83" s="16">
        <f t="shared" si="0"/>
        <v>0</v>
      </c>
      <c r="F83" s="57"/>
    </row>
    <row r="84" spans="1:6" s="19" customFormat="1" ht="15" customHeight="1" thickBot="1" x14ac:dyDescent="0.3">
      <c r="A84" s="140" t="s">
        <v>35</v>
      </c>
      <c r="B84" s="141"/>
      <c r="C84" s="47">
        <f>SUM(C78:C83)</f>
        <v>7.1199999999999999E-2</v>
      </c>
      <c r="D84" s="15">
        <f>SUM(D78:D83)</f>
        <v>423.15</v>
      </c>
    </row>
    <row r="85" spans="1:6" s="19" customFormat="1" ht="15" customHeight="1" x14ac:dyDescent="0.25">
      <c r="A85" s="126"/>
      <c r="B85" s="126"/>
      <c r="C85" s="126"/>
      <c r="D85" s="126"/>
    </row>
    <row r="86" spans="1:6" s="19" customFormat="1" ht="15" customHeight="1" x14ac:dyDescent="0.25">
      <c r="A86" s="166" t="s">
        <v>94</v>
      </c>
      <c r="B86" s="166"/>
      <c r="C86" s="166"/>
      <c r="D86" s="166"/>
    </row>
    <row r="87" spans="1:6" s="19" customFormat="1" ht="15" customHeight="1" x14ac:dyDescent="0.25">
      <c r="A87" s="166" t="s">
        <v>96</v>
      </c>
      <c r="B87" s="166"/>
      <c r="C87" s="166"/>
      <c r="D87" s="166"/>
    </row>
    <row r="88" spans="1:6" s="19" customFormat="1" ht="15" customHeight="1" x14ac:dyDescent="0.25">
      <c r="A88" s="127" t="s">
        <v>25</v>
      </c>
      <c r="B88" s="127" t="s">
        <v>97</v>
      </c>
      <c r="C88" s="127" t="s">
        <v>27</v>
      </c>
      <c r="D88" s="127" t="s">
        <v>6</v>
      </c>
    </row>
    <row r="89" spans="1:6" s="19" customFormat="1" x14ac:dyDescent="0.25">
      <c r="A89" s="9" t="s">
        <v>7</v>
      </c>
      <c r="B89" s="7" t="s">
        <v>120</v>
      </c>
      <c r="C89" s="14">
        <v>9.0899999999999995E-2</v>
      </c>
      <c r="D89" s="103">
        <f t="shared" ref="D89:D94" si="1">C89*($D$37+$C$74+$D$84)</f>
        <v>578.69000000000005</v>
      </c>
    </row>
    <row r="90" spans="1:6" s="19" customFormat="1" x14ac:dyDescent="0.25">
      <c r="A90" s="9" t="s">
        <v>9</v>
      </c>
      <c r="B90" s="7" t="s">
        <v>98</v>
      </c>
      <c r="C90" s="14">
        <v>3.5000000000000001E-3</v>
      </c>
      <c r="D90" s="103">
        <f t="shared" si="1"/>
        <v>22.28</v>
      </c>
    </row>
    <row r="91" spans="1:6" s="19" customFormat="1" x14ac:dyDescent="0.25">
      <c r="A91" s="9" t="s">
        <v>11</v>
      </c>
      <c r="B91" s="7" t="s">
        <v>99</v>
      </c>
      <c r="C91" s="14">
        <v>2.0000000000000001E-4</v>
      </c>
      <c r="D91" s="103">
        <f t="shared" si="1"/>
        <v>1.27</v>
      </c>
    </row>
    <row r="92" spans="1:6" s="19" customFormat="1" x14ac:dyDescent="0.25">
      <c r="A92" s="9" t="s">
        <v>13</v>
      </c>
      <c r="B92" s="7" t="s">
        <v>117</v>
      </c>
      <c r="C92" s="14">
        <v>1.4E-3</v>
      </c>
      <c r="D92" s="103">
        <f t="shared" si="1"/>
        <v>8.91</v>
      </c>
    </row>
    <row r="93" spans="1:6" s="19" customFormat="1" x14ac:dyDescent="0.25">
      <c r="A93" s="9" t="s">
        <v>14</v>
      </c>
      <c r="B93" s="7" t="s">
        <v>115</v>
      </c>
      <c r="C93" s="14">
        <v>2.9999999999999997E-4</v>
      </c>
      <c r="D93" s="103">
        <f t="shared" si="1"/>
        <v>1.91</v>
      </c>
    </row>
    <row r="94" spans="1:6" s="19" customFormat="1" x14ac:dyDescent="0.25">
      <c r="A94" s="9" t="s">
        <v>16</v>
      </c>
      <c r="B94" s="7" t="s">
        <v>19</v>
      </c>
      <c r="C94" s="14"/>
      <c r="D94" s="103">
        <f t="shared" si="1"/>
        <v>0</v>
      </c>
    </row>
    <row r="95" spans="1:6" s="19" customFormat="1" x14ac:dyDescent="0.25">
      <c r="A95" s="180" t="s">
        <v>35</v>
      </c>
      <c r="B95" s="180"/>
      <c r="C95" s="104">
        <f>SUM(C89:C94)</f>
        <v>9.6299999999999997E-2</v>
      </c>
      <c r="D95" s="103">
        <f>SUM(D89:D94)</f>
        <v>613.05999999999995</v>
      </c>
    </row>
    <row r="96" spans="1:6" s="19" customFormat="1" x14ac:dyDescent="0.25"/>
    <row r="97" spans="1:4" s="19" customFormat="1" ht="16.5" thickBot="1" x14ac:dyDescent="0.3">
      <c r="A97" s="172" t="s">
        <v>100</v>
      </c>
      <c r="B97" s="172"/>
      <c r="C97" s="172"/>
      <c r="D97" s="172"/>
    </row>
    <row r="98" spans="1:4" s="19" customFormat="1" ht="15.75" thickBot="1" x14ac:dyDescent="0.3">
      <c r="A98" s="121" t="s">
        <v>36</v>
      </c>
      <c r="B98" s="122" t="s">
        <v>101</v>
      </c>
      <c r="C98" s="60" t="s">
        <v>6</v>
      </c>
    </row>
    <row r="99" spans="1:4" s="19" customFormat="1" ht="15.75" thickBot="1" x14ac:dyDescent="0.3">
      <c r="A99" s="10" t="s">
        <v>7</v>
      </c>
      <c r="B99" s="46" t="s">
        <v>102</v>
      </c>
      <c r="C99" s="61">
        <v>0</v>
      </c>
    </row>
    <row r="100" spans="1:4" s="19" customFormat="1" ht="15.75" thickBot="1" x14ac:dyDescent="0.3">
      <c r="A100" s="140" t="s">
        <v>35</v>
      </c>
      <c r="B100" s="141"/>
      <c r="C100" s="62"/>
    </row>
    <row r="101" spans="1:4" s="19" customFormat="1" x14ac:dyDescent="0.25"/>
    <row r="102" spans="1:4" s="19" customFormat="1" ht="15.75" thickBot="1" x14ac:dyDescent="0.3">
      <c r="A102" s="171" t="s">
        <v>103</v>
      </c>
      <c r="B102" s="171"/>
      <c r="C102" s="171"/>
    </row>
    <row r="103" spans="1:4" s="19" customFormat="1" ht="15.75" thickBot="1" x14ac:dyDescent="0.3">
      <c r="A103" s="121">
        <v>4</v>
      </c>
      <c r="B103" s="122" t="s">
        <v>39</v>
      </c>
      <c r="C103" s="60" t="s">
        <v>6</v>
      </c>
    </row>
    <row r="104" spans="1:4" s="19" customFormat="1" x14ac:dyDescent="0.25">
      <c r="A104" s="6" t="s">
        <v>25</v>
      </c>
      <c r="B104" s="46" t="s">
        <v>97</v>
      </c>
      <c r="C104" s="61">
        <f>D95</f>
        <v>613.05999999999995</v>
      </c>
    </row>
    <row r="105" spans="1:4" s="19" customFormat="1" ht="15.75" thickBot="1" x14ac:dyDescent="0.3">
      <c r="A105" s="6" t="s">
        <v>36</v>
      </c>
      <c r="B105" s="63" t="s">
        <v>101</v>
      </c>
      <c r="C105" s="61">
        <f>C99</f>
        <v>0</v>
      </c>
    </row>
    <row r="106" spans="1:4" s="19" customFormat="1" ht="15.75" thickBot="1" x14ac:dyDescent="0.3">
      <c r="A106" s="140" t="s">
        <v>35</v>
      </c>
      <c r="B106" s="141"/>
      <c r="C106" s="64">
        <f>SUM(C104:C105)</f>
        <v>613.05999999999995</v>
      </c>
    </row>
    <row r="107" spans="1:4" s="19" customFormat="1" x14ac:dyDescent="0.25">
      <c r="A107" s="44"/>
      <c r="D107" s="21"/>
    </row>
    <row r="108" spans="1:4" s="19" customFormat="1" ht="16.5" thickBot="1" x14ac:dyDescent="0.3">
      <c r="A108" s="166" t="s">
        <v>104</v>
      </c>
      <c r="B108" s="166"/>
      <c r="C108" s="166"/>
      <c r="D108" s="166"/>
    </row>
    <row r="109" spans="1:4" s="19" customFormat="1" ht="15.75" thickBot="1" x14ac:dyDescent="0.3">
      <c r="A109" s="121">
        <v>5</v>
      </c>
      <c r="B109" s="142" t="s">
        <v>24</v>
      </c>
      <c r="C109" s="167"/>
      <c r="D109" s="37" t="s">
        <v>6</v>
      </c>
    </row>
    <row r="110" spans="1:4" s="19" customFormat="1" x14ac:dyDescent="0.25">
      <c r="A110" s="10" t="s">
        <v>7</v>
      </c>
      <c r="B110" s="156" t="s">
        <v>75</v>
      </c>
      <c r="C110" s="157"/>
      <c r="D110" s="38">
        <f>'Uniformes e Equipamentos'!M11</f>
        <v>50.67</v>
      </c>
    </row>
    <row r="111" spans="1:4" s="19" customFormat="1" x14ac:dyDescent="0.25">
      <c r="A111" s="6" t="s">
        <v>9</v>
      </c>
      <c r="B111" s="158" t="s">
        <v>62</v>
      </c>
      <c r="C111" s="159"/>
      <c r="D111" s="39">
        <v>0</v>
      </c>
    </row>
    <row r="112" spans="1:4" s="19" customFormat="1" x14ac:dyDescent="0.25">
      <c r="A112" s="6" t="s">
        <v>11</v>
      </c>
      <c r="B112" s="158" t="s">
        <v>63</v>
      </c>
      <c r="C112" s="159"/>
      <c r="D112" s="39">
        <f>'Uniformes e Equipamentos'!N24</f>
        <v>22.68</v>
      </c>
    </row>
    <row r="113" spans="1:4" s="19" customFormat="1" ht="15.75" thickBot="1" x14ac:dyDescent="0.3">
      <c r="A113" s="41" t="s">
        <v>13</v>
      </c>
      <c r="B113" s="160" t="s">
        <v>19</v>
      </c>
      <c r="C113" s="161"/>
      <c r="D113" s="42"/>
    </row>
    <row r="114" spans="1:4" s="19" customFormat="1" ht="15.75" customHeight="1" thickBot="1" x14ac:dyDescent="0.3">
      <c r="A114" s="168" t="s">
        <v>65</v>
      </c>
      <c r="B114" s="169"/>
      <c r="C114" s="167"/>
      <c r="D114" s="43">
        <f>SUM(D110:D113)</f>
        <v>73.349999999999994</v>
      </c>
    </row>
    <row r="115" spans="1:4" s="19" customFormat="1" x14ac:dyDescent="0.25"/>
    <row r="116" spans="1:4" s="19" customFormat="1" ht="16.5" thickBot="1" x14ac:dyDescent="0.3">
      <c r="A116" s="166" t="s">
        <v>105</v>
      </c>
      <c r="B116" s="166"/>
      <c r="C116" s="166"/>
      <c r="D116" s="166"/>
    </row>
    <row r="117" spans="1:4" s="19" customFormat="1" ht="15.75" thickBot="1" x14ac:dyDescent="0.3">
      <c r="A117" s="121">
        <v>5</v>
      </c>
      <c r="B117" s="122" t="s">
        <v>40</v>
      </c>
      <c r="C117" s="59" t="s">
        <v>27</v>
      </c>
      <c r="D117" s="123" t="s">
        <v>6</v>
      </c>
    </row>
    <row r="118" spans="1:4" s="19" customFormat="1" x14ac:dyDescent="0.25">
      <c r="A118" s="10" t="s">
        <v>7</v>
      </c>
      <c r="B118" s="11" t="s">
        <v>41</v>
      </c>
      <c r="C118" s="12">
        <v>1.6199999999999999E-2</v>
      </c>
      <c r="D118" s="65">
        <f>C118*$D$134</f>
        <v>114.25</v>
      </c>
    </row>
    <row r="119" spans="1:4" s="19" customFormat="1" x14ac:dyDescent="0.25">
      <c r="A119" s="6" t="s">
        <v>9</v>
      </c>
      <c r="B119" s="13" t="s">
        <v>44</v>
      </c>
      <c r="C119" s="12">
        <v>1.3899999999999999E-2</v>
      </c>
      <c r="D119" s="65">
        <f>C119*(D118+$D$134)</f>
        <v>99.62</v>
      </c>
    </row>
    <row r="120" spans="1:4" s="19" customFormat="1" x14ac:dyDescent="0.25">
      <c r="A120" s="6" t="s">
        <v>11</v>
      </c>
      <c r="B120" s="7" t="s">
        <v>42</v>
      </c>
      <c r="C120" s="66">
        <f>SUM(C121:C124)</f>
        <v>8.6499999999999994E-2</v>
      </c>
      <c r="D120" s="67"/>
    </row>
    <row r="121" spans="1:4" s="19" customFormat="1" x14ac:dyDescent="0.25">
      <c r="A121" s="6" t="s">
        <v>59</v>
      </c>
      <c r="B121" s="7" t="s">
        <v>43</v>
      </c>
      <c r="C121" s="68">
        <v>0</v>
      </c>
      <c r="D121" s="67"/>
    </row>
    <row r="122" spans="1:4" s="19" customFormat="1" x14ac:dyDescent="0.25">
      <c r="A122" s="6" t="s">
        <v>60</v>
      </c>
      <c r="B122" s="7" t="s">
        <v>50</v>
      </c>
      <c r="C122" s="68">
        <v>6.4999999999999997E-3</v>
      </c>
      <c r="D122" s="67">
        <f>(D134+D118+D119)/(1-C120)*C122</f>
        <v>51.7</v>
      </c>
    </row>
    <row r="123" spans="1:4" s="19" customFormat="1" x14ac:dyDescent="0.25">
      <c r="A123" s="6" t="s">
        <v>61</v>
      </c>
      <c r="B123" s="7" t="s">
        <v>51</v>
      </c>
      <c r="C123" s="68">
        <v>0.03</v>
      </c>
      <c r="D123" s="67">
        <f>(D134+D118+D119)/(1-C120)*C123</f>
        <v>238.64</v>
      </c>
    </row>
    <row r="124" spans="1:4" s="19" customFormat="1" ht="15.75" thickBot="1" x14ac:dyDescent="0.3">
      <c r="A124" s="6" t="s">
        <v>106</v>
      </c>
      <c r="B124" s="49" t="s">
        <v>116</v>
      </c>
      <c r="C124" s="68">
        <v>0.05</v>
      </c>
      <c r="D124" s="67">
        <f>(D134+D118+D119)/(1-C120)*C124</f>
        <v>397.73</v>
      </c>
    </row>
    <row r="125" spans="1:4" s="35" customFormat="1" ht="15.75" thickBot="1" x14ac:dyDescent="0.3">
      <c r="A125" s="140" t="s">
        <v>35</v>
      </c>
      <c r="B125" s="141"/>
      <c r="C125" s="141"/>
      <c r="D125" s="69">
        <f>SUM(D118:D124)</f>
        <v>901.94</v>
      </c>
    </row>
    <row r="126" spans="1:4" s="19" customFormat="1" ht="15.75" customHeight="1" x14ac:dyDescent="0.25">
      <c r="A126" s="44"/>
      <c r="D126" s="21"/>
    </row>
    <row r="127" spans="1:4" s="19" customFormat="1" ht="16.5" thickBot="1" x14ac:dyDescent="0.3">
      <c r="A127" s="179" t="s">
        <v>113</v>
      </c>
      <c r="B127" s="179"/>
      <c r="C127" s="179"/>
      <c r="D127" s="179"/>
    </row>
    <row r="128" spans="1:4" s="19" customFormat="1" ht="15.75" customHeight="1" thickBot="1" x14ac:dyDescent="0.3">
      <c r="A128" s="168" t="s">
        <v>45</v>
      </c>
      <c r="B128" s="169"/>
      <c r="C128" s="167"/>
      <c r="D128" s="123" t="s">
        <v>46</v>
      </c>
    </row>
    <row r="129" spans="1:4" s="19" customFormat="1" x14ac:dyDescent="0.25">
      <c r="A129" s="10" t="s">
        <v>7</v>
      </c>
      <c r="B129" s="156" t="s">
        <v>47</v>
      </c>
      <c r="C129" s="157"/>
      <c r="D129" s="70">
        <f>D37</f>
        <v>3285.79</v>
      </c>
    </row>
    <row r="130" spans="1:4" s="19" customFormat="1" x14ac:dyDescent="0.25">
      <c r="A130" s="6" t="s">
        <v>9</v>
      </c>
      <c r="B130" s="158" t="s">
        <v>107</v>
      </c>
      <c r="C130" s="159"/>
      <c r="D130" s="71">
        <f>C74</f>
        <v>2657.32</v>
      </c>
    </row>
    <row r="131" spans="1:4" s="19" customFormat="1" x14ac:dyDescent="0.25">
      <c r="A131" s="6" t="s">
        <v>11</v>
      </c>
      <c r="B131" s="158" t="s">
        <v>108</v>
      </c>
      <c r="C131" s="159"/>
      <c r="D131" s="71">
        <f>D84</f>
        <v>423.15</v>
      </c>
    </row>
    <row r="132" spans="1:4" s="19" customFormat="1" ht="15" customHeight="1" x14ac:dyDescent="0.25">
      <c r="A132" s="6" t="s">
        <v>13</v>
      </c>
      <c r="B132" s="124" t="s">
        <v>109</v>
      </c>
      <c r="C132" s="125"/>
      <c r="D132" s="71">
        <f>C106</f>
        <v>613.05999999999995</v>
      </c>
    </row>
    <row r="133" spans="1:4" s="19" customFormat="1" x14ac:dyDescent="0.25">
      <c r="A133" s="6" t="s">
        <v>14</v>
      </c>
      <c r="B133" s="158" t="s">
        <v>110</v>
      </c>
      <c r="C133" s="159"/>
      <c r="D133" s="71">
        <f>D114</f>
        <v>73.349999999999994</v>
      </c>
    </row>
    <row r="134" spans="1:4" s="19" customFormat="1" ht="15" customHeight="1" x14ac:dyDescent="0.25">
      <c r="A134" s="173" t="s">
        <v>111</v>
      </c>
      <c r="B134" s="174"/>
      <c r="C134" s="175"/>
      <c r="D134" s="71">
        <f>SUM(D129:D133)</f>
        <v>7052.67</v>
      </c>
    </row>
    <row r="135" spans="1:4" s="19" customFormat="1" ht="15.75" customHeight="1" x14ac:dyDescent="0.25">
      <c r="A135" s="41" t="s">
        <v>16</v>
      </c>
      <c r="B135" s="181" t="s">
        <v>112</v>
      </c>
      <c r="C135" s="182"/>
      <c r="D135" s="74">
        <f>D125</f>
        <v>901.94</v>
      </c>
    </row>
    <row r="136" spans="1:4" s="19" customFormat="1" ht="15" customHeight="1" x14ac:dyDescent="0.25">
      <c r="A136" s="180" t="s">
        <v>121</v>
      </c>
      <c r="B136" s="180"/>
      <c r="C136" s="180"/>
      <c r="D136" s="75">
        <f>SUM(D134:D135)</f>
        <v>7954.61</v>
      </c>
    </row>
    <row r="137" spans="1:4" s="19" customFormat="1" ht="15.75" customHeight="1" thickBot="1" x14ac:dyDescent="0.3">
      <c r="A137" s="176" t="s">
        <v>122</v>
      </c>
      <c r="B137" s="177"/>
      <c r="C137" s="178"/>
      <c r="D137" s="76">
        <f>SUM(D134:D135)*2</f>
        <v>15909.22</v>
      </c>
    </row>
  </sheetData>
  <mergeCells count="76">
    <mergeCell ref="A10:D10"/>
    <mergeCell ref="A1:D2"/>
    <mergeCell ref="A3:D4"/>
    <mergeCell ref="B6:D6"/>
    <mergeCell ref="B7:D7"/>
    <mergeCell ref="B8:D8"/>
    <mergeCell ref="B24:C24"/>
    <mergeCell ref="B11:C11"/>
    <mergeCell ref="B12:C12"/>
    <mergeCell ref="B13:C13"/>
    <mergeCell ref="B14:C14"/>
    <mergeCell ref="B15:C15"/>
    <mergeCell ref="A17:D17"/>
    <mergeCell ref="A18:B18"/>
    <mergeCell ref="A19:B19"/>
    <mergeCell ref="A21:D21"/>
    <mergeCell ref="B22:C22"/>
    <mergeCell ref="B23:C23"/>
    <mergeCell ref="A37:C37"/>
    <mergeCell ref="B25:C25"/>
    <mergeCell ref="B26:C26"/>
    <mergeCell ref="A28:D28"/>
    <mergeCell ref="B29:C29"/>
    <mergeCell ref="B30:C30"/>
    <mergeCell ref="B31:C31"/>
    <mergeCell ref="B32:C32"/>
    <mergeCell ref="B33:C33"/>
    <mergeCell ref="B34:C34"/>
    <mergeCell ref="B35:C35"/>
    <mergeCell ref="B36:C36"/>
    <mergeCell ref="C65:D65"/>
    <mergeCell ref="A39:D39"/>
    <mergeCell ref="A43:B43"/>
    <mergeCell ref="A45:C45"/>
    <mergeCell ref="A47:D47"/>
    <mergeCell ref="A57:B57"/>
    <mergeCell ref="A59:D59"/>
    <mergeCell ref="C60:D60"/>
    <mergeCell ref="C61:D61"/>
    <mergeCell ref="C62:D62"/>
    <mergeCell ref="C63:D63"/>
    <mergeCell ref="C64:D64"/>
    <mergeCell ref="A97:D97"/>
    <mergeCell ref="C66:D66"/>
    <mergeCell ref="A67:B67"/>
    <mergeCell ref="C67:D67"/>
    <mergeCell ref="A68:D68"/>
    <mergeCell ref="A69:C69"/>
    <mergeCell ref="A74:B74"/>
    <mergeCell ref="A76:D76"/>
    <mergeCell ref="A84:B84"/>
    <mergeCell ref="A86:D86"/>
    <mergeCell ref="A87:D87"/>
    <mergeCell ref="A95:B95"/>
    <mergeCell ref="A125:C125"/>
    <mergeCell ref="A100:B100"/>
    <mergeCell ref="A102:C102"/>
    <mergeCell ref="A106:B106"/>
    <mergeCell ref="A108:D108"/>
    <mergeCell ref="B109:C109"/>
    <mergeCell ref="B110:C110"/>
    <mergeCell ref="B111:C111"/>
    <mergeCell ref="B112:C112"/>
    <mergeCell ref="B113:C113"/>
    <mergeCell ref="A114:C114"/>
    <mergeCell ref="A116:D116"/>
    <mergeCell ref="A134:C134"/>
    <mergeCell ref="B135:C135"/>
    <mergeCell ref="A136:C136"/>
    <mergeCell ref="A137:C137"/>
    <mergeCell ref="A127:D127"/>
    <mergeCell ref="A128:C128"/>
    <mergeCell ref="B129:C129"/>
    <mergeCell ref="B130:C130"/>
    <mergeCell ref="B131:C131"/>
    <mergeCell ref="B133:C133"/>
  </mergeCells>
  <printOptions horizontalCentered="1"/>
  <pageMargins left="0.23622047244094491" right="0.23622047244094491" top="0.86614173228346458" bottom="0.43307086614173229" header="0.15748031496062992" footer="0.31496062992125984"/>
  <pageSetup paperSize="9" scale="6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BE471-FE88-46FF-BBC2-4161252BBE19}">
  <dimension ref="A1:F136"/>
  <sheetViews>
    <sheetView showGridLines="0" view="pageBreakPreview" topLeftCell="A91" zoomScale="130" zoomScaleNormal="90" zoomScaleSheetLayoutView="130" workbookViewId="0">
      <selection activeCell="D113" sqref="D113"/>
    </sheetView>
  </sheetViews>
  <sheetFormatPr defaultRowHeight="15" x14ac:dyDescent="0.25"/>
  <cols>
    <col min="1" max="1" width="14.5703125" style="2" bestFit="1" customWidth="1"/>
    <col min="2" max="2" width="59" style="1" bestFit="1" customWidth="1"/>
    <col min="3" max="3" width="20" style="1" bestFit="1" customWidth="1"/>
    <col min="4" max="4" width="34.7109375" style="2" bestFit="1" customWidth="1"/>
    <col min="5" max="5" width="9.140625" style="1"/>
    <col min="6" max="6" width="17.85546875" style="1" customWidth="1"/>
    <col min="7" max="16384" width="9.140625" style="1"/>
  </cols>
  <sheetData>
    <row r="1" spans="1:4" s="19" customFormat="1" ht="27" customHeight="1" x14ac:dyDescent="0.25">
      <c r="A1" s="186" t="s">
        <v>138</v>
      </c>
      <c r="B1" s="187"/>
      <c r="C1" s="187"/>
      <c r="D1" s="187"/>
    </row>
    <row r="2" spans="1:4" s="19" customFormat="1" ht="99" customHeight="1" thickBot="1" x14ac:dyDescent="0.3">
      <c r="A2" s="188"/>
      <c r="B2" s="188"/>
      <c r="C2" s="188"/>
      <c r="D2" s="188"/>
    </row>
    <row r="3" spans="1:4" s="19" customFormat="1" ht="15" customHeight="1" x14ac:dyDescent="0.25">
      <c r="A3" s="145" t="s">
        <v>52</v>
      </c>
      <c r="B3" s="146"/>
      <c r="C3" s="146"/>
      <c r="D3" s="146"/>
    </row>
    <row r="4" spans="1:4" s="19" customFormat="1" ht="15.75" customHeight="1" thickBot="1" x14ac:dyDescent="0.3">
      <c r="A4" s="147"/>
      <c r="B4" s="148"/>
      <c r="C4" s="148"/>
      <c r="D4" s="148"/>
    </row>
    <row r="5" spans="1:4" s="19" customFormat="1" ht="15.75" thickBot="1" x14ac:dyDescent="0.3">
      <c r="A5" s="20"/>
      <c r="D5" s="21"/>
    </row>
    <row r="6" spans="1:4" s="19" customFormat="1" x14ac:dyDescent="0.25">
      <c r="A6" s="22" t="s">
        <v>67</v>
      </c>
      <c r="B6" s="149"/>
      <c r="C6" s="149"/>
      <c r="D6" s="149"/>
    </row>
    <row r="7" spans="1:4" s="19" customFormat="1" x14ac:dyDescent="0.25">
      <c r="A7" s="23" t="s">
        <v>66</v>
      </c>
      <c r="B7" s="150"/>
      <c r="C7" s="151"/>
      <c r="D7" s="151"/>
    </row>
    <row r="8" spans="1:4" s="19" customFormat="1" ht="15.75" thickBot="1" x14ac:dyDescent="0.3">
      <c r="A8" s="24" t="s">
        <v>68</v>
      </c>
      <c r="B8" s="152"/>
      <c r="C8" s="152"/>
      <c r="D8" s="152"/>
    </row>
    <row r="9" spans="1:4" s="19" customFormat="1" ht="15.75" thickBot="1" x14ac:dyDescent="0.3">
      <c r="A9" s="25"/>
      <c r="B9" s="25"/>
      <c r="C9" s="25"/>
      <c r="D9" s="21"/>
    </row>
    <row r="10" spans="1:4" s="19" customFormat="1" ht="15.75" thickBot="1" x14ac:dyDescent="0.3">
      <c r="A10" s="153" t="s">
        <v>53</v>
      </c>
      <c r="B10" s="154"/>
      <c r="C10" s="154"/>
      <c r="D10" s="155"/>
    </row>
    <row r="11" spans="1:4" s="19" customFormat="1" x14ac:dyDescent="0.25">
      <c r="A11" s="10" t="s">
        <v>7</v>
      </c>
      <c r="B11" s="156" t="s">
        <v>54</v>
      </c>
      <c r="C11" s="157"/>
      <c r="D11" s="11"/>
    </row>
    <row r="12" spans="1:4" s="19" customFormat="1" x14ac:dyDescent="0.25">
      <c r="A12" s="6" t="s">
        <v>9</v>
      </c>
      <c r="B12" s="158" t="s">
        <v>55</v>
      </c>
      <c r="C12" s="159"/>
      <c r="D12" s="26" t="s">
        <v>184</v>
      </c>
    </row>
    <row r="13" spans="1:4" s="19" customFormat="1" x14ac:dyDescent="0.25">
      <c r="A13" s="6" t="s">
        <v>11</v>
      </c>
      <c r="B13" s="158" t="s">
        <v>64</v>
      </c>
      <c r="C13" s="159"/>
      <c r="D13" s="26" t="s">
        <v>185</v>
      </c>
    </row>
    <row r="14" spans="1:4" s="19" customFormat="1" ht="15" customHeight="1" x14ac:dyDescent="0.25">
      <c r="A14" s="6" t="s">
        <v>13</v>
      </c>
      <c r="B14" s="158" t="s">
        <v>56</v>
      </c>
      <c r="C14" s="159"/>
      <c r="D14" s="26" t="s">
        <v>186</v>
      </c>
    </row>
    <row r="15" spans="1:4" s="19" customFormat="1" ht="15.75" thickBot="1" x14ac:dyDescent="0.3">
      <c r="A15" s="27" t="s">
        <v>14</v>
      </c>
      <c r="B15" s="160" t="s">
        <v>57</v>
      </c>
      <c r="C15" s="161"/>
      <c r="D15" s="28">
        <v>12</v>
      </c>
    </row>
    <row r="16" spans="1:4" s="19" customFormat="1" ht="15.75" thickBot="1" x14ac:dyDescent="0.3">
      <c r="A16" s="25"/>
      <c r="B16" s="25"/>
      <c r="C16" s="25"/>
      <c r="D16" s="21"/>
    </row>
    <row r="17" spans="1:6" s="19" customFormat="1" ht="15.75" thickBot="1" x14ac:dyDescent="0.3">
      <c r="A17" s="162" t="s">
        <v>58</v>
      </c>
      <c r="B17" s="163"/>
      <c r="C17" s="163"/>
      <c r="D17" s="163"/>
    </row>
    <row r="18" spans="1:6" s="19" customFormat="1" x14ac:dyDescent="0.25">
      <c r="A18" s="143" t="s">
        <v>69</v>
      </c>
      <c r="B18" s="144"/>
      <c r="C18" s="29" t="s">
        <v>70</v>
      </c>
      <c r="D18" s="30" t="s">
        <v>71</v>
      </c>
    </row>
    <row r="19" spans="1:6" s="19" customFormat="1" ht="15.75" customHeight="1" thickBot="1" x14ac:dyDescent="0.3">
      <c r="A19" s="138" t="s">
        <v>139</v>
      </c>
      <c r="B19" s="139"/>
      <c r="C19" s="31" t="s">
        <v>72</v>
      </c>
      <c r="D19" s="28">
        <v>12</v>
      </c>
    </row>
    <row r="20" spans="1:6" s="19" customFormat="1" ht="15.75" thickBot="1" x14ac:dyDescent="0.3">
      <c r="A20" s="21"/>
      <c r="D20" s="21"/>
    </row>
    <row r="21" spans="1:6" s="19" customFormat="1" ht="15.75" customHeight="1" thickBot="1" x14ac:dyDescent="0.3">
      <c r="A21" s="140" t="s">
        <v>0</v>
      </c>
      <c r="B21" s="141"/>
      <c r="C21" s="141"/>
      <c r="D21" s="142"/>
    </row>
    <row r="22" spans="1:6" s="19" customFormat="1" x14ac:dyDescent="0.25">
      <c r="A22" s="10">
        <v>1</v>
      </c>
      <c r="B22" s="156" t="s">
        <v>1</v>
      </c>
      <c r="C22" s="157"/>
      <c r="D22" s="32" t="str">
        <f>A19</f>
        <v>Vigilante Diurno 12x36</v>
      </c>
    </row>
    <row r="23" spans="1:6" s="19" customFormat="1" x14ac:dyDescent="0.25">
      <c r="A23" s="6">
        <v>2</v>
      </c>
      <c r="B23" s="158" t="s">
        <v>124</v>
      </c>
      <c r="C23" s="159"/>
      <c r="D23" s="131">
        <v>2258.4299999999998</v>
      </c>
    </row>
    <row r="24" spans="1:6" s="19" customFormat="1" x14ac:dyDescent="0.25">
      <c r="A24" s="6">
        <v>3</v>
      </c>
      <c r="B24" s="164" t="s">
        <v>118</v>
      </c>
      <c r="C24" s="165"/>
      <c r="D24" s="26" t="str">
        <f>A19</f>
        <v>Vigilante Diurno 12x36</v>
      </c>
    </row>
    <row r="25" spans="1:6" s="19" customFormat="1" x14ac:dyDescent="0.25">
      <c r="A25" s="6">
        <v>4</v>
      </c>
      <c r="B25" s="158" t="s">
        <v>2</v>
      </c>
      <c r="C25" s="159"/>
      <c r="D25" s="33" t="s">
        <v>189</v>
      </c>
    </row>
    <row r="26" spans="1:6" s="35" customFormat="1" ht="15.75" thickBot="1" x14ac:dyDescent="0.3">
      <c r="A26" s="27">
        <v>5</v>
      </c>
      <c r="B26" s="160" t="s">
        <v>73</v>
      </c>
      <c r="C26" s="161"/>
      <c r="D26" s="34"/>
    </row>
    <row r="27" spans="1:6" s="19" customFormat="1" x14ac:dyDescent="0.25">
      <c r="A27" s="36"/>
      <c r="D27" s="21"/>
    </row>
    <row r="28" spans="1:6" s="19" customFormat="1" ht="16.5" thickBot="1" x14ac:dyDescent="0.3">
      <c r="A28" s="166" t="s">
        <v>3</v>
      </c>
      <c r="B28" s="166"/>
      <c r="C28" s="166"/>
      <c r="D28" s="166"/>
    </row>
    <row r="29" spans="1:6" s="19" customFormat="1" ht="15.75" thickBot="1" x14ac:dyDescent="0.3">
      <c r="A29" s="121" t="s">
        <v>4</v>
      </c>
      <c r="B29" s="142" t="s">
        <v>5</v>
      </c>
      <c r="C29" s="167"/>
      <c r="D29" s="37" t="s">
        <v>6</v>
      </c>
    </row>
    <row r="30" spans="1:6" s="19" customFormat="1" x14ac:dyDescent="0.25">
      <c r="A30" s="10" t="s">
        <v>7</v>
      </c>
      <c r="B30" s="156" t="s">
        <v>8</v>
      </c>
      <c r="C30" s="157"/>
      <c r="D30" s="131">
        <v>2258.4299999999998</v>
      </c>
    </row>
    <row r="31" spans="1:6" s="19" customFormat="1" x14ac:dyDescent="0.25">
      <c r="A31" s="6" t="s">
        <v>9</v>
      </c>
      <c r="B31" s="158" t="s">
        <v>10</v>
      </c>
      <c r="C31" s="159"/>
      <c r="D31" s="39">
        <f>D30*30%</f>
        <v>677.53</v>
      </c>
    </row>
    <row r="32" spans="1:6" s="19" customFormat="1" x14ac:dyDescent="0.25">
      <c r="A32" s="6" t="s">
        <v>11</v>
      </c>
      <c r="B32" s="158" t="s">
        <v>12</v>
      </c>
      <c r="C32" s="159"/>
      <c r="D32" s="39"/>
      <c r="F32" s="40"/>
    </row>
    <row r="33" spans="1:4" s="19" customFormat="1" x14ac:dyDescent="0.25">
      <c r="A33" s="6" t="s">
        <v>13</v>
      </c>
      <c r="B33" s="158" t="s">
        <v>74</v>
      </c>
      <c r="C33" s="159"/>
      <c r="D33" s="39"/>
    </row>
    <row r="34" spans="1:4" s="19" customFormat="1" x14ac:dyDescent="0.25">
      <c r="A34" s="6" t="s">
        <v>14</v>
      </c>
      <c r="B34" s="158" t="s">
        <v>15</v>
      </c>
      <c r="C34" s="159"/>
      <c r="D34" s="39"/>
    </row>
    <row r="35" spans="1:4" s="19" customFormat="1" ht="15.75" customHeight="1" x14ac:dyDescent="0.25">
      <c r="A35" s="6" t="s">
        <v>16</v>
      </c>
      <c r="B35" s="164" t="s">
        <v>79</v>
      </c>
      <c r="C35" s="165"/>
      <c r="D35" s="39"/>
    </row>
    <row r="36" spans="1:4" s="19" customFormat="1" ht="15.75" thickBot="1" x14ac:dyDescent="0.3">
      <c r="A36" s="41" t="s">
        <v>17</v>
      </c>
      <c r="B36" s="160" t="s">
        <v>19</v>
      </c>
      <c r="C36" s="161"/>
      <c r="D36" s="42"/>
    </row>
    <row r="37" spans="1:4" s="19" customFormat="1" ht="15.75" customHeight="1" thickBot="1" x14ac:dyDescent="0.3">
      <c r="A37" s="168" t="s">
        <v>20</v>
      </c>
      <c r="B37" s="169"/>
      <c r="C37" s="167"/>
      <c r="D37" s="43">
        <f>SUM(D30:D36)</f>
        <v>2935.96</v>
      </c>
    </row>
    <row r="38" spans="1:4" s="19" customFormat="1" x14ac:dyDescent="0.25">
      <c r="A38" s="44"/>
      <c r="D38" s="21"/>
    </row>
    <row r="39" spans="1:4" s="19" customFormat="1" ht="16.5" thickBot="1" x14ac:dyDescent="0.3">
      <c r="A39" s="166" t="s">
        <v>21</v>
      </c>
      <c r="B39" s="166"/>
      <c r="C39" s="166"/>
      <c r="D39" s="166"/>
    </row>
    <row r="40" spans="1:4" s="19" customFormat="1" ht="15.75" thickBot="1" x14ac:dyDescent="0.3">
      <c r="A40" s="121" t="s">
        <v>83</v>
      </c>
      <c r="B40" s="122" t="s">
        <v>82</v>
      </c>
      <c r="C40" s="122" t="s">
        <v>27</v>
      </c>
      <c r="D40" s="123" t="s">
        <v>6</v>
      </c>
    </row>
    <row r="41" spans="1:4" s="19" customFormat="1" x14ac:dyDescent="0.25">
      <c r="A41" s="10" t="s">
        <v>7</v>
      </c>
      <c r="B41" s="46" t="s">
        <v>37</v>
      </c>
      <c r="C41" s="3">
        <f>1/12</f>
        <v>8.3299999999999999E-2</v>
      </c>
      <c r="D41" s="16">
        <f>C41*D37</f>
        <v>244.57</v>
      </c>
    </row>
    <row r="42" spans="1:4" s="19" customFormat="1" ht="15.75" thickBot="1" x14ac:dyDescent="0.3">
      <c r="A42" s="10" t="s">
        <v>9</v>
      </c>
      <c r="B42" s="46" t="s">
        <v>80</v>
      </c>
      <c r="C42" s="3">
        <v>0.121</v>
      </c>
      <c r="D42" s="16">
        <f>D37*C42</f>
        <v>355.25</v>
      </c>
    </row>
    <row r="43" spans="1:4" s="19" customFormat="1" ht="15.75" thickBot="1" x14ac:dyDescent="0.3">
      <c r="A43" s="140" t="s">
        <v>35</v>
      </c>
      <c r="B43" s="141"/>
      <c r="C43" s="47">
        <f>SUM(C41:C42)</f>
        <v>0.20430000000000001</v>
      </c>
      <c r="D43" s="15">
        <f>SUM(D41:D42)</f>
        <v>599.82000000000005</v>
      </c>
    </row>
    <row r="44" spans="1:4" s="19" customFormat="1" x14ac:dyDescent="0.25">
      <c r="A44" s="44"/>
      <c r="D44" s="21"/>
    </row>
    <row r="45" spans="1:4" s="19" customFormat="1" x14ac:dyDescent="0.25">
      <c r="A45" s="137" t="s">
        <v>123</v>
      </c>
      <c r="B45" s="137"/>
      <c r="C45" s="137"/>
      <c r="D45" s="48">
        <f>D37+D43</f>
        <v>3535.78</v>
      </c>
    </row>
    <row r="46" spans="1:4" s="19" customFormat="1" x14ac:dyDescent="0.25">
      <c r="A46" s="44"/>
      <c r="D46" s="21"/>
    </row>
    <row r="47" spans="1:4" s="19" customFormat="1" ht="16.5" thickBot="1" x14ac:dyDescent="0.3">
      <c r="A47" s="166" t="s">
        <v>84</v>
      </c>
      <c r="B47" s="166"/>
      <c r="C47" s="166"/>
      <c r="D47" s="166"/>
    </row>
    <row r="48" spans="1:4" s="19" customFormat="1" ht="15.75" thickBot="1" x14ac:dyDescent="0.3">
      <c r="A48" s="121" t="s">
        <v>85</v>
      </c>
      <c r="B48" s="122" t="s">
        <v>26</v>
      </c>
      <c r="C48" s="122" t="s">
        <v>27</v>
      </c>
      <c r="D48" s="123" t="s">
        <v>6</v>
      </c>
    </row>
    <row r="49" spans="1:4" s="19" customFormat="1" x14ac:dyDescent="0.25">
      <c r="A49" s="10" t="s">
        <v>7</v>
      </c>
      <c r="B49" s="46" t="s">
        <v>28</v>
      </c>
      <c r="C49" s="3">
        <v>0.2</v>
      </c>
      <c r="D49" s="16">
        <f>C49*(D37+D43)</f>
        <v>707.16</v>
      </c>
    </row>
    <row r="50" spans="1:4" s="19" customFormat="1" x14ac:dyDescent="0.25">
      <c r="A50" s="10" t="s">
        <v>9</v>
      </c>
      <c r="B50" s="49" t="s">
        <v>32</v>
      </c>
      <c r="C50" s="3">
        <v>2.5000000000000001E-2</v>
      </c>
      <c r="D50" s="16">
        <f>C50*(D$37+D43)</f>
        <v>88.39</v>
      </c>
    </row>
    <row r="51" spans="1:4" s="19" customFormat="1" x14ac:dyDescent="0.25">
      <c r="A51" s="10" t="s">
        <v>11</v>
      </c>
      <c r="B51" s="7" t="s">
        <v>86</v>
      </c>
      <c r="C51" s="3">
        <v>1.4999999999999999E-2</v>
      </c>
      <c r="D51" s="16">
        <f>C51*(D$37+D43)</f>
        <v>53.04</v>
      </c>
    </row>
    <row r="52" spans="1:4" s="19" customFormat="1" x14ac:dyDescent="0.25">
      <c r="A52" s="6" t="s">
        <v>13</v>
      </c>
      <c r="B52" s="7" t="s">
        <v>29</v>
      </c>
      <c r="C52" s="3">
        <v>1.4999999999999999E-2</v>
      </c>
      <c r="D52" s="16">
        <f>C52*(D$37+D43)</f>
        <v>53.04</v>
      </c>
    </row>
    <row r="53" spans="1:4" s="19" customFormat="1" x14ac:dyDescent="0.25">
      <c r="A53" s="6" t="s">
        <v>14</v>
      </c>
      <c r="B53" s="7" t="s">
        <v>30</v>
      </c>
      <c r="C53" s="3">
        <v>0.01</v>
      </c>
      <c r="D53" s="16">
        <f>C53*(D43+D$37)</f>
        <v>35.36</v>
      </c>
    </row>
    <row r="54" spans="1:4" s="19" customFormat="1" x14ac:dyDescent="0.25">
      <c r="A54" s="6" t="s">
        <v>16</v>
      </c>
      <c r="B54" s="50" t="s">
        <v>34</v>
      </c>
      <c r="C54" s="3">
        <v>6.0000000000000001E-3</v>
      </c>
      <c r="D54" s="16">
        <f>C54*(D$37+D43)</f>
        <v>21.21</v>
      </c>
    </row>
    <row r="55" spans="1:4" s="19" customFormat="1" x14ac:dyDescent="0.25">
      <c r="A55" s="6" t="s">
        <v>17</v>
      </c>
      <c r="B55" s="7" t="s">
        <v>31</v>
      </c>
      <c r="C55" s="3">
        <v>2E-3</v>
      </c>
      <c r="D55" s="16">
        <f>C55*(D$37+D43)</f>
        <v>7.07</v>
      </c>
    </row>
    <row r="56" spans="1:4" s="19" customFormat="1" ht="15.75" thickBot="1" x14ac:dyDescent="0.3">
      <c r="A56" s="6" t="s">
        <v>18</v>
      </c>
      <c r="B56" s="7" t="s">
        <v>33</v>
      </c>
      <c r="C56" s="3">
        <v>0.08</v>
      </c>
      <c r="D56" s="16">
        <f>C56*(D$37+D43)</f>
        <v>282.86</v>
      </c>
    </row>
    <row r="57" spans="1:4" s="19" customFormat="1" ht="15.75" thickBot="1" x14ac:dyDescent="0.3">
      <c r="A57" s="140" t="s">
        <v>35</v>
      </c>
      <c r="B57" s="141"/>
      <c r="C57" s="47">
        <f>SUM(C49:C56)</f>
        <v>0.35299999999999998</v>
      </c>
      <c r="D57" s="51">
        <f>SUM(D49:D56)</f>
        <v>1248.1300000000001</v>
      </c>
    </row>
    <row r="58" spans="1:4" s="19" customFormat="1" x14ac:dyDescent="0.25">
      <c r="A58" s="44"/>
      <c r="D58" s="21"/>
    </row>
    <row r="59" spans="1:4" s="19" customFormat="1" ht="16.5" thickBot="1" x14ac:dyDescent="0.3">
      <c r="A59" s="166" t="s">
        <v>87</v>
      </c>
      <c r="B59" s="166"/>
      <c r="C59" s="166"/>
      <c r="D59" s="166"/>
    </row>
    <row r="60" spans="1:4" s="19" customFormat="1" ht="15.75" thickBot="1" x14ac:dyDescent="0.3">
      <c r="A60" s="121" t="s">
        <v>88</v>
      </c>
      <c r="B60" s="122" t="s">
        <v>22</v>
      </c>
      <c r="C60" s="142" t="s">
        <v>6</v>
      </c>
      <c r="D60" s="169"/>
    </row>
    <row r="61" spans="1:4" s="19" customFormat="1" x14ac:dyDescent="0.25">
      <c r="A61" s="10" t="s">
        <v>7</v>
      </c>
      <c r="B61" s="46" t="s">
        <v>187</v>
      </c>
      <c r="C61" s="190">
        <v>165</v>
      </c>
      <c r="D61" s="191"/>
    </row>
    <row r="62" spans="1:4" s="19" customFormat="1" x14ac:dyDescent="0.25">
      <c r="A62" s="6" t="s">
        <v>48</v>
      </c>
      <c r="B62" s="7" t="s">
        <v>49</v>
      </c>
      <c r="C62" s="183">
        <f>-(6%*D30)</f>
        <v>-135.51</v>
      </c>
      <c r="D62" s="184"/>
    </row>
    <row r="63" spans="1:4" s="19" customFormat="1" x14ac:dyDescent="0.25">
      <c r="A63" s="6" t="s">
        <v>9</v>
      </c>
      <c r="B63" s="7" t="s">
        <v>188</v>
      </c>
      <c r="C63" s="183">
        <f>15*39.29</f>
        <v>589.35</v>
      </c>
      <c r="D63" s="184"/>
    </row>
    <row r="64" spans="1:4" s="19" customFormat="1" x14ac:dyDescent="0.25">
      <c r="A64" s="6" t="s">
        <v>137</v>
      </c>
      <c r="B64" s="7" t="s">
        <v>153</v>
      </c>
      <c r="C64" s="183">
        <f>-(27.44*18%)*15</f>
        <v>-74.09</v>
      </c>
      <c r="D64" s="184"/>
    </row>
    <row r="65" spans="1:4" s="19" customFormat="1" x14ac:dyDescent="0.25">
      <c r="A65" s="6" t="s">
        <v>11</v>
      </c>
      <c r="B65" s="8" t="s">
        <v>81</v>
      </c>
      <c r="C65" s="183">
        <v>140</v>
      </c>
      <c r="D65" s="184"/>
    </row>
    <row r="66" spans="1:4" s="19" customFormat="1" ht="15.75" thickBot="1" x14ac:dyDescent="0.3">
      <c r="A66" s="6" t="s">
        <v>59</v>
      </c>
      <c r="B66" s="8" t="s">
        <v>154</v>
      </c>
      <c r="C66" s="183">
        <v>-95.58</v>
      </c>
      <c r="D66" s="184"/>
    </row>
    <row r="67" spans="1:4" s="19" customFormat="1" ht="15" customHeight="1" thickBot="1" x14ac:dyDescent="0.3">
      <c r="A67" s="168" t="s">
        <v>23</v>
      </c>
      <c r="B67" s="169"/>
      <c r="C67" s="170">
        <f>SUM(C61:D66)</f>
        <v>589.16999999999996</v>
      </c>
      <c r="D67" s="170"/>
    </row>
    <row r="68" spans="1:4" s="19" customFormat="1" x14ac:dyDescent="0.25">
      <c r="A68" s="189"/>
      <c r="B68" s="189"/>
      <c r="C68" s="189"/>
      <c r="D68" s="189"/>
    </row>
    <row r="69" spans="1:4" s="19" customFormat="1" ht="16.5" thickBot="1" x14ac:dyDescent="0.3">
      <c r="A69" s="185" t="s">
        <v>95</v>
      </c>
      <c r="B69" s="185"/>
      <c r="C69" s="185"/>
      <c r="D69" s="52"/>
    </row>
    <row r="70" spans="1:4" s="19" customFormat="1" ht="15.75" thickBot="1" x14ac:dyDescent="0.3">
      <c r="A70" s="121">
        <v>2</v>
      </c>
      <c r="B70" s="122" t="s">
        <v>89</v>
      </c>
      <c r="C70" s="122" t="s">
        <v>6</v>
      </c>
      <c r="D70" s="128"/>
    </row>
    <row r="71" spans="1:4" s="19" customFormat="1" x14ac:dyDescent="0.25">
      <c r="A71" s="9" t="s">
        <v>83</v>
      </c>
      <c r="B71" s="7" t="s">
        <v>82</v>
      </c>
      <c r="C71" s="54">
        <f>D43</f>
        <v>599.82000000000005</v>
      </c>
      <c r="D71" s="128"/>
    </row>
    <row r="72" spans="1:4" s="19" customFormat="1" x14ac:dyDescent="0.25">
      <c r="A72" s="9" t="s">
        <v>85</v>
      </c>
      <c r="B72" s="7" t="s">
        <v>90</v>
      </c>
      <c r="C72" s="54">
        <f>D57</f>
        <v>1248.1300000000001</v>
      </c>
      <c r="D72" s="128"/>
    </row>
    <row r="73" spans="1:4" s="19" customFormat="1" ht="15.75" thickBot="1" x14ac:dyDescent="0.3">
      <c r="A73" s="9" t="s">
        <v>88</v>
      </c>
      <c r="B73" s="7" t="s">
        <v>22</v>
      </c>
      <c r="C73" s="54">
        <f>C67</f>
        <v>589.16999999999996</v>
      </c>
      <c r="D73" s="128"/>
    </row>
    <row r="74" spans="1:4" s="19" customFormat="1" ht="15" customHeight="1" thickBot="1" x14ac:dyDescent="0.3">
      <c r="A74" s="168" t="s">
        <v>91</v>
      </c>
      <c r="B74" s="169"/>
      <c r="C74" s="55">
        <f>SUM(C71:C73)</f>
        <v>2437.12</v>
      </c>
      <c r="D74" s="128"/>
    </row>
    <row r="75" spans="1:4" s="19" customFormat="1" ht="15" customHeight="1" x14ac:dyDescent="0.25">
      <c r="A75" s="128"/>
      <c r="B75" s="128"/>
      <c r="C75" s="128"/>
      <c r="D75" s="128"/>
    </row>
    <row r="76" spans="1:4" s="19" customFormat="1" ht="15" customHeight="1" thickBot="1" x14ac:dyDescent="0.3">
      <c r="A76" s="166" t="s">
        <v>92</v>
      </c>
      <c r="B76" s="166"/>
      <c r="C76" s="166"/>
      <c r="D76" s="166"/>
    </row>
    <row r="77" spans="1:4" s="19" customFormat="1" ht="15" customHeight="1" thickBot="1" x14ac:dyDescent="0.3">
      <c r="A77" s="121">
        <v>3</v>
      </c>
      <c r="B77" s="122" t="s">
        <v>38</v>
      </c>
      <c r="C77" s="122" t="s">
        <v>27</v>
      </c>
      <c r="D77" s="123" t="s">
        <v>6</v>
      </c>
    </row>
    <row r="78" spans="1:4" s="19" customFormat="1" x14ac:dyDescent="0.25">
      <c r="A78" s="10" t="s">
        <v>7</v>
      </c>
      <c r="B78" s="46" t="s">
        <v>77</v>
      </c>
      <c r="C78" s="4">
        <f>0.46%</f>
        <v>4.5999999999999999E-3</v>
      </c>
      <c r="D78" s="16">
        <f t="shared" ref="D78:D83" si="0">C78*($D$37+$C$74)</f>
        <v>24.72</v>
      </c>
    </row>
    <row r="79" spans="1:4" s="19" customFormat="1" ht="15" customHeight="1" x14ac:dyDescent="0.25">
      <c r="A79" s="6" t="s">
        <v>9</v>
      </c>
      <c r="B79" s="7" t="s">
        <v>76</v>
      </c>
      <c r="C79" s="4">
        <f>(C78*C56)</f>
        <v>4.0000000000000002E-4</v>
      </c>
      <c r="D79" s="16">
        <f t="shared" si="0"/>
        <v>2.15</v>
      </c>
    </row>
    <row r="80" spans="1:4" s="19" customFormat="1" ht="15" customHeight="1" x14ac:dyDescent="0.25">
      <c r="A80" s="6" t="s">
        <v>11</v>
      </c>
      <c r="B80" s="7" t="s">
        <v>119</v>
      </c>
      <c r="C80" s="4">
        <v>0.04</v>
      </c>
      <c r="D80" s="16">
        <f t="shared" si="0"/>
        <v>214.92</v>
      </c>
    </row>
    <row r="81" spans="1:6" s="19" customFormat="1" ht="15" customHeight="1" x14ac:dyDescent="0.25">
      <c r="A81" s="6" t="s">
        <v>13</v>
      </c>
      <c r="B81" s="7" t="s">
        <v>78</v>
      </c>
      <c r="C81" s="4">
        <v>1.9400000000000001E-2</v>
      </c>
      <c r="D81" s="16">
        <f t="shared" si="0"/>
        <v>104.24</v>
      </c>
    </row>
    <row r="82" spans="1:6" s="19" customFormat="1" ht="15" customHeight="1" x14ac:dyDescent="0.25">
      <c r="A82" s="6" t="s">
        <v>14</v>
      </c>
      <c r="B82" s="7" t="s">
        <v>93</v>
      </c>
      <c r="C82" s="4">
        <f>C81*C57</f>
        <v>6.7999999999999996E-3</v>
      </c>
      <c r="D82" s="16">
        <f t="shared" si="0"/>
        <v>36.54</v>
      </c>
    </row>
    <row r="83" spans="1:6" s="19" customFormat="1" ht="15" customHeight="1" thickBot="1" x14ac:dyDescent="0.3">
      <c r="A83" s="41" t="s">
        <v>16</v>
      </c>
      <c r="B83" s="56" t="s">
        <v>114</v>
      </c>
      <c r="C83" s="5"/>
      <c r="D83" s="16">
        <f t="shared" si="0"/>
        <v>0</v>
      </c>
      <c r="F83" s="57"/>
    </row>
    <row r="84" spans="1:6" s="19" customFormat="1" ht="15" customHeight="1" thickBot="1" x14ac:dyDescent="0.3">
      <c r="A84" s="140" t="s">
        <v>35</v>
      </c>
      <c r="B84" s="141"/>
      <c r="C84" s="47">
        <f>SUM(C78:C83)</f>
        <v>7.1199999999999999E-2</v>
      </c>
      <c r="D84" s="15">
        <f>SUM(D78:D83)</f>
        <v>382.57</v>
      </c>
    </row>
    <row r="85" spans="1:6" s="19" customFormat="1" ht="15" customHeight="1" x14ac:dyDescent="0.25">
      <c r="A85" s="126"/>
      <c r="B85" s="126"/>
      <c r="C85" s="126"/>
      <c r="D85" s="126"/>
    </row>
    <row r="86" spans="1:6" s="19" customFormat="1" ht="15" customHeight="1" x14ac:dyDescent="0.25">
      <c r="A86" s="166" t="s">
        <v>94</v>
      </c>
      <c r="B86" s="166"/>
      <c r="C86" s="166"/>
      <c r="D86" s="166"/>
    </row>
    <row r="87" spans="1:6" s="19" customFormat="1" ht="15" customHeight="1" x14ac:dyDescent="0.25">
      <c r="A87" s="166" t="s">
        <v>96</v>
      </c>
      <c r="B87" s="166"/>
      <c r="C87" s="166"/>
      <c r="D87" s="166"/>
    </row>
    <row r="88" spans="1:6" s="19" customFormat="1" ht="15" customHeight="1" x14ac:dyDescent="0.25">
      <c r="A88" s="127" t="s">
        <v>25</v>
      </c>
      <c r="B88" s="127" t="s">
        <v>97</v>
      </c>
      <c r="C88" s="127" t="s">
        <v>27</v>
      </c>
      <c r="D88" s="127" t="s">
        <v>6</v>
      </c>
    </row>
    <row r="89" spans="1:6" s="19" customFormat="1" x14ac:dyDescent="0.25">
      <c r="A89" s="9" t="s">
        <v>7</v>
      </c>
      <c r="B89" s="7" t="s">
        <v>120</v>
      </c>
      <c r="C89" s="14">
        <v>9.0899999999999995E-2</v>
      </c>
      <c r="D89" s="103">
        <f t="shared" ref="D89:D94" si="1">C89*($D$37+$C$74+$D$84)</f>
        <v>523.19000000000005</v>
      </c>
    </row>
    <row r="90" spans="1:6" s="19" customFormat="1" x14ac:dyDescent="0.25">
      <c r="A90" s="9" t="s">
        <v>9</v>
      </c>
      <c r="B90" s="7" t="s">
        <v>98</v>
      </c>
      <c r="C90" s="14">
        <v>3.5000000000000001E-3</v>
      </c>
      <c r="D90" s="103">
        <f t="shared" si="1"/>
        <v>20.14</v>
      </c>
    </row>
    <row r="91" spans="1:6" s="19" customFormat="1" x14ac:dyDescent="0.25">
      <c r="A91" s="9" t="s">
        <v>11</v>
      </c>
      <c r="B91" s="7" t="s">
        <v>99</v>
      </c>
      <c r="C91" s="14">
        <v>2.0000000000000001E-4</v>
      </c>
      <c r="D91" s="103">
        <f t="shared" si="1"/>
        <v>1.1499999999999999</v>
      </c>
    </row>
    <row r="92" spans="1:6" s="19" customFormat="1" x14ac:dyDescent="0.25">
      <c r="A92" s="9" t="s">
        <v>13</v>
      </c>
      <c r="B92" s="7" t="s">
        <v>117</v>
      </c>
      <c r="C92" s="14">
        <v>1.4E-3</v>
      </c>
      <c r="D92" s="103">
        <f t="shared" si="1"/>
        <v>8.06</v>
      </c>
    </row>
    <row r="93" spans="1:6" s="19" customFormat="1" x14ac:dyDescent="0.25">
      <c r="A93" s="9" t="s">
        <v>14</v>
      </c>
      <c r="B93" s="7" t="s">
        <v>115</v>
      </c>
      <c r="C93" s="14">
        <v>2.9999999999999997E-4</v>
      </c>
      <c r="D93" s="103">
        <f t="shared" si="1"/>
        <v>1.73</v>
      </c>
    </row>
    <row r="94" spans="1:6" s="19" customFormat="1" x14ac:dyDescent="0.25">
      <c r="A94" s="9" t="s">
        <v>16</v>
      </c>
      <c r="B94" s="7" t="s">
        <v>19</v>
      </c>
      <c r="C94" s="14"/>
      <c r="D94" s="103">
        <f t="shared" si="1"/>
        <v>0</v>
      </c>
    </row>
    <row r="95" spans="1:6" s="19" customFormat="1" x14ac:dyDescent="0.25">
      <c r="A95" s="180" t="s">
        <v>35</v>
      </c>
      <c r="B95" s="180"/>
      <c r="C95" s="104">
        <f>SUM(C89:C94)</f>
        <v>9.6299999999999997E-2</v>
      </c>
      <c r="D95" s="103">
        <f>SUM(D89:D94)</f>
        <v>554.27</v>
      </c>
    </row>
    <row r="96" spans="1:6" s="19" customFormat="1" x14ac:dyDescent="0.25"/>
    <row r="97" spans="1:4" s="19" customFormat="1" ht="16.5" thickBot="1" x14ac:dyDescent="0.3">
      <c r="A97" s="172" t="s">
        <v>100</v>
      </c>
      <c r="B97" s="172"/>
      <c r="C97" s="172"/>
      <c r="D97" s="172"/>
    </row>
    <row r="98" spans="1:4" s="19" customFormat="1" ht="15.75" thickBot="1" x14ac:dyDescent="0.3">
      <c r="A98" s="121" t="s">
        <v>36</v>
      </c>
      <c r="B98" s="122" t="s">
        <v>101</v>
      </c>
      <c r="C98" s="60" t="s">
        <v>6</v>
      </c>
    </row>
    <row r="99" spans="1:4" s="19" customFormat="1" ht="15.75" thickBot="1" x14ac:dyDescent="0.3">
      <c r="A99" s="10" t="s">
        <v>7</v>
      </c>
      <c r="B99" s="46" t="s">
        <v>102</v>
      </c>
      <c r="C99" s="61">
        <v>0</v>
      </c>
    </row>
    <row r="100" spans="1:4" s="19" customFormat="1" ht="15.75" thickBot="1" x14ac:dyDescent="0.3">
      <c r="A100" s="140" t="s">
        <v>35</v>
      </c>
      <c r="B100" s="141"/>
      <c r="C100" s="62"/>
    </row>
    <row r="101" spans="1:4" s="19" customFormat="1" x14ac:dyDescent="0.25"/>
    <row r="102" spans="1:4" s="19" customFormat="1" ht="15.75" thickBot="1" x14ac:dyDescent="0.3">
      <c r="A102" s="171" t="s">
        <v>103</v>
      </c>
      <c r="B102" s="171"/>
      <c r="C102" s="171"/>
    </row>
    <row r="103" spans="1:4" s="19" customFormat="1" ht="15.75" thickBot="1" x14ac:dyDescent="0.3">
      <c r="A103" s="121">
        <v>4</v>
      </c>
      <c r="B103" s="122" t="s">
        <v>39</v>
      </c>
      <c r="C103" s="60" t="s">
        <v>6</v>
      </c>
    </row>
    <row r="104" spans="1:4" s="19" customFormat="1" x14ac:dyDescent="0.25">
      <c r="A104" s="6" t="s">
        <v>25</v>
      </c>
      <c r="B104" s="46" t="s">
        <v>97</v>
      </c>
      <c r="C104" s="61">
        <f>D95</f>
        <v>554.27</v>
      </c>
    </row>
    <row r="105" spans="1:4" s="19" customFormat="1" ht="15.75" thickBot="1" x14ac:dyDescent="0.3">
      <c r="A105" s="6" t="s">
        <v>36</v>
      </c>
      <c r="B105" s="63" t="s">
        <v>101</v>
      </c>
      <c r="C105" s="61">
        <f>C99</f>
        <v>0</v>
      </c>
    </row>
    <row r="106" spans="1:4" s="19" customFormat="1" ht="15.75" thickBot="1" x14ac:dyDescent="0.3">
      <c r="A106" s="140" t="s">
        <v>35</v>
      </c>
      <c r="B106" s="141"/>
      <c r="C106" s="64">
        <f>SUM(C104:C105)</f>
        <v>554.27</v>
      </c>
    </row>
    <row r="107" spans="1:4" s="19" customFormat="1" x14ac:dyDescent="0.25">
      <c r="A107" s="44"/>
      <c r="D107" s="21"/>
    </row>
    <row r="108" spans="1:4" s="19" customFormat="1" ht="16.5" thickBot="1" x14ac:dyDescent="0.3">
      <c r="A108" s="166" t="s">
        <v>104</v>
      </c>
      <c r="B108" s="166"/>
      <c r="C108" s="166"/>
      <c r="D108" s="166"/>
    </row>
    <row r="109" spans="1:4" s="19" customFormat="1" ht="15.75" thickBot="1" x14ac:dyDescent="0.3">
      <c r="A109" s="121">
        <v>5</v>
      </c>
      <c r="B109" s="142" t="s">
        <v>24</v>
      </c>
      <c r="C109" s="167"/>
      <c r="D109" s="37" t="s">
        <v>6</v>
      </c>
    </row>
    <row r="110" spans="1:4" s="19" customFormat="1" x14ac:dyDescent="0.25">
      <c r="A110" s="10" t="s">
        <v>7</v>
      </c>
      <c r="B110" s="156" t="s">
        <v>75</v>
      </c>
      <c r="C110" s="157"/>
      <c r="D110" s="38">
        <f>'Uniformes e Equipamentos'!M11</f>
        <v>50.67</v>
      </c>
    </row>
    <row r="111" spans="1:4" s="19" customFormat="1" x14ac:dyDescent="0.25">
      <c r="A111" s="6" t="s">
        <v>11</v>
      </c>
      <c r="B111" s="158" t="s">
        <v>190</v>
      </c>
      <c r="C111" s="159"/>
      <c r="D111" s="39">
        <v>163.74</v>
      </c>
    </row>
    <row r="112" spans="1:4" s="19" customFormat="1" ht="15.75" thickBot="1" x14ac:dyDescent="0.3">
      <c r="A112" s="41" t="s">
        <v>13</v>
      </c>
      <c r="B112" s="160" t="s">
        <v>19</v>
      </c>
      <c r="C112" s="161"/>
      <c r="D112" s="42"/>
    </row>
    <row r="113" spans="1:4" s="19" customFormat="1" ht="15.75" customHeight="1" thickBot="1" x14ac:dyDescent="0.3">
      <c r="A113" s="168" t="s">
        <v>65</v>
      </c>
      <c r="B113" s="169"/>
      <c r="C113" s="167"/>
      <c r="D113" s="43">
        <f>SUM(D110:D112)</f>
        <v>214.41</v>
      </c>
    </row>
    <row r="114" spans="1:4" s="19" customFormat="1" x14ac:dyDescent="0.25"/>
    <row r="115" spans="1:4" s="19" customFormat="1" ht="16.5" thickBot="1" x14ac:dyDescent="0.3">
      <c r="A115" s="166" t="s">
        <v>105</v>
      </c>
      <c r="B115" s="166"/>
      <c r="C115" s="166"/>
      <c r="D115" s="166"/>
    </row>
    <row r="116" spans="1:4" s="19" customFormat="1" ht="15.75" thickBot="1" x14ac:dyDescent="0.3">
      <c r="A116" s="121">
        <v>5</v>
      </c>
      <c r="B116" s="122" t="s">
        <v>40</v>
      </c>
      <c r="C116" s="59" t="s">
        <v>27</v>
      </c>
      <c r="D116" s="123" t="s">
        <v>6</v>
      </c>
    </row>
    <row r="117" spans="1:4" s="19" customFormat="1" x14ac:dyDescent="0.25">
      <c r="A117" s="10" t="s">
        <v>7</v>
      </c>
      <c r="B117" s="11" t="s">
        <v>41</v>
      </c>
      <c r="C117" s="12">
        <v>1.6199999999999999E-2</v>
      </c>
      <c r="D117" s="65">
        <f>C117*$D$133</f>
        <v>105.69</v>
      </c>
    </row>
    <row r="118" spans="1:4" s="19" customFormat="1" x14ac:dyDescent="0.25">
      <c r="A118" s="6" t="s">
        <v>9</v>
      </c>
      <c r="B118" s="13" t="s">
        <v>44</v>
      </c>
      <c r="C118" s="12">
        <v>1.3899999999999999E-2</v>
      </c>
      <c r="D118" s="65">
        <f>C118*(D117+$D$133)</f>
        <v>92.16</v>
      </c>
    </row>
    <row r="119" spans="1:4" s="19" customFormat="1" x14ac:dyDescent="0.25">
      <c r="A119" s="6" t="s">
        <v>11</v>
      </c>
      <c r="B119" s="7" t="s">
        <v>42</v>
      </c>
      <c r="C119" s="66">
        <f>SUM(C120:C123)</f>
        <v>8.6499999999999994E-2</v>
      </c>
      <c r="D119" s="67"/>
    </row>
    <row r="120" spans="1:4" s="19" customFormat="1" x14ac:dyDescent="0.25">
      <c r="A120" s="6" t="s">
        <v>59</v>
      </c>
      <c r="B120" s="7" t="s">
        <v>43</v>
      </c>
      <c r="C120" s="68">
        <v>0</v>
      </c>
      <c r="D120" s="67"/>
    </row>
    <row r="121" spans="1:4" s="19" customFormat="1" x14ac:dyDescent="0.25">
      <c r="A121" s="6" t="s">
        <v>60</v>
      </c>
      <c r="B121" s="7" t="s">
        <v>50</v>
      </c>
      <c r="C121" s="68">
        <v>6.4999999999999997E-3</v>
      </c>
      <c r="D121" s="67">
        <f>(D133+D117+D118)/(1-C119)*C121</f>
        <v>47.83</v>
      </c>
    </row>
    <row r="122" spans="1:4" s="19" customFormat="1" x14ac:dyDescent="0.25">
      <c r="A122" s="6" t="s">
        <v>61</v>
      </c>
      <c r="B122" s="7" t="s">
        <v>51</v>
      </c>
      <c r="C122" s="68">
        <v>0.03</v>
      </c>
      <c r="D122" s="67">
        <f>(D133+D117+D118)/(1-C119)*C122</f>
        <v>220.76</v>
      </c>
    </row>
    <row r="123" spans="1:4" s="19" customFormat="1" ht="15.75" thickBot="1" x14ac:dyDescent="0.3">
      <c r="A123" s="6" t="s">
        <v>106</v>
      </c>
      <c r="B123" s="49" t="s">
        <v>116</v>
      </c>
      <c r="C123" s="68">
        <v>0.05</v>
      </c>
      <c r="D123" s="67">
        <f>(D133+D117+D118)/(1-C119)*C123</f>
        <v>367.94</v>
      </c>
    </row>
    <row r="124" spans="1:4" s="35" customFormat="1" ht="15.75" thickBot="1" x14ac:dyDescent="0.3">
      <c r="A124" s="140" t="s">
        <v>35</v>
      </c>
      <c r="B124" s="141"/>
      <c r="C124" s="141"/>
      <c r="D124" s="69">
        <f>SUM(D117:D123)</f>
        <v>834.38</v>
      </c>
    </row>
    <row r="125" spans="1:4" s="19" customFormat="1" ht="15.75" customHeight="1" x14ac:dyDescent="0.25">
      <c r="A125" s="44"/>
      <c r="D125" s="21"/>
    </row>
    <row r="126" spans="1:4" s="19" customFormat="1" ht="16.5" thickBot="1" x14ac:dyDescent="0.3">
      <c r="A126" s="179" t="s">
        <v>113</v>
      </c>
      <c r="B126" s="179"/>
      <c r="C126" s="179"/>
      <c r="D126" s="179"/>
    </row>
    <row r="127" spans="1:4" s="19" customFormat="1" ht="15.75" customHeight="1" thickBot="1" x14ac:dyDescent="0.3">
      <c r="A127" s="168" t="s">
        <v>45</v>
      </c>
      <c r="B127" s="169"/>
      <c r="C127" s="167"/>
      <c r="D127" s="123" t="s">
        <v>46</v>
      </c>
    </row>
    <row r="128" spans="1:4" s="19" customFormat="1" x14ac:dyDescent="0.25">
      <c r="A128" s="10" t="s">
        <v>7</v>
      </c>
      <c r="B128" s="156" t="s">
        <v>47</v>
      </c>
      <c r="C128" s="157"/>
      <c r="D128" s="70">
        <f>D37</f>
        <v>2935.96</v>
      </c>
    </row>
    <row r="129" spans="1:4" s="19" customFormat="1" x14ac:dyDescent="0.25">
      <c r="A129" s="6" t="s">
        <v>9</v>
      </c>
      <c r="B129" s="158" t="s">
        <v>107</v>
      </c>
      <c r="C129" s="159"/>
      <c r="D129" s="71">
        <f>C74</f>
        <v>2437.12</v>
      </c>
    </row>
    <row r="130" spans="1:4" s="19" customFormat="1" x14ac:dyDescent="0.25">
      <c r="A130" s="6" t="s">
        <v>11</v>
      </c>
      <c r="B130" s="158" t="s">
        <v>108</v>
      </c>
      <c r="C130" s="159"/>
      <c r="D130" s="71">
        <f>D84</f>
        <v>382.57</v>
      </c>
    </row>
    <row r="131" spans="1:4" s="19" customFormat="1" ht="15" customHeight="1" x14ac:dyDescent="0.25">
      <c r="A131" s="6" t="s">
        <v>13</v>
      </c>
      <c r="B131" s="124" t="s">
        <v>109</v>
      </c>
      <c r="C131" s="125"/>
      <c r="D131" s="71">
        <f>C106</f>
        <v>554.27</v>
      </c>
    </row>
    <row r="132" spans="1:4" s="19" customFormat="1" x14ac:dyDescent="0.25">
      <c r="A132" s="6" t="s">
        <v>14</v>
      </c>
      <c r="B132" s="158" t="s">
        <v>110</v>
      </c>
      <c r="C132" s="159"/>
      <c r="D132" s="71">
        <f>D113</f>
        <v>214.41</v>
      </c>
    </row>
    <row r="133" spans="1:4" s="19" customFormat="1" ht="15" customHeight="1" x14ac:dyDescent="0.25">
      <c r="A133" s="173" t="s">
        <v>111</v>
      </c>
      <c r="B133" s="174"/>
      <c r="C133" s="175"/>
      <c r="D133" s="71">
        <f>SUM(D128:D132)</f>
        <v>6524.33</v>
      </c>
    </row>
    <row r="134" spans="1:4" s="19" customFormat="1" ht="15.75" customHeight="1" x14ac:dyDescent="0.25">
      <c r="A134" s="41" t="s">
        <v>16</v>
      </c>
      <c r="B134" s="181" t="s">
        <v>112</v>
      </c>
      <c r="C134" s="182"/>
      <c r="D134" s="74">
        <f>D124</f>
        <v>834.38</v>
      </c>
    </row>
    <row r="135" spans="1:4" s="19" customFormat="1" ht="15" customHeight="1" x14ac:dyDescent="0.25">
      <c r="A135" s="180" t="s">
        <v>121</v>
      </c>
      <c r="B135" s="180"/>
      <c r="C135" s="180"/>
      <c r="D135" s="75">
        <f>SUM(D133:D134)</f>
        <v>7358.71</v>
      </c>
    </row>
    <row r="136" spans="1:4" s="19" customFormat="1" ht="15.75" customHeight="1" thickBot="1" x14ac:dyDescent="0.3">
      <c r="A136" s="176" t="s">
        <v>122</v>
      </c>
      <c r="B136" s="177"/>
      <c r="C136" s="178"/>
      <c r="D136" s="76">
        <f>SUM(D133:D134)*2</f>
        <v>14717.42</v>
      </c>
    </row>
  </sheetData>
  <mergeCells count="75">
    <mergeCell ref="A17:D17"/>
    <mergeCell ref="A1:D2"/>
    <mergeCell ref="A3:D4"/>
    <mergeCell ref="B6:D6"/>
    <mergeCell ref="B7:D7"/>
    <mergeCell ref="B8:D8"/>
    <mergeCell ref="A10:D10"/>
    <mergeCell ref="B11:C11"/>
    <mergeCell ref="B12:C12"/>
    <mergeCell ref="B13:C13"/>
    <mergeCell ref="B14:C14"/>
    <mergeCell ref="B15:C15"/>
    <mergeCell ref="B31:C31"/>
    <mergeCell ref="A18:B18"/>
    <mergeCell ref="A19:B19"/>
    <mergeCell ref="A21:D21"/>
    <mergeCell ref="B22:C22"/>
    <mergeCell ref="B23:C23"/>
    <mergeCell ref="B24:C24"/>
    <mergeCell ref="B25:C25"/>
    <mergeCell ref="B26:C26"/>
    <mergeCell ref="A28:D28"/>
    <mergeCell ref="B29:C29"/>
    <mergeCell ref="B30:C30"/>
    <mergeCell ref="A59:D59"/>
    <mergeCell ref="B32:C32"/>
    <mergeCell ref="B33:C33"/>
    <mergeCell ref="B34:C34"/>
    <mergeCell ref="B35:C35"/>
    <mergeCell ref="B36:C36"/>
    <mergeCell ref="A37:C37"/>
    <mergeCell ref="A39:D39"/>
    <mergeCell ref="A43:B43"/>
    <mergeCell ref="A45:C45"/>
    <mergeCell ref="A47:D47"/>
    <mergeCell ref="A57:B57"/>
    <mergeCell ref="A74:B74"/>
    <mergeCell ref="C60:D60"/>
    <mergeCell ref="C61:D61"/>
    <mergeCell ref="C62:D62"/>
    <mergeCell ref="C63:D63"/>
    <mergeCell ref="C64:D64"/>
    <mergeCell ref="C65:D65"/>
    <mergeCell ref="C66:D66"/>
    <mergeCell ref="A67:B67"/>
    <mergeCell ref="C67:D67"/>
    <mergeCell ref="A68:D68"/>
    <mergeCell ref="A69:C69"/>
    <mergeCell ref="B110:C110"/>
    <mergeCell ref="A76:D76"/>
    <mergeCell ref="A84:B84"/>
    <mergeCell ref="A86:D86"/>
    <mergeCell ref="A87:D87"/>
    <mergeCell ref="A95:B95"/>
    <mergeCell ref="A97:D97"/>
    <mergeCell ref="A100:B100"/>
    <mergeCell ref="A102:C102"/>
    <mergeCell ref="A106:B106"/>
    <mergeCell ref="A108:D108"/>
    <mergeCell ref="B109:C109"/>
    <mergeCell ref="B111:C111"/>
    <mergeCell ref="B112:C112"/>
    <mergeCell ref="A113:C113"/>
    <mergeCell ref="A115:D115"/>
    <mergeCell ref="A124:C124"/>
    <mergeCell ref="A133:C133"/>
    <mergeCell ref="B134:C134"/>
    <mergeCell ref="A135:C135"/>
    <mergeCell ref="A136:C136"/>
    <mergeCell ref="A126:D126"/>
    <mergeCell ref="A127:C127"/>
    <mergeCell ref="B128:C128"/>
    <mergeCell ref="B129:C129"/>
    <mergeCell ref="B130:C130"/>
    <mergeCell ref="B132:C132"/>
  </mergeCells>
  <printOptions horizontalCentered="1"/>
  <pageMargins left="0.23622047244094491" right="0.23622047244094491" top="0.86614173228346458" bottom="0.43307086614173229" header="0.15748031496062992" footer="0.31496062992125984"/>
  <pageSetup paperSize="9" scale="6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62B9E-87B9-4BFB-8B3F-C842DFBC2247}">
  <dimension ref="A1:F136"/>
  <sheetViews>
    <sheetView showGridLines="0" view="pageBreakPreview" topLeftCell="B37" zoomScale="130" zoomScaleNormal="90" zoomScaleSheetLayoutView="130" workbookViewId="0">
      <selection activeCell="D112" sqref="D112"/>
    </sheetView>
  </sheetViews>
  <sheetFormatPr defaultRowHeight="15" x14ac:dyDescent="0.25"/>
  <cols>
    <col min="1" max="1" width="14.5703125" style="2" bestFit="1" customWidth="1"/>
    <col min="2" max="2" width="59" style="1" bestFit="1" customWidth="1"/>
    <col min="3" max="3" width="20" style="1" bestFit="1" customWidth="1"/>
    <col min="4" max="4" width="34.7109375" style="2" bestFit="1" customWidth="1"/>
    <col min="5" max="5" width="9.140625" style="1"/>
    <col min="6" max="6" width="17.85546875" style="1" customWidth="1"/>
    <col min="7" max="16384" width="9.140625" style="1"/>
  </cols>
  <sheetData>
    <row r="1" spans="1:4" s="19" customFormat="1" ht="27" customHeight="1" x14ac:dyDescent="0.25">
      <c r="A1" s="186" t="s">
        <v>138</v>
      </c>
      <c r="B1" s="187"/>
      <c r="C1" s="187"/>
      <c r="D1" s="187"/>
    </row>
    <row r="2" spans="1:4" s="19" customFormat="1" ht="99" customHeight="1" thickBot="1" x14ac:dyDescent="0.3">
      <c r="A2" s="188"/>
      <c r="B2" s="188"/>
      <c r="C2" s="188"/>
      <c r="D2" s="188"/>
    </row>
    <row r="3" spans="1:4" s="19" customFormat="1" ht="15" customHeight="1" x14ac:dyDescent="0.25">
      <c r="A3" s="145" t="s">
        <v>52</v>
      </c>
      <c r="B3" s="146"/>
      <c r="C3" s="146"/>
      <c r="D3" s="146"/>
    </row>
    <row r="4" spans="1:4" s="19" customFormat="1" ht="15.75" customHeight="1" thickBot="1" x14ac:dyDescent="0.3">
      <c r="A4" s="147"/>
      <c r="B4" s="148"/>
      <c r="C4" s="148"/>
      <c r="D4" s="148"/>
    </row>
    <row r="5" spans="1:4" s="19" customFormat="1" ht="15.75" thickBot="1" x14ac:dyDescent="0.3">
      <c r="A5" s="20"/>
      <c r="D5" s="21"/>
    </row>
    <row r="6" spans="1:4" s="19" customFormat="1" x14ac:dyDescent="0.25">
      <c r="A6" s="22" t="s">
        <v>67</v>
      </c>
      <c r="B6" s="149"/>
      <c r="C6" s="149"/>
      <c r="D6" s="149"/>
    </row>
    <row r="7" spans="1:4" s="19" customFormat="1" x14ac:dyDescent="0.25">
      <c r="A7" s="23" t="s">
        <v>66</v>
      </c>
      <c r="B7" s="150"/>
      <c r="C7" s="151"/>
      <c r="D7" s="151"/>
    </row>
    <row r="8" spans="1:4" s="19" customFormat="1" ht="15.75" thickBot="1" x14ac:dyDescent="0.3">
      <c r="A8" s="24" t="s">
        <v>68</v>
      </c>
      <c r="B8" s="152"/>
      <c r="C8" s="152"/>
      <c r="D8" s="152"/>
    </row>
    <row r="9" spans="1:4" s="19" customFormat="1" ht="15.75" thickBot="1" x14ac:dyDescent="0.3">
      <c r="A9" s="25"/>
      <c r="B9" s="25"/>
      <c r="C9" s="25"/>
      <c r="D9" s="21"/>
    </row>
    <row r="10" spans="1:4" s="19" customFormat="1" ht="15.75" thickBot="1" x14ac:dyDescent="0.3">
      <c r="A10" s="153" t="s">
        <v>53</v>
      </c>
      <c r="B10" s="154"/>
      <c r="C10" s="154"/>
      <c r="D10" s="155"/>
    </row>
    <row r="11" spans="1:4" s="19" customFormat="1" x14ac:dyDescent="0.25">
      <c r="A11" s="10" t="s">
        <v>7</v>
      </c>
      <c r="B11" s="156" t="s">
        <v>54</v>
      </c>
      <c r="C11" s="157"/>
      <c r="D11" s="11"/>
    </row>
    <row r="12" spans="1:4" s="19" customFormat="1" x14ac:dyDescent="0.25">
      <c r="A12" s="6" t="s">
        <v>9</v>
      </c>
      <c r="B12" s="158" t="s">
        <v>55</v>
      </c>
      <c r="C12" s="159"/>
      <c r="D12" s="26" t="s">
        <v>184</v>
      </c>
    </row>
    <row r="13" spans="1:4" s="19" customFormat="1" x14ac:dyDescent="0.25">
      <c r="A13" s="6" t="s">
        <v>11</v>
      </c>
      <c r="B13" s="158" t="s">
        <v>64</v>
      </c>
      <c r="C13" s="159"/>
      <c r="D13" s="26" t="s">
        <v>185</v>
      </c>
    </row>
    <row r="14" spans="1:4" s="19" customFormat="1" ht="15" customHeight="1" x14ac:dyDescent="0.25">
      <c r="A14" s="6" t="s">
        <v>13</v>
      </c>
      <c r="B14" s="158" t="s">
        <v>56</v>
      </c>
      <c r="C14" s="159"/>
      <c r="D14" s="26" t="s">
        <v>186</v>
      </c>
    </row>
    <row r="15" spans="1:4" s="19" customFormat="1" ht="15.75" thickBot="1" x14ac:dyDescent="0.3">
      <c r="A15" s="27" t="s">
        <v>14</v>
      </c>
      <c r="B15" s="160" t="s">
        <v>57</v>
      </c>
      <c r="C15" s="161"/>
      <c r="D15" s="28">
        <v>12</v>
      </c>
    </row>
    <row r="16" spans="1:4" s="19" customFormat="1" ht="15.75" thickBot="1" x14ac:dyDescent="0.3">
      <c r="A16" s="25"/>
      <c r="B16" s="25"/>
      <c r="C16" s="25"/>
      <c r="D16" s="21"/>
    </row>
    <row r="17" spans="1:6" s="19" customFormat="1" ht="15.75" thickBot="1" x14ac:dyDescent="0.3">
      <c r="A17" s="162" t="s">
        <v>58</v>
      </c>
      <c r="B17" s="163"/>
      <c r="C17" s="163"/>
      <c r="D17" s="163"/>
    </row>
    <row r="18" spans="1:6" s="19" customFormat="1" x14ac:dyDescent="0.25">
      <c r="A18" s="143" t="s">
        <v>69</v>
      </c>
      <c r="B18" s="144"/>
      <c r="C18" s="29" t="s">
        <v>70</v>
      </c>
      <c r="D18" s="30" t="s">
        <v>71</v>
      </c>
    </row>
    <row r="19" spans="1:6" s="19" customFormat="1" ht="15.75" customHeight="1" thickBot="1" x14ac:dyDescent="0.3">
      <c r="A19" s="138" t="s">
        <v>139</v>
      </c>
      <c r="B19" s="139"/>
      <c r="C19" s="31" t="s">
        <v>72</v>
      </c>
      <c r="D19" s="28">
        <v>12</v>
      </c>
    </row>
    <row r="20" spans="1:6" s="19" customFormat="1" ht="15.75" thickBot="1" x14ac:dyDescent="0.3">
      <c r="A20" s="21"/>
      <c r="D20" s="21"/>
    </row>
    <row r="21" spans="1:6" s="19" customFormat="1" ht="15.75" customHeight="1" thickBot="1" x14ac:dyDescent="0.3">
      <c r="A21" s="140" t="s">
        <v>0</v>
      </c>
      <c r="B21" s="141"/>
      <c r="C21" s="141"/>
      <c r="D21" s="142"/>
    </row>
    <row r="22" spans="1:6" s="19" customFormat="1" x14ac:dyDescent="0.25">
      <c r="A22" s="10">
        <v>1</v>
      </c>
      <c r="B22" s="156" t="s">
        <v>1</v>
      </c>
      <c r="C22" s="157"/>
      <c r="D22" s="32" t="str">
        <f>A19</f>
        <v>Vigilante Diurno 12x36</v>
      </c>
    </row>
    <row r="23" spans="1:6" s="19" customFormat="1" x14ac:dyDescent="0.25">
      <c r="A23" s="6">
        <v>2</v>
      </c>
      <c r="B23" s="158" t="s">
        <v>124</v>
      </c>
      <c r="C23" s="159"/>
      <c r="D23" s="131">
        <v>2258.4299999999998</v>
      </c>
    </row>
    <row r="24" spans="1:6" s="19" customFormat="1" x14ac:dyDescent="0.25">
      <c r="A24" s="6">
        <v>3</v>
      </c>
      <c r="B24" s="164" t="s">
        <v>118</v>
      </c>
      <c r="C24" s="165"/>
      <c r="D24" s="26" t="str">
        <f>A19</f>
        <v>Vigilante Diurno 12x36</v>
      </c>
    </row>
    <row r="25" spans="1:6" s="19" customFormat="1" x14ac:dyDescent="0.25">
      <c r="A25" s="6">
        <v>4</v>
      </c>
      <c r="B25" s="158" t="s">
        <v>2</v>
      </c>
      <c r="C25" s="159"/>
      <c r="D25" s="33" t="s">
        <v>189</v>
      </c>
    </row>
    <row r="26" spans="1:6" s="35" customFormat="1" ht="15.75" thickBot="1" x14ac:dyDescent="0.3">
      <c r="A26" s="27">
        <v>5</v>
      </c>
      <c r="B26" s="160" t="s">
        <v>73</v>
      </c>
      <c r="C26" s="161"/>
      <c r="D26" s="34"/>
    </row>
    <row r="27" spans="1:6" s="19" customFormat="1" x14ac:dyDescent="0.25">
      <c r="A27" s="36"/>
      <c r="D27" s="21"/>
    </row>
    <row r="28" spans="1:6" s="19" customFormat="1" ht="16.5" thickBot="1" x14ac:dyDescent="0.3">
      <c r="A28" s="166" t="s">
        <v>3</v>
      </c>
      <c r="B28" s="166"/>
      <c r="C28" s="166"/>
      <c r="D28" s="166"/>
    </row>
    <row r="29" spans="1:6" s="19" customFormat="1" ht="15.75" thickBot="1" x14ac:dyDescent="0.3">
      <c r="A29" s="121" t="s">
        <v>4</v>
      </c>
      <c r="B29" s="142" t="s">
        <v>5</v>
      </c>
      <c r="C29" s="167"/>
      <c r="D29" s="37" t="s">
        <v>6</v>
      </c>
    </row>
    <row r="30" spans="1:6" s="19" customFormat="1" x14ac:dyDescent="0.25">
      <c r="A30" s="10" t="s">
        <v>7</v>
      </c>
      <c r="B30" s="156" t="s">
        <v>8</v>
      </c>
      <c r="C30" s="157"/>
      <c r="D30" s="131">
        <v>2258.4299999999998</v>
      </c>
    </row>
    <row r="31" spans="1:6" s="19" customFormat="1" x14ac:dyDescent="0.25">
      <c r="A31" s="6" t="s">
        <v>9</v>
      </c>
      <c r="B31" s="158" t="s">
        <v>10</v>
      </c>
      <c r="C31" s="159"/>
      <c r="D31" s="39">
        <f>D30*30%</f>
        <v>677.53</v>
      </c>
    </row>
    <row r="32" spans="1:6" s="19" customFormat="1" x14ac:dyDescent="0.25">
      <c r="A32" s="6" t="s">
        <v>11</v>
      </c>
      <c r="B32" s="158" t="s">
        <v>12</v>
      </c>
      <c r="C32" s="159"/>
      <c r="D32" s="39"/>
      <c r="F32" s="40"/>
    </row>
    <row r="33" spans="1:4" s="19" customFormat="1" x14ac:dyDescent="0.25">
      <c r="A33" s="6" t="s">
        <v>13</v>
      </c>
      <c r="B33" s="158" t="s">
        <v>74</v>
      </c>
      <c r="C33" s="159"/>
      <c r="D33" s="39">
        <v>310.95999999999998</v>
      </c>
    </row>
    <row r="34" spans="1:4" s="19" customFormat="1" x14ac:dyDescent="0.25">
      <c r="A34" s="6" t="s">
        <v>14</v>
      </c>
      <c r="B34" s="158" t="s">
        <v>15</v>
      </c>
      <c r="C34" s="159"/>
      <c r="D34" s="39">
        <v>38.869999999999997</v>
      </c>
    </row>
    <row r="35" spans="1:4" s="19" customFormat="1" ht="15.75" customHeight="1" x14ac:dyDescent="0.25">
      <c r="A35" s="6" t="s">
        <v>16</v>
      </c>
      <c r="B35" s="164" t="s">
        <v>79</v>
      </c>
      <c r="C35" s="165"/>
      <c r="D35" s="39"/>
    </row>
    <row r="36" spans="1:4" s="19" customFormat="1" ht="15.75" thickBot="1" x14ac:dyDescent="0.3">
      <c r="A36" s="41" t="s">
        <v>17</v>
      </c>
      <c r="B36" s="160" t="s">
        <v>19</v>
      </c>
      <c r="C36" s="161"/>
      <c r="D36" s="42"/>
    </row>
    <row r="37" spans="1:4" s="19" customFormat="1" ht="15.75" customHeight="1" thickBot="1" x14ac:dyDescent="0.3">
      <c r="A37" s="168" t="s">
        <v>20</v>
      </c>
      <c r="B37" s="169"/>
      <c r="C37" s="167"/>
      <c r="D37" s="43">
        <f>SUM(D30:D36)</f>
        <v>3285.79</v>
      </c>
    </row>
    <row r="38" spans="1:4" s="19" customFormat="1" x14ac:dyDescent="0.25">
      <c r="A38" s="44"/>
      <c r="D38" s="21"/>
    </row>
    <row r="39" spans="1:4" s="19" customFormat="1" ht="16.5" thickBot="1" x14ac:dyDescent="0.3">
      <c r="A39" s="166" t="s">
        <v>21</v>
      </c>
      <c r="B39" s="166"/>
      <c r="C39" s="166"/>
      <c r="D39" s="166"/>
    </row>
    <row r="40" spans="1:4" s="19" customFormat="1" ht="15.75" thickBot="1" x14ac:dyDescent="0.3">
      <c r="A40" s="121" t="s">
        <v>83</v>
      </c>
      <c r="B40" s="122" t="s">
        <v>82</v>
      </c>
      <c r="C40" s="122" t="s">
        <v>27</v>
      </c>
      <c r="D40" s="123" t="s">
        <v>6</v>
      </c>
    </row>
    <row r="41" spans="1:4" s="19" customFormat="1" x14ac:dyDescent="0.25">
      <c r="A41" s="10" t="s">
        <v>7</v>
      </c>
      <c r="B41" s="46" t="s">
        <v>37</v>
      </c>
      <c r="C41" s="3">
        <f>1/12</f>
        <v>8.3299999999999999E-2</v>
      </c>
      <c r="D41" s="16">
        <f>C41*D37</f>
        <v>273.70999999999998</v>
      </c>
    </row>
    <row r="42" spans="1:4" s="19" customFormat="1" ht="15.75" thickBot="1" x14ac:dyDescent="0.3">
      <c r="A42" s="10" t="s">
        <v>9</v>
      </c>
      <c r="B42" s="46" t="s">
        <v>80</v>
      </c>
      <c r="C42" s="3">
        <v>0.121</v>
      </c>
      <c r="D42" s="16">
        <f>D37*C42</f>
        <v>397.58</v>
      </c>
    </row>
    <row r="43" spans="1:4" s="19" customFormat="1" ht="15.75" thickBot="1" x14ac:dyDescent="0.3">
      <c r="A43" s="140" t="s">
        <v>35</v>
      </c>
      <c r="B43" s="141"/>
      <c r="C43" s="47">
        <f>SUM(C41:C42)</f>
        <v>0.20430000000000001</v>
      </c>
      <c r="D43" s="15">
        <f>SUM(D41:D42)</f>
        <v>671.29</v>
      </c>
    </row>
    <row r="44" spans="1:4" s="19" customFormat="1" x14ac:dyDescent="0.25">
      <c r="A44" s="44"/>
      <c r="D44" s="21"/>
    </row>
    <row r="45" spans="1:4" s="19" customFormat="1" x14ac:dyDescent="0.25">
      <c r="A45" s="137" t="s">
        <v>123</v>
      </c>
      <c r="B45" s="137"/>
      <c r="C45" s="137"/>
      <c r="D45" s="48">
        <f>D37+D43</f>
        <v>3957.08</v>
      </c>
    </row>
    <row r="46" spans="1:4" s="19" customFormat="1" x14ac:dyDescent="0.25">
      <c r="A46" s="44"/>
      <c r="D46" s="21"/>
    </row>
    <row r="47" spans="1:4" s="19" customFormat="1" ht="16.5" thickBot="1" x14ac:dyDescent="0.3">
      <c r="A47" s="166" t="s">
        <v>84</v>
      </c>
      <c r="B47" s="166"/>
      <c r="C47" s="166"/>
      <c r="D47" s="166"/>
    </row>
    <row r="48" spans="1:4" s="19" customFormat="1" ht="15.75" thickBot="1" x14ac:dyDescent="0.3">
      <c r="A48" s="121" t="s">
        <v>85</v>
      </c>
      <c r="B48" s="122" t="s">
        <v>26</v>
      </c>
      <c r="C48" s="122" t="s">
        <v>27</v>
      </c>
      <c r="D48" s="123" t="s">
        <v>6</v>
      </c>
    </row>
    <row r="49" spans="1:4" s="19" customFormat="1" x14ac:dyDescent="0.25">
      <c r="A49" s="10" t="s">
        <v>7</v>
      </c>
      <c r="B49" s="46" t="s">
        <v>28</v>
      </c>
      <c r="C49" s="3">
        <v>0.2</v>
      </c>
      <c r="D49" s="16">
        <f>C49*(D37+D43)</f>
        <v>791.42</v>
      </c>
    </row>
    <row r="50" spans="1:4" s="19" customFormat="1" x14ac:dyDescent="0.25">
      <c r="A50" s="10" t="s">
        <v>9</v>
      </c>
      <c r="B50" s="49" t="s">
        <v>32</v>
      </c>
      <c r="C50" s="3">
        <v>2.5000000000000001E-2</v>
      </c>
      <c r="D50" s="16">
        <f>C50*(D$37+D43)</f>
        <v>98.93</v>
      </c>
    </row>
    <row r="51" spans="1:4" s="19" customFormat="1" x14ac:dyDescent="0.25">
      <c r="A51" s="10" t="s">
        <v>11</v>
      </c>
      <c r="B51" s="7" t="s">
        <v>86</v>
      </c>
      <c r="C51" s="3">
        <v>1.4999999999999999E-2</v>
      </c>
      <c r="D51" s="16">
        <f>C51*(D$37+D43)</f>
        <v>59.36</v>
      </c>
    </row>
    <row r="52" spans="1:4" s="19" customFormat="1" x14ac:dyDescent="0.25">
      <c r="A52" s="6" t="s">
        <v>13</v>
      </c>
      <c r="B52" s="7" t="s">
        <v>29</v>
      </c>
      <c r="C52" s="3">
        <v>1.4999999999999999E-2</v>
      </c>
      <c r="D52" s="16">
        <f>C52*(D$37+D43)</f>
        <v>59.36</v>
      </c>
    </row>
    <row r="53" spans="1:4" s="19" customFormat="1" x14ac:dyDescent="0.25">
      <c r="A53" s="6" t="s">
        <v>14</v>
      </c>
      <c r="B53" s="7" t="s">
        <v>30</v>
      </c>
      <c r="C53" s="3">
        <v>0.01</v>
      </c>
      <c r="D53" s="16">
        <f>C53*(D43+D$37)</f>
        <v>39.57</v>
      </c>
    </row>
    <row r="54" spans="1:4" s="19" customFormat="1" x14ac:dyDescent="0.25">
      <c r="A54" s="6" t="s">
        <v>16</v>
      </c>
      <c r="B54" s="50" t="s">
        <v>34</v>
      </c>
      <c r="C54" s="3">
        <v>6.0000000000000001E-3</v>
      </c>
      <c r="D54" s="16">
        <f>C54*(D$37+D43)</f>
        <v>23.74</v>
      </c>
    </row>
    <row r="55" spans="1:4" s="19" customFormat="1" x14ac:dyDescent="0.25">
      <c r="A55" s="6" t="s">
        <v>17</v>
      </c>
      <c r="B55" s="7" t="s">
        <v>31</v>
      </c>
      <c r="C55" s="3">
        <v>2E-3</v>
      </c>
      <c r="D55" s="16">
        <f>C55*(D$37+D43)</f>
        <v>7.91</v>
      </c>
    </row>
    <row r="56" spans="1:4" s="19" customFormat="1" ht="15.75" thickBot="1" x14ac:dyDescent="0.3">
      <c r="A56" s="6" t="s">
        <v>18</v>
      </c>
      <c r="B56" s="7" t="s">
        <v>33</v>
      </c>
      <c r="C56" s="3">
        <v>0.08</v>
      </c>
      <c r="D56" s="16">
        <f>C56*(D$37+D43)</f>
        <v>316.57</v>
      </c>
    </row>
    <row r="57" spans="1:4" s="19" customFormat="1" ht="15.75" thickBot="1" x14ac:dyDescent="0.3">
      <c r="A57" s="140" t="s">
        <v>35</v>
      </c>
      <c r="B57" s="141"/>
      <c r="C57" s="47">
        <f>SUM(C49:C56)</f>
        <v>0.35299999999999998</v>
      </c>
      <c r="D57" s="51">
        <f>SUM(D49:D56)</f>
        <v>1396.86</v>
      </c>
    </row>
    <row r="58" spans="1:4" s="19" customFormat="1" x14ac:dyDescent="0.25">
      <c r="A58" s="44"/>
      <c r="D58" s="21"/>
    </row>
    <row r="59" spans="1:4" s="19" customFormat="1" ht="16.5" thickBot="1" x14ac:dyDescent="0.3">
      <c r="A59" s="166" t="s">
        <v>87</v>
      </c>
      <c r="B59" s="166"/>
      <c r="C59" s="166"/>
      <c r="D59" s="166"/>
    </row>
    <row r="60" spans="1:4" s="19" customFormat="1" ht="15.75" thickBot="1" x14ac:dyDescent="0.3">
      <c r="A60" s="121" t="s">
        <v>88</v>
      </c>
      <c r="B60" s="122" t="s">
        <v>22</v>
      </c>
      <c r="C60" s="142" t="s">
        <v>6</v>
      </c>
      <c r="D60" s="169"/>
    </row>
    <row r="61" spans="1:4" s="19" customFormat="1" x14ac:dyDescent="0.25">
      <c r="A61" s="10" t="s">
        <v>7</v>
      </c>
      <c r="B61" s="46" t="s">
        <v>187</v>
      </c>
      <c r="C61" s="190">
        <v>165</v>
      </c>
      <c r="D61" s="191"/>
    </row>
    <row r="62" spans="1:4" s="19" customFormat="1" x14ac:dyDescent="0.25">
      <c r="A62" s="6" t="s">
        <v>48</v>
      </c>
      <c r="B62" s="7" t="s">
        <v>49</v>
      </c>
      <c r="C62" s="183">
        <f>-(6%*D30)</f>
        <v>-135.51</v>
      </c>
      <c r="D62" s="184"/>
    </row>
    <row r="63" spans="1:4" s="19" customFormat="1" x14ac:dyDescent="0.25">
      <c r="A63" s="6" t="s">
        <v>9</v>
      </c>
      <c r="B63" s="7" t="s">
        <v>188</v>
      </c>
      <c r="C63" s="183">
        <f>15*39.29</f>
        <v>589.35</v>
      </c>
      <c r="D63" s="184"/>
    </row>
    <row r="64" spans="1:4" s="19" customFormat="1" x14ac:dyDescent="0.25">
      <c r="A64" s="6" t="s">
        <v>137</v>
      </c>
      <c r="B64" s="7" t="s">
        <v>153</v>
      </c>
      <c r="C64" s="183">
        <f>-(27.44*18%)*15</f>
        <v>-74.09</v>
      </c>
      <c r="D64" s="184"/>
    </row>
    <row r="65" spans="1:4" s="19" customFormat="1" x14ac:dyDescent="0.25">
      <c r="A65" s="6" t="s">
        <v>11</v>
      </c>
      <c r="B65" s="8" t="s">
        <v>81</v>
      </c>
      <c r="C65" s="183">
        <v>140</v>
      </c>
      <c r="D65" s="184"/>
    </row>
    <row r="66" spans="1:4" s="19" customFormat="1" ht="15.75" thickBot="1" x14ac:dyDescent="0.3">
      <c r="A66" s="6" t="s">
        <v>59</v>
      </c>
      <c r="B66" s="8" t="s">
        <v>154</v>
      </c>
      <c r="C66" s="183">
        <v>-95.58</v>
      </c>
      <c r="D66" s="184"/>
    </row>
    <row r="67" spans="1:4" s="19" customFormat="1" ht="15" customHeight="1" thickBot="1" x14ac:dyDescent="0.3">
      <c r="A67" s="168" t="s">
        <v>23</v>
      </c>
      <c r="B67" s="169"/>
      <c r="C67" s="170">
        <f>SUM(C61:D66)</f>
        <v>589.16999999999996</v>
      </c>
      <c r="D67" s="170"/>
    </row>
    <row r="68" spans="1:4" s="19" customFormat="1" x14ac:dyDescent="0.25">
      <c r="A68" s="189"/>
      <c r="B68" s="189"/>
      <c r="C68" s="189"/>
      <c r="D68" s="189"/>
    </row>
    <row r="69" spans="1:4" s="19" customFormat="1" ht="16.5" thickBot="1" x14ac:dyDescent="0.3">
      <c r="A69" s="185" t="s">
        <v>95</v>
      </c>
      <c r="B69" s="185"/>
      <c r="C69" s="185"/>
      <c r="D69" s="52"/>
    </row>
    <row r="70" spans="1:4" s="19" customFormat="1" ht="15.75" thickBot="1" x14ac:dyDescent="0.3">
      <c r="A70" s="121">
        <v>2</v>
      </c>
      <c r="B70" s="122" t="s">
        <v>89</v>
      </c>
      <c r="C70" s="122" t="s">
        <v>6</v>
      </c>
      <c r="D70" s="128"/>
    </row>
    <row r="71" spans="1:4" s="19" customFormat="1" x14ac:dyDescent="0.25">
      <c r="A71" s="9" t="s">
        <v>83</v>
      </c>
      <c r="B71" s="7" t="s">
        <v>82</v>
      </c>
      <c r="C71" s="54">
        <f>D43</f>
        <v>671.29</v>
      </c>
      <c r="D71" s="128"/>
    </row>
    <row r="72" spans="1:4" s="19" customFormat="1" x14ac:dyDescent="0.25">
      <c r="A72" s="9" t="s">
        <v>85</v>
      </c>
      <c r="B72" s="7" t="s">
        <v>90</v>
      </c>
      <c r="C72" s="54">
        <f>D57</f>
        <v>1396.86</v>
      </c>
      <c r="D72" s="128"/>
    </row>
    <row r="73" spans="1:4" s="19" customFormat="1" ht="15.75" thickBot="1" x14ac:dyDescent="0.3">
      <c r="A73" s="9" t="s">
        <v>88</v>
      </c>
      <c r="B73" s="7" t="s">
        <v>22</v>
      </c>
      <c r="C73" s="54">
        <f>C67</f>
        <v>589.16999999999996</v>
      </c>
      <c r="D73" s="128"/>
    </row>
    <row r="74" spans="1:4" s="19" customFormat="1" ht="15" customHeight="1" thickBot="1" x14ac:dyDescent="0.3">
      <c r="A74" s="168" t="s">
        <v>91</v>
      </c>
      <c r="B74" s="169"/>
      <c r="C74" s="55">
        <f>SUM(C71:C73)</f>
        <v>2657.32</v>
      </c>
      <c r="D74" s="128"/>
    </row>
    <row r="75" spans="1:4" s="19" customFormat="1" ht="15" customHeight="1" x14ac:dyDescent="0.25">
      <c r="A75" s="128"/>
      <c r="B75" s="128"/>
      <c r="C75" s="128"/>
      <c r="D75" s="128"/>
    </row>
    <row r="76" spans="1:4" s="19" customFormat="1" ht="15" customHeight="1" thickBot="1" x14ac:dyDescent="0.3">
      <c r="A76" s="166" t="s">
        <v>92</v>
      </c>
      <c r="B76" s="166"/>
      <c r="C76" s="166"/>
      <c r="D76" s="166"/>
    </row>
    <row r="77" spans="1:4" s="19" customFormat="1" ht="15" customHeight="1" thickBot="1" x14ac:dyDescent="0.3">
      <c r="A77" s="121">
        <v>3</v>
      </c>
      <c r="B77" s="122" t="s">
        <v>38</v>
      </c>
      <c r="C77" s="122" t="s">
        <v>27</v>
      </c>
      <c r="D77" s="123" t="s">
        <v>6</v>
      </c>
    </row>
    <row r="78" spans="1:4" s="19" customFormat="1" x14ac:dyDescent="0.25">
      <c r="A78" s="10" t="s">
        <v>7</v>
      </c>
      <c r="B78" s="46" t="s">
        <v>77</v>
      </c>
      <c r="C78" s="4">
        <f>0.46%</f>
        <v>4.5999999999999999E-3</v>
      </c>
      <c r="D78" s="16">
        <f t="shared" ref="D78:D83" si="0">C78*($D$37+$C$74)</f>
        <v>27.34</v>
      </c>
    </row>
    <row r="79" spans="1:4" s="19" customFormat="1" ht="15" customHeight="1" x14ac:dyDescent="0.25">
      <c r="A79" s="6" t="s">
        <v>9</v>
      </c>
      <c r="B79" s="7" t="s">
        <v>76</v>
      </c>
      <c r="C79" s="4">
        <f>(C78*C56)</f>
        <v>4.0000000000000002E-4</v>
      </c>
      <c r="D79" s="16">
        <f t="shared" si="0"/>
        <v>2.38</v>
      </c>
    </row>
    <row r="80" spans="1:4" s="19" customFormat="1" ht="15" customHeight="1" x14ac:dyDescent="0.25">
      <c r="A80" s="6" t="s">
        <v>11</v>
      </c>
      <c r="B80" s="7" t="s">
        <v>119</v>
      </c>
      <c r="C80" s="4">
        <v>0.04</v>
      </c>
      <c r="D80" s="16">
        <f t="shared" si="0"/>
        <v>237.72</v>
      </c>
    </row>
    <row r="81" spans="1:6" s="19" customFormat="1" ht="15" customHeight="1" x14ac:dyDescent="0.25">
      <c r="A81" s="6" t="s">
        <v>13</v>
      </c>
      <c r="B81" s="7" t="s">
        <v>78</v>
      </c>
      <c r="C81" s="4">
        <v>1.9400000000000001E-2</v>
      </c>
      <c r="D81" s="16">
        <f t="shared" si="0"/>
        <v>115.3</v>
      </c>
    </row>
    <row r="82" spans="1:6" s="19" customFormat="1" ht="15" customHeight="1" x14ac:dyDescent="0.25">
      <c r="A82" s="6" t="s">
        <v>14</v>
      </c>
      <c r="B82" s="7" t="s">
        <v>93</v>
      </c>
      <c r="C82" s="4">
        <f>C81*C57</f>
        <v>6.7999999999999996E-3</v>
      </c>
      <c r="D82" s="16">
        <f t="shared" si="0"/>
        <v>40.409999999999997</v>
      </c>
    </row>
    <row r="83" spans="1:6" s="19" customFormat="1" ht="15" customHeight="1" thickBot="1" x14ac:dyDescent="0.3">
      <c r="A83" s="41" t="s">
        <v>16</v>
      </c>
      <c r="B83" s="56" t="s">
        <v>114</v>
      </c>
      <c r="C83" s="5"/>
      <c r="D83" s="16">
        <f t="shared" si="0"/>
        <v>0</v>
      </c>
      <c r="F83" s="57"/>
    </row>
    <row r="84" spans="1:6" s="19" customFormat="1" ht="15" customHeight="1" thickBot="1" x14ac:dyDescent="0.3">
      <c r="A84" s="140" t="s">
        <v>35</v>
      </c>
      <c r="B84" s="141"/>
      <c r="C84" s="47">
        <f>SUM(C78:C83)</f>
        <v>7.1199999999999999E-2</v>
      </c>
      <c r="D84" s="15">
        <f>SUM(D78:D83)</f>
        <v>423.15</v>
      </c>
    </row>
    <row r="85" spans="1:6" s="19" customFormat="1" ht="15" customHeight="1" x14ac:dyDescent="0.25">
      <c r="A85" s="126"/>
      <c r="B85" s="126"/>
      <c r="C85" s="126"/>
      <c r="D85" s="126"/>
    </row>
    <row r="86" spans="1:6" s="19" customFormat="1" ht="15" customHeight="1" x14ac:dyDescent="0.25">
      <c r="A86" s="166" t="s">
        <v>94</v>
      </c>
      <c r="B86" s="166"/>
      <c r="C86" s="166"/>
      <c r="D86" s="166"/>
    </row>
    <row r="87" spans="1:6" s="19" customFormat="1" ht="15" customHeight="1" x14ac:dyDescent="0.25">
      <c r="A87" s="166" t="s">
        <v>96</v>
      </c>
      <c r="B87" s="166"/>
      <c r="C87" s="166"/>
      <c r="D87" s="166"/>
    </row>
    <row r="88" spans="1:6" s="19" customFormat="1" ht="15" customHeight="1" x14ac:dyDescent="0.25">
      <c r="A88" s="127" t="s">
        <v>25</v>
      </c>
      <c r="B88" s="127" t="s">
        <v>97</v>
      </c>
      <c r="C88" s="127" t="s">
        <v>27</v>
      </c>
      <c r="D88" s="127" t="s">
        <v>6</v>
      </c>
    </row>
    <row r="89" spans="1:6" s="19" customFormat="1" x14ac:dyDescent="0.25">
      <c r="A89" s="9" t="s">
        <v>7</v>
      </c>
      <c r="B89" s="7" t="s">
        <v>120</v>
      </c>
      <c r="C89" s="14">
        <v>9.0899999999999995E-2</v>
      </c>
      <c r="D89" s="103">
        <f t="shared" ref="D89:D94" si="1">C89*($D$37+$C$74+$D$84)</f>
        <v>578.69000000000005</v>
      </c>
    </row>
    <row r="90" spans="1:6" s="19" customFormat="1" x14ac:dyDescent="0.25">
      <c r="A90" s="9" t="s">
        <v>9</v>
      </c>
      <c r="B90" s="7" t="s">
        <v>98</v>
      </c>
      <c r="C90" s="14">
        <v>3.5000000000000001E-3</v>
      </c>
      <c r="D90" s="103">
        <f t="shared" si="1"/>
        <v>22.28</v>
      </c>
    </row>
    <row r="91" spans="1:6" s="19" customFormat="1" x14ac:dyDescent="0.25">
      <c r="A91" s="9" t="s">
        <v>11</v>
      </c>
      <c r="B91" s="7" t="s">
        <v>99</v>
      </c>
      <c r="C91" s="14">
        <v>2.0000000000000001E-4</v>
      </c>
      <c r="D91" s="103">
        <f t="shared" si="1"/>
        <v>1.27</v>
      </c>
    </row>
    <row r="92" spans="1:6" s="19" customFormat="1" x14ac:dyDescent="0.25">
      <c r="A92" s="9" t="s">
        <v>13</v>
      </c>
      <c r="B92" s="7" t="s">
        <v>117</v>
      </c>
      <c r="C92" s="14">
        <v>1.4E-3</v>
      </c>
      <c r="D92" s="103">
        <f t="shared" si="1"/>
        <v>8.91</v>
      </c>
    </row>
    <row r="93" spans="1:6" s="19" customFormat="1" x14ac:dyDescent="0.25">
      <c r="A93" s="9" t="s">
        <v>14</v>
      </c>
      <c r="B93" s="7" t="s">
        <v>115</v>
      </c>
      <c r="C93" s="14">
        <v>2.9999999999999997E-4</v>
      </c>
      <c r="D93" s="103">
        <f t="shared" si="1"/>
        <v>1.91</v>
      </c>
    </row>
    <row r="94" spans="1:6" s="19" customFormat="1" x14ac:dyDescent="0.25">
      <c r="A94" s="9" t="s">
        <v>16</v>
      </c>
      <c r="B94" s="7" t="s">
        <v>19</v>
      </c>
      <c r="C94" s="14"/>
      <c r="D94" s="103">
        <f t="shared" si="1"/>
        <v>0</v>
      </c>
    </row>
    <row r="95" spans="1:6" s="19" customFormat="1" x14ac:dyDescent="0.25">
      <c r="A95" s="180" t="s">
        <v>35</v>
      </c>
      <c r="B95" s="180"/>
      <c r="C95" s="104">
        <f>SUM(C89:C94)</f>
        <v>9.6299999999999997E-2</v>
      </c>
      <c r="D95" s="103">
        <f>SUM(D89:D94)</f>
        <v>613.05999999999995</v>
      </c>
    </row>
    <row r="96" spans="1:6" s="19" customFormat="1" x14ac:dyDescent="0.25"/>
    <row r="97" spans="1:4" s="19" customFormat="1" ht="16.5" thickBot="1" x14ac:dyDescent="0.3">
      <c r="A97" s="172" t="s">
        <v>100</v>
      </c>
      <c r="B97" s="172"/>
      <c r="C97" s="172"/>
      <c r="D97" s="172"/>
    </row>
    <row r="98" spans="1:4" s="19" customFormat="1" ht="15.75" thickBot="1" x14ac:dyDescent="0.3">
      <c r="A98" s="121" t="s">
        <v>36</v>
      </c>
      <c r="B98" s="122" t="s">
        <v>101</v>
      </c>
      <c r="C98" s="60" t="s">
        <v>6</v>
      </c>
    </row>
    <row r="99" spans="1:4" s="19" customFormat="1" ht="15.75" thickBot="1" x14ac:dyDescent="0.3">
      <c r="A99" s="10" t="s">
        <v>7</v>
      </c>
      <c r="B99" s="46" t="s">
        <v>102</v>
      </c>
      <c r="C99" s="61">
        <v>0</v>
      </c>
    </row>
    <row r="100" spans="1:4" s="19" customFormat="1" ht="15.75" thickBot="1" x14ac:dyDescent="0.3">
      <c r="A100" s="140" t="s">
        <v>35</v>
      </c>
      <c r="B100" s="141"/>
      <c r="C100" s="62"/>
    </row>
    <row r="101" spans="1:4" s="19" customFormat="1" x14ac:dyDescent="0.25"/>
    <row r="102" spans="1:4" s="19" customFormat="1" ht="15.75" thickBot="1" x14ac:dyDescent="0.3">
      <c r="A102" s="171" t="s">
        <v>103</v>
      </c>
      <c r="B102" s="171"/>
      <c r="C102" s="171"/>
    </row>
    <row r="103" spans="1:4" s="19" customFormat="1" ht="15.75" thickBot="1" x14ac:dyDescent="0.3">
      <c r="A103" s="121">
        <v>4</v>
      </c>
      <c r="B103" s="122" t="s">
        <v>39</v>
      </c>
      <c r="C103" s="60" t="s">
        <v>6</v>
      </c>
    </row>
    <row r="104" spans="1:4" s="19" customFormat="1" x14ac:dyDescent="0.25">
      <c r="A104" s="6" t="s">
        <v>25</v>
      </c>
      <c r="B104" s="46" t="s">
        <v>97</v>
      </c>
      <c r="C104" s="61">
        <f>D95</f>
        <v>613.05999999999995</v>
      </c>
    </row>
    <row r="105" spans="1:4" s="19" customFormat="1" ht="15.75" thickBot="1" x14ac:dyDescent="0.3">
      <c r="A105" s="6" t="s">
        <v>36</v>
      </c>
      <c r="B105" s="63" t="s">
        <v>101</v>
      </c>
      <c r="C105" s="61">
        <f>C99</f>
        <v>0</v>
      </c>
    </row>
    <row r="106" spans="1:4" s="19" customFormat="1" ht="15.75" thickBot="1" x14ac:dyDescent="0.3">
      <c r="A106" s="140" t="s">
        <v>35</v>
      </c>
      <c r="B106" s="141"/>
      <c r="C106" s="64">
        <f>SUM(C104:C105)</f>
        <v>613.05999999999995</v>
      </c>
    </row>
    <row r="107" spans="1:4" s="19" customFormat="1" x14ac:dyDescent="0.25">
      <c r="A107" s="44"/>
      <c r="D107" s="21"/>
    </row>
    <row r="108" spans="1:4" s="19" customFormat="1" ht="16.5" thickBot="1" x14ac:dyDescent="0.3">
      <c r="A108" s="166" t="s">
        <v>104</v>
      </c>
      <c r="B108" s="166"/>
      <c r="C108" s="166"/>
      <c r="D108" s="166"/>
    </row>
    <row r="109" spans="1:4" s="19" customFormat="1" ht="15.75" thickBot="1" x14ac:dyDescent="0.3">
      <c r="A109" s="121">
        <v>5</v>
      </c>
      <c r="B109" s="142" t="s">
        <v>24</v>
      </c>
      <c r="C109" s="167"/>
      <c r="D109" s="37" t="s">
        <v>6</v>
      </c>
    </row>
    <row r="110" spans="1:4" s="19" customFormat="1" x14ac:dyDescent="0.25">
      <c r="A110" s="10" t="s">
        <v>7</v>
      </c>
      <c r="B110" s="156" t="s">
        <v>75</v>
      </c>
      <c r="C110" s="157"/>
      <c r="D110" s="38">
        <f>'Uniformes e Equipamentos'!M11</f>
        <v>50.67</v>
      </c>
    </row>
    <row r="111" spans="1:4" s="19" customFormat="1" x14ac:dyDescent="0.25">
      <c r="A111" s="6" t="s">
        <v>11</v>
      </c>
      <c r="B111" s="158" t="s">
        <v>190</v>
      </c>
      <c r="C111" s="159"/>
      <c r="D111" s="39">
        <v>163.74</v>
      </c>
    </row>
    <row r="112" spans="1:4" s="19" customFormat="1" ht="15.75" thickBot="1" x14ac:dyDescent="0.3">
      <c r="A112" s="41" t="s">
        <v>13</v>
      </c>
      <c r="B112" s="160" t="s">
        <v>19</v>
      </c>
      <c r="C112" s="161"/>
      <c r="D112" s="42"/>
    </row>
    <row r="113" spans="1:4" s="19" customFormat="1" ht="15.75" customHeight="1" thickBot="1" x14ac:dyDescent="0.3">
      <c r="A113" s="168" t="s">
        <v>65</v>
      </c>
      <c r="B113" s="169"/>
      <c r="C113" s="167"/>
      <c r="D113" s="43">
        <f>SUM(D110:D112)</f>
        <v>214.41</v>
      </c>
    </row>
    <row r="114" spans="1:4" s="19" customFormat="1" x14ac:dyDescent="0.25"/>
    <row r="115" spans="1:4" s="19" customFormat="1" ht="16.5" thickBot="1" x14ac:dyDescent="0.3">
      <c r="A115" s="166" t="s">
        <v>105</v>
      </c>
      <c r="B115" s="166"/>
      <c r="C115" s="166"/>
      <c r="D115" s="166"/>
    </row>
    <row r="116" spans="1:4" s="19" customFormat="1" ht="15.75" thickBot="1" x14ac:dyDescent="0.3">
      <c r="A116" s="121">
        <v>5</v>
      </c>
      <c r="B116" s="122" t="s">
        <v>40</v>
      </c>
      <c r="C116" s="59" t="s">
        <v>27</v>
      </c>
      <c r="D116" s="123" t="s">
        <v>6</v>
      </c>
    </row>
    <row r="117" spans="1:4" s="19" customFormat="1" x14ac:dyDescent="0.25">
      <c r="A117" s="10" t="s">
        <v>7</v>
      </c>
      <c r="B117" s="11" t="s">
        <v>41</v>
      </c>
      <c r="C117" s="12">
        <v>1.6199999999999999E-2</v>
      </c>
      <c r="D117" s="65">
        <f>C117*$D$133</f>
        <v>116.54</v>
      </c>
    </row>
    <row r="118" spans="1:4" s="19" customFormat="1" x14ac:dyDescent="0.25">
      <c r="A118" s="6" t="s">
        <v>9</v>
      </c>
      <c r="B118" s="13" t="s">
        <v>44</v>
      </c>
      <c r="C118" s="12">
        <v>1.3899999999999999E-2</v>
      </c>
      <c r="D118" s="65">
        <f>C118*(D117+$D$133)</f>
        <v>101.61</v>
      </c>
    </row>
    <row r="119" spans="1:4" s="19" customFormat="1" x14ac:dyDescent="0.25">
      <c r="A119" s="6" t="s">
        <v>11</v>
      </c>
      <c r="B119" s="7" t="s">
        <v>42</v>
      </c>
      <c r="C119" s="66">
        <f>SUM(C120:C123)</f>
        <v>8.6499999999999994E-2</v>
      </c>
      <c r="D119" s="67"/>
    </row>
    <row r="120" spans="1:4" s="19" customFormat="1" x14ac:dyDescent="0.25">
      <c r="A120" s="6" t="s">
        <v>59</v>
      </c>
      <c r="B120" s="7" t="s">
        <v>43</v>
      </c>
      <c r="C120" s="68">
        <v>0</v>
      </c>
      <c r="D120" s="67"/>
    </row>
    <row r="121" spans="1:4" s="19" customFormat="1" x14ac:dyDescent="0.25">
      <c r="A121" s="6" t="s">
        <v>60</v>
      </c>
      <c r="B121" s="7" t="s">
        <v>50</v>
      </c>
      <c r="C121" s="68">
        <v>6.4999999999999997E-3</v>
      </c>
      <c r="D121" s="67">
        <f>(D133+D117+D118)/(1-C119)*C121</f>
        <v>52.74</v>
      </c>
    </row>
    <row r="122" spans="1:4" s="19" customFormat="1" x14ac:dyDescent="0.25">
      <c r="A122" s="6" t="s">
        <v>61</v>
      </c>
      <c r="B122" s="7" t="s">
        <v>51</v>
      </c>
      <c r="C122" s="68">
        <v>0.03</v>
      </c>
      <c r="D122" s="67">
        <f>(D133+D117+D118)/(1-C119)*C122</f>
        <v>243.41</v>
      </c>
    </row>
    <row r="123" spans="1:4" s="19" customFormat="1" ht="15.75" thickBot="1" x14ac:dyDescent="0.3">
      <c r="A123" s="6" t="s">
        <v>106</v>
      </c>
      <c r="B123" s="49" t="s">
        <v>116</v>
      </c>
      <c r="C123" s="68">
        <v>0.05</v>
      </c>
      <c r="D123" s="67">
        <f>(D133+D117+D118)/(1-C119)*C123</f>
        <v>405.69</v>
      </c>
    </row>
    <row r="124" spans="1:4" s="35" customFormat="1" ht="15.75" thickBot="1" x14ac:dyDescent="0.3">
      <c r="A124" s="140" t="s">
        <v>35</v>
      </c>
      <c r="B124" s="141"/>
      <c r="C124" s="141"/>
      <c r="D124" s="69">
        <f>SUM(D117:D123)</f>
        <v>919.99</v>
      </c>
    </row>
    <row r="125" spans="1:4" s="19" customFormat="1" ht="15.75" customHeight="1" x14ac:dyDescent="0.25">
      <c r="A125" s="44"/>
      <c r="D125" s="21"/>
    </row>
    <row r="126" spans="1:4" s="19" customFormat="1" ht="16.5" thickBot="1" x14ac:dyDescent="0.3">
      <c r="A126" s="179" t="s">
        <v>113</v>
      </c>
      <c r="B126" s="179"/>
      <c r="C126" s="179"/>
      <c r="D126" s="179"/>
    </row>
    <row r="127" spans="1:4" s="19" customFormat="1" ht="15.75" customHeight="1" thickBot="1" x14ac:dyDescent="0.3">
      <c r="A127" s="168" t="s">
        <v>45</v>
      </c>
      <c r="B127" s="169"/>
      <c r="C127" s="167"/>
      <c r="D127" s="123" t="s">
        <v>46</v>
      </c>
    </row>
    <row r="128" spans="1:4" s="19" customFormat="1" x14ac:dyDescent="0.25">
      <c r="A128" s="10" t="s">
        <v>7</v>
      </c>
      <c r="B128" s="156" t="s">
        <v>47</v>
      </c>
      <c r="C128" s="157"/>
      <c r="D128" s="70">
        <f>D37</f>
        <v>3285.79</v>
      </c>
    </row>
    <row r="129" spans="1:4" s="19" customFormat="1" x14ac:dyDescent="0.25">
      <c r="A129" s="6" t="s">
        <v>9</v>
      </c>
      <c r="B129" s="158" t="s">
        <v>107</v>
      </c>
      <c r="C129" s="159"/>
      <c r="D129" s="71">
        <f>C74</f>
        <v>2657.32</v>
      </c>
    </row>
    <row r="130" spans="1:4" s="19" customFormat="1" x14ac:dyDescent="0.25">
      <c r="A130" s="6" t="s">
        <v>11</v>
      </c>
      <c r="B130" s="158" t="s">
        <v>108</v>
      </c>
      <c r="C130" s="159"/>
      <c r="D130" s="71">
        <f>D84</f>
        <v>423.15</v>
      </c>
    </row>
    <row r="131" spans="1:4" s="19" customFormat="1" ht="15" customHeight="1" x14ac:dyDescent="0.25">
      <c r="A131" s="6" t="s">
        <v>13</v>
      </c>
      <c r="B131" s="124" t="s">
        <v>109</v>
      </c>
      <c r="C131" s="125"/>
      <c r="D131" s="71">
        <f>C106</f>
        <v>613.05999999999995</v>
      </c>
    </row>
    <row r="132" spans="1:4" s="19" customFormat="1" x14ac:dyDescent="0.25">
      <c r="A132" s="6" t="s">
        <v>14</v>
      </c>
      <c r="B132" s="158" t="s">
        <v>110</v>
      </c>
      <c r="C132" s="159"/>
      <c r="D132" s="71">
        <f>D113</f>
        <v>214.41</v>
      </c>
    </row>
    <row r="133" spans="1:4" s="19" customFormat="1" ht="15" customHeight="1" x14ac:dyDescent="0.25">
      <c r="A133" s="173" t="s">
        <v>111</v>
      </c>
      <c r="B133" s="174"/>
      <c r="C133" s="175"/>
      <c r="D133" s="71">
        <f>SUM(D128:D132)</f>
        <v>7193.73</v>
      </c>
    </row>
    <row r="134" spans="1:4" s="19" customFormat="1" ht="15.75" customHeight="1" x14ac:dyDescent="0.25">
      <c r="A134" s="41" t="s">
        <v>16</v>
      </c>
      <c r="B134" s="181" t="s">
        <v>112</v>
      </c>
      <c r="C134" s="182"/>
      <c r="D134" s="74">
        <f>D124</f>
        <v>919.99</v>
      </c>
    </row>
    <row r="135" spans="1:4" s="19" customFormat="1" ht="15" customHeight="1" x14ac:dyDescent="0.25">
      <c r="A135" s="180" t="s">
        <v>121</v>
      </c>
      <c r="B135" s="180"/>
      <c r="C135" s="180"/>
      <c r="D135" s="75">
        <f>SUM(D133:D134)</f>
        <v>8113.72</v>
      </c>
    </row>
    <row r="136" spans="1:4" s="19" customFormat="1" ht="15.75" customHeight="1" thickBot="1" x14ac:dyDescent="0.3">
      <c r="A136" s="176" t="s">
        <v>122</v>
      </c>
      <c r="B136" s="177"/>
      <c r="C136" s="178"/>
      <c r="D136" s="76">
        <f>SUM(D133:D134)*2</f>
        <v>16227.44</v>
      </c>
    </row>
  </sheetData>
  <mergeCells count="75">
    <mergeCell ref="A17:D17"/>
    <mergeCell ref="A1:D2"/>
    <mergeCell ref="A3:D4"/>
    <mergeCell ref="B6:D6"/>
    <mergeCell ref="B7:D7"/>
    <mergeCell ref="B8:D8"/>
    <mergeCell ref="A10:D10"/>
    <mergeCell ref="B11:C11"/>
    <mergeCell ref="B12:C12"/>
    <mergeCell ref="B13:C13"/>
    <mergeCell ref="B14:C14"/>
    <mergeCell ref="B15:C15"/>
    <mergeCell ref="B31:C31"/>
    <mergeCell ref="A18:B18"/>
    <mergeCell ref="A19:B19"/>
    <mergeCell ref="A21:D21"/>
    <mergeCell ref="B22:C22"/>
    <mergeCell ref="B23:C23"/>
    <mergeCell ref="B24:C24"/>
    <mergeCell ref="B25:C25"/>
    <mergeCell ref="B26:C26"/>
    <mergeCell ref="A28:D28"/>
    <mergeCell ref="B29:C29"/>
    <mergeCell ref="B30:C30"/>
    <mergeCell ref="A59:D59"/>
    <mergeCell ref="B32:C32"/>
    <mergeCell ref="B33:C33"/>
    <mergeCell ref="B34:C34"/>
    <mergeCell ref="B35:C35"/>
    <mergeCell ref="B36:C36"/>
    <mergeCell ref="A37:C37"/>
    <mergeCell ref="A39:D39"/>
    <mergeCell ref="A43:B43"/>
    <mergeCell ref="A45:C45"/>
    <mergeCell ref="A47:D47"/>
    <mergeCell ref="A57:B57"/>
    <mergeCell ref="A74:B74"/>
    <mergeCell ref="C60:D60"/>
    <mergeCell ref="C61:D61"/>
    <mergeCell ref="C62:D62"/>
    <mergeCell ref="C63:D63"/>
    <mergeCell ref="C64:D64"/>
    <mergeCell ref="C65:D65"/>
    <mergeCell ref="C66:D66"/>
    <mergeCell ref="A67:B67"/>
    <mergeCell ref="C67:D67"/>
    <mergeCell ref="A68:D68"/>
    <mergeCell ref="A69:C69"/>
    <mergeCell ref="B110:C110"/>
    <mergeCell ref="A76:D76"/>
    <mergeCell ref="A84:B84"/>
    <mergeCell ref="A86:D86"/>
    <mergeCell ref="A87:D87"/>
    <mergeCell ref="A95:B95"/>
    <mergeCell ref="A97:D97"/>
    <mergeCell ref="A100:B100"/>
    <mergeCell ref="A102:C102"/>
    <mergeCell ref="A106:B106"/>
    <mergeCell ref="A108:D108"/>
    <mergeCell ref="B109:C109"/>
    <mergeCell ref="B111:C111"/>
    <mergeCell ref="B112:C112"/>
    <mergeCell ref="A113:C113"/>
    <mergeCell ref="A115:D115"/>
    <mergeCell ref="A124:C124"/>
    <mergeCell ref="A133:C133"/>
    <mergeCell ref="B134:C134"/>
    <mergeCell ref="A135:C135"/>
    <mergeCell ref="A136:C136"/>
    <mergeCell ref="A126:D126"/>
    <mergeCell ref="A127:C127"/>
    <mergeCell ref="B128:C128"/>
    <mergeCell ref="B129:C129"/>
    <mergeCell ref="B130:C130"/>
    <mergeCell ref="B132:C132"/>
  </mergeCells>
  <printOptions horizontalCentered="1"/>
  <pageMargins left="0.23622047244094491" right="0.23622047244094491" top="0.86614173228346458" bottom="0.43307086614173229" header="0.15748031496062992" footer="0.31496062992125984"/>
  <pageSetup paperSize="9" scale="68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41"/>
  <sheetViews>
    <sheetView topLeftCell="A31" zoomScale="115" zoomScaleNormal="115" workbookViewId="0">
      <selection activeCell="A8" sqref="A8"/>
    </sheetView>
  </sheetViews>
  <sheetFormatPr defaultRowHeight="15" x14ac:dyDescent="0.25"/>
  <cols>
    <col min="1" max="1" width="27.7109375" style="82" customWidth="1"/>
    <col min="2" max="3" width="11.42578125" style="82" bestFit="1" customWidth="1"/>
    <col min="4" max="4" width="13" style="82" customWidth="1"/>
    <col min="5" max="5" width="15.140625" style="82" customWidth="1"/>
    <col min="6" max="6" width="15.42578125" style="82" customWidth="1"/>
    <col min="7" max="9" width="12.7109375" style="82" bestFit="1" customWidth="1"/>
    <col min="10" max="10" width="13.85546875" style="82" customWidth="1"/>
    <col min="11" max="11" width="11" style="82" bestFit="1" customWidth="1"/>
    <col min="12" max="12" width="15.42578125" style="82" customWidth="1"/>
    <col min="13" max="13" width="10.85546875" style="82" customWidth="1"/>
    <col min="14" max="14" width="15" style="82" customWidth="1"/>
    <col min="15" max="15" width="9.140625" style="81"/>
    <col min="16" max="16" width="10" style="81" bestFit="1" customWidth="1"/>
    <col min="17" max="18" width="9.140625" style="81"/>
    <col min="19" max="19" width="10" style="81" bestFit="1" customWidth="1"/>
    <col min="20" max="16384" width="9.140625" style="81"/>
  </cols>
  <sheetData>
    <row r="1" spans="1:19" ht="18.75" x14ac:dyDescent="0.3">
      <c r="A1" s="200" t="s">
        <v>180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93"/>
    </row>
    <row r="2" spans="1:19" ht="75" x14ac:dyDescent="0.25">
      <c r="A2" s="199" t="s">
        <v>130</v>
      </c>
      <c r="B2" s="199" t="s">
        <v>140</v>
      </c>
      <c r="C2" s="199" t="s">
        <v>141</v>
      </c>
      <c r="D2" s="106" t="s">
        <v>161</v>
      </c>
      <c r="E2" s="91" t="s">
        <v>162</v>
      </c>
      <c r="F2" s="91" t="s">
        <v>163</v>
      </c>
      <c r="G2" s="88" t="s">
        <v>165</v>
      </c>
      <c r="H2" s="88" t="s">
        <v>195</v>
      </c>
      <c r="I2" s="105" t="s">
        <v>166</v>
      </c>
      <c r="J2" s="119" t="s">
        <v>168</v>
      </c>
      <c r="K2" s="201" t="s">
        <v>147</v>
      </c>
      <c r="L2" s="201" t="s">
        <v>132</v>
      </c>
      <c r="M2" s="201" t="s">
        <v>136</v>
      </c>
      <c r="N2" s="198"/>
    </row>
    <row r="3" spans="1:19" ht="30" x14ac:dyDescent="0.25">
      <c r="A3" s="199"/>
      <c r="B3" s="199"/>
      <c r="C3" s="199"/>
      <c r="D3" s="106"/>
      <c r="E3" s="88" t="s">
        <v>131</v>
      </c>
      <c r="F3" s="88" t="s">
        <v>131</v>
      </c>
      <c r="G3" s="88" t="s">
        <v>131</v>
      </c>
      <c r="H3" s="88" t="s">
        <v>131</v>
      </c>
      <c r="I3" s="117" t="s">
        <v>131</v>
      </c>
      <c r="J3" s="117" t="s">
        <v>131</v>
      </c>
      <c r="K3" s="201"/>
      <c r="L3" s="201"/>
      <c r="M3" s="201"/>
      <c r="N3" s="198"/>
    </row>
    <row r="4" spans="1:19" ht="15.75" x14ac:dyDescent="0.25">
      <c r="A4" s="87" t="s">
        <v>183</v>
      </c>
      <c r="B4" s="87">
        <v>2</v>
      </c>
      <c r="C4" s="87">
        <f>B4*2</f>
        <v>4</v>
      </c>
      <c r="D4" s="87" t="s">
        <v>146</v>
      </c>
      <c r="E4" s="84">
        <v>45.48</v>
      </c>
      <c r="F4" s="84">
        <v>22.5</v>
      </c>
      <c r="G4" s="84">
        <v>28.84</v>
      </c>
      <c r="H4" s="84">
        <v>61.6</v>
      </c>
      <c r="I4" s="84">
        <v>32</v>
      </c>
      <c r="J4" s="84">
        <v>83.45</v>
      </c>
      <c r="K4" s="86">
        <f>AVERAGE(E4,F4:G4,H4:J4)</f>
        <v>45.65</v>
      </c>
      <c r="L4" s="89">
        <v>4</v>
      </c>
      <c r="M4" s="85">
        <f>K4*L4</f>
        <v>182.6</v>
      </c>
      <c r="N4" s="94"/>
    </row>
    <row r="5" spans="1:19" ht="30" x14ac:dyDescent="0.25">
      <c r="A5" s="83" t="s">
        <v>142</v>
      </c>
      <c r="B5" s="83">
        <v>2</v>
      </c>
      <c r="C5" s="87">
        <f t="shared" ref="C5:C9" si="0">B5*2</f>
        <v>4</v>
      </c>
      <c r="D5" s="87" t="s">
        <v>146</v>
      </c>
      <c r="E5" s="84">
        <v>54.96</v>
      </c>
      <c r="F5" s="84">
        <v>40</v>
      </c>
      <c r="G5" s="84">
        <v>28</v>
      </c>
      <c r="H5" s="84">
        <v>50.97</v>
      </c>
      <c r="I5" s="84">
        <v>31.8</v>
      </c>
      <c r="J5" s="84">
        <v>44.49</v>
      </c>
      <c r="K5" s="86">
        <f t="shared" ref="K5:K9" si="1">AVERAGE(E5,F5:G5,H5:J5)</f>
        <v>41.7</v>
      </c>
      <c r="L5" s="89">
        <v>4</v>
      </c>
      <c r="M5" s="85">
        <f t="shared" ref="M5:M9" si="2">K5*L5</f>
        <v>166.8</v>
      </c>
      <c r="N5" s="94"/>
    </row>
    <row r="6" spans="1:19" ht="18" customHeight="1" x14ac:dyDescent="0.25">
      <c r="A6" s="83" t="s">
        <v>143</v>
      </c>
      <c r="B6" s="83">
        <v>1</v>
      </c>
      <c r="C6" s="87">
        <f t="shared" si="0"/>
        <v>2</v>
      </c>
      <c r="D6" s="87" t="s">
        <v>146</v>
      </c>
      <c r="E6" s="84">
        <v>155.93</v>
      </c>
      <c r="F6" s="84">
        <v>36</v>
      </c>
      <c r="G6" s="84">
        <v>37.89</v>
      </c>
      <c r="H6" s="84">
        <v>60</v>
      </c>
      <c r="I6" s="84">
        <v>34</v>
      </c>
      <c r="J6" s="84">
        <v>50.05</v>
      </c>
      <c r="K6" s="86">
        <f t="shared" si="1"/>
        <v>62.31</v>
      </c>
      <c r="L6" s="89">
        <v>2</v>
      </c>
      <c r="M6" s="85">
        <f t="shared" si="2"/>
        <v>124.62</v>
      </c>
      <c r="N6" s="94"/>
    </row>
    <row r="7" spans="1:19" ht="18" customHeight="1" x14ac:dyDescent="0.25">
      <c r="A7" s="83" t="s">
        <v>156</v>
      </c>
      <c r="B7" s="83">
        <v>2</v>
      </c>
      <c r="C7" s="87">
        <v>4</v>
      </c>
      <c r="D7" s="114" t="s">
        <v>146</v>
      </c>
      <c r="E7" s="84">
        <v>39.49</v>
      </c>
      <c r="F7" s="84">
        <v>12</v>
      </c>
      <c r="G7" s="84" t="s">
        <v>146</v>
      </c>
      <c r="H7" s="84">
        <v>23</v>
      </c>
      <c r="I7" s="84" t="s">
        <v>146</v>
      </c>
      <c r="J7" s="84">
        <v>16.68</v>
      </c>
      <c r="K7" s="86">
        <f>AVERAGE(D7:E7,F7:G7,H7:J7)</f>
        <v>22.79</v>
      </c>
      <c r="L7" s="107">
        <v>4</v>
      </c>
      <c r="M7" s="85">
        <f t="shared" si="2"/>
        <v>91.16</v>
      </c>
      <c r="N7" s="94"/>
    </row>
    <row r="8" spans="1:19" ht="18" customHeight="1" x14ac:dyDescent="0.25">
      <c r="A8" s="83" t="s">
        <v>164</v>
      </c>
      <c r="B8" s="83">
        <v>1</v>
      </c>
      <c r="C8" s="87">
        <v>2</v>
      </c>
      <c r="D8" s="114" t="s">
        <v>146</v>
      </c>
      <c r="E8" s="84"/>
      <c r="F8" s="84"/>
      <c r="G8" s="84">
        <v>3.85</v>
      </c>
      <c r="H8" s="84" t="s">
        <v>146</v>
      </c>
      <c r="I8" s="84">
        <v>4</v>
      </c>
      <c r="J8" s="84">
        <v>18</v>
      </c>
      <c r="K8" s="86"/>
      <c r="L8" s="118"/>
      <c r="M8" s="85"/>
      <c r="N8" s="94"/>
    </row>
    <row r="9" spans="1:19" ht="18" customHeight="1" x14ac:dyDescent="0.25">
      <c r="A9" s="83" t="s">
        <v>144</v>
      </c>
      <c r="B9" s="83">
        <v>4</v>
      </c>
      <c r="C9" s="87">
        <f t="shared" si="0"/>
        <v>8</v>
      </c>
      <c r="D9" s="87" t="s">
        <v>146</v>
      </c>
      <c r="E9" s="84">
        <v>4.95</v>
      </c>
      <c r="F9" s="84">
        <v>12</v>
      </c>
      <c r="G9" s="84">
        <v>0.89</v>
      </c>
      <c r="H9" s="84">
        <v>6.38</v>
      </c>
      <c r="I9" s="84">
        <v>1.2</v>
      </c>
      <c r="J9" s="84">
        <v>6.67</v>
      </c>
      <c r="K9" s="86">
        <f t="shared" si="1"/>
        <v>5.35</v>
      </c>
      <c r="L9" s="89">
        <v>8</v>
      </c>
      <c r="M9" s="85">
        <f t="shared" si="2"/>
        <v>42.8</v>
      </c>
      <c r="N9" s="94"/>
    </row>
    <row r="10" spans="1:19" ht="18" customHeight="1" x14ac:dyDescent="0.25">
      <c r="A10" s="83"/>
      <c r="B10" s="83"/>
      <c r="C10" s="83"/>
      <c r="D10" s="83"/>
      <c r="E10" s="83"/>
      <c r="F10" s="83"/>
      <c r="G10" s="83"/>
      <c r="H10" s="192" t="s">
        <v>152</v>
      </c>
      <c r="I10" s="193"/>
      <c r="J10" s="193"/>
      <c r="K10" s="193"/>
      <c r="L10" s="194"/>
      <c r="M10" s="85">
        <f>SUM(M4:M9)</f>
        <v>607.98</v>
      </c>
      <c r="N10" s="94"/>
    </row>
    <row r="11" spans="1:19" x14ac:dyDescent="0.25">
      <c r="A11" s="83"/>
      <c r="B11" s="83"/>
      <c r="C11" s="83"/>
      <c r="D11" s="83"/>
      <c r="E11" s="83"/>
      <c r="F11" s="83"/>
      <c r="G11" s="83"/>
      <c r="H11" s="195" t="s">
        <v>151</v>
      </c>
      <c r="I11" s="196"/>
      <c r="J11" s="196"/>
      <c r="K11" s="196"/>
      <c r="L11" s="197"/>
      <c r="M11" s="102">
        <f>M10/12</f>
        <v>50.67</v>
      </c>
      <c r="N11" s="95"/>
    </row>
    <row r="15" spans="1:19" ht="18.75" x14ac:dyDescent="0.3">
      <c r="A15" s="200" t="s">
        <v>171</v>
      </c>
      <c r="B15" s="200"/>
      <c r="C15" s="200"/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0"/>
    </row>
    <row r="16" spans="1:19" ht="90" x14ac:dyDescent="0.25">
      <c r="A16" s="199" t="s">
        <v>130</v>
      </c>
      <c r="B16" s="88" t="s">
        <v>140</v>
      </c>
      <c r="C16" s="88" t="s">
        <v>141</v>
      </c>
      <c r="D16" s="117" t="s">
        <v>163</v>
      </c>
      <c r="E16" s="117" t="s">
        <v>166</v>
      </c>
      <c r="F16" s="113" t="s">
        <v>167</v>
      </c>
      <c r="G16" s="113" t="s">
        <v>168</v>
      </c>
      <c r="H16" s="113" t="s">
        <v>169</v>
      </c>
      <c r="I16" s="113" t="s">
        <v>170</v>
      </c>
      <c r="J16" s="112" t="s">
        <v>147</v>
      </c>
      <c r="K16" s="204" t="s">
        <v>132</v>
      </c>
      <c r="L16" s="204" t="s">
        <v>136</v>
      </c>
      <c r="M16" s="204" t="s">
        <v>148</v>
      </c>
      <c r="N16" s="202" t="s">
        <v>149</v>
      </c>
      <c r="P16" s="96"/>
      <c r="Q16" s="96"/>
      <c r="S16" s="96"/>
    </row>
    <row r="17" spans="1:20" ht="30" x14ac:dyDescent="0.25">
      <c r="A17" s="199"/>
      <c r="B17" s="88"/>
      <c r="C17" s="88"/>
      <c r="D17" s="113" t="s">
        <v>131</v>
      </c>
      <c r="E17" s="113" t="s">
        <v>131</v>
      </c>
      <c r="F17" s="113" t="s">
        <v>131</v>
      </c>
      <c r="G17" s="113" t="s">
        <v>131</v>
      </c>
      <c r="H17" s="113" t="s">
        <v>131</v>
      </c>
      <c r="I17" s="113" t="s">
        <v>131</v>
      </c>
      <c r="J17" s="112" t="s">
        <v>131</v>
      </c>
      <c r="K17" s="205"/>
      <c r="L17" s="205"/>
      <c r="M17" s="205"/>
      <c r="N17" s="202"/>
      <c r="Q17" s="96"/>
      <c r="S17" s="96"/>
      <c r="T17" s="96"/>
    </row>
    <row r="18" spans="1:20" x14ac:dyDescent="0.25">
      <c r="A18" s="83" t="s">
        <v>145</v>
      </c>
      <c r="B18" s="83">
        <v>1</v>
      </c>
      <c r="C18" s="83">
        <v>2</v>
      </c>
      <c r="D18" s="84">
        <v>6</v>
      </c>
      <c r="E18" s="84">
        <v>6.32</v>
      </c>
      <c r="F18" s="84">
        <v>8.5</v>
      </c>
      <c r="G18" s="84" t="s">
        <v>146</v>
      </c>
      <c r="H18" s="84">
        <v>31.57</v>
      </c>
      <c r="I18" s="84">
        <v>15</v>
      </c>
      <c r="J18" s="86">
        <f>AVERAGE(D18,E18:F18,G18:I18)</f>
        <v>13.48</v>
      </c>
      <c r="K18" s="112">
        <f>C18</f>
        <v>2</v>
      </c>
      <c r="L18" s="85">
        <f>J18*K18</f>
        <v>26.96</v>
      </c>
      <c r="M18" s="92">
        <v>6</v>
      </c>
      <c r="N18" s="97">
        <f t="shared" ref="N18:N22" si="3">(J18/M18)*K18</f>
        <v>4.49</v>
      </c>
      <c r="O18" s="96"/>
      <c r="P18" s="96"/>
      <c r="Q18" s="96"/>
    </row>
    <row r="19" spans="1:20" x14ac:dyDescent="0.25">
      <c r="A19" s="83" t="s">
        <v>182</v>
      </c>
      <c r="B19" s="83">
        <v>1</v>
      </c>
      <c r="C19" s="83">
        <v>1</v>
      </c>
      <c r="D19" s="84">
        <v>250</v>
      </c>
      <c r="E19" s="84">
        <v>19</v>
      </c>
      <c r="F19" s="84">
        <v>10.08</v>
      </c>
      <c r="G19" s="84" t="s">
        <v>146</v>
      </c>
      <c r="H19" s="84">
        <v>50.46</v>
      </c>
      <c r="I19" s="84">
        <v>8</v>
      </c>
      <c r="J19" s="86">
        <f t="shared" ref="J19:J22" si="4">AVERAGE(D19,E19:F19,G19:I19)</f>
        <v>67.510000000000005</v>
      </c>
      <c r="K19" s="112">
        <f>C19</f>
        <v>1</v>
      </c>
      <c r="L19" s="85">
        <f t="shared" ref="L19:L22" si="5">J19*K19</f>
        <v>67.510000000000005</v>
      </c>
      <c r="M19" s="92">
        <v>36</v>
      </c>
      <c r="N19" s="97">
        <f t="shared" si="3"/>
        <v>1.88</v>
      </c>
    </row>
    <row r="20" spans="1:20" x14ac:dyDescent="0.25">
      <c r="A20" s="83" t="s">
        <v>159</v>
      </c>
      <c r="B20" s="83">
        <v>1</v>
      </c>
      <c r="C20" s="83">
        <v>1</v>
      </c>
      <c r="D20" s="84">
        <v>45</v>
      </c>
      <c r="E20" s="84" t="s">
        <v>146</v>
      </c>
      <c r="F20" s="84" t="s">
        <v>146</v>
      </c>
      <c r="G20" s="84">
        <v>79</v>
      </c>
      <c r="H20" s="84" t="s">
        <v>146</v>
      </c>
      <c r="I20" s="84">
        <v>10.92</v>
      </c>
      <c r="J20" s="86">
        <f t="shared" si="4"/>
        <v>44.97</v>
      </c>
      <c r="K20" s="112">
        <f>C20</f>
        <v>1</v>
      </c>
      <c r="L20" s="85">
        <f t="shared" si="5"/>
        <v>44.97</v>
      </c>
      <c r="M20" s="92">
        <v>30</v>
      </c>
      <c r="N20" s="97">
        <f t="shared" si="3"/>
        <v>1.5</v>
      </c>
    </row>
    <row r="21" spans="1:20" x14ac:dyDescent="0.25">
      <c r="A21" s="83" t="s">
        <v>158</v>
      </c>
      <c r="B21" s="83">
        <v>1</v>
      </c>
      <c r="C21" s="83">
        <v>1</v>
      </c>
      <c r="D21" s="84">
        <v>1500</v>
      </c>
      <c r="E21" s="84">
        <v>510</v>
      </c>
      <c r="F21" s="84" t="s">
        <v>146</v>
      </c>
      <c r="G21" s="84">
        <v>1449</v>
      </c>
      <c r="H21" s="84" t="s">
        <v>146</v>
      </c>
      <c r="I21" s="84">
        <v>1500</v>
      </c>
      <c r="J21" s="86">
        <f>AVERAGE(D21,E21:F21,G21:I21)</f>
        <v>1239.75</v>
      </c>
      <c r="K21" s="112">
        <v>1</v>
      </c>
      <c r="L21" s="85">
        <f t="shared" ref="L21" si="6">J21*K21</f>
        <v>1239.75</v>
      </c>
      <c r="M21" s="92">
        <v>36</v>
      </c>
      <c r="N21" s="97">
        <f t="shared" ref="N21" si="7">(J21/M21)*K21</f>
        <v>34.44</v>
      </c>
    </row>
    <row r="22" spans="1:20" x14ac:dyDescent="0.25">
      <c r="A22" s="83" t="s">
        <v>157</v>
      </c>
      <c r="B22" s="83">
        <v>1</v>
      </c>
      <c r="C22" s="83">
        <v>1</v>
      </c>
      <c r="D22" s="84">
        <v>45</v>
      </c>
      <c r="E22" s="84" t="s">
        <v>146</v>
      </c>
      <c r="F22" s="84" t="s">
        <v>146</v>
      </c>
      <c r="G22" s="84">
        <v>138.1</v>
      </c>
      <c r="H22" s="84" t="s">
        <v>146</v>
      </c>
      <c r="I22" s="84" t="s">
        <v>146</v>
      </c>
      <c r="J22" s="86">
        <f t="shared" si="4"/>
        <v>91.55</v>
      </c>
      <c r="K22" s="112">
        <f>C22</f>
        <v>1</v>
      </c>
      <c r="L22" s="85">
        <f t="shared" si="5"/>
        <v>91.55</v>
      </c>
      <c r="M22" s="92">
        <v>30</v>
      </c>
      <c r="N22" s="97">
        <f t="shared" si="3"/>
        <v>3.05</v>
      </c>
    </row>
    <row r="23" spans="1:20" s="99" customFormat="1" ht="15.75" customHeight="1" x14ac:dyDescent="0.25">
      <c r="A23" s="115"/>
      <c r="B23" s="115"/>
      <c r="C23" s="115"/>
      <c r="D23" s="115"/>
      <c r="E23" s="115"/>
      <c r="F23" s="98"/>
      <c r="G23" s="98"/>
      <c r="H23" s="98"/>
      <c r="I23" s="98"/>
      <c r="J23" s="108" t="s">
        <v>150</v>
      </c>
      <c r="K23" s="109"/>
      <c r="L23" s="109"/>
      <c r="M23" s="110"/>
      <c r="N23" s="100">
        <f>SUM(N18:N22)</f>
        <v>45.36</v>
      </c>
    </row>
    <row r="24" spans="1:20" ht="15" customHeight="1" x14ac:dyDescent="0.25">
      <c r="A24" s="203" t="s">
        <v>160</v>
      </c>
      <c r="B24" s="203"/>
      <c r="C24" s="203"/>
      <c r="D24" s="203"/>
      <c r="E24" s="203"/>
      <c r="F24" s="203"/>
      <c r="G24" s="116"/>
      <c r="J24" s="111" t="s">
        <v>151</v>
      </c>
      <c r="K24" s="111"/>
      <c r="L24" s="111"/>
      <c r="M24" s="111"/>
      <c r="N24" s="101">
        <f>N23/2</f>
        <v>22.68</v>
      </c>
    </row>
    <row r="28" spans="1:20" ht="18.75" customHeight="1" x14ac:dyDescent="0.3">
      <c r="A28" s="200" t="s">
        <v>172</v>
      </c>
      <c r="B28" s="200"/>
      <c r="C28" s="200"/>
      <c r="D28" s="200"/>
      <c r="E28" s="200"/>
      <c r="F28" s="200"/>
      <c r="G28" s="200"/>
      <c r="H28" s="200"/>
      <c r="I28" s="200"/>
      <c r="J28" s="200"/>
      <c r="K28" s="200"/>
      <c r="L28" s="200"/>
      <c r="M28" s="200"/>
      <c r="N28" s="200"/>
    </row>
    <row r="29" spans="1:20" ht="90" x14ac:dyDescent="0.25">
      <c r="A29" s="199" t="s">
        <v>130</v>
      </c>
      <c r="B29" s="119" t="s">
        <v>140</v>
      </c>
      <c r="C29" s="119" t="s">
        <v>141</v>
      </c>
      <c r="D29" s="119" t="s">
        <v>163</v>
      </c>
      <c r="E29" s="119" t="s">
        <v>166</v>
      </c>
      <c r="F29" s="119" t="s">
        <v>167</v>
      </c>
      <c r="G29" s="119" t="s">
        <v>168</v>
      </c>
      <c r="H29" s="119" t="s">
        <v>169</v>
      </c>
      <c r="I29" s="119" t="s">
        <v>181</v>
      </c>
      <c r="J29" s="120" t="s">
        <v>147</v>
      </c>
      <c r="K29" s="204" t="s">
        <v>132</v>
      </c>
      <c r="L29" s="204" t="s">
        <v>136</v>
      </c>
      <c r="M29" s="204" t="s">
        <v>148</v>
      </c>
      <c r="N29" s="202" t="s">
        <v>149</v>
      </c>
    </row>
    <row r="30" spans="1:20" ht="30" x14ac:dyDescent="0.25">
      <c r="A30" s="199"/>
      <c r="B30" s="119"/>
      <c r="C30" s="119"/>
      <c r="D30" s="119" t="s">
        <v>131</v>
      </c>
      <c r="E30" s="119" t="s">
        <v>131</v>
      </c>
      <c r="F30" s="119" t="s">
        <v>131</v>
      </c>
      <c r="G30" s="119" t="s">
        <v>131</v>
      </c>
      <c r="H30" s="119" t="s">
        <v>131</v>
      </c>
      <c r="I30" s="119" t="s">
        <v>131</v>
      </c>
      <c r="J30" s="120" t="s">
        <v>131</v>
      </c>
      <c r="K30" s="205"/>
      <c r="L30" s="205"/>
      <c r="M30" s="205"/>
      <c r="N30" s="202"/>
    </row>
    <row r="31" spans="1:20" x14ac:dyDescent="0.25">
      <c r="A31" s="83" t="s">
        <v>145</v>
      </c>
      <c r="B31" s="83">
        <v>1</v>
      </c>
      <c r="C31" s="83">
        <v>2</v>
      </c>
      <c r="D31" s="84">
        <v>6</v>
      </c>
      <c r="E31" s="84">
        <v>6.32</v>
      </c>
      <c r="F31" s="84">
        <v>8.5</v>
      </c>
      <c r="G31" s="84" t="s">
        <v>146</v>
      </c>
      <c r="H31" s="84">
        <v>31.57</v>
      </c>
      <c r="I31" s="84">
        <v>15</v>
      </c>
      <c r="J31" s="86">
        <f>AVERAGE(D31,E31:F31,G31:I31)</f>
        <v>13.48</v>
      </c>
      <c r="K31" s="120">
        <f>C31</f>
        <v>2</v>
      </c>
      <c r="L31" s="85">
        <f>J31*K31</f>
        <v>26.96</v>
      </c>
      <c r="M31" s="92">
        <v>6</v>
      </c>
      <c r="N31" s="97">
        <f t="shared" ref="N31:N33" si="8">(J31/M31)*K31</f>
        <v>4.49</v>
      </c>
    </row>
    <row r="32" spans="1:20" ht="60" customHeight="1" x14ac:dyDescent="0.25">
      <c r="A32" s="83" t="s">
        <v>179</v>
      </c>
      <c r="B32" s="83">
        <v>1</v>
      </c>
      <c r="C32" s="83">
        <v>1</v>
      </c>
      <c r="D32" s="84">
        <v>250</v>
      </c>
      <c r="E32" s="84">
        <v>19</v>
      </c>
      <c r="F32" s="84">
        <v>10.08</v>
      </c>
      <c r="G32" s="84">
        <v>138.1</v>
      </c>
      <c r="H32" s="84">
        <v>50.46</v>
      </c>
      <c r="I32" s="84">
        <v>8</v>
      </c>
      <c r="J32" s="86">
        <f t="shared" ref="J32" si="9">AVERAGE(D32,E32:F32,G32:I32)</f>
        <v>79.27</v>
      </c>
      <c r="K32" s="120">
        <f>C32</f>
        <v>1</v>
      </c>
      <c r="L32" s="85">
        <f t="shared" ref="L32:L33" si="10">J32*K32</f>
        <v>79.27</v>
      </c>
      <c r="M32" s="92">
        <v>36</v>
      </c>
      <c r="N32" s="97">
        <f t="shared" si="8"/>
        <v>2.2000000000000002</v>
      </c>
    </row>
    <row r="33" spans="1:14" x14ac:dyDescent="0.25">
      <c r="A33" s="83" t="s">
        <v>158</v>
      </c>
      <c r="B33" s="83">
        <v>1</v>
      </c>
      <c r="C33" s="83">
        <v>1</v>
      </c>
      <c r="D33" s="84">
        <v>1500</v>
      </c>
      <c r="E33" s="84">
        <v>510</v>
      </c>
      <c r="F33" s="84" t="s">
        <v>146</v>
      </c>
      <c r="G33" s="84">
        <v>1449</v>
      </c>
      <c r="H33" s="129" t="s">
        <v>146</v>
      </c>
      <c r="I33" s="84">
        <v>1500</v>
      </c>
      <c r="J33" s="86">
        <f>AVERAGE(D33,E33:F33,G33:I33)</f>
        <v>1239.75</v>
      </c>
      <c r="K33" s="120">
        <v>1</v>
      </c>
      <c r="L33" s="85">
        <f t="shared" si="10"/>
        <v>1239.75</v>
      </c>
      <c r="M33" s="92">
        <v>36</v>
      </c>
      <c r="N33" s="97">
        <f t="shared" si="8"/>
        <v>34.44</v>
      </c>
    </row>
    <row r="34" spans="1:14" x14ac:dyDescent="0.25">
      <c r="A34" s="83" t="s">
        <v>173</v>
      </c>
      <c r="B34" s="83">
        <v>1</v>
      </c>
      <c r="C34" s="83">
        <v>1</v>
      </c>
      <c r="D34" s="129">
        <v>1650</v>
      </c>
      <c r="E34" s="129">
        <v>1300</v>
      </c>
      <c r="F34" s="84">
        <v>150</v>
      </c>
      <c r="G34" s="129">
        <v>1800</v>
      </c>
      <c r="H34" s="129">
        <v>3948</v>
      </c>
      <c r="I34" s="129">
        <v>2800</v>
      </c>
      <c r="J34" s="86">
        <f t="shared" ref="J34:J39" si="11">AVERAGE(D34,E34:F34,G34:I34)</f>
        <v>1941.33</v>
      </c>
      <c r="K34" s="120">
        <v>2</v>
      </c>
      <c r="L34" s="85">
        <f t="shared" ref="L34:L39" si="12">J34*K34</f>
        <v>3882.66</v>
      </c>
      <c r="M34" s="92">
        <v>37</v>
      </c>
      <c r="N34" s="97">
        <f t="shared" ref="N34:N39" si="13">(J34/M34)*K34</f>
        <v>104.94</v>
      </c>
    </row>
    <row r="35" spans="1:14" x14ac:dyDescent="0.25">
      <c r="A35" s="83" t="s">
        <v>174</v>
      </c>
      <c r="B35" s="83">
        <v>6</v>
      </c>
      <c r="C35" s="83">
        <v>12</v>
      </c>
      <c r="D35" s="129" t="s">
        <v>146</v>
      </c>
      <c r="E35" s="129" t="s">
        <v>146</v>
      </c>
      <c r="F35" s="84">
        <v>4.5</v>
      </c>
      <c r="G35" s="129">
        <v>4.29</v>
      </c>
      <c r="H35" s="129">
        <v>90.09</v>
      </c>
      <c r="I35" s="129" t="s">
        <v>146</v>
      </c>
      <c r="J35" s="86">
        <f t="shared" si="11"/>
        <v>32.96</v>
      </c>
      <c r="K35" s="120">
        <v>3</v>
      </c>
      <c r="L35" s="85">
        <f t="shared" si="12"/>
        <v>98.88</v>
      </c>
      <c r="M35" s="92">
        <v>38</v>
      </c>
      <c r="N35" s="97">
        <f t="shared" si="13"/>
        <v>2.6</v>
      </c>
    </row>
    <row r="36" spans="1:14" x14ac:dyDescent="0.25">
      <c r="A36" s="83" t="s">
        <v>175</v>
      </c>
      <c r="B36" s="83">
        <v>1</v>
      </c>
      <c r="C36" s="83">
        <v>1</v>
      </c>
      <c r="D36" s="129">
        <v>350</v>
      </c>
      <c r="E36" s="129">
        <v>340</v>
      </c>
      <c r="F36" s="84">
        <v>150</v>
      </c>
      <c r="G36" s="129">
        <v>504.6</v>
      </c>
      <c r="H36" s="129">
        <v>855.58</v>
      </c>
      <c r="I36" s="129">
        <v>370</v>
      </c>
      <c r="J36" s="86">
        <f t="shared" si="11"/>
        <v>428.36</v>
      </c>
      <c r="K36" s="120">
        <v>4</v>
      </c>
      <c r="L36" s="85">
        <f t="shared" si="12"/>
        <v>1713.44</v>
      </c>
      <c r="M36" s="92">
        <v>39</v>
      </c>
      <c r="N36" s="97">
        <f t="shared" si="13"/>
        <v>43.93</v>
      </c>
    </row>
    <row r="37" spans="1:14" x14ac:dyDescent="0.25">
      <c r="A37" s="83" t="s">
        <v>176</v>
      </c>
      <c r="B37" s="83">
        <v>1</v>
      </c>
      <c r="C37" s="83">
        <v>1</v>
      </c>
      <c r="D37" s="129" t="s">
        <v>146</v>
      </c>
      <c r="E37" s="129">
        <v>81</v>
      </c>
      <c r="F37" s="84" t="s">
        <v>146</v>
      </c>
      <c r="G37" s="129" t="s">
        <v>146</v>
      </c>
      <c r="H37" s="129" t="s">
        <v>146</v>
      </c>
      <c r="I37" s="129">
        <v>2000</v>
      </c>
      <c r="J37" s="86">
        <f t="shared" si="11"/>
        <v>1040.5</v>
      </c>
      <c r="K37" s="120">
        <v>5</v>
      </c>
      <c r="L37" s="85">
        <f t="shared" si="12"/>
        <v>5202.5</v>
      </c>
      <c r="M37" s="92">
        <v>40</v>
      </c>
      <c r="N37" s="97">
        <f t="shared" si="13"/>
        <v>130.06</v>
      </c>
    </row>
    <row r="38" spans="1:14" ht="60" x14ac:dyDescent="0.25">
      <c r="A38" s="83" t="s">
        <v>177</v>
      </c>
      <c r="B38" s="83">
        <v>1</v>
      </c>
      <c r="C38" s="83">
        <v>1</v>
      </c>
      <c r="D38" s="129">
        <v>25</v>
      </c>
      <c r="E38" s="129">
        <v>4</v>
      </c>
      <c r="F38" s="84">
        <v>26</v>
      </c>
      <c r="G38" s="129">
        <v>64.81</v>
      </c>
      <c r="H38" s="129" t="s">
        <v>146</v>
      </c>
      <c r="I38" s="129">
        <v>16.899999999999999</v>
      </c>
      <c r="J38" s="86">
        <f t="shared" si="11"/>
        <v>27.34</v>
      </c>
      <c r="K38" s="120">
        <v>6</v>
      </c>
      <c r="L38" s="85">
        <f t="shared" si="12"/>
        <v>164.04</v>
      </c>
      <c r="M38" s="92">
        <v>41</v>
      </c>
      <c r="N38" s="97">
        <f t="shared" si="13"/>
        <v>4</v>
      </c>
    </row>
    <row r="39" spans="1:14" ht="30" x14ac:dyDescent="0.25">
      <c r="A39" s="83" t="s">
        <v>178</v>
      </c>
      <c r="B39" s="83">
        <v>1</v>
      </c>
      <c r="C39" s="83">
        <v>2</v>
      </c>
      <c r="D39" s="129">
        <v>6</v>
      </c>
      <c r="E39" s="129" t="s">
        <v>146</v>
      </c>
      <c r="F39" s="129">
        <v>3</v>
      </c>
      <c r="G39" s="129">
        <v>5.7</v>
      </c>
      <c r="H39" s="129" t="s">
        <v>146</v>
      </c>
      <c r="I39" s="129" t="s">
        <v>146</v>
      </c>
      <c r="J39" s="86">
        <f t="shared" si="11"/>
        <v>4.9000000000000004</v>
      </c>
      <c r="K39" s="120">
        <v>7</v>
      </c>
      <c r="L39" s="85">
        <f t="shared" si="12"/>
        <v>34.299999999999997</v>
      </c>
      <c r="M39" s="92">
        <v>42</v>
      </c>
      <c r="N39" s="97">
        <f t="shared" si="13"/>
        <v>0.82</v>
      </c>
    </row>
    <row r="40" spans="1:14" ht="44.25" customHeight="1" x14ac:dyDescent="0.25">
      <c r="A40" s="115"/>
      <c r="B40" s="115"/>
      <c r="C40" s="115"/>
      <c r="D40" s="115"/>
      <c r="E40" s="115"/>
      <c r="F40" s="98"/>
      <c r="G40" s="130"/>
      <c r="H40" s="98"/>
      <c r="I40" s="98"/>
      <c r="J40" s="108" t="s">
        <v>150</v>
      </c>
      <c r="K40" s="109"/>
      <c r="L40" s="109"/>
      <c r="M40" s="110"/>
      <c r="N40" s="100">
        <f>SUM(N31:N39)</f>
        <v>327.48</v>
      </c>
    </row>
    <row r="41" spans="1:14" ht="45" customHeight="1" x14ac:dyDescent="0.25">
      <c r="A41" s="203" t="s">
        <v>160</v>
      </c>
      <c r="B41" s="203"/>
      <c r="C41" s="203"/>
      <c r="D41" s="203"/>
      <c r="E41" s="203"/>
      <c r="F41" s="203"/>
      <c r="G41" s="116"/>
      <c r="J41" s="111" t="s">
        <v>151</v>
      </c>
      <c r="K41" s="111"/>
      <c r="L41" s="111"/>
      <c r="M41" s="111"/>
      <c r="N41" s="101">
        <f>N40/2</f>
        <v>163.74</v>
      </c>
    </row>
  </sheetData>
  <mergeCells count="24">
    <mergeCell ref="A41:F41"/>
    <mergeCell ref="A28:N28"/>
    <mergeCell ref="A29:A30"/>
    <mergeCell ref="K29:K30"/>
    <mergeCell ref="L29:L30"/>
    <mergeCell ref="M29:M30"/>
    <mergeCell ref="N29:N30"/>
    <mergeCell ref="N16:N17"/>
    <mergeCell ref="A24:F24"/>
    <mergeCell ref="A15:N15"/>
    <mergeCell ref="A16:A17"/>
    <mergeCell ref="K16:K17"/>
    <mergeCell ref="L16:L17"/>
    <mergeCell ref="M16:M17"/>
    <mergeCell ref="H10:L10"/>
    <mergeCell ref="H11:L11"/>
    <mergeCell ref="N2:N3"/>
    <mergeCell ref="A2:A3"/>
    <mergeCell ref="A1:M1"/>
    <mergeCell ref="L2:L3"/>
    <mergeCell ref="K2:K3"/>
    <mergeCell ref="M2:M3"/>
    <mergeCell ref="B2:B3"/>
    <mergeCell ref="C2:C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4</vt:i4>
      </vt:variant>
    </vt:vector>
  </HeadingPairs>
  <TitlesOfParts>
    <vt:vector size="10" baseType="lpstr">
      <vt:lpstr>RESUMO</vt:lpstr>
      <vt:lpstr> Vigilante Diurno Desarmado</vt:lpstr>
      <vt:lpstr> Vigilante Noturno Desarmado</vt:lpstr>
      <vt:lpstr> Vigilante Diurno Armado</vt:lpstr>
      <vt:lpstr> Vigilante Noturno Armado</vt:lpstr>
      <vt:lpstr>Uniformes e Equipamentos</vt:lpstr>
      <vt:lpstr>' Vigilante Diurno Armado'!Area_de_impressao</vt:lpstr>
      <vt:lpstr>' Vigilante Diurno Desarmado'!Area_de_impressao</vt:lpstr>
      <vt:lpstr>' Vigilante Noturno Armado'!Area_de_impressao</vt:lpstr>
      <vt:lpstr>' Vigilante Noturno Desarmado'!Area_de_impressao</vt:lpstr>
    </vt:vector>
  </TitlesOfParts>
  <Company>Controladoria-Geral da União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Ferreira de Macedo</dc:creator>
  <cp:lastModifiedBy>Sara Maria Araújo Sales</cp:lastModifiedBy>
  <cp:lastPrinted>2019-10-23T19:54:27Z</cp:lastPrinted>
  <dcterms:created xsi:type="dcterms:W3CDTF">2013-07-25T13:44:18Z</dcterms:created>
  <dcterms:modified xsi:type="dcterms:W3CDTF">2021-02-11T15:58:34Z</dcterms:modified>
</cp:coreProperties>
</file>