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.santos\Downloads\"/>
    </mc:Choice>
  </mc:AlternateContent>
  <xr:revisionPtr revIDLastSave="0" documentId="13_ncr:1_{08C6E662-C8DC-4294-AEF7-537451C5EC92}" xr6:coauthVersionLast="36" xr6:coauthVersionMax="46" xr10:uidLastSave="{00000000-0000-0000-0000-000000000000}"/>
  <bookViews>
    <workbookView xWindow="-120" yWindow="-120" windowWidth="20730" windowHeight="11160" tabRatio="969" xr2:uid="{00000000-000D-0000-FFFF-FFFF00000000}"/>
  </bookViews>
  <sheets>
    <sheet name="RESUMO" sheetId="39" r:id="rId1"/>
    <sheet name="Auxiliar de Limpeza" sheetId="52" r:id="rId2"/>
    <sheet name="Limpador de Vidros" sheetId="53" r:id="rId3"/>
    <sheet name="Jardineiro" sheetId="54" r:id="rId4"/>
    <sheet name="Encarregado" sheetId="55" r:id="rId5"/>
    <sheet name="Uniforme" sheetId="34" r:id="rId6"/>
    <sheet name="Equipamentos de Limpeza" sheetId="43" r:id="rId7"/>
    <sheet name="Materiais-Limpeza" sheetId="45" r:id="rId8"/>
  </sheets>
  <externalReferences>
    <externalReference r:id="rId9"/>
  </externalReferences>
  <definedNames>
    <definedName name="_xlnm.Print_Area" localSheetId="1">'Auxiliar de Limpeza'!$A$1:$I$101</definedName>
    <definedName name="_xlnm.Print_Area" localSheetId="4">Encarregado!$A$1:$G$101</definedName>
    <definedName name="_xlnm.Print_Area" localSheetId="3">Jardineiro!$A$1:$G$98</definedName>
    <definedName name="_xlnm.Print_Area" localSheetId="2">'Limpador de Vidros'!$A$1:$G$101</definedName>
    <definedName name="Modulo1">[1]SE!$E$8</definedName>
    <definedName name="Modulo2">[1]SE!$F$86</definedName>
    <definedName name="Modulo3">[1]SE!$F$141</definedName>
    <definedName name="Modulo4">[1]SE!$F$183</definedName>
    <definedName name="Modulo5">[1]SE!$E$195</definedName>
    <definedName name="Modulo6">[1]SE!$E$201</definedName>
  </definedNames>
  <calcPr calcId="191029" fullPrecision="0"/>
</workbook>
</file>

<file path=xl/calcChain.xml><?xml version="1.0" encoding="utf-8"?>
<calcChain xmlns="http://schemas.openxmlformats.org/spreadsheetml/2006/main">
  <c r="E7" i="45" l="1"/>
  <c r="E8" i="45"/>
  <c r="E9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31" i="45"/>
  <c r="E32" i="45"/>
  <c r="E33" i="45"/>
  <c r="E34" i="45"/>
  <c r="E35" i="45"/>
  <c r="E36" i="45"/>
  <c r="E37" i="45" l="1"/>
  <c r="E38" i="45" s="1"/>
  <c r="F89" i="55"/>
  <c r="F80" i="55"/>
  <c r="G55" i="55"/>
  <c r="F54" i="55"/>
  <c r="G54" i="55" s="1"/>
  <c r="G53" i="55"/>
  <c r="F53" i="55"/>
  <c r="G52" i="55"/>
  <c r="F52" i="55"/>
  <c r="F51" i="55"/>
  <c r="F56" i="55" s="1"/>
  <c r="G50" i="55"/>
  <c r="F50" i="55"/>
  <c r="F45" i="55"/>
  <c r="G45" i="55" s="1"/>
  <c r="F43" i="55"/>
  <c r="F44" i="55" s="1"/>
  <c r="G44" i="55" s="1"/>
  <c r="F42" i="55"/>
  <c r="G42" i="55" s="1"/>
  <c r="F40" i="55"/>
  <c r="F41" i="55" s="1"/>
  <c r="G41" i="55" s="1"/>
  <c r="G34" i="55"/>
  <c r="G32" i="55"/>
  <c r="G31" i="55"/>
  <c r="F30" i="55"/>
  <c r="G30" i="55" s="1"/>
  <c r="G29" i="55"/>
  <c r="G25" i="55"/>
  <c r="G24" i="55"/>
  <c r="G23" i="55"/>
  <c r="G22" i="55"/>
  <c r="G21" i="55"/>
  <c r="G20" i="55"/>
  <c r="G19" i="55"/>
  <c r="G18" i="55"/>
  <c r="F86" i="54"/>
  <c r="F77" i="54"/>
  <c r="F52" i="54"/>
  <c r="F51" i="54"/>
  <c r="F50" i="54"/>
  <c r="F49" i="54"/>
  <c r="F48" i="54"/>
  <c r="F43" i="54"/>
  <c r="F41" i="54"/>
  <c r="F40" i="54"/>
  <c r="F38" i="54"/>
  <c r="F39" i="54" s="1"/>
  <c r="F12" i="54"/>
  <c r="F10" i="54"/>
  <c r="F89" i="53"/>
  <c r="F80" i="53"/>
  <c r="F54" i="53"/>
  <c r="F53" i="53"/>
  <c r="F52" i="53"/>
  <c r="F51" i="53"/>
  <c r="F50" i="53"/>
  <c r="F45" i="53"/>
  <c r="F43" i="53"/>
  <c r="F42" i="53"/>
  <c r="F40" i="53"/>
  <c r="F41" i="53" s="1"/>
  <c r="G32" i="53"/>
  <c r="G31" i="53"/>
  <c r="F30" i="53"/>
  <c r="G30" i="53" s="1"/>
  <c r="F12" i="53"/>
  <c r="F10" i="53"/>
  <c r="F54" i="54" l="1"/>
  <c r="F13" i="54"/>
  <c r="G51" i="55"/>
  <c r="G56" i="55" s="1"/>
  <c r="G40" i="55"/>
  <c r="G43" i="55"/>
  <c r="F13" i="53"/>
  <c r="F56" i="53"/>
  <c r="F50" i="52"/>
  <c r="F40" i="52" l="1"/>
  <c r="F42" i="52"/>
  <c r="F12" i="52"/>
  <c r="F30" i="52"/>
  <c r="G30" i="52" s="1"/>
  <c r="F10" i="52" l="1"/>
  <c r="F53" i="52" l="1"/>
  <c r="G71" i="55" l="1"/>
  <c r="G69" i="54"/>
  <c r="G71" i="53"/>
  <c r="G71" i="52"/>
  <c r="F8" i="43"/>
  <c r="G8" i="43" s="1"/>
  <c r="F9" i="43"/>
  <c r="G9" i="43" s="1"/>
  <c r="F10" i="43"/>
  <c r="G10" i="43" s="1"/>
  <c r="F12" i="43"/>
  <c r="G12" i="43" s="1"/>
  <c r="F13" i="43"/>
  <c r="G13" i="43" s="1"/>
  <c r="F14" i="43"/>
  <c r="G14" i="43" s="1"/>
  <c r="F15" i="43"/>
  <c r="G15" i="43" s="1"/>
  <c r="F16" i="43"/>
  <c r="G16" i="43" s="1"/>
  <c r="F17" i="43"/>
  <c r="G17" i="43" s="1"/>
  <c r="F18" i="43"/>
  <c r="G18" i="43" s="1"/>
  <c r="F19" i="43"/>
  <c r="G19" i="43" s="1"/>
  <c r="F20" i="43"/>
  <c r="G20" i="43" s="1"/>
  <c r="E7" i="43"/>
  <c r="E6" i="43"/>
  <c r="F6" i="43" s="1"/>
  <c r="G6" i="43" s="1"/>
  <c r="F11" i="43"/>
  <c r="G11" i="43" s="1"/>
  <c r="E8" i="34"/>
  <c r="F8" i="34" s="1"/>
  <c r="F7" i="43" l="1"/>
  <c r="G4" i="55"/>
  <c r="G6" i="55" s="1"/>
  <c r="F13" i="55"/>
  <c r="F26" i="55"/>
  <c r="L30" i="55"/>
  <c r="M47" i="55"/>
  <c r="F60" i="55"/>
  <c r="G4" i="54"/>
  <c r="G29" i="54" s="1"/>
  <c r="G6" i="54"/>
  <c r="F26" i="54"/>
  <c r="L30" i="54"/>
  <c r="M45" i="54"/>
  <c r="F58" i="54"/>
  <c r="G4" i="53"/>
  <c r="G29" i="53" s="1"/>
  <c r="F26" i="53"/>
  <c r="M47" i="53"/>
  <c r="F60" i="53"/>
  <c r="G4" i="52"/>
  <c r="F13" i="52"/>
  <c r="F26" i="52"/>
  <c r="F44" i="52" s="1"/>
  <c r="G31" i="52"/>
  <c r="G32" i="52"/>
  <c r="F41" i="52"/>
  <c r="F43" i="52"/>
  <c r="F45" i="52"/>
  <c r="F51" i="52"/>
  <c r="F52" i="52"/>
  <c r="F54" i="52"/>
  <c r="F60" i="52"/>
  <c r="F80" i="52"/>
  <c r="F89" i="52"/>
  <c r="F42" i="54" l="1"/>
  <c r="F14" i="54"/>
  <c r="G14" i="54" s="1"/>
  <c r="G11" i="54"/>
  <c r="G12" i="54"/>
  <c r="G43" i="54"/>
  <c r="G10" i="54"/>
  <c r="F46" i="55"/>
  <c r="G20" i="54"/>
  <c r="G91" i="54"/>
  <c r="F14" i="53"/>
  <c r="F44" i="53"/>
  <c r="G6" i="53"/>
  <c r="G6" i="52"/>
  <c r="G45" i="52" s="1"/>
  <c r="G29" i="52"/>
  <c r="G34" i="52" s="1"/>
  <c r="F56" i="52"/>
  <c r="F57" i="52" s="1"/>
  <c r="F21" i="43"/>
  <c r="F22" i="43" s="1"/>
  <c r="G7" i="43"/>
  <c r="G34" i="53"/>
  <c r="G32" i="54"/>
  <c r="F14" i="55"/>
  <c r="G14" i="55" s="1"/>
  <c r="F55" i="54"/>
  <c r="F14" i="52"/>
  <c r="G14" i="52" s="1"/>
  <c r="F59" i="54"/>
  <c r="G10" i="55"/>
  <c r="G94" i="55"/>
  <c r="G11" i="55"/>
  <c r="G12" i="55"/>
  <c r="G59" i="55"/>
  <c r="G60" i="55"/>
  <c r="F15" i="53"/>
  <c r="G58" i="54"/>
  <c r="G25" i="54"/>
  <c r="G19" i="54"/>
  <c r="G24" i="54"/>
  <c r="G18" i="54"/>
  <c r="F57" i="55"/>
  <c r="G23" i="54"/>
  <c r="G57" i="54"/>
  <c r="G22" i="54"/>
  <c r="G21" i="54"/>
  <c r="G25" i="52"/>
  <c r="G94" i="52"/>
  <c r="G23" i="52"/>
  <c r="G10" i="52"/>
  <c r="G21" i="52"/>
  <c r="G11" i="52"/>
  <c r="G12" i="52"/>
  <c r="F46" i="52"/>
  <c r="G21" i="43" l="1"/>
  <c r="G22" i="43" s="1"/>
  <c r="G13" i="54"/>
  <c r="G15" i="54" s="1"/>
  <c r="F15" i="55"/>
  <c r="F15" i="54"/>
  <c r="G45" i="53"/>
  <c r="F46" i="53"/>
  <c r="G19" i="53"/>
  <c r="G11" i="53"/>
  <c r="G12" i="53"/>
  <c r="G10" i="53"/>
  <c r="G23" i="53"/>
  <c r="G21" i="53"/>
  <c r="G14" i="53"/>
  <c r="G59" i="53"/>
  <c r="G60" i="53"/>
  <c r="G22" i="53"/>
  <c r="G20" i="53"/>
  <c r="G94" i="53"/>
  <c r="G18" i="53"/>
  <c r="G25" i="53"/>
  <c r="G24" i="53"/>
  <c r="G22" i="52"/>
  <c r="G20" i="52"/>
  <c r="G60" i="52"/>
  <c r="G61" i="52" s="1"/>
  <c r="G65" i="52" s="1"/>
  <c r="G59" i="52"/>
  <c r="G24" i="52"/>
  <c r="G18" i="52"/>
  <c r="G26" i="52" s="1"/>
  <c r="G19" i="52"/>
  <c r="F15" i="52"/>
  <c r="F61" i="55"/>
  <c r="G13" i="52"/>
  <c r="G15" i="52" s="1"/>
  <c r="G46" i="55"/>
  <c r="G96" i="55" s="1"/>
  <c r="G61" i="53"/>
  <c r="G65" i="53" s="1"/>
  <c r="F61" i="53"/>
  <c r="G26" i="54"/>
  <c r="G26" i="55"/>
  <c r="G13" i="55"/>
  <c r="G15" i="55" s="1"/>
  <c r="G59" i="54"/>
  <c r="G63" i="54" s="1"/>
  <c r="G61" i="55"/>
  <c r="G65" i="55" s="1"/>
  <c r="F44" i="54"/>
  <c r="F61" i="52"/>
  <c r="G72" i="55" l="1"/>
  <c r="G72" i="53"/>
  <c r="G72" i="52"/>
  <c r="G70" i="54"/>
  <c r="G34" i="54"/>
  <c r="F57" i="53"/>
  <c r="G26" i="53"/>
  <c r="G13" i="53"/>
  <c r="G15" i="53" s="1"/>
  <c r="G36" i="53" s="1"/>
  <c r="G36" i="52"/>
  <c r="G57" i="55"/>
  <c r="G64" i="55" s="1"/>
  <c r="G66" i="55" s="1"/>
  <c r="G97" i="55" s="1"/>
  <c r="G36" i="55"/>
  <c r="G95" i="55" s="1"/>
  <c r="G92" i="54" l="1"/>
  <c r="G39" i="54"/>
  <c r="G38" i="54"/>
  <c r="G40" i="54"/>
  <c r="G41" i="54"/>
  <c r="G42" i="54"/>
  <c r="G95" i="53"/>
  <c r="G44" i="53"/>
  <c r="G40" i="53"/>
  <c r="G41" i="53"/>
  <c r="G43" i="53"/>
  <c r="G42" i="53"/>
  <c r="G95" i="52"/>
  <c r="G44" i="52"/>
  <c r="G43" i="52"/>
  <c r="G42" i="52"/>
  <c r="G41" i="52"/>
  <c r="G40" i="52"/>
  <c r="G44" i="54" l="1"/>
  <c r="G46" i="53"/>
  <c r="G46" i="52"/>
  <c r="G93" i="54" l="1"/>
  <c r="G53" i="54"/>
  <c r="G51" i="54"/>
  <c r="G48" i="54"/>
  <c r="G52" i="54"/>
  <c r="G50" i="54"/>
  <c r="G49" i="54"/>
  <c r="G96" i="53"/>
  <c r="G55" i="53"/>
  <c r="G52" i="53"/>
  <c r="G50" i="53"/>
  <c r="G51" i="53"/>
  <c r="G54" i="53"/>
  <c r="G53" i="53"/>
  <c r="G50" i="52"/>
  <c r="G96" i="52"/>
  <c r="G54" i="52"/>
  <c r="G55" i="52"/>
  <c r="G53" i="52"/>
  <c r="G52" i="52"/>
  <c r="G51" i="52"/>
  <c r="G54" i="54" l="1"/>
  <c r="G55" i="54" s="1"/>
  <c r="G62" i="54" s="1"/>
  <c r="G64" i="54" s="1"/>
  <c r="G94" i="54" s="1"/>
  <c r="G56" i="53"/>
  <c r="G57" i="53" s="1"/>
  <c r="G64" i="53" s="1"/>
  <c r="G66" i="53" s="1"/>
  <c r="G97" i="53" s="1"/>
  <c r="G56" i="52"/>
  <c r="G57" i="52" s="1"/>
  <c r="G64" i="52" s="1"/>
  <c r="G66" i="52" s="1"/>
  <c r="G97" i="52" s="1"/>
  <c r="E14" i="34" l="1"/>
  <c r="E15" i="34"/>
  <c r="E16" i="34"/>
  <c r="F16" i="34" s="1"/>
  <c r="E17" i="34"/>
  <c r="F17" i="34" l="1"/>
  <c r="F15" i="34"/>
  <c r="F14" i="34"/>
  <c r="E13" i="34" l="1"/>
  <c r="C6" i="34" l="1"/>
  <c r="E6" i="34" s="1"/>
  <c r="F6" i="34" s="1"/>
  <c r="C7" i="34"/>
  <c r="E7" i="34" s="1"/>
  <c r="F7" i="34" s="1"/>
  <c r="E9" i="34"/>
  <c r="C5" i="34"/>
  <c r="E5" i="34" s="1"/>
  <c r="F5" i="34" s="1"/>
  <c r="F13" i="34" l="1"/>
  <c r="F18" i="34" s="1"/>
  <c r="G70" i="55" s="1"/>
  <c r="G74" i="55" s="1"/>
  <c r="G98" i="55" s="1"/>
  <c r="G99" i="55" s="1"/>
  <c r="F9" i="34"/>
  <c r="F10" i="34" s="1"/>
  <c r="G78" i="55" l="1"/>
  <c r="G79" i="55" s="1"/>
  <c r="G80" i="55" s="1"/>
  <c r="G70" i="53"/>
  <c r="G74" i="53" s="1"/>
  <c r="G98" i="53" s="1"/>
  <c r="G99" i="53" s="1"/>
  <c r="G70" i="52"/>
  <c r="G74" i="52" s="1"/>
  <c r="G98" i="52" s="1"/>
  <c r="G99" i="52" s="1"/>
  <c r="G78" i="52" s="1"/>
  <c r="G68" i="54"/>
  <c r="G71" i="54" s="1"/>
  <c r="G95" i="54" s="1"/>
  <c r="G96" i="54" s="1"/>
  <c r="G84" i="55" l="1"/>
  <c r="G83" i="55"/>
  <c r="G86" i="55"/>
  <c r="G101" i="55"/>
  <c r="F6" i="39" s="1"/>
  <c r="G6" i="39" s="1"/>
  <c r="H6" i="39" s="1"/>
  <c r="G75" i="54"/>
  <c r="G76" i="54" s="1"/>
  <c r="G77" i="54" s="1"/>
  <c r="G98" i="54" s="1"/>
  <c r="F5" i="39" s="1"/>
  <c r="G5" i="39" s="1"/>
  <c r="H5" i="39" s="1"/>
  <c r="G79" i="52"/>
  <c r="G80" i="52" s="1"/>
  <c r="G78" i="53"/>
  <c r="G79" i="53" s="1"/>
  <c r="G80" i="53" s="1"/>
  <c r="G101" i="53" s="1"/>
  <c r="F4" i="39" s="1"/>
  <c r="G89" i="55" l="1"/>
  <c r="G90" i="55" s="1"/>
  <c r="G100" i="55" s="1"/>
  <c r="G101" i="52"/>
  <c r="F3" i="39" s="1"/>
  <c r="G3" i="39" s="1"/>
  <c r="H3" i="39" s="1"/>
  <c r="G83" i="52"/>
  <c r="G86" i="52"/>
  <c r="G84" i="52"/>
  <c r="G4" i="39"/>
  <c r="H4" i="39" s="1"/>
  <c r="G80" i="54"/>
  <c r="G83" i="54"/>
  <c r="G81" i="54"/>
  <c r="G86" i="53"/>
  <c r="G84" i="53"/>
  <c r="G83" i="53"/>
  <c r="I3" i="39" l="1"/>
  <c r="G86" i="54"/>
  <c r="G87" i="54" s="1"/>
  <c r="G97" i="54" s="1"/>
  <c r="G89" i="52"/>
  <c r="G90" i="52" s="1"/>
  <c r="G100" i="52" s="1"/>
  <c r="G89" i="53"/>
  <c r="G90" i="53" s="1"/>
  <c r="G100" i="53" s="1"/>
</calcChain>
</file>

<file path=xl/sharedStrings.xml><?xml version="1.0" encoding="utf-8"?>
<sst xmlns="http://schemas.openxmlformats.org/spreadsheetml/2006/main" count="760" uniqueCount="206">
  <si>
    <t>A</t>
  </si>
  <si>
    <t>B</t>
  </si>
  <si>
    <t>C</t>
  </si>
  <si>
    <t>D</t>
  </si>
  <si>
    <t>E</t>
  </si>
  <si>
    <t>F</t>
  </si>
  <si>
    <t>G</t>
  </si>
  <si>
    <t>H</t>
  </si>
  <si>
    <t>Insumos diversos</t>
  </si>
  <si>
    <t>4.1</t>
  </si>
  <si>
    <t>%</t>
  </si>
  <si>
    <t>INSS</t>
  </si>
  <si>
    <t>INCRA</t>
  </si>
  <si>
    <t>FGTS</t>
  </si>
  <si>
    <t>SEBRAE</t>
  </si>
  <si>
    <t>Total</t>
  </si>
  <si>
    <t>4.2</t>
  </si>
  <si>
    <t>Custos Indiretos, Tributos e Lucro</t>
  </si>
  <si>
    <t>Tributos</t>
  </si>
  <si>
    <t>Lucro</t>
  </si>
  <si>
    <t>PIS</t>
  </si>
  <si>
    <t>COFINS</t>
  </si>
  <si>
    <t>C.1</t>
  </si>
  <si>
    <t>2.1</t>
  </si>
  <si>
    <t>2.2</t>
  </si>
  <si>
    <t>2.3</t>
  </si>
  <si>
    <t>Intrajornada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</si>
  <si>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</si>
  <si>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</si>
  <si>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</si>
  <si>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</si>
  <si>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ISS</t>
  </si>
  <si>
    <t>Férias</t>
  </si>
  <si>
    <t>ITEM</t>
  </si>
  <si>
    <t>POSTO</t>
  </si>
  <si>
    <t>CBO</t>
  </si>
  <si>
    <t>QTD DE POSTOS</t>
  </si>
  <si>
    <t>Item</t>
  </si>
  <si>
    <t>Valor Unitário</t>
  </si>
  <si>
    <t xml:space="preserve">Qtd. Anual </t>
  </si>
  <si>
    <t>VALOR MENSAL DO POSTO</t>
  </si>
  <si>
    <t>VALOR ANUAL DO POSTO</t>
  </si>
  <si>
    <t>Valor Total Anual (R$)</t>
  </si>
  <si>
    <t>-</t>
  </si>
  <si>
    <t>Média</t>
  </si>
  <si>
    <t>Qtd. Semestral</t>
  </si>
  <si>
    <t>Nº</t>
  </si>
  <si>
    <t>nº</t>
  </si>
  <si>
    <t>Grupo 01</t>
  </si>
  <si>
    <t>Cesta Básica</t>
  </si>
  <si>
    <t>Álcool etílico 92,8%, com a descrição do fabricante e certificação de qualidade na embalagem, embalado em frascos de 1 litros.</t>
  </si>
  <si>
    <t>Água sanitária, composição: hipoclorito de sódio, hidróxido de sódio, cloreto, varia de 2 a 2,50%, incolor, lavagem e alvejante de roupas, banheiras, pias. Frasco com 1L.</t>
  </si>
  <si>
    <t>Cera tipo líquida - cor: inclor; composição: a base de água, características adicionais: antiderrapante, impermeabilizante; aplicação: limpeza de pisos. Galão de 05 litros.</t>
  </si>
  <si>
    <t>Desinfetante, composição à base de quatemário de amônio, características adicionais com aroma, pricipio ativo cloreto alquidimetibenzil amônio + tensoativos, teor ativo em 0,4%, galão com 05 litros</t>
  </si>
  <si>
    <t>Detergente, composição tesoativos aniônicos, coadjuvante, preservantes, componente ativo linear alquibenzeno sulfonato de sódio, aplicação remoção de gorduras de louças, talheres e panelas, aroma neutro, características adicionais contém tensoativo biodegradável. Selo registro MS/ANVISA
Bombona de 5 litros</t>
  </si>
  <si>
    <t>Disco Removedor, 410</t>
  </si>
  <si>
    <t>Esponja limpeza dupla face</t>
  </si>
  <si>
    <t>Escova de Nylon de mão</t>
  </si>
  <si>
    <t>FLANELA em tecido</t>
  </si>
  <si>
    <t>Pano de chão em algodão, tamanho de 85 cm x 60 cm</t>
  </si>
  <si>
    <t>Papel Higiênico – Fardo com 16 pacotes</t>
  </si>
  <si>
    <t>Papel toalha, inter folhado, 2000 folhas (8 pacotes com 250 folhas cada) embalagem caixa</t>
  </si>
  <si>
    <t>Aerossol de ar, spray, fragrância contínua e perfume de longa duração.</t>
  </si>
  <si>
    <t>Sabão em barra com 5 unidades</t>
  </si>
  <si>
    <t>Sabonete líquido</t>
  </si>
  <si>
    <t>Saco p lixo, 100 litros, fardo com 100 unid – PRETO</t>
  </si>
  <si>
    <t>Limpador Multiuso 500 ml</t>
  </si>
  <si>
    <t>Limpa carpete Neutro, embalagem galão 5 litros</t>
  </si>
  <si>
    <t>Vassoura, material cerdas pelo sintético</t>
  </si>
  <si>
    <t>Vassoura de piaçava, com cabo rosqueável resistente de madeira plastificado.</t>
  </si>
  <si>
    <t>Escova para sanitário, corpo de plástico, cerdas de poliprolipeno – com copo plástico.</t>
  </si>
  <si>
    <t>Rodo plástico para piso, com perfil duplo de borracha porosa, 30 cm, com cabo rosqueável revestido em plástico.</t>
  </si>
  <si>
    <t>Rodos para vidros</t>
  </si>
  <si>
    <t>Dispenser para Álcool Gel</t>
  </si>
  <si>
    <t>Limpa vidro com 500 ml</t>
  </si>
  <si>
    <t>Protetor Auricular com Certificado de Aprovação</t>
  </si>
  <si>
    <t>Qtd. Mensal</t>
  </si>
  <si>
    <t>Balde com capacidade para 15 litros</t>
  </si>
  <si>
    <t>Desentupidor de pia, tamanho grande.</t>
  </si>
  <si>
    <t>Desentupidor de sanitário, tamanho grande.</t>
  </si>
  <si>
    <t>Extensor (para limpeza de janelas)</t>
  </si>
  <si>
    <t>Mangueira (100 metros)</t>
  </si>
  <si>
    <t>Escovão Nylon, 410</t>
  </si>
  <si>
    <t>Indicadores para piso molhado</t>
  </si>
  <si>
    <t>Pá de Lixo em plástico cabo longo</t>
  </si>
  <si>
    <t>Saco p lixo, 20 litros, fardo com 100 unid – PRETO</t>
  </si>
  <si>
    <t>Uniforme - Limpeza</t>
  </si>
  <si>
    <t>Auxiliar de Limpeza, Limpador de Vidros e Jardineiro</t>
  </si>
  <si>
    <t>Encarregado</t>
  </si>
  <si>
    <t>Camisa</t>
  </si>
  <si>
    <t>Par de Sapatos com Elástico</t>
  </si>
  <si>
    <t>Par de Meias</t>
  </si>
  <si>
    <t>Calça Social</t>
  </si>
  <si>
    <t>Camiseta Social de Manga Comprida</t>
  </si>
  <si>
    <t>Cinto</t>
  </si>
  <si>
    <t>Par de Sapatos Social</t>
  </si>
  <si>
    <t xml:space="preserve">Equipamentos - Materias </t>
  </si>
  <si>
    <t>Equipamentos - Materiais</t>
  </si>
  <si>
    <t>Enceradeira industrial, 410 *</t>
  </si>
  <si>
    <t xml:space="preserve">Álcool Gel, litro. </t>
  </si>
  <si>
    <t>Valor Total Mensal (R$)</t>
  </si>
  <si>
    <t xml:space="preserve">Obs. Os itens marcados (*) serão entregues uma única vez no início do contrato. </t>
  </si>
  <si>
    <t>Escada com 7 degraus *</t>
  </si>
  <si>
    <t>Aspirador de pó e água industrial, com reservatório, potência mínima de 1220 KW *</t>
  </si>
  <si>
    <t>Extensão Telescópica até 9 metros *</t>
  </si>
  <si>
    <t>Extensão Elétrica completa com 40 metros *</t>
  </si>
  <si>
    <t>Valor Total Semestral (R$)</t>
  </si>
  <si>
    <t>VALOR TOTAL POR EMPREGADO</t>
  </si>
  <si>
    <t>Módulo 6 – Custos indiretos, tributos e lucro</t>
  </si>
  <si>
    <t>Subtotal</t>
  </si>
  <si>
    <t>Módulo 5 - Insumo diversos</t>
  </si>
  <si>
    <t>Módulo 4 – Custo de reposição do profissional ausente</t>
  </si>
  <si>
    <t>Módulo 3 – Provisão para Rescisão</t>
  </si>
  <si>
    <t>Módulo 2 – Encargos e Benefícios Anuais, Mensais e Diários Benefícios Mensais e Diários</t>
  </si>
  <si>
    <t>Módulo 1 – Composição da Remuneração</t>
  </si>
  <si>
    <t>Mão-de-obra vinculada à execução contratual</t>
  </si>
  <si>
    <t>Quadro Resumo do Custo por Empregado</t>
  </si>
  <si>
    <t>TOTAL Módulo 6 - Custos indiretos, Lucro e Tributos</t>
  </si>
  <si>
    <t>Subtotal (C)</t>
  </si>
  <si>
    <t>Outros tributos</t>
  </si>
  <si>
    <t>C.4</t>
  </si>
  <si>
    <t xml:space="preserve">Tributos Municipais </t>
  </si>
  <si>
    <t>C.3</t>
  </si>
  <si>
    <t>Tributos Estaduais</t>
  </si>
  <si>
    <t>C.2</t>
  </si>
  <si>
    <t>Tributos Federais</t>
  </si>
  <si>
    <t>Subtotal (A+B)</t>
  </si>
  <si>
    <t>Custos Indiretos (Taxa de Administração Desp. Operacionais)</t>
  </si>
  <si>
    <t>Módulo 6 -  Custos indiretos, Lucro e Tributos</t>
  </si>
  <si>
    <t>TOTAL Módulo 5 -  Insumos Diversos</t>
  </si>
  <si>
    <t>Equipamentos</t>
  </si>
  <si>
    <t>Materiais</t>
  </si>
  <si>
    <t>Uniformes</t>
  </si>
  <si>
    <t>TOTAL Módulo 4 - Encargos Sociais e Trabalhistas</t>
  </si>
  <si>
    <t>Ausências legais</t>
  </si>
  <si>
    <t>% da remuneração</t>
  </si>
  <si>
    <t>Quadro Resumo - Módulo 4 -  Custo da reposição do profissional ausente</t>
  </si>
  <si>
    <t>TOTAL DO SUBMÓDULO 4.2</t>
  </si>
  <si>
    <t xml:space="preserve">Intervalo para repouso ou alimentação </t>
  </si>
  <si>
    <t>TOTAL DO SUBMÓDULO 4.1</t>
  </si>
  <si>
    <t>Outros especificar</t>
  </si>
  <si>
    <t>Auxílio doença</t>
  </si>
  <si>
    <t>Ausências por acidente de trabalho</t>
  </si>
  <si>
    <t xml:space="preserve">Licença paternidade </t>
  </si>
  <si>
    <t>Férias (custo do ferista - cobertura do residente)</t>
  </si>
  <si>
    <t>% sobre remuneração</t>
  </si>
  <si>
    <t>TOTAL Módulo 3 - Insumos Diversos</t>
  </si>
  <si>
    <t>Multa sobre FGTS e contribuições sociais sobre o aviso prévio trabalhado</t>
  </si>
  <si>
    <t>Incidência dos encargos do submódulo 2.2 sobre aviso prévio trabalhado</t>
  </si>
  <si>
    <t>Aviso prévio trabalhado</t>
  </si>
  <si>
    <t>exlusão dos 10% das contribuições sociais do empregador.</t>
  </si>
  <si>
    <t>Multa sobre FGTS e contribuições sociais sobre o aviso prévio indenizado</t>
  </si>
  <si>
    <t xml:space="preserve">Incidência do FGTS sobre aviso prévio indenizado </t>
  </si>
  <si>
    <t xml:space="preserve">Aviso prévio indenizado </t>
  </si>
  <si>
    <t>Provisão para rescisão</t>
  </si>
  <si>
    <t>TOTAL Módulo 2 - Encargos e Benefícios Anuais, Mensais e Diários</t>
  </si>
  <si>
    <t>TOTAL DO SUBMÓDULO 2.3</t>
  </si>
  <si>
    <t>Benefício Social Familiar</t>
  </si>
  <si>
    <t>Assistência Saúde</t>
  </si>
  <si>
    <t>Vale transporte</t>
  </si>
  <si>
    <t>Quant.</t>
  </si>
  <si>
    <t>Unid/dias</t>
  </si>
  <si>
    <t>% desconto</t>
  </si>
  <si>
    <t>BENEFÍCIOS MENSAIS E DIÁRIOS</t>
  </si>
  <si>
    <t>TOTAL DO SUBMÓDULO 2.2</t>
  </si>
  <si>
    <t>SENAI - SENAC</t>
  </si>
  <si>
    <t>SESC ou SESI</t>
  </si>
  <si>
    <t>SAT</t>
  </si>
  <si>
    <t xml:space="preserve">SALÁRIO EDUCAÇÃO </t>
  </si>
  <si>
    <t xml:space="preserve">ENCARGOS PREVIDENCIÁRIOS, FGTS E OUTRAS CONTRIBUIÇÕES </t>
  </si>
  <si>
    <t>TOTAL DO SUBMÓDULO 2.1</t>
  </si>
  <si>
    <t>Incidência do submódulo 2.2 sobre o submódulo 2.1</t>
  </si>
  <si>
    <t xml:space="preserve">Adicional de férias </t>
  </si>
  <si>
    <t>13º (décimo terceiro) salário</t>
  </si>
  <si>
    <t>13º SALÁRIO, FÉRIAS E ADICIONAL DE FÉRIAS</t>
  </si>
  <si>
    <t>TOTAL Módulo 1 - Composição da remuneração</t>
  </si>
  <si>
    <t>Adicional de Periculosidade</t>
  </si>
  <si>
    <t>Auxiliar de Limpeza</t>
  </si>
  <si>
    <t>Salário</t>
  </si>
  <si>
    <t>Unidade</t>
  </si>
  <si>
    <t>Remuneração</t>
  </si>
  <si>
    <t>Módulo 1 - Composição da remuneração</t>
  </si>
  <si>
    <t>Limpador de Vidros</t>
  </si>
  <si>
    <t>Auxílio alimentação</t>
  </si>
  <si>
    <t>Jardineiro</t>
  </si>
  <si>
    <t>CONVENÇÃO COLETIVA DE TRABALHO 2020/2021 (NÚMERO DE REGISTRO NO MTE: SP000793/2020)</t>
  </si>
  <si>
    <t>CONVENÇÃO COLETIVA DE TRABALHO 2020/2021 (NÚMERO DE REGISTRO NO MTE: SP005873/2020)</t>
  </si>
  <si>
    <t>Calça com Elástico e  Camiseta</t>
  </si>
  <si>
    <t>Cesto para lixo, 100 L, com tampa em plástico resistente. *</t>
  </si>
  <si>
    <t>Máscara Descartável, caixa com
50 unidades</t>
  </si>
  <si>
    <t>Luva de borracha, descartável 100 unidades</t>
  </si>
  <si>
    <t>5143-20</t>
  </si>
  <si>
    <t>6220-10</t>
  </si>
  <si>
    <t>4101-05</t>
  </si>
  <si>
    <t>VALOR TOTAL DA CONTRATAÇÃO (ANUAL)</t>
  </si>
  <si>
    <t>5143-05</t>
  </si>
  <si>
    <t xml:space="preserve">Par de botas impermeáveis </t>
  </si>
  <si>
    <t>Total de Colaboradores (22)</t>
  </si>
  <si>
    <t>Total de Colaboradores (01)</t>
  </si>
  <si>
    <t>Espátulas em aço carbono com cabo de madeira *</t>
  </si>
  <si>
    <t>Tempo de vida útil (semestre)</t>
  </si>
  <si>
    <t>Valor Total - Mensal</t>
  </si>
  <si>
    <t xml:space="preserve">Cesta Básica </t>
  </si>
  <si>
    <t>Auxílio alimentação - (R$15,93-1,11)X22</t>
  </si>
  <si>
    <t xml:space="preserve">Benefício Social Familiar </t>
  </si>
  <si>
    <t>VALOR ANUAL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</si>
</sst>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\-??_);_(@_)"/>
    <numFmt numFmtId="166" formatCode="&quot;R$&quot;\ #,##0.00"/>
    <numFmt numFmtId="167" formatCode="&quot;R$&quot;#,##0.00"/>
    <numFmt numFmtId="168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6" fillId="0" borderId="0" applyFill="0" applyBorder="0" applyAlignment="0" applyProtection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8" fillId="5" borderId="1" xfId="4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4" borderId="0" xfId="0" applyFont="1" applyFill="1" applyBorder="1" applyAlignment="1">
      <alignment horizontal="center" wrapText="1"/>
    </xf>
    <xf numFmtId="164" fontId="10" fillId="4" borderId="0" xfId="0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4" fontId="13" fillId="2" borderId="1" xfId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2" fillId="0" borderId="1" xfId="5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13" fillId="2" borderId="5" xfId="0" applyFont="1" applyFill="1" applyBorder="1" applyAlignment="1">
      <alignment horizontal="center" vertical="center" wrapText="1"/>
    </xf>
    <xf numFmtId="44" fontId="14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wrapText="1"/>
    </xf>
    <xf numFmtId="0" fontId="3" fillId="6" borderId="6" xfId="0" applyFont="1" applyFill="1" applyBorder="1" applyAlignment="1">
      <alignment wrapText="1"/>
    </xf>
    <xf numFmtId="0" fontId="15" fillId="6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44" fontId="5" fillId="3" borderId="1" xfId="0" applyNumberFormat="1" applyFont="1" applyFill="1" applyBorder="1" applyAlignment="1">
      <alignment wrapText="1"/>
    </xf>
    <xf numFmtId="0" fontId="2" fillId="4" borderId="1" xfId="5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6" fillId="0" borderId="1" xfId="0" applyFont="1" applyBorder="1"/>
    <xf numFmtId="0" fontId="2" fillId="0" borderId="5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wrapText="1"/>
    </xf>
    <xf numFmtId="44" fontId="5" fillId="4" borderId="5" xfId="0" applyNumberFormat="1" applyFont="1" applyFill="1" applyBorder="1" applyAlignment="1">
      <alignment wrapText="1"/>
    </xf>
    <xf numFmtId="164" fontId="5" fillId="3" borderId="1" xfId="0" applyNumberFormat="1" applyFont="1" applyFill="1" applyBorder="1" applyAlignment="1">
      <alignment wrapText="1"/>
    </xf>
    <xf numFmtId="166" fontId="0" fillId="0" borderId="0" xfId="0" applyNumberFormat="1"/>
    <xf numFmtId="10" fontId="0" fillId="0" borderId="0" xfId="0" applyNumberFormat="1" applyAlignment="1">
      <alignment horizontal="center"/>
    </xf>
    <xf numFmtId="0" fontId="0" fillId="0" borderId="0" xfId="0" applyAlignment="1"/>
    <xf numFmtId="9" fontId="0" fillId="0" borderId="0" xfId="2" applyFont="1" applyAlignment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Fill="1"/>
    <xf numFmtId="0" fontId="17" fillId="0" borderId="0" xfId="0" applyFont="1" applyFill="1"/>
    <xf numFmtId="166" fontId="7" fillId="9" borderId="0" xfId="1" applyNumberFormat="1" applyFont="1" applyFill="1" applyAlignment="1"/>
    <xf numFmtId="0" fontId="7" fillId="9" borderId="0" xfId="0" applyFont="1" applyFill="1" applyAlignment="1">
      <alignment horizontal="center"/>
    </xf>
    <xf numFmtId="0" fontId="7" fillId="9" borderId="0" xfId="0" applyFont="1" applyFill="1" applyAlignment="1"/>
    <xf numFmtId="166" fontId="7" fillId="0" borderId="0" xfId="0" applyNumberFormat="1" applyFont="1"/>
    <xf numFmtId="0" fontId="7" fillId="0" borderId="0" xfId="0" applyFont="1"/>
    <xf numFmtId="10" fontId="7" fillId="0" borderId="0" xfId="0" applyNumberFormat="1" applyFont="1" applyAlignment="1">
      <alignment horizontal="center"/>
    </xf>
    <xf numFmtId="166" fontId="0" fillId="10" borderId="0" xfId="0" applyNumberFormat="1" applyFill="1"/>
    <xf numFmtId="10" fontId="0" fillId="10" borderId="0" xfId="0" applyNumberFormat="1" applyFill="1" applyAlignment="1">
      <alignment horizontal="center"/>
    </xf>
    <xf numFmtId="0" fontId="0" fillId="10" borderId="0" xfId="0" applyFill="1" applyAlignment="1"/>
    <xf numFmtId="9" fontId="0" fillId="10" borderId="0" xfId="2" applyFont="1" applyFill="1" applyAlignment="1"/>
    <xf numFmtId="0" fontId="7" fillId="10" borderId="0" xfId="0" applyFont="1" applyFill="1"/>
    <xf numFmtId="0" fontId="7" fillId="10" borderId="0" xfId="0" applyFont="1" applyFill="1" applyAlignment="1">
      <alignment horizontal="center"/>
    </xf>
    <xf numFmtId="166" fontId="7" fillId="4" borderId="0" xfId="0" applyNumberFormat="1" applyFont="1" applyFill="1"/>
    <xf numFmtId="10" fontId="7" fillId="4" borderId="0" xfId="0" applyNumberFormat="1" applyFont="1" applyFill="1" applyAlignment="1">
      <alignment horizontal="center"/>
    </xf>
    <xf numFmtId="0" fontId="0" fillId="4" borderId="0" xfId="0" applyFill="1" applyAlignment="1"/>
    <xf numFmtId="0" fontId="17" fillId="0" borderId="0" xfId="0" applyFont="1"/>
    <xf numFmtId="166" fontId="10" fillId="10" borderId="0" xfId="0" applyNumberFormat="1" applyFont="1" applyFill="1"/>
    <xf numFmtId="166" fontId="7" fillId="10" borderId="0" xfId="0" applyNumberFormat="1" applyFont="1" applyFill="1" applyAlignment="1">
      <alignment horizontal="center"/>
    </xf>
    <xf numFmtId="167" fontId="0" fillId="0" borderId="0" xfId="0" applyNumberFormat="1" applyFill="1"/>
    <xf numFmtId="166" fontId="7" fillId="10" borderId="0" xfId="0" applyNumberFormat="1" applyFont="1" applyFill="1"/>
    <xf numFmtId="10" fontId="7" fillId="1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6" fontId="7" fillId="9" borderId="0" xfId="0" applyNumberFormat="1" applyFont="1" applyFill="1" applyAlignment="1">
      <alignment horizontal="center"/>
    </xf>
    <xf numFmtId="10" fontId="7" fillId="9" borderId="0" xfId="0" applyNumberFormat="1" applyFont="1" applyFill="1" applyAlignment="1">
      <alignment horizontal="center"/>
    </xf>
    <xf numFmtId="9" fontId="7" fillId="9" borderId="0" xfId="2" applyFont="1" applyFill="1" applyAlignment="1"/>
    <xf numFmtId="0" fontId="7" fillId="9" borderId="0" xfId="0" applyFont="1" applyFill="1"/>
    <xf numFmtId="0" fontId="7" fillId="9" borderId="0" xfId="0" applyFont="1" applyFill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66" fontId="0" fillId="9" borderId="0" xfId="0" applyNumberFormat="1" applyFill="1"/>
    <xf numFmtId="10" fontId="0" fillId="9" borderId="0" xfId="0" applyNumberFormat="1" applyFill="1" applyAlignment="1">
      <alignment horizontal="center"/>
    </xf>
    <xf numFmtId="0" fontId="0" fillId="9" borderId="0" xfId="0" applyFill="1" applyAlignment="1"/>
    <xf numFmtId="9" fontId="0" fillId="9" borderId="0" xfId="2" applyFont="1" applyFill="1" applyAlignment="1"/>
    <xf numFmtId="10" fontId="7" fillId="10" borderId="0" xfId="2" applyNumberFormat="1" applyFont="1" applyFill="1" applyAlignment="1">
      <alignment horizontal="center"/>
    </xf>
    <xf numFmtId="10" fontId="7" fillId="0" borderId="0" xfId="2" applyNumberFormat="1" applyFont="1" applyAlignment="1">
      <alignment horizontal="center"/>
    </xf>
    <xf numFmtId="0" fontId="7" fillId="10" borderId="0" xfId="0" applyFont="1" applyFill="1" applyAlignment="1"/>
    <xf numFmtId="9" fontId="7" fillId="10" borderId="0" xfId="2" applyFont="1" applyFill="1" applyAlignment="1"/>
    <xf numFmtId="2" fontId="0" fillId="0" borderId="0" xfId="0" applyNumberFormat="1" applyAlignment="1">
      <alignment horizontal="left"/>
    </xf>
    <xf numFmtId="2" fontId="17" fillId="0" borderId="0" xfId="0" applyNumberFormat="1" applyFont="1"/>
    <xf numFmtId="166" fontId="0" fillId="4" borderId="0" xfId="0" applyNumberFormat="1" applyFont="1" applyFill="1"/>
    <xf numFmtId="10" fontId="0" fillId="4" borderId="0" xfId="0" applyNumberFormat="1" applyFill="1" applyAlignment="1">
      <alignment horizontal="center"/>
    </xf>
    <xf numFmtId="10" fontId="0" fillId="4" borderId="0" xfId="0" applyNumberFormat="1" applyFont="1" applyFill="1" applyAlignment="1">
      <alignment horizontal="center"/>
    </xf>
    <xf numFmtId="9" fontId="7" fillId="0" borderId="0" xfId="2" applyFont="1" applyAlignment="1"/>
    <xf numFmtId="166" fontId="0" fillId="4" borderId="0" xfId="0" applyNumberFormat="1" applyFill="1" applyAlignment="1">
      <alignment horizontal="center"/>
    </xf>
    <xf numFmtId="166" fontId="0" fillId="10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166" fontId="0" fillId="0" borderId="0" xfId="0" applyNumberFormat="1" applyFill="1"/>
    <xf numFmtId="166" fontId="0" fillId="0" borderId="0" xfId="0" applyNumberFormat="1" applyFill="1" applyAlignment="1">
      <alignment horizontal="center"/>
    </xf>
    <xf numFmtId="166" fontId="0" fillId="4" borderId="0" xfId="0" applyNumberFormat="1" applyFill="1"/>
    <xf numFmtId="9" fontId="0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6" fontId="7" fillId="9" borderId="0" xfId="0" applyNumberFormat="1" applyFont="1" applyFill="1" applyAlignment="1">
      <alignment horizontal="center" vertical="center"/>
    </xf>
    <xf numFmtId="10" fontId="7" fillId="9" borderId="0" xfId="0" applyNumberFormat="1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9" fontId="7" fillId="9" borderId="0" xfId="2" applyFont="1" applyFill="1" applyAlignment="1">
      <alignment horizontal="center" vertical="center"/>
    </xf>
    <xf numFmtId="0" fontId="0" fillId="0" borderId="0" xfId="0" applyFill="1" applyAlignment="1"/>
    <xf numFmtId="0" fontId="7" fillId="0" borderId="0" xfId="0" applyFont="1" applyFill="1" applyAlignment="1">
      <alignment horizontal="left"/>
    </xf>
    <xf numFmtId="44" fontId="7" fillId="10" borderId="0" xfId="0" applyNumberFormat="1" applyFont="1" applyFill="1" applyAlignment="1">
      <alignment horizontal="center"/>
    </xf>
    <xf numFmtId="0" fontId="7" fillId="10" borderId="0" xfId="0" applyFont="1" applyFill="1" applyAlignment="1">
      <alignment horizontal="left"/>
    </xf>
    <xf numFmtId="44" fontId="0" fillId="0" borderId="0" xfId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9" borderId="0" xfId="0" applyFill="1" applyAlignment="1">
      <alignment horizontal="center"/>
    </xf>
    <xf numFmtId="0" fontId="18" fillId="9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left" vertical="center"/>
    </xf>
    <xf numFmtId="44" fontId="0" fillId="0" borderId="0" xfId="0" applyNumberFormat="1" applyFont="1" applyFill="1" applyAlignment="1">
      <alignment horizontal="center"/>
    </xf>
    <xf numFmtId="44" fontId="7" fillId="0" borderId="0" xfId="0" applyNumberFormat="1" applyFont="1" applyFill="1" applyAlignment="1">
      <alignment horizontal="center"/>
    </xf>
    <xf numFmtId="10" fontId="7" fillId="0" borderId="0" xfId="0" applyNumberFormat="1" applyFont="1" applyFill="1" applyAlignment="1">
      <alignment horizontal="center"/>
    </xf>
    <xf numFmtId="0" fontId="18" fillId="10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166" fontId="0" fillId="10" borderId="0" xfId="6" applyNumberFormat="1" applyFont="1" applyFill="1" applyAlignment="1">
      <alignment horizontal="center"/>
    </xf>
    <xf numFmtId="0" fontId="19" fillId="0" borderId="0" xfId="0" applyFont="1"/>
    <xf numFmtId="166" fontId="20" fillId="4" borderId="0" xfId="0" applyNumberFormat="1" applyFont="1" applyFill="1"/>
    <xf numFmtId="166" fontId="20" fillId="4" borderId="0" xfId="0" applyNumberFormat="1" applyFont="1" applyFill="1" applyAlignment="1">
      <alignment horizontal="center"/>
    </xf>
    <xf numFmtId="168" fontId="0" fillId="0" borderId="0" xfId="6" applyNumberFormat="1" applyFont="1" applyAlignment="1">
      <alignment horizontal="center"/>
    </xf>
    <xf numFmtId="9" fontId="7" fillId="0" borderId="0" xfId="2" applyFont="1" applyAlignment="1">
      <alignment horizontal="center"/>
    </xf>
    <xf numFmtId="0" fontId="4" fillId="4" borderId="9" xfId="0" applyFont="1" applyFill="1" applyBorder="1" applyAlignment="1"/>
    <xf numFmtId="0" fontId="4" fillId="3" borderId="0" xfId="0" applyFont="1" applyFill="1" applyBorder="1" applyAlignment="1"/>
    <xf numFmtId="8" fontId="7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8" fontId="2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0" xfId="0" applyNumberFormat="1" applyFont="1" applyAlignment="1">
      <alignment wrapText="1"/>
    </xf>
    <xf numFmtId="0" fontId="3" fillId="6" borderId="6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44" fontId="14" fillId="2" borderId="3" xfId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 vertical="center" wrapText="1"/>
    </xf>
    <xf numFmtId="1" fontId="13" fillId="2" borderId="1" xfId="1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wrapText="1"/>
    </xf>
    <xf numFmtId="44" fontId="5" fillId="3" borderId="2" xfId="1" applyFont="1" applyFill="1" applyBorder="1" applyAlignment="1">
      <alignment wrapText="1"/>
    </xf>
    <xf numFmtId="44" fontId="2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166" fontId="0" fillId="0" borderId="0" xfId="0" applyNumberFormat="1" applyFill="1" applyAlignment="1"/>
    <xf numFmtId="166" fontId="17" fillId="0" borderId="0" xfId="0" applyNumberFormat="1" applyFont="1"/>
    <xf numFmtId="0" fontId="0" fillId="0" borderId="0" xfId="0" applyAlignment="1">
      <alignment horizontal="center"/>
    </xf>
    <xf numFmtId="10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20" fillId="4" borderId="0" xfId="0" applyFont="1" applyFill="1" applyAlignment="1">
      <alignment horizontal="center"/>
    </xf>
    <xf numFmtId="0" fontId="20" fillId="4" borderId="0" xfId="0" applyFont="1" applyFill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8" fontId="23" fillId="0" borderId="6" xfId="0" applyNumberFormat="1" applyFont="1" applyBorder="1" applyAlignment="1">
      <alignment horizontal="center" vertical="center" wrapText="1"/>
    </xf>
    <xf numFmtId="8" fontId="23" fillId="0" borderId="7" xfId="0" applyNumberFormat="1" applyFont="1" applyBorder="1" applyAlignment="1">
      <alignment horizontal="center" vertical="center" wrapText="1"/>
    </xf>
    <xf numFmtId="8" fontId="23" fillId="0" borderId="5" xfId="0" applyNumberFormat="1" applyFont="1" applyBorder="1" applyAlignment="1">
      <alignment horizontal="center" vertical="center" wrapText="1"/>
    </xf>
    <xf numFmtId="0" fontId="7" fillId="10" borderId="0" xfId="0" applyFont="1" applyFill="1" applyAlignment="1">
      <alignment horizontal="center"/>
    </xf>
    <xf numFmtId="0" fontId="21" fillId="4" borderId="0" xfId="0" applyFont="1" applyFill="1" applyBorder="1" applyAlignment="1">
      <alignment horizontal="center"/>
    </xf>
    <xf numFmtId="0" fontId="7" fillId="9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7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right" wrapText="1"/>
    </xf>
    <xf numFmtId="0" fontId="5" fillId="3" borderId="4" xfId="0" applyFont="1" applyFill="1" applyBorder="1" applyAlignment="1">
      <alignment horizontal="right" wrapText="1"/>
    </xf>
    <xf numFmtId="0" fontId="3" fillId="7" borderId="2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7">
    <cellStyle name="Moeda" xfId="1" builtinId="4"/>
    <cellStyle name="Normal" xfId="0" builtinId="0"/>
    <cellStyle name="Normal 18 2" xfId="4" xr:uid="{00000000-0005-0000-0000-000002000000}"/>
    <cellStyle name="Normal 2" xfId="3" xr:uid="{00000000-0005-0000-0000-000003000000}"/>
    <cellStyle name="Porcentagem" xfId="2" builtinId="5"/>
    <cellStyle name="Vírgula" xfId="6" builtinId="3"/>
    <cellStyle name="Vírgula 2" xfId="5" xr:uid="{FA2F08FC-D44D-4918-9596-B9B1F4F6632D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ur/Downloads/Planilha_de_Custos__Apoio_Lote_1__Alterada.1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"/>
      <sheetName val="Bilingue"/>
      <sheetName val="TS"/>
      <sheetName val="Resumo"/>
    </sheetNames>
    <sheetDataSet>
      <sheetData sheetId="0">
        <row r="8">
          <cell r="E8">
            <v>4440</v>
          </cell>
        </row>
        <row r="86">
          <cell r="F86">
            <v>3657.7999358864008</v>
          </cell>
        </row>
        <row r="141">
          <cell r="F141">
            <v>653.20071539349431</v>
          </cell>
        </row>
        <row r="183">
          <cell r="F183">
            <v>264.52645750000005</v>
          </cell>
        </row>
        <row r="195">
          <cell r="E195">
            <v>0</v>
          </cell>
        </row>
        <row r="201">
          <cell r="E201">
            <v>2285.4361220757037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"/>
  <sheetViews>
    <sheetView tabSelected="1" topLeftCell="B1" workbookViewId="0">
      <selection activeCell="H20" sqref="H20"/>
    </sheetView>
  </sheetViews>
  <sheetFormatPr defaultRowHeight="15" x14ac:dyDescent="0.25"/>
  <cols>
    <col min="2" max="2" width="5.42578125" bestFit="1" customWidth="1"/>
    <col min="3" max="3" width="29.28515625" style="5" bestFit="1" customWidth="1"/>
    <col min="4" max="4" width="8.85546875" bestFit="1" customWidth="1"/>
    <col min="5" max="5" width="8.5703125" bestFit="1" customWidth="1"/>
    <col min="6" max="6" width="15.85546875" bestFit="1" customWidth="1"/>
    <col min="7" max="7" width="15.85546875" customWidth="1"/>
    <col min="8" max="8" width="17.85546875" bestFit="1" customWidth="1"/>
    <col min="9" max="9" width="22" bestFit="1" customWidth="1"/>
  </cols>
  <sheetData>
    <row r="2" spans="1:9" ht="38.25" x14ac:dyDescent="0.25">
      <c r="A2" s="33"/>
      <c r="B2" s="3" t="s">
        <v>33</v>
      </c>
      <c r="C2" s="3" t="s">
        <v>34</v>
      </c>
      <c r="D2" s="3" t="s">
        <v>36</v>
      </c>
      <c r="E2" s="3" t="s">
        <v>35</v>
      </c>
      <c r="F2" s="3" t="s">
        <v>40</v>
      </c>
      <c r="G2" s="3" t="s">
        <v>41</v>
      </c>
      <c r="H2" s="3" t="s">
        <v>205</v>
      </c>
      <c r="I2" s="3" t="s">
        <v>194</v>
      </c>
    </row>
    <row r="3" spans="1:9" x14ac:dyDescent="0.25">
      <c r="A3" s="170" t="s">
        <v>48</v>
      </c>
      <c r="B3" s="4">
        <v>1</v>
      </c>
      <c r="C3" s="161" t="s">
        <v>177</v>
      </c>
      <c r="D3" s="161">
        <v>20</v>
      </c>
      <c r="E3" s="161" t="s">
        <v>191</v>
      </c>
      <c r="F3" s="142">
        <f>'Auxiliar de Limpeza'!G101</f>
        <v>4231.08</v>
      </c>
      <c r="G3" s="142">
        <f>F3*12</f>
        <v>50772.959999999999</v>
      </c>
      <c r="H3" s="142">
        <f>G3*D3</f>
        <v>1015459.2</v>
      </c>
      <c r="I3" s="173">
        <f>H3+H4+H5+H6</f>
        <v>1178590.2</v>
      </c>
    </row>
    <row r="4" spans="1:9" x14ac:dyDescent="0.25">
      <c r="A4" s="171"/>
      <c r="B4" s="4">
        <v>2</v>
      </c>
      <c r="C4" s="161" t="s">
        <v>182</v>
      </c>
      <c r="D4" s="161">
        <v>1</v>
      </c>
      <c r="E4" s="161" t="s">
        <v>195</v>
      </c>
      <c r="F4" s="142">
        <f>'Limpador de Vidros'!G101</f>
        <v>4431.17</v>
      </c>
      <c r="G4" s="142">
        <f t="shared" ref="G4:G6" si="0">F4*12</f>
        <v>53174.04</v>
      </c>
      <c r="H4" s="142">
        <f t="shared" ref="H4:H6" si="1">G4*D4</f>
        <v>53174.04</v>
      </c>
      <c r="I4" s="174"/>
    </row>
    <row r="5" spans="1:9" x14ac:dyDescent="0.25">
      <c r="A5" s="171"/>
      <c r="B5" s="4">
        <v>3</v>
      </c>
      <c r="C5" s="161" t="s">
        <v>184</v>
      </c>
      <c r="D5" s="161">
        <v>1</v>
      </c>
      <c r="E5" s="161" t="s">
        <v>192</v>
      </c>
      <c r="F5" s="142">
        <f>Jardineiro!G98</f>
        <v>3987.16</v>
      </c>
      <c r="G5" s="142">
        <f t="shared" si="0"/>
        <v>47845.919999999998</v>
      </c>
      <c r="H5" s="142">
        <f t="shared" si="1"/>
        <v>47845.919999999998</v>
      </c>
      <c r="I5" s="174"/>
    </row>
    <row r="6" spans="1:9" x14ac:dyDescent="0.25">
      <c r="A6" s="172"/>
      <c r="B6" s="141">
        <v>4</v>
      </c>
      <c r="C6" s="161" t="s">
        <v>88</v>
      </c>
      <c r="D6" s="161">
        <v>1</v>
      </c>
      <c r="E6" s="161" t="s">
        <v>193</v>
      </c>
      <c r="F6" s="142">
        <f>Encarregado!G101</f>
        <v>5175.92</v>
      </c>
      <c r="G6" s="142">
        <f t="shared" si="0"/>
        <v>62111.040000000001</v>
      </c>
      <c r="H6" s="142">
        <f t="shared" si="1"/>
        <v>62111.040000000001</v>
      </c>
      <c r="I6" s="175"/>
    </row>
  </sheetData>
  <mergeCells count="2">
    <mergeCell ref="A3:A6"/>
    <mergeCell ref="I3:I6"/>
  </mergeCells>
  <conditionalFormatting sqref="I2 B2:E2">
    <cfRule type="cellIs" dxfId="1" priority="1" operator="equal">
      <formula>"PROCURAR"</formula>
    </cfRule>
  </conditionalFormatting>
  <conditionalFormatting sqref="F2:H2">
    <cfRule type="cellIs" dxfId="0" priority="2" operator="equal">
      <formula>"PROCURAR"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B265F-33BE-4A34-BF0B-A072FBD2DEFB}">
  <sheetPr>
    <tabColor theme="5" tint="-0.249977111117893"/>
    <pageSetUpPr fitToPage="1"/>
  </sheetPr>
  <dimension ref="A1:M104"/>
  <sheetViews>
    <sheetView view="pageBreakPreview" topLeftCell="A73" zoomScaleNormal="100" zoomScaleSheetLayoutView="100" workbookViewId="0">
      <selection activeCell="G10" sqref="G10"/>
    </sheetView>
  </sheetViews>
  <sheetFormatPr defaultRowHeight="15" x14ac:dyDescent="0.25"/>
  <cols>
    <col min="1" max="1" width="7.42578125" style="55" customWidth="1"/>
    <col min="2" max="2" width="45.7109375" customWidth="1"/>
    <col min="3" max="3" width="11" style="54" customWidth="1"/>
    <col min="4" max="4" width="10.28515625" style="53" customWidth="1"/>
    <col min="5" max="5" width="9.85546875" style="53" customWidth="1"/>
    <col min="6" max="6" width="16.28515625" style="52" customWidth="1"/>
    <col min="7" max="7" width="16.42578125" style="51" bestFit="1" customWidth="1"/>
    <col min="8" max="8" width="0.140625" customWidth="1"/>
    <col min="9" max="9" width="23.85546875" customWidth="1"/>
    <col min="10" max="10" width="14" customWidth="1"/>
  </cols>
  <sheetData>
    <row r="1" spans="1:10" ht="18.75" x14ac:dyDescent="0.3">
      <c r="A1" s="177" t="s">
        <v>185</v>
      </c>
      <c r="B1" s="177"/>
      <c r="C1" s="177"/>
      <c r="D1" s="177"/>
      <c r="E1" s="177"/>
      <c r="F1" s="177"/>
      <c r="G1" s="177"/>
      <c r="H1" s="139"/>
      <c r="I1" s="138"/>
    </row>
    <row r="2" spans="1:10" x14ac:dyDescent="0.25">
      <c r="A2" s="178" t="s">
        <v>181</v>
      </c>
      <c r="B2" s="178"/>
      <c r="C2" s="178"/>
      <c r="D2" s="178"/>
      <c r="E2" s="178"/>
      <c r="F2" s="178"/>
      <c r="G2" s="178"/>
    </row>
    <row r="3" spans="1:10" x14ac:dyDescent="0.25">
      <c r="A3" s="87">
        <v>1</v>
      </c>
      <c r="B3" s="63" t="s">
        <v>180</v>
      </c>
      <c r="C3" s="103"/>
      <c r="D3" s="137" t="s">
        <v>179</v>
      </c>
      <c r="E3" s="87" t="s">
        <v>160</v>
      </c>
      <c r="F3" s="64" t="s">
        <v>178</v>
      </c>
      <c r="G3" s="62" t="s">
        <v>109</v>
      </c>
    </row>
    <row r="4" spans="1:10" x14ac:dyDescent="0.25">
      <c r="A4" s="2" t="s">
        <v>0</v>
      </c>
      <c r="B4" s="63" t="s">
        <v>177</v>
      </c>
      <c r="D4" s="136">
        <v>1</v>
      </c>
      <c r="E4" s="55">
        <v>1</v>
      </c>
      <c r="F4" s="135">
        <v>1201.3</v>
      </c>
      <c r="G4" s="134">
        <f>F4*E4</f>
        <v>1201.3</v>
      </c>
      <c r="I4" s="133"/>
      <c r="J4" s="51"/>
    </row>
    <row r="5" spans="1:10" x14ac:dyDescent="0.25">
      <c r="A5" s="55" t="s">
        <v>1</v>
      </c>
      <c r="B5" s="63" t="s">
        <v>176</v>
      </c>
      <c r="G5" s="51">
        <v>0</v>
      </c>
    </row>
    <row r="6" spans="1:10" x14ac:dyDescent="0.25">
      <c r="A6" s="176" t="s">
        <v>175</v>
      </c>
      <c r="B6" s="176"/>
      <c r="C6" s="176"/>
      <c r="D6" s="176"/>
      <c r="E6" s="176"/>
      <c r="F6" s="132"/>
      <c r="G6" s="78">
        <f>SUM(G4:G5)</f>
        <v>1201.3</v>
      </c>
    </row>
    <row r="8" spans="1:10" x14ac:dyDescent="0.25">
      <c r="A8" s="178" t="s">
        <v>27</v>
      </c>
      <c r="B8" s="178"/>
      <c r="C8" s="178"/>
      <c r="D8" s="178"/>
      <c r="E8" s="178"/>
      <c r="F8" s="178"/>
      <c r="G8" s="178"/>
    </row>
    <row r="9" spans="1:10" x14ac:dyDescent="0.25">
      <c r="A9" s="131" t="s">
        <v>23</v>
      </c>
      <c r="B9" s="69" t="s">
        <v>174</v>
      </c>
      <c r="C9" s="96"/>
      <c r="D9" s="96"/>
      <c r="E9" s="96"/>
      <c r="F9" s="130" t="s">
        <v>145</v>
      </c>
      <c r="G9" s="119"/>
    </row>
    <row r="10" spans="1:10" x14ac:dyDescent="0.25">
      <c r="A10" s="80" t="s">
        <v>0</v>
      </c>
      <c r="B10" s="122" t="s">
        <v>173</v>
      </c>
      <c r="C10" s="116"/>
      <c r="D10" s="116"/>
      <c r="E10" s="116"/>
      <c r="F10" s="121">
        <f>1/12</f>
        <v>8.3299999999999999E-2</v>
      </c>
      <c r="G10" s="120">
        <f>ROUND((F10*G6),2)</f>
        <v>100.07</v>
      </c>
    </row>
    <row r="11" spans="1:10" x14ac:dyDescent="0.25">
      <c r="A11" s="80" t="s">
        <v>1</v>
      </c>
      <c r="B11" s="122" t="s">
        <v>32</v>
      </c>
      <c r="C11" s="116"/>
      <c r="D11" s="116"/>
      <c r="E11" s="116"/>
      <c r="F11" s="165">
        <v>8.3299999999999999E-2</v>
      </c>
      <c r="G11" s="120">
        <f>ROUND((F11*G6),2)</f>
        <v>100.07</v>
      </c>
    </row>
    <row r="12" spans="1:10" x14ac:dyDescent="0.25">
      <c r="A12" s="80" t="s">
        <v>2</v>
      </c>
      <c r="B12" s="122" t="s">
        <v>172</v>
      </c>
      <c r="C12" s="116"/>
      <c r="D12" s="116"/>
      <c r="E12" s="116"/>
      <c r="F12" s="121">
        <f>F11*1/3</f>
        <v>2.7799999999999998E-2</v>
      </c>
      <c r="G12" s="120">
        <f>ROUND((F12*G6),2)</f>
        <v>33.4</v>
      </c>
    </row>
    <row r="13" spans="1:10" x14ac:dyDescent="0.25">
      <c r="A13" s="80"/>
      <c r="B13" s="117" t="s">
        <v>109</v>
      </c>
      <c r="C13" s="116"/>
      <c r="D13" s="116"/>
      <c r="E13" s="116"/>
      <c r="F13" s="129">
        <f>SUM(F10:F12)</f>
        <v>0.19439999999999999</v>
      </c>
      <c r="G13" s="128">
        <f>SUM(G10:G12)</f>
        <v>233.54</v>
      </c>
      <c r="I13" s="74"/>
    </row>
    <row r="14" spans="1:10" x14ac:dyDescent="0.25">
      <c r="A14" s="80" t="s">
        <v>3</v>
      </c>
      <c r="B14" s="122" t="s">
        <v>171</v>
      </c>
      <c r="C14" s="116"/>
      <c r="D14" s="116"/>
      <c r="E14" s="116"/>
      <c r="F14" s="121">
        <f>F13*F26</f>
        <v>7.1499999999999994E-2</v>
      </c>
      <c r="G14" s="127">
        <f>ROUND((F14*G6),2)</f>
        <v>85.89</v>
      </c>
    </row>
    <row r="15" spans="1:10" x14ac:dyDescent="0.25">
      <c r="A15" s="126"/>
      <c r="B15" s="126" t="s">
        <v>170</v>
      </c>
      <c r="C15" s="67"/>
      <c r="D15" s="67"/>
      <c r="E15" s="67"/>
      <c r="F15" s="79">
        <f>SUM(F13:F14)</f>
        <v>0.26590000000000003</v>
      </c>
      <c r="G15" s="118">
        <f>SUM(G13:G14)</f>
        <v>319.43</v>
      </c>
      <c r="I15" s="74"/>
    </row>
    <row r="16" spans="1:10" x14ac:dyDescent="0.25">
      <c r="A16" s="80"/>
      <c r="B16" s="80"/>
      <c r="C16" s="116"/>
      <c r="D16" s="116"/>
      <c r="E16" s="116"/>
      <c r="F16" s="80"/>
      <c r="G16" s="80"/>
    </row>
    <row r="17" spans="1:9" x14ac:dyDescent="0.25">
      <c r="A17" s="114" t="s">
        <v>24</v>
      </c>
      <c r="B17" s="84" t="s">
        <v>169</v>
      </c>
      <c r="C17" s="92"/>
      <c r="D17" s="92"/>
      <c r="E17" s="92"/>
      <c r="F17" s="125" t="s">
        <v>145</v>
      </c>
      <c r="G17" s="124"/>
    </row>
    <row r="18" spans="1:9" x14ac:dyDescent="0.25">
      <c r="A18" s="80" t="s">
        <v>0</v>
      </c>
      <c r="B18" s="122" t="s">
        <v>11</v>
      </c>
      <c r="C18" s="116"/>
      <c r="D18" s="116"/>
      <c r="E18" s="116"/>
      <c r="F18" s="121">
        <v>0.2</v>
      </c>
      <c r="G18" s="120">
        <f>ROUND((F18*G6),2)</f>
        <v>240.26</v>
      </c>
    </row>
    <row r="19" spans="1:9" x14ac:dyDescent="0.25">
      <c r="A19" s="80" t="s">
        <v>1</v>
      </c>
      <c r="B19" s="122" t="s">
        <v>168</v>
      </c>
      <c r="C19" s="116"/>
      <c r="D19" s="116"/>
      <c r="E19" s="116"/>
      <c r="F19" s="121">
        <v>2.5000000000000001E-2</v>
      </c>
      <c r="G19" s="120">
        <f>ROUND((F19*G6),2)</f>
        <v>30.03</v>
      </c>
    </row>
    <row r="20" spans="1:9" x14ac:dyDescent="0.25">
      <c r="A20" s="80" t="s">
        <v>2</v>
      </c>
      <c r="B20" s="122" t="s">
        <v>167</v>
      </c>
      <c r="C20" s="116"/>
      <c r="D20" s="116"/>
      <c r="E20" s="116"/>
      <c r="F20" s="121">
        <v>0.03</v>
      </c>
      <c r="G20" s="120">
        <f>ROUND((F20*G6),2)</f>
        <v>36.04</v>
      </c>
    </row>
    <row r="21" spans="1:9" x14ac:dyDescent="0.25">
      <c r="A21" s="80" t="s">
        <v>3</v>
      </c>
      <c r="B21" s="122" t="s">
        <v>166</v>
      </c>
      <c r="C21" s="162"/>
      <c r="D21" s="116"/>
      <c r="E21" s="116"/>
      <c r="F21" s="121">
        <v>1.4999999999999999E-2</v>
      </c>
      <c r="G21" s="120">
        <f>ROUND((F21*G6),2)</f>
        <v>18.02</v>
      </c>
    </row>
    <row r="22" spans="1:9" x14ac:dyDescent="0.25">
      <c r="A22" s="80" t="s">
        <v>4</v>
      </c>
      <c r="B22" s="123" t="s">
        <v>165</v>
      </c>
      <c r="C22" s="162"/>
      <c r="D22" s="116"/>
      <c r="E22" s="116"/>
      <c r="F22" s="121">
        <v>0.01</v>
      </c>
      <c r="G22" s="120">
        <f>ROUND((F22*G6),2)</f>
        <v>12.01</v>
      </c>
    </row>
    <row r="23" spans="1:9" x14ac:dyDescent="0.25">
      <c r="A23" s="80" t="s">
        <v>5</v>
      </c>
      <c r="B23" s="122" t="s">
        <v>14</v>
      </c>
      <c r="C23" s="162"/>
      <c r="D23" s="116"/>
      <c r="E23" s="116"/>
      <c r="F23" s="121">
        <v>6.0000000000000001E-3</v>
      </c>
      <c r="G23" s="120">
        <f>ROUND((F23*G6),2)</f>
        <v>7.21</v>
      </c>
    </row>
    <row r="24" spans="1:9" x14ac:dyDescent="0.25">
      <c r="A24" s="80" t="s">
        <v>6</v>
      </c>
      <c r="B24" s="122" t="s">
        <v>12</v>
      </c>
      <c r="C24" s="116"/>
      <c r="D24" s="116"/>
      <c r="E24" s="116"/>
      <c r="F24" s="121">
        <v>2E-3</v>
      </c>
      <c r="G24" s="120">
        <f>ROUND((F24*G6),2)</f>
        <v>2.4</v>
      </c>
    </row>
    <row r="25" spans="1:9" x14ac:dyDescent="0.25">
      <c r="A25" s="80" t="s">
        <v>7</v>
      </c>
      <c r="B25" s="122" t="s">
        <v>13</v>
      </c>
      <c r="C25" s="116"/>
      <c r="D25" s="116"/>
      <c r="E25" s="116"/>
      <c r="F25" s="121">
        <v>0.08</v>
      </c>
      <c r="G25" s="120">
        <f>ROUND((F25*G6),2)</f>
        <v>96.1</v>
      </c>
    </row>
    <row r="26" spans="1:9" x14ac:dyDescent="0.25">
      <c r="A26" s="106"/>
      <c r="B26" s="119" t="s">
        <v>164</v>
      </c>
      <c r="C26" s="67"/>
      <c r="D26" s="67"/>
      <c r="E26" s="67"/>
      <c r="F26" s="79">
        <f>SUM(F18:F25)</f>
        <v>0.36799999999999999</v>
      </c>
      <c r="G26" s="118">
        <f>SUM(G18:G25)</f>
        <v>442.07</v>
      </c>
      <c r="I26" s="74"/>
    </row>
    <row r="27" spans="1:9" x14ac:dyDescent="0.25">
      <c r="A27" s="80"/>
      <c r="B27" s="117"/>
      <c r="C27" s="116"/>
      <c r="D27" s="116"/>
      <c r="E27" s="116"/>
      <c r="F27" s="80"/>
      <c r="G27" s="80"/>
    </row>
    <row r="28" spans="1:9" x14ac:dyDescent="0.25">
      <c r="A28" s="114" t="s">
        <v>25</v>
      </c>
      <c r="B28" s="84" t="s">
        <v>163</v>
      </c>
      <c r="C28" s="115" t="s">
        <v>162</v>
      </c>
      <c r="D28" s="114" t="s">
        <v>161</v>
      </c>
      <c r="E28" s="114" t="s">
        <v>160</v>
      </c>
      <c r="F28" s="113" t="s">
        <v>38</v>
      </c>
      <c r="G28" s="112" t="s">
        <v>109</v>
      </c>
    </row>
    <row r="29" spans="1:9" x14ac:dyDescent="0.25">
      <c r="A29" s="55" t="s">
        <v>0</v>
      </c>
      <c r="B29" t="s">
        <v>159</v>
      </c>
      <c r="C29" s="111">
        <v>0.06</v>
      </c>
      <c r="D29" s="2">
        <v>22</v>
      </c>
      <c r="E29" s="2">
        <v>2</v>
      </c>
      <c r="F29" s="104">
        <v>4.4000000000000004</v>
      </c>
      <c r="G29" s="51">
        <f>IF((F29*D29*E29)-C29*G4&lt;0,0,(F29*D29*E29)-C29*G4)</f>
        <v>121.52</v>
      </c>
    </row>
    <row r="30" spans="1:9" x14ac:dyDescent="0.25">
      <c r="A30" s="55" t="s">
        <v>1</v>
      </c>
      <c r="B30" t="s">
        <v>203</v>
      </c>
      <c r="C30" s="110"/>
      <c r="D30" s="2">
        <v>22</v>
      </c>
      <c r="E30" s="2">
        <v>1</v>
      </c>
      <c r="F30" s="104">
        <f>15.93-1.11</f>
        <v>14.82</v>
      </c>
      <c r="G30" s="109">
        <f>F30*D30</f>
        <v>326.04000000000002</v>
      </c>
      <c r="I30" s="74"/>
    </row>
    <row r="31" spans="1:9" x14ac:dyDescent="0.25">
      <c r="A31" s="55" t="s">
        <v>2</v>
      </c>
      <c r="B31" t="s">
        <v>158</v>
      </c>
      <c r="C31" s="2"/>
      <c r="D31" s="2">
        <v>1</v>
      </c>
      <c r="E31" s="2">
        <v>1</v>
      </c>
      <c r="F31" s="104">
        <v>28</v>
      </c>
      <c r="G31" s="109">
        <f>(1-C31)*(F31*E31*D31)</f>
        <v>28</v>
      </c>
      <c r="I31" s="74"/>
    </row>
    <row r="32" spans="1:9" x14ac:dyDescent="0.25">
      <c r="A32" s="55" t="s">
        <v>3</v>
      </c>
      <c r="B32" t="s">
        <v>157</v>
      </c>
      <c r="F32" s="108">
        <v>13.67</v>
      </c>
      <c r="G32" s="107">
        <f>F32*(1-C32)</f>
        <v>13.67</v>
      </c>
    </row>
    <row r="33" spans="1:13" x14ac:dyDescent="0.25">
      <c r="A33" s="164" t="s">
        <v>4</v>
      </c>
      <c r="B33" t="s">
        <v>202</v>
      </c>
      <c r="F33" s="108">
        <v>110.94</v>
      </c>
      <c r="G33" s="107">
        <v>110.94</v>
      </c>
    </row>
    <row r="34" spans="1:13" x14ac:dyDescent="0.25">
      <c r="A34" s="106"/>
      <c r="B34" s="69" t="s">
        <v>156</v>
      </c>
      <c r="C34" s="68"/>
      <c r="D34" s="67"/>
      <c r="E34" s="67"/>
      <c r="F34" s="105"/>
      <c r="G34" s="78">
        <f>SUM(G29:G33)</f>
        <v>600.16999999999996</v>
      </c>
      <c r="I34" s="74"/>
    </row>
    <row r="35" spans="1:13" x14ac:dyDescent="0.25">
      <c r="F35" s="104"/>
    </row>
    <row r="36" spans="1:13" x14ac:dyDescent="0.25">
      <c r="A36" s="176" t="s">
        <v>155</v>
      </c>
      <c r="B36" s="176"/>
      <c r="C36" s="176"/>
      <c r="D36" s="176"/>
      <c r="E36" s="176"/>
      <c r="F36" s="176"/>
      <c r="G36" s="78">
        <f>G15+G26+G34</f>
        <v>1361.67</v>
      </c>
      <c r="I36" s="74"/>
    </row>
    <row r="38" spans="1:13" x14ac:dyDescent="0.25">
      <c r="A38" s="178" t="s">
        <v>28</v>
      </c>
      <c r="B38" s="178"/>
      <c r="C38" s="178"/>
      <c r="D38" s="178"/>
      <c r="E38" s="178"/>
      <c r="F38" s="178"/>
      <c r="G38" s="178"/>
    </row>
    <row r="39" spans="1:13" x14ac:dyDescent="0.25">
      <c r="A39" s="70">
        <v>3</v>
      </c>
      <c r="B39" s="69" t="s">
        <v>154</v>
      </c>
      <c r="C39" s="97"/>
      <c r="D39" s="96"/>
      <c r="E39" s="96"/>
      <c r="F39" s="79" t="s">
        <v>10</v>
      </c>
      <c r="G39" s="78" t="s">
        <v>15</v>
      </c>
    </row>
    <row r="40" spans="1:13" x14ac:dyDescent="0.25">
      <c r="A40" s="2" t="s">
        <v>0</v>
      </c>
      <c r="B40" s="1" t="s">
        <v>153</v>
      </c>
      <c r="C40" s="103"/>
      <c r="D40" s="86"/>
      <c r="E40" s="86"/>
      <c r="F40" s="102">
        <f>(1/12)*0.055</f>
        <v>4.5999999999999999E-3</v>
      </c>
      <c r="G40" s="100">
        <f>(($G$6+($G$36-$G$25))*F40)</f>
        <v>11.35</v>
      </c>
      <c r="I40" s="163"/>
    </row>
    <row r="41" spans="1:13" x14ac:dyDescent="0.25">
      <c r="A41" s="2" t="s">
        <v>1</v>
      </c>
      <c r="B41" s="1" t="s">
        <v>152</v>
      </c>
      <c r="C41" s="103"/>
      <c r="D41" s="86"/>
      <c r="E41" s="86"/>
      <c r="F41" s="102">
        <f>ROUND((F40*F25),4)</f>
        <v>4.0000000000000002E-4</v>
      </c>
      <c r="G41" s="100">
        <f>(($G$6+($G$36-$G$25))*F41)</f>
        <v>0.99</v>
      </c>
      <c r="I41" s="74"/>
    </row>
    <row r="42" spans="1:13" x14ac:dyDescent="0.25">
      <c r="A42" s="2" t="s">
        <v>2</v>
      </c>
      <c r="B42" s="1" t="s">
        <v>151</v>
      </c>
      <c r="C42" s="103"/>
      <c r="D42" s="86"/>
      <c r="E42" s="86"/>
      <c r="F42" s="102">
        <f>4%</f>
        <v>0.04</v>
      </c>
      <c r="G42" s="100">
        <f>(($G$6+($G$36-$G$25))*F42)</f>
        <v>98.67</v>
      </c>
      <c r="I42" s="74"/>
    </row>
    <row r="43" spans="1:13" x14ac:dyDescent="0.25">
      <c r="A43" s="2" t="s">
        <v>3</v>
      </c>
      <c r="B43" s="1" t="s">
        <v>149</v>
      </c>
      <c r="C43" s="103"/>
      <c r="D43" s="86"/>
      <c r="E43" s="86"/>
      <c r="F43" s="102">
        <f>((1/30)*7)/12</f>
        <v>1.9400000000000001E-2</v>
      </c>
      <c r="G43" s="100">
        <f>($G$6+$G$36)*F43</f>
        <v>49.72</v>
      </c>
      <c r="I43" s="74"/>
    </row>
    <row r="44" spans="1:13" x14ac:dyDescent="0.25">
      <c r="A44" s="55" t="s">
        <v>4</v>
      </c>
      <c r="B44" s="1" t="s">
        <v>148</v>
      </c>
      <c r="F44" s="101">
        <f>ROUND((F43*F26),4)</f>
        <v>7.1000000000000004E-3</v>
      </c>
      <c r="G44" s="100">
        <f>($G$6+$G$36)*F44</f>
        <v>18.2</v>
      </c>
      <c r="I44" s="163"/>
    </row>
    <row r="45" spans="1:13" x14ac:dyDescent="0.25">
      <c r="A45" s="55" t="s">
        <v>5</v>
      </c>
      <c r="B45" s="1" t="s">
        <v>147</v>
      </c>
      <c r="F45" s="101">
        <f>0</f>
        <v>0</v>
      </c>
      <c r="G45" s="100">
        <f>ROUND((F45*G6),2)</f>
        <v>0</v>
      </c>
      <c r="I45" s="74"/>
    </row>
    <row r="46" spans="1:13" x14ac:dyDescent="0.25">
      <c r="A46" s="176" t="s">
        <v>146</v>
      </c>
      <c r="B46" s="176"/>
      <c r="C46" s="176"/>
      <c r="D46" s="176"/>
      <c r="E46" s="176"/>
      <c r="F46" s="79">
        <f>SUM(F40:F45)</f>
        <v>7.1499999999999994E-2</v>
      </c>
      <c r="G46" s="78">
        <f>SUM(G40:G45)</f>
        <v>178.93</v>
      </c>
      <c r="I46" s="99"/>
    </row>
    <row r="47" spans="1:13" x14ac:dyDescent="0.25">
      <c r="M47" s="98"/>
    </row>
    <row r="48" spans="1:13" x14ac:dyDescent="0.25">
      <c r="A48" s="178" t="s">
        <v>29</v>
      </c>
      <c r="B48" s="178"/>
      <c r="C48" s="178"/>
      <c r="D48" s="178"/>
      <c r="E48" s="178"/>
      <c r="F48" s="178"/>
      <c r="G48" s="178"/>
    </row>
    <row r="49" spans="1:9" x14ac:dyDescent="0.25">
      <c r="A49" s="70" t="s">
        <v>9</v>
      </c>
      <c r="B49" s="69" t="s">
        <v>134</v>
      </c>
      <c r="C49" s="97"/>
      <c r="D49" s="96"/>
      <c r="E49" s="96"/>
      <c r="F49" s="94" t="s">
        <v>145</v>
      </c>
      <c r="G49" s="78"/>
    </row>
    <row r="50" spans="1:9" x14ac:dyDescent="0.25">
      <c r="A50" s="55" t="s">
        <v>0</v>
      </c>
      <c r="B50" t="s">
        <v>144</v>
      </c>
      <c r="F50" s="89">
        <f>(1/12/12)+(1/12/12)+(1/12/12/3)</f>
        <v>1.6199999999999999E-2</v>
      </c>
      <c r="G50" s="51">
        <f>F50*($G$46+$G$36+$G$6)</f>
        <v>44.42</v>
      </c>
      <c r="I50" s="51"/>
    </row>
    <row r="51" spans="1:9" x14ac:dyDescent="0.25">
      <c r="A51" s="55" t="s">
        <v>1</v>
      </c>
      <c r="B51" t="s">
        <v>134</v>
      </c>
      <c r="F51" s="89">
        <f>(((13/12)/22)*8)/12</f>
        <v>3.2800000000000003E-2</v>
      </c>
      <c r="G51" s="51">
        <f t="shared" ref="G51:G55" si="0">F51*($G$46+$G$36+$G$6)</f>
        <v>89.93</v>
      </c>
      <c r="I51" s="51"/>
    </row>
    <row r="52" spans="1:9" x14ac:dyDescent="0.25">
      <c r="A52" s="55" t="s">
        <v>2</v>
      </c>
      <c r="B52" t="s">
        <v>143</v>
      </c>
      <c r="F52" s="89">
        <f>(((13/12)/22)*0.2)/12</f>
        <v>8.0000000000000004E-4</v>
      </c>
      <c r="G52" s="51">
        <f t="shared" si="0"/>
        <v>2.19</v>
      </c>
      <c r="I52" s="51"/>
    </row>
    <row r="53" spans="1:9" x14ac:dyDescent="0.25">
      <c r="A53" s="55" t="s">
        <v>3</v>
      </c>
      <c r="B53" t="s">
        <v>142</v>
      </c>
      <c r="F53" s="89">
        <f>(((13/12)/22)*6)/12</f>
        <v>2.46E-2</v>
      </c>
      <c r="G53" s="51">
        <f t="shared" si="0"/>
        <v>67.45</v>
      </c>
      <c r="I53" s="51"/>
    </row>
    <row r="54" spans="1:9" x14ac:dyDescent="0.25">
      <c r="A54" s="55" t="s">
        <v>4</v>
      </c>
      <c r="B54" t="s">
        <v>141</v>
      </c>
      <c r="F54" s="89">
        <f>(((13/12)/22)*1.8)/12</f>
        <v>7.4000000000000003E-3</v>
      </c>
      <c r="G54" s="51">
        <f t="shared" si="0"/>
        <v>20.29</v>
      </c>
      <c r="I54" s="51"/>
    </row>
    <row r="55" spans="1:9" x14ac:dyDescent="0.25">
      <c r="A55" s="55" t="s">
        <v>5</v>
      </c>
      <c r="B55" t="s">
        <v>140</v>
      </c>
      <c r="F55" s="89">
        <v>0</v>
      </c>
      <c r="G55" s="51">
        <f t="shared" si="0"/>
        <v>0</v>
      </c>
      <c r="I55" s="51"/>
    </row>
    <row r="56" spans="1:9" x14ac:dyDescent="0.25">
      <c r="B56" s="63" t="s">
        <v>109</v>
      </c>
      <c r="F56" s="95">
        <f>SUM(F50:F55)</f>
        <v>8.1799999999999998E-2</v>
      </c>
      <c r="G56" s="62">
        <f>SUM(G50:G55)</f>
        <v>224.28</v>
      </c>
      <c r="I56" s="163"/>
    </row>
    <row r="57" spans="1:9" x14ac:dyDescent="0.25">
      <c r="A57" s="176" t="s">
        <v>139</v>
      </c>
      <c r="B57" s="176"/>
      <c r="C57" s="176"/>
      <c r="D57" s="176"/>
      <c r="E57" s="176"/>
      <c r="F57" s="94">
        <f>SUM(F56:F56)</f>
        <v>8.1799999999999998E-2</v>
      </c>
      <c r="G57" s="78">
        <f>SUM(G56:G56)</f>
        <v>224.28</v>
      </c>
      <c r="I57" s="74"/>
    </row>
    <row r="58" spans="1:9" x14ac:dyDescent="0.25">
      <c r="A58" s="60" t="s">
        <v>16</v>
      </c>
      <c r="B58" s="84" t="s">
        <v>26</v>
      </c>
      <c r="C58" s="93"/>
      <c r="D58" s="92"/>
      <c r="E58" s="92"/>
      <c r="F58" s="91"/>
      <c r="G58" s="90"/>
      <c r="I58" s="74"/>
    </row>
    <row r="59" spans="1:9" x14ac:dyDescent="0.25">
      <c r="A59" s="55" t="s">
        <v>0</v>
      </c>
      <c r="B59" t="s">
        <v>138</v>
      </c>
      <c r="F59" s="89">
        <v>0</v>
      </c>
      <c r="G59" s="51">
        <f>F59*G6</f>
        <v>0</v>
      </c>
    </row>
    <row r="60" spans="1:9" x14ac:dyDescent="0.25">
      <c r="A60" s="45"/>
      <c r="B60" s="63" t="s">
        <v>109</v>
      </c>
      <c r="C60" s="53"/>
      <c r="F60" s="88">
        <f>ROUND((SUM(F59:F59)),4)</f>
        <v>0</v>
      </c>
      <c r="G60" s="51">
        <f>F60*$G$6</f>
        <v>0</v>
      </c>
    </row>
    <row r="61" spans="1:9" ht="15" customHeight="1" x14ac:dyDescent="0.25">
      <c r="A61" s="176" t="s">
        <v>137</v>
      </c>
      <c r="B61" s="176"/>
      <c r="C61" s="176"/>
      <c r="D61" s="176"/>
      <c r="E61" s="176"/>
      <c r="F61" s="79">
        <f>SUM(F59:F60)</f>
        <v>0</v>
      </c>
      <c r="G61" s="78">
        <f>SUM(G59:G60)</f>
        <v>0</v>
      </c>
    </row>
    <row r="62" spans="1:9" ht="15" customHeight="1" x14ac:dyDescent="0.25">
      <c r="A62" s="87"/>
      <c r="B62" s="87"/>
      <c r="C62" s="86"/>
      <c r="D62" s="86"/>
      <c r="E62" s="86"/>
      <c r="F62" s="64"/>
      <c r="G62" s="62"/>
    </row>
    <row r="63" spans="1:9" x14ac:dyDescent="0.25">
      <c r="A63" s="85" t="s">
        <v>136</v>
      </c>
      <c r="B63" s="84"/>
      <c r="C63" s="83"/>
      <c r="D63" s="61"/>
      <c r="E63" s="61"/>
      <c r="F63" s="82" t="s">
        <v>135</v>
      </c>
      <c r="G63" s="81" t="s">
        <v>15</v>
      </c>
    </row>
    <row r="64" spans="1:9" x14ac:dyDescent="0.25">
      <c r="A64" s="80" t="s">
        <v>9</v>
      </c>
      <c r="B64" s="57" t="s">
        <v>134</v>
      </c>
      <c r="G64" s="51">
        <f>G57</f>
        <v>224.28</v>
      </c>
    </row>
    <row r="65" spans="1:9" x14ac:dyDescent="0.25">
      <c r="A65" s="80" t="s">
        <v>16</v>
      </c>
      <c r="B65" s="57" t="s">
        <v>26</v>
      </c>
      <c r="G65" s="51">
        <f>G61</f>
        <v>0</v>
      </c>
    </row>
    <row r="66" spans="1:9" x14ac:dyDescent="0.25">
      <c r="A66" s="176" t="s">
        <v>133</v>
      </c>
      <c r="B66" s="176"/>
      <c r="C66" s="176"/>
      <c r="D66" s="176"/>
      <c r="E66" s="176"/>
      <c r="F66" s="79"/>
      <c r="G66" s="78">
        <f>SUM(G64:G65)</f>
        <v>224.28</v>
      </c>
      <c r="I66" s="74"/>
    </row>
    <row r="68" spans="1:9" x14ac:dyDescent="0.25">
      <c r="A68" s="178" t="s">
        <v>30</v>
      </c>
      <c r="B68" s="178"/>
      <c r="C68" s="178"/>
      <c r="D68" s="178"/>
      <c r="E68" s="178"/>
      <c r="F68" s="178"/>
      <c r="G68" s="178"/>
    </row>
    <row r="69" spans="1:9" x14ac:dyDescent="0.25">
      <c r="A69" s="70">
        <v>5</v>
      </c>
      <c r="B69" s="69" t="s">
        <v>8</v>
      </c>
      <c r="C69" s="68"/>
      <c r="D69" s="67"/>
      <c r="E69" s="67"/>
      <c r="F69" s="66" t="s">
        <v>43</v>
      </c>
      <c r="G69" s="65"/>
    </row>
    <row r="70" spans="1:9" x14ac:dyDescent="0.25">
      <c r="A70" s="55" t="s">
        <v>0</v>
      </c>
      <c r="B70" t="s">
        <v>132</v>
      </c>
      <c r="G70" s="140">
        <f>Uniforme!F10</f>
        <v>51.43</v>
      </c>
    </row>
    <row r="71" spans="1:9" x14ac:dyDescent="0.25">
      <c r="A71" s="55" t="s">
        <v>1</v>
      </c>
      <c r="B71" t="s">
        <v>131</v>
      </c>
      <c r="G71" s="51">
        <f>'Materiais-Limpeza'!E38</f>
        <v>204.42</v>
      </c>
    </row>
    <row r="72" spans="1:9" x14ac:dyDescent="0.25">
      <c r="A72" s="55" t="s">
        <v>2</v>
      </c>
      <c r="B72" t="s">
        <v>130</v>
      </c>
      <c r="G72" s="51">
        <f>'Equipamentos de Limpeza'!G22</f>
        <v>13.43</v>
      </c>
    </row>
    <row r="73" spans="1:9" x14ac:dyDescent="0.25">
      <c r="A73" s="55" t="s">
        <v>1</v>
      </c>
      <c r="B73" t="s">
        <v>49</v>
      </c>
      <c r="G73" s="51">
        <v>110.94</v>
      </c>
    </row>
    <row r="74" spans="1:9" x14ac:dyDescent="0.25">
      <c r="A74" s="176" t="s">
        <v>129</v>
      </c>
      <c r="B74" s="176"/>
      <c r="C74" s="176"/>
      <c r="D74" s="176"/>
      <c r="E74" s="176"/>
      <c r="F74" s="79"/>
      <c r="G74" s="78">
        <f>SUM(G70:G73)</f>
        <v>380.22</v>
      </c>
      <c r="I74" s="74"/>
    </row>
    <row r="76" spans="1:9" x14ac:dyDescent="0.25">
      <c r="A76" s="178" t="s">
        <v>128</v>
      </c>
      <c r="B76" s="178"/>
      <c r="C76" s="178"/>
      <c r="D76" s="178"/>
      <c r="E76" s="178"/>
      <c r="F76" s="178"/>
      <c r="G76" s="178"/>
    </row>
    <row r="77" spans="1:9" x14ac:dyDescent="0.25">
      <c r="A77" s="70">
        <v>6</v>
      </c>
      <c r="B77" s="69" t="s">
        <v>17</v>
      </c>
      <c r="C77" s="68"/>
      <c r="D77" s="67"/>
      <c r="E77" s="67"/>
      <c r="F77" s="66" t="s">
        <v>43</v>
      </c>
      <c r="G77" s="65"/>
    </row>
    <row r="78" spans="1:9" x14ac:dyDescent="0.25">
      <c r="A78" s="55" t="s">
        <v>0</v>
      </c>
      <c r="B78" t="s">
        <v>127</v>
      </c>
      <c r="F78" s="52">
        <v>0.05</v>
      </c>
      <c r="G78" s="51">
        <f>G99*F78</f>
        <v>167.32</v>
      </c>
    </row>
    <row r="79" spans="1:9" x14ac:dyDescent="0.25">
      <c r="A79" s="55" t="s">
        <v>1</v>
      </c>
      <c r="B79" t="s">
        <v>19</v>
      </c>
      <c r="F79" s="52">
        <v>0.1</v>
      </c>
      <c r="G79" s="51">
        <f>(G99+G78)*F79</f>
        <v>351.37</v>
      </c>
    </row>
    <row r="80" spans="1:9" x14ac:dyDescent="0.25">
      <c r="B80" s="63" t="s">
        <v>126</v>
      </c>
      <c r="F80" s="64">
        <f>SUM(F78:F79)</f>
        <v>0.15</v>
      </c>
      <c r="G80" s="62">
        <f>SUM(G78:G79)</f>
        <v>518.69000000000005</v>
      </c>
      <c r="I80" s="74"/>
    </row>
    <row r="81" spans="1:13" s="57" customFormat="1" x14ac:dyDescent="0.25">
      <c r="A81" s="55" t="s">
        <v>2</v>
      </c>
      <c r="B81" t="s">
        <v>18</v>
      </c>
      <c r="C81" s="54"/>
      <c r="D81" s="53"/>
      <c r="E81" s="53"/>
      <c r="F81" s="52"/>
      <c r="G81" s="51"/>
      <c r="M81" s="77"/>
    </row>
    <row r="82" spans="1:13" s="57" customFormat="1" x14ac:dyDescent="0.25">
      <c r="A82" s="55" t="s">
        <v>22</v>
      </c>
      <c r="B82" t="s">
        <v>125</v>
      </c>
      <c r="C82" s="54"/>
      <c r="D82" s="53"/>
      <c r="E82" s="53"/>
      <c r="F82" s="52"/>
      <c r="G82" s="51"/>
    </row>
    <row r="83" spans="1:13" s="57" customFormat="1" x14ac:dyDescent="0.25">
      <c r="A83" s="55"/>
      <c r="B83" t="s">
        <v>21</v>
      </c>
      <c r="C83" s="54"/>
      <c r="D83" s="53"/>
      <c r="E83" s="53"/>
      <c r="F83" s="52">
        <v>0.03</v>
      </c>
      <c r="G83" s="51">
        <f>(($G$80+$G$99)/(1-($F$83+$F$84+$F$86)))*(F83)</f>
        <v>126.93</v>
      </c>
    </row>
    <row r="84" spans="1:13" s="57" customFormat="1" x14ac:dyDescent="0.25">
      <c r="A84" s="55"/>
      <c r="B84" t="s">
        <v>20</v>
      </c>
      <c r="C84" s="54"/>
      <c r="D84" s="53"/>
      <c r="E84" s="53"/>
      <c r="F84" s="52">
        <v>6.4999999999999997E-3</v>
      </c>
      <c r="G84" s="51">
        <f>(($G$80+$G$99)/(1-($F$83+$F$84+$F$86)))*(F84)</f>
        <v>27.5</v>
      </c>
    </row>
    <row r="85" spans="1:13" s="57" customFormat="1" x14ac:dyDescent="0.25">
      <c r="A85" s="55" t="s">
        <v>124</v>
      </c>
      <c r="B85" t="s">
        <v>123</v>
      </c>
      <c r="C85" s="54"/>
      <c r="D85" s="53"/>
      <c r="E85" s="53"/>
      <c r="F85" s="52"/>
      <c r="G85" s="51"/>
    </row>
    <row r="86" spans="1:13" s="57" customFormat="1" x14ac:dyDescent="0.25">
      <c r="A86" s="55"/>
      <c r="B86" t="s">
        <v>31</v>
      </c>
      <c r="C86" s="54"/>
      <c r="D86" s="53"/>
      <c r="E86" s="53"/>
      <c r="F86" s="52">
        <v>0.05</v>
      </c>
      <c r="G86" s="51">
        <f t="shared" ref="G86" si="1">(($G$80+$G$99)/(1-($F$83+$F$84+$F$86)))*(F86)</f>
        <v>211.55</v>
      </c>
    </row>
    <row r="87" spans="1:13" s="57" customFormat="1" x14ac:dyDescent="0.25">
      <c r="A87" s="55" t="s">
        <v>122</v>
      </c>
      <c r="B87" t="s">
        <v>121</v>
      </c>
      <c r="C87" s="54"/>
      <c r="D87" s="53"/>
      <c r="E87" s="53"/>
      <c r="F87" s="52"/>
      <c r="G87" s="51"/>
    </row>
    <row r="88" spans="1:13" s="57" customFormat="1" x14ac:dyDescent="0.25">
      <c r="A88" s="55" t="s">
        <v>120</v>
      </c>
      <c r="B88" t="s">
        <v>119</v>
      </c>
      <c r="C88" s="54"/>
      <c r="D88" s="53"/>
      <c r="E88" s="53"/>
      <c r="F88" s="52"/>
      <c r="G88" s="51"/>
    </row>
    <row r="89" spans="1:13" s="57" customFormat="1" x14ac:dyDescent="0.25">
      <c r="A89" s="55"/>
      <c r="B89" s="63" t="s">
        <v>118</v>
      </c>
      <c r="C89" s="54"/>
      <c r="D89" s="53"/>
      <c r="E89" s="53"/>
      <c r="F89" s="64">
        <f>F83+F84+F86+F88</f>
        <v>8.6499999999999994E-2</v>
      </c>
      <c r="G89" s="62">
        <f>G83+G84+G86+G88</f>
        <v>365.98</v>
      </c>
      <c r="I89" s="58"/>
    </row>
    <row r="90" spans="1:13" x14ac:dyDescent="0.25">
      <c r="A90" s="176" t="s">
        <v>117</v>
      </c>
      <c r="B90" s="176"/>
      <c r="C90" s="176"/>
      <c r="D90" s="176"/>
      <c r="E90" s="176"/>
      <c r="F90" s="76"/>
      <c r="G90" s="75">
        <f>G80+G89</f>
        <v>884.67</v>
      </c>
      <c r="I90" s="74"/>
      <c r="J90" s="51"/>
    </row>
    <row r="91" spans="1:13" x14ac:dyDescent="0.25">
      <c r="A91" s="45"/>
      <c r="B91" s="45"/>
      <c r="C91" s="73"/>
      <c r="D91" s="73"/>
      <c r="E91" s="73"/>
      <c r="F91" s="72"/>
      <c r="G91" s="71"/>
    </row>
    <row r="92" spans="1:13" x14ac:dyDescent="0.25">
      <c r="A92" s="178" t="s">
        <v>116</v>
      </c>
      <c r="B92" s="178"/>
      <c r="C92" s="178"/>
      <c r="D92" s="178"/>
      <c r="E92" s="178"/>
      <c r="F92" s="178"/>
      <c r="G92" s="178"/>
    </row>
    <row r="93" spans="1:13" x14ac:dyDescent="0.25">
      <c r="A93" s="70"/>
      <c r="B93" s="69" t="s">
        <v>115</v>
      </c>
      <c r="C93" s="68"/>
      <c r="D93" s="67"/>
      <c r="E93" s="67"/>
      <c r="F93" s="66" t="s">
        <v>43</v>
      </c>
      <c r="G93" s="65"/>
    </row>
    <row r="94" spans="1:13" x14ac:dyDescent="0.25">
      <c r="A94" s="55" t="s">
        <v>0</v>
      </c>
      <c r="B94" s="1" t="s">
        <v>114</v>
      </c>
      <c r="G94" s="51">
        <f>G6</f>
        <v>1201.3</v>
      </c>
    </row>
    <row r="95" spans="1:13" x14ac:dyDescent="0.25">
      <c r="A95" s="55" t="s">
        <v>1</v>
      </c>
      <c r="B95" s="1" t="s">
        <v>113</v>
      </c>
      <c r="G95" s="51">
        <f>G36</f>
        <v>1361.67</v>
      </c>
    </row>
    <row r="96" spans="1:13" x14ac:dyDescent="0.25">
      <c r="A96" s="55" t="s">
        <v>2</v>
      </c>
      <c r="B96" s="1" t="s">
        <v>112</v>
      </c>
      <c r="F96" s="64"/>
      <c r="G96" s="51">
        <f>G46</f>
        <v>178.93</v>
      </c>
    </row>
    <row r="97" spans="1:9" x14ac:dyDescent="0.25">
      <c r="A97" s="55" t="s">
        <v>3</v>
      </c>
      <c r="B97" s="1" t="s">
        <v>111</v>
      </c>
      <c r="G97" s="51">
        <f>G66</f>
        <v>224.28</v>
      </c>
    </row>
    <row r="98" spans="1:9" x14ac:dyDescent="0.25">
      <c r="A98" s="55" t="s">
        <v>4</v>
      </c>
      <c r="B98" s="1" t="s">
        <v>110</v>
      </c>
      <c r="G98" s="51">
        <f>G74</f>
        <v>380.22</v>
      </c>
    </row>
    <row r="99" spans="1:9" x14ac:dyDescent="0.25">
      <c r="B99" s="63" t="s">
        <v>109</v>
      </c>
      <c r="G99" s="62">
        <f>SUM(G94:G98)</f>
        <v>3346.4</v>
      </c>
    </row>
    <row r="100" spans="1:9" x14ac:dyDescent="0.25">
      <c r="A100" s="55" t="s">
        <v>5</v>
      </c>
      <c r="B100" s="1" t="s">
        <v>108</v>
      </c>
      <c r="G100" s="51">
        <f>G90</f>
        <v>884.67</v>
      </c>
    </row>
    <row r="101" spans="1:9" s="57" customFormat="1" x14ac:dyDescent="0.25">
      <c r="A101" s="61"/>
      <c r="B101" s="61" t="s">
        <v>107</v>
      </c>
      <c r="C101" s="61"/>
      <c r="D101" s="61"/>
      <c r="E101" s="61"/>
      <c r="F101" s="60"/>
      <c r="G101" s="59">
        <f>(G99+G80)/(1-F89)</f>
        <v>4231.08</v>
      </c>
      <c r="I101" s="58"/>
    </row>
    <row r="103" spans="1:9" x14ac:dyDescent="0.25">
      <c r="A103" s="179"/>
      <c r="B103" s="179"/>
      <c r="C103" s="179"/>
      <c r="D103" s="179"/>
      <c r="E103" s="179"/>
      <c r="F103" s="179"/>
      <c r="G103" s="179"/>
      <c r="I103" s="56">
        <v>11452.58</v>
      </c>
    </row>
    <row r="104" spans="1:9" x14ac:dyDescent="0.25">
      <c r="A104" s="180"/>
      <c r="B104" s="180"/>
      <c r="C104" s="180"/>
      <c r="D104" s="180"/>
      <c r="E104" s="180"/>
      <c r="F104" s="180"/>
      <c r="G104" s="180"/>
    </row>
  </sheetData>
  <sheetProtection formatCells="0" formatColumns="0" formatRows="0" insertColumns="0" insertRows="0" insertHyperlinks="0" deleteColumns="0" deleteRows="0"/>
  <mergeCells count="18">
    <mergeCell ref="A103:G103"/>
    <mergeCell ref="A104:G104"/>
    <mergeCell ref="A74:E74"/>
    <mergeCell ref="A76:G76"/>
    <mergeCell ref="A90:E90"/>
    <mergeCell ref="A92:G92"/>
    <mergeCell ref="A61:E61"/>
    <mergeCell ref="A66:E66"/>
    <mergeCell ref="A1:G1"/>
    <mergeCell ref="A68:G68"/>
    <mergeCell ref="A38:G38"/>
    <mergeCell ref="A2:G2"/>
    <mergeCell ref="A6:E6"/>
    <mergeCell ref="A8:G8"/>
    <mergeCell ref="A36:F36"/>
    <mergeCell ref="A46:E46"/>
    <mergeCell ref="A48:G48"/>
    <mergeCell ref="A57:E57"/>
  </mergeCells>
  <pageMargins left="0.25" right="0.25" top="0.75" bottom="0.75" header="0.3" footer="0.3"/>
  <pageSetup paperSize="9" scale="70" fitToHeight="0" orientation="portrait" r:id="rId1"/>
  <rowBreaks count="1" manualBreakCount="1">
    <brk id="5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23EFA-6170-481D-B707-5CBB611E7254}">
  <sheetPr>
    <tabColor theme="5" tint="-0.249977111117893"/>
    <pageSetUpPr fitToPage="1"/>
  </sheetPr>
  <dimension ref="A1:M104"/>
  <sheetViews>
    <sheetView view="pageBreakPreview" topLeftCell="A70" zoomScaleNormal="100" zoomScaleSheetLayoutView="100" workbookViewId="0">
      <selection activeCell="G99" sqref="G99"/>
    </sheetView>
  </sheetViews>
  <sheetFormatPr defaultRowHeight="15" x14ac:dyDescent="0.25"/>
  <cols>
    <col min="1" max="1" width="7.42578125" style="55" customWidth="1"/>
    <col min="2" max="2" width="45.7109375" customWidth="1"/>
    <col min="3" max="3" width="11" style="54" customWidth="1"/>
    <col min="4" max="4" width="10.28515625" style="53" customWidth="1"/>
    <col min="5" max="5" width="9.85546875" style="53" customWidth="1"/>
    <col min="6" max="6" width="16.28515625" style="52" customWidth="1"/>
    <col min="7" max="7" width="16.42578125" style="51" bestFit="1" customWidth="1"/>
    <col min="8" max="8" width="0.140625" customWidth="1"/>
    <col min="9" max="9" width="23.85546875" customWidth="1"/>
    <col min="10" max="10" width="14" customWidth="1"/>
  </cols>
  <sheetData>
    <row r="1" spans="1:10" ht="18.75" x14ac:dyDescent="0.3">
      <c r="A1" s="177" t="s">
        <v>185</v>
      </c>
      <c r="B1" s="177"/>
      <c r="C1" s="177"/>
      <c r="D1" s="177"/>
      <c r="E1" s="177"/>
      <c r="F1" s="177"/>
      <c r="G1" s="177"/>
      <c r="H1" s="139"/>
      <c r="I1" s="138"/>
    </row>
    <row r="2" spans="1:10" x14ac:dyDescent="0.25">
      <c r="A2" s="178" t="s">
        <v>181</v>
      </c>
      <c r="B2" s="178"/>
      <c r="C2" s="178"/>
      <c r="D2" s="178"/>
      <c r="E2" s="178"/>
      <c r="F2" s="178"/>
      <c r="G2" s="178"/>
    </row>
    <row r="3" spans="1:10" x14ac:dyDescent="0.25">
      <c r="A3" s="87">
        <v>1</v>
      </c>
      <c r="B3" s="63" t="s">
        <v>180</v>
      </c>
      <c r="C3" s="103"/>
      <c r="D3" s="137" t="s">
        <v>179</v>
      </c>
      <c r="E3" s="87" t="s">
        <v>160</v>
      </c>
      <c r="F3" s="64" t="s">
        <v>178</v>
      </c>
      <c r="G3" s="62" t="s">
        <v>109</v>
      </c>
    </row>
    <row r="4" spans="1:10" x14ac:dyDescent="0.25">
      <c r="A4" s="2" t="s">
        <v>0</v>
      </c>
      <c r="B4" s="63" t="s">
        <v>182</v>
      </c>
      <c r="D4" s="136">
        <v>1</v>
      </c>
      <c r="E4" s="55">
        <v>1</v>
      </c>
      <c r="F4" s="135">
        <v>1358.86</v>
      </c>
      <c r="G4" s="134">
        <f>F4*E4</f>
        <v>1358.86</v>
      </c>
      <c r="I4" s="133"/>
      <c r="J4" s="51"/>
    </row>
    <row r="5" spans="1:10" x14ac:dyDescent="0.25">
      <c r="A5" s="55" t="s">
        <v>1</v>
      </c>
      <c r="B5" s="63" t="s">
        <v>176</v>
      </c>
      <c r="G5" s="51">
        <v>0</v>
      </c>
    </row>
    <row r="6" spans="1:10" x14ac:dyDescent="0.25">
      <c r="A6" s="176" t="s">
        <v>175</v>
      </c>
      <c r="B6" s="176"/>
      <c r="C6" s="176"/>
      <c r="D6" s="176"/>
      <c r="E6" s="176"/>
      <c r="F6" s="132"/>
      <c r="G6" s="78">
        <f>SUM(G4:G5)</f>
        <v>1358.86</v>
      </c>
    </row>
    <row r="8" spans="1:10" x14ac:dyDescent="0.25">
      <c r="A8" s="178" t="s">
        <v>27</v>
      </c>
      <c r="B8" s="178"/>
      <c r="C8" s="178"/>
      <c r="D8" s="178"/>
      <c r="E8" s="178"/>
      <c r="F8" s="178"/>
      <c r="G8" s="178"/>
    </row>
    <row r="9" spans="1:10" x14ac:dyDescent="0.25">
      <c r="A9" s="131" t="s">
        <v>23</v>
      </c>
      <c r="B9" s="69" t="s">
        <v>174</v>
      </c>
      <c r="C9" s="96"/>
      <c r="D9" s="96"/>
      <c r="E9" s="96"/>
      <c r="F9" s="130" t="s">
        <v>145</v>
      </c>
      <c r="G9" s="119"/>
    </row>
    <row r="10" spans="1:10" x14ac:dyDescent="0.25">
      <c r="A10" s="80" t="s">
        <v>0</v>
      </c>
      <c r="B10" s="122" t="s">
        <v>173</v>
      </c>
      <c r="C10" s="116"/>
      <c r="D10" s="116"/>
      <c r="E10" s="116"/>
      <c r="F10" s="121">
        <f>1/12</f>
        <v>8.3299999999999999E-2</v>
      </c>
      <c r="G10" s="120">
        <f>ROUND((F10*G6),2)</f>
        <v>113.19</v>
      </c>
    </row>
    <row r="11" spans="1:10" x14ac:dyDescent="0.25">
      <c r="A11" s="80" t="s">
        <v>1</v>
      </c>
      <c r="B11" s="122" t="s">
        <v>32</v>
      </c>
      <c r="C11" s="116"/>
      <c r="D11" s="116"/>
      <c r="E11" s="116"/>
      <c r="F11" s="165">
        <v>8.3299999999999999E-2</v>
      </c>
      <c r="G11" s="120">
        <f>ROUND((F11*G6),2)</f>
        <v>113.19</v>
      </c>
    </row>
    <row r="12" spans="1:10" x14ac:dyDescent="0.25">
      <c r="A12" s="80" t="s">
        <v>2</v>
      </c>
      <c r="B12" s="122" t="s">
        <v>172</v>
      </c>
      <c r="C12" s="116"/>
      <c r="D12" s="116"/>
      <c r="E12" s="116"/>
      <c r="F12" s="121">
        <f>F11*1/3</f>
        <v>2.7799999999999998E-2</v>
      </c>
      <c r="G12" s="120">
        <f>ROUND((F12*G6),2)</f>
        <v>37.78</v>
      </c>
    </row>
    <row r="13" spans="1:10" x14ac:dyDescent="0.25">
      <c r="A13" s="80"/>
      <c r="B13" s="117" t="s">
        <v>109</v>
      </c>
      <c r="C13" s="116"/>
      <c r="D13" s="116"/>
      <c r="E13" s="116"/>
      <c r="F13" s="129">
        <f>SUM(F10:F12)</f>
        <v>0.19439999999999999</v>
      </c>
      <c r="G13" s="128">
        <f>SUM(G10:G12)</f>
        <v>264.16000000000003</v>
      </c>
      <c r="I13" s="74"/>
    </row>
    <row r="14" spans="1:10" x14ac:dyDescent="0.25">
      <c r="A14" s="80" t="s">
        <v>3</v>
      </c>
      <c r="B14" s="122" t="s">
        <v>171</v>
      </c>
      <c r="C14" s="116"/>
      <c r="D14" s="116"/>
      <c r="E14" s="116"/>
      <c r="F14" s="121">
        <f>F13*F26</f>
        <v>7.1499999999999994E-2</v>
      </c>
      <c r="G14" s="127">
        <f>ROUND((F14*G6),2)</f>
        <v>97.16</v>
      </c>
    </row>
    <row r="15" spans="1:10" x14ac:dyDescent="0.25">
      <c r="A15" s="126"/>
      <c r="B15" s="126" t="s">
        <v>170</v>
      </c>
      <c r="C15" s="67"/>
      <c r="D15" s="67"/>
      <c r="E15" s="67"/>
      <c r="F15" s="79">
        <f>SUM(F13:F14)</f>
        <v>0.26590000000000003</v>
      </c>
      <c r="G15" s="118">
        <f>SUM(G13:G14)</f>
        <v>361.32</v>
      </c>
      <c r="I15" s="74"/>
    </row>
    <row r="16" spans="1:10" x14ac:dyDescent="0.25">
      <c r="A16" s="80"/>
      <c r="B16" s="80"/>
      <c r="C16" s="116"/>
      <c r="D16" s="116"/>
      <c r="E16" s="116"/>
      <c r="F16" s="80"/>
      <c r="G16" s="80"/>
    </row>
    <row r="17" spans="1:9" x14ac:dyDescent="0.25">
      <c r="A17" s="114" t="s">
        <v>24</v>
      </c>
      <c r="B17" s="84" t="s">
        <v>169</v>
      </c>
      <c r="C17" s="92"/>
      <c r="D17" s="92"/>
      <c r="E17" s="92"/>
      <c r="F17" s="125" t="s">
        <v>145</v>
      </c>
      <c r="G17" s="124"/>
    </row>
    <row r="18" spans="1:9" x14ac:dyDescent="0.25">
      <c r="A18" s="80" t="s">
        <v>0</v>
      </c>
      <c r="B18" s="122" t="s">
        <v>11</v>
      </c>
      <c r="C18" s="116"/>
      <c r="D18" s="116"/>
      <c r="E18" s="116"/>
      <c r="F18" s="121">
        <v>0.2</v>
      </c>
      <c r="G18" s="120">
        <f>ROUND((F18*G6),2)</f>
        <v>271.77</v>
      </c>
    </row>
    <row r="19" spans="1:9" x14ac:dyDescent="0.25">
      <c r="A19" s="80" t="s">
        <v>1</v>
      </c>
      <c r="B19" s="122" t="s">
        <v>168</v>
      </c>
      <c r="C19" s="116"/>
      <c r="D19" s="116"/>
      <c r="E19" s="116"/>
      <c r="F19" s="121">
        <v>2.5000000000000001E-2</v>
      </c>
      <c r="G19" s="120">
        <f>ROUND((F19*G6),2)</f>
        <v>33.97</v>
      </c>
    </row>
    <row r="20" spans="1:9" x14ac:dyDescent="0.25">
      <c r="A20" s="80" t="s">
        <v>2</v>
      </c>
      <c r="B20" s="122" t="s">
        <v>167</v>
      </c>
      <c r="C20" s="116"/>
      <c r="D20" s="116"/>
      <c r="E20" s="116"/>
      <c r="F20" s="121">
        <v>0.03</v>
      </c>
      <c r="G20" s="120">
        <f>ROUND((F20*G6),2)</f>
        <v>40.770000000000003</v>
      </c>
    </row>
    <row r="21" spans="1:9" x14ac:dyDescent="0.25">
      <c r="A21" s="80" t="s">
        <v>3</v>
      </c>
      <c r="B21" s="122" t="s">
        <v>166</v>
      </c>
      <c r="C21" s="116"/>
      <c r="D21" s="116"/>
      <c r="E21" s="116"/>
      <c r="F21" s="121">
        <v>1.4999999999999999E-2</v>
      </c>
      <c r="G21" s="120">
        <f>ROUND((F21*G6),2)</f>
        <v>20.38</v>
      </c>
    </row>
    <row r="22" spans="1:9" x14ac:dyDescent="0.25">
      <c r="A22" s="80" t="s">
        <v>4</v>
      </c>
      <c r="B22" s="123" t="s">
        <v>165</v>
      </c>
      <c r="C22" s="116"/>
      <c r="D22" s="116"/>
      <c r="E22" s="116"/>
      <c r="F22" s="121">
        <v>0.01</v>
      </c>
      <c r="G22" s="120">
        <f>ROUND((F22*G6),2)</f>
        <v>13.59</v>
      </c>
    </row>
    <row r="23" spans="1:9" x14ac:dyDescent="0.25">
      <c r="A23" s="80" t="s">
        <v>5</v>
      </c>
      <c r="B23" s="122" t="s">
        <v>14</v>
      </c>
      <c r="C23" s="116"/>
      <c r="D23" s="116"/>
      <c r="E23" s="116"/>
      <c r="F23" s="121">
        <v>6.0000000000000001E-3</v>
      </c>
      <c r="G23" s="120">
        <f>ROUND((F23*G6),2)</f>
        <v>8.15</v>
      </c>
    </row>
    <row r="24" spans="1:9" x14ac:dyDescent="0.25">
      <c r="A24" s="80" t="s">
        <v>6</v>
      </c>
      <c r="B24" s="122" t="s">
        <v>12</v>
      </c>
      <c r="C24" s="116"/>
      <c r="D24" s="116"/>
      <c r="E24" s="116"/>
      <c r="F24" s="121">
        <v>2E-3</v>
      </c>
      <c r="G24" s="120">
        <f>ROUND((F24*G6),2)</f>
        <v>2.72</v>
      </c>
    </row>
    <row r="25" spans="1:9" x14ac:dyDescent="0.25">
      <c r="A25" s="80" t="s">
        <v>7</v>
      </c>
      <c r="B25" s="122" t="s">
        <v>13</v>
      </c>
      <c r="C25" s="116"/>
      <c r="D25" s="116"/>
      <c r="E25" s="116"/>
      <c r="F25" s="121">
        <v>0.08</v>
      </c>
      <c r="G25" s="120">
        <f>ROUND((F25*G6),2)</f>
        <v>108.71</v>
      </c>
    </row>
    <row r="26" spans="1:9" x14ac:dyDescent="0.25">
      <c r="A26" s="106"/>
      <c r="B26" s="119" t="s">
        <v>164</v>
      </c>
      <c r="C26" s="67"/>
      <c r="D26" s="67"/>
      <c r="E26" s="67"/>
      <c r="F26" s="79">
        <f>SUM(F18:F25)</f>
        <v>0.36799999999999999</v>
      </c>
      <c r="G26" s="118">
        <f>SUM(G18:G25)</f>
        <v>500.06</v>
      </c>
      <c r="I26" s="74"/>
    </row>
    <row r="27" spans="1:9" x14ac:dyDescent="0.25">
      <c r="A27" s="80"/>
      <c r="B27" s="117"/>
      <c r="C27" s="116"/>
      <c r="D27" s="116"/>
      <c r="E27" s="116"/>
      <c r="F27" s="80"/>
      <c r="G27" s="80"/>
    </row>
    <row r="28" spans="1:9" x14ac:dyDescent="0.25">
      <c r="A28" s="114" t="s">
        <v>25</v>
      </c>
      <c r="B28" s="84" t="s">
        <v>163</v>
      </c>
      <c r="C28" s="115" t="s">
        <v>162</v>
      </c>
      <c r="D28" s="114" t="s">
        <v>161</v>
      </c>
      <c r="E28" s="114" t="s">
        <v>160</v>
      </c>
      <c r="F28" s="113" t="s">
        <v>38</v>
      </c>
      <c r="G28" s="112" t="s">
        <v>109</v>
      </c>
    </row>
    <row r="29" spans="1:9" x14ac:dyDescent="0.25">
      <c r="A29" s="166" t="s">
        <v>0</v>
      </c>
      <c r="B29" t="s">
        <v>159</v>
      </c>
      <c r="C29" s="111">
        <v>0.06</v>
      </c>
      <c r="D29" s="2">
        <v>22</v>
      </c>
      <c r="E29" s="2">
        <v>2</v>
      </c>
      <c r="F29" s="104">
        <v>4.4000000000000004</v>
      </c>
      <c r="G29" s="51">
        <f>IF((F29*D29*E29)-C29*G4&lt;0,0,(F29*D29*E29)-C29*G4)</f>
        <v>112.07</v>
      </c>
    </row>
    <row r="30" spans="1:9" x14ac:dyDescent="0.25">
      <c r="A30" s="166" t="s">
        <v>1</v>
      </c>
      <c r="B30" t="s">
        <v>203</v>
      </c>
      <c r="C30" s="110"/>
      <c r="D30" s="2">
        <v>22</v>
      </c>
      <c r="E30" s="2">
        <v>1</v>
      </c>
      <c r="F30" s="104">
        <f>15.93-1.11</f>
        <v>14.82</v>
      </c>
      <c r="G30" s="109">
        <f>F30*D30</f>
        <v>326.04000000000002</v>
      </c>
      <c r="I30" s="74"/>
    </row>
    <row r="31" spans="1:9" x14ac:dyDescent="0.25">
      <c r="A31" s="166" t="s">
        <v>2</v>
      </c>
      <c r="B31" t="s">
        <v>158</v>
      </c>
      <c r="C31" s="2"/>
      <c r="D31" s="2">
        <v>1</v>
      </c>
      <c r="E31" s="2">
        <v>1</v>
      </c>
      <c r="F31" s="104">
        <v>28</v>
      </c>
      <c r="G31" s="109">
        <f>(1-C31)*(F31*E31*D31)</f>
        <v>28</v>
      </c>
      <c r="I31" s="74"/>
    </row>
    <row r="32" spans="1:9" x14ac:dyDescent="0.25">
      <c r="A32" s="166" t="s">
        <v>3</v>
      </c>
      <c r="B32" t="s">
        <v>157</v>
      </c>
      <c r="F32" s="108">
        <v>13.67</v>
      </c>
      <c r="G32" s="107">
        <f>F32*(1-C32)</f>
        <v>13.67</v>
      </c>
    </row>
    <row r="33" spans="1:13" x14ac:dyDescent="0.25">
      <c r="A33" s="166" t="s">
        <v>4</v>
      </c>
      <c r="B33" t="s">
        <v>202</v>
      </c>
      <c r="F33" s="108">
        <v>110.94</v>
      </c>
      <c r="G33" s="107">
        <v>110.94</v>
      </c>
    </row>
    <row r="34" spans="1:13" x14ac:dyDescent="0.25">
      <c r="A34" s="106"/>
      <c r="B34" s="69" t="s">
        <v>156</v>
      </c>
      <c r="C34" s="68"/>
      <c r="D34" s="67"/>
      <c r="E34" s="67"/>
      <c r="F34" s="105"/>
      <c r="G34" s="78">
        <f>SUM(G29:G32)</f>
        <v>479.78</v>
      </c>
      <c r="I34" s="74"/>
    </row>
    <row r="35" spans="1:13" x14ac:dyDescent="0.25">
      <c r="F35" s="104"/>
    </row>
    <row r="36" spans="1:13" x14ac:dyDescent="0.25">
      <c r="A36" s="176" t="s">
        <v>155</v>
      </c>
      <c r="B36" s="176"/>
      <c r="C36" s="176"/>
      <c r="D36" s="176"/>
      <c r="E36" s="176"/>
      <c r="F36" s="176"/>
      <c r="G36" s="78">
        <f>G15+G26+G34</f>
        <v>1341.16</v>
      </c>
      <c r="I36" s="74"/>
    </row>
    <row r="38" spans="1:13" x14ac:dyDescent="0.25">
      <c r="A38" s="178" t="s">
        <v>28</v>
      </c>
      <c r="B38" s="178"/>
      <c r="C38" s="178"/>
      <c r="D38" s="178"/>
      <c r="E38" s="178"/>
      <c r="F38" s="178"/>
      <c r="G38" s="178"/>
    </row>
    <row r="39" spans="1:13" x14ac:dyDescent="0.25">
      <c r="A39" s="70">
        <v>3</v>
      </c>
      <c r="B39" s="69" t="s">
        <v>154</v>
      </c>
      <c r="C39" s="97"/>
      <c r="D39" s="96"/>
      <c r="E39" s="96"/>
      <c r="F39" s="79" t="s">
        <v>10</v>
      </c>
      <c r="G39" s="78" t="s">
        <v>15</v>
      </c>
    </row>
    <row r="40" spans="1:13" x14ac:dyDescent="0.25">
      <c r="A40" s="2" t="s">
        <v>0</v>
      </c>
      <c r="B40" s="1" t="s">
        <v>153</v>
      </c>
      <c r="C40" s="103"/>
      <c r="D40" s="86"/>
      <c r="E40" s="86"/>
      <c r="F40" s="102">
        <f>(1/12)*0.055</f>
        <v>4.5999999999999999E-3</v>
      </c>
      <c r="G40" s="100">
        <f>(($G$6+($G$36-$G$25))*F40)</f>
        <v>11.92</v>
      </c>
      <c r="I40" s="74"/>
    </row>
    <row r="41" spans="1:13" x14ac:dyDescent="0.25">
      <c r="A41" s="2" t="s">
        <v>1</v>
      </c>
      <c r="B41" s="1" t="s">
        <v>152</v>
      </c>
      <c r="C41" s="103"/>
      <c r="D41" s="86"/>
      <c r="E41" s="86"/>
      <c r="F41" s="102">
        <f>ROUND((F40*F25),4)</f>
        <v>4.0000000000000002E-4</v>
      </c>
      <c r="G41" s="100">
        <f>(($G$6+($G$36-$G$25))*F41)</f>
        <v>1.04</v>
      </c>
      <c r="I41" s="74"/>
    </row>
    <row r="42" spans="1:13" x14ac:dyDescent="0.25">
      <c r="A42" s="2" t="s">
        <v>2</v>
      </c>
      <c r="B42" s="1" t="s">
        <v>151</v>
      </c>
      <c r="C42" s="103"/>
      <c r="D42" s="86"/>
      <c r="E42" s="86"/>
      <c r="F42" s="102">
        <f>4%</f>
        <v>0.04</v>
      </c>
      <c r="G42" s="100">
        <f>(($G$6+($G$36-$G$25))*F42)</f>
        <v>103.65</v>
      </c>
      <c r="I42" s="74"/>
      <c r="J42" t="s">
        <v>150</v>
      </c>
    </row>
    <row r="43" spans="1:13" x14ac:dyDescent="0.25">
      <c r="A43" s="2" t="s">
        <v>3</v>
      </c>
      <c r="B43" s="1" t="s">
        <v>149</v>
      </c>
      <c r="C43" s="103"/>
      <c r="D43" s="86"/>
      <c r="E43" s="86"/>
      <c r="F43" s="102">
        <f>((1/30)*7)/12</f>
        <v>1.9400000000000001E-2</v>
      </c>
      <c r="G43" s="100">
        <f>($G$6+$G$36)*F43</f>
        <v>52.38</v>
      </c>
      <c r="I43" s="74"/>
    </row>
    <row r="44" spans="1:13" x14ac:dyDescent="0.25">
      <c r="A44" s="55" t="s">
        <v>4</v>
      </c>
      <c r="B44" s="1" t="s">
        <v>148</v>
      </c>
      <c r="F44" s="101">
        <f>ROUND((F43*F26),4)</f>
        <v>7.1000000000000004E-3</v>
      </c>
      <c r="G44" s="100">
        <f>($G$6+$G$36)*F44</f>
        <v>19.170000000000002</v>
      </c>
      <c r="I44" s="74"/>
    </row>
    <row r="45" spans="1:13" x14ac:dyDescent="0.25">
      <c r="A45" s="55" t="s">
        <v>5</v>
      </c>
      <c r="B45" s="1" t="s">
        <v>147</v>
      </c>
      <c r="F45" s="101">
        <f>0</f>
        <v>0</v>
      </c>
      <c r="G45" s="100">
        <f>ROUND((F45*G6),2)</f>
        <v>0</v>
      </c>
      <c r="I45" s="74"/>
    </row>
    <row r="46" spans="1:13" x14ac:dyDescent="0.25">
      <c r="A46" s="176" t="s">
        <v>146</v>
      </c>
      <c r="B46" s="176"/>
      <c r="C46" s="176"/>
      <c r="D46" s="176"/>
      <c r="E46" s="176"/>
      <c r="F46" s="79">
        <f>SUM(F40:F45)</f>
        <v>7.1499999999999994E-2</v>
      </c>
      <c r="G46" s="78">
        <f>SUM(G40:G45)</f>
        <v>188.16</v>
      </c>
      <c r="I46" s="99"/>
    </row>
    <row r="47" spans="1:13" x14ac:dyDescent="0.25">
      <c r="M47" s="98">
        <f>8%*40%*0.29%</f>
        <v>0</v>
      </c>
    </row>
    <row r="48" spans="1:13" x14ac:dyDescent="0.25">
      <c r="A48" s="178" t="s">
        <v>29</v>
      </c>
      <c r="B48" s="178"/>
      <c r="C48" s="178"/>
      <c r="D48" s="178"/>
      <c r="E48" s="178"/>
      <c r="F48" s="178"/>
      <c r="G48" s="178"/>
    </row>
    <row r="49" spans="1:9" x14ac:dyDescent="0.25">
      <c r="A49" s="70" t="s">
        <v>9</v>
      </c>
      <c r="B49" s="69" t="s">
        <v>134</v>
      </c>
      <c r="C49" s="97"/>
      <c r="D49" s="96"/>
      <c r="E49" s="96"/>
      <c r="F49" s="94" t="s">
        <v>145</v>
      </c>
      <c r="G49" s="78"/>
    </row>
    <row r="50" spans="1:9" x14ac:dyDescent="0.25">
      <c r="A50" s="55" t="s">
        <v>0</v>
      </c>
      <c r="B50" t="s">
        <v>144</v>
      </c>
      <c r="F50" s="89">
        <f>(1/12/12)+(1/12/12)+(1/12/12/3)</f>
        <v>1.6199999999999999E-2</v>
      </c>
      <c r="G50" s="51">
        <f>F50*($G$46+$G$36+$G$6)</f>
        <v>46.79</v>
      </c>
    </row>
    <row r="51" spans="1:9" x14ac:dyDescent="0.25">
      <c r="A51" s="55" t="s">
        <v>1</v>
      </c>
      <c r="B51" t="s">
        <v>134</v>
      </c>
      <c r="F51" s="89">
        <f>(((13/12)/22)*8)/12</f>
        <v>3.2800000000000003E-2</v>
      </c>
      <c r="G51" s="51">
        <f t="shared" ref="G51:G55" si="0">F51*($G$46+$G$36+$G$6)</f>
        <v>94.73</v>
      </c>
    </row>
    <row r="52" spans="1:9" x14ac:dyDescent="0.25">
      <c r="A52" s="55" t="s">
        <v>2</v>
      </c>
      <c r="B52" t="s">
        <v>143</v>
      </c>
      <c r="F52" s="89">
        <f>(((13/12)/22)*0.2)/12</f>
        <v>8.0000000000000004E-4</v>
      </c>
      <c r="G52" s="51">
        <f t="shared" si="0"/>
        <v>2.31</v>
      </c>
    </row>
    <row r="53" spans="1:9" x14ac:dyDescent="0.25">
      <c r="A53" s="55" t="s">
        <v>3</v>
      </c>
      <c r="B53" t="s">
        <v>142</v>
      </c>
      <c r="F53" s="89">
        <f>(((13/12)/22)*6)/12</f>
        <v>2.46E-2</v>
      </c>
      <c r="G53" s="51">
        <f t="shared" si="0"/>
        <v>71.05</v>
      </c>
    </row>
    <row r="54" spans="1:9" x14ac:dyDescent="0.25">
      <c r="A54" s="55" t="s">
        <v>4</v>
      </c>
      <c r="B54" t="s">
        <v>141</v>
      </c>
      <c r="F54" s="89">
        <f>(((13/12)/22)*1.8)/12</f>
        <v>7.4000000000000003E-3</v>
      </c>
      <c r="G54" s="51">
        <f t="shared" si="0"/>
        <v>21.37</v>
      </c>
    </row>
    <row r="55" spans="1:9" x14ac:dyDescent="0.25">
      <c r="A55" s="55" t="s">
        <v>5</v>
      </c>
      <c r="B55" t="s">
        <v>140</v>
      </c>
      <c r="F55" s="89">
        <v>0</v>
      </c>
      <c r="G55" s="51">
        <f t="shared" si="0"/>
        <v>0</v>
      </c>
    </row>
    <row r="56" spans="1:9" x14ac:dyDescent="0.25">
      <c r="B56" s="63" t="s">
        <v>109</v>
      </c>
      <c r="F56" s="95">
        <f>SUM(F50:F55)</f>
        <v>8.1799999999999998E-2</v>
      </c>
      <c r="G56" s="62">
        <f>SUM(G50:G55)</f>
        <v>236.25</v>
      </c>
      <c r="I56" s="74"/>
    </row>
    <row r="57" spans="1:9" x14ac:dyDescent="0.25">
      <c r="A57" s="176" t="s">
        <v>139</v>
      </c>
      <c r="B57" s="176"/>
      <c r="C57" s="176"/>
      <c r="D57" s="176"/>
      <c r="E57" s="176"/>
      <c r="F57" s="94">
        <f>SUM(F56:F56)</f>
        <v>8.1799999999999998E-2</v>
      </c>
      <c r="G57" s="78">
        <f>SUM(G56:G56)</f>
        <v>236.25</v>
      </c>
      <c r="I57" s="74"/>
    </row>
    <row r="58" spans="1:9" x14ac:dyDescent="0.25">
      <c r="A58" s="60" t="s">
        <v>16</v>
      </c>
      <c r="B58" s="84" t="s">
        <v>26</v>
      </c>
      <c r="C58" s="93"/>
      <c r="D58" s="92"/>
      <c r="E58" s="92"/>
      <c r="F58" s="91"/>
      <c r="G58" s="90"/>
      <c r="I58" s="74"/>
    </row>
    <row r="59" spans="1:9" x14ac:dyDescent="0.25">
      <c r="A59" s="55" t="s">
        <v>0</v>
      </c>
      <c r="B59" t="s">
        <v>138</v>
      </c>
      <c r="F59" s="89">
        <v>0</v>
      </c>
      <c r="G59" s="51">
        <f>F59*G6</f>
        <v>0</v>
      </c>
    </row>
    <row r="60" spans="1:9" x14ac:dyDescent="0.25">
      <c r="A60" s="45"/>
      <c r="B60" s="63" t="s">
        <v>109</v>
      </c>
      <c r="C60" s="53"/>
      <c r="F60" s="88">
        <f>ROUND((SUM(F59:F59)),4)</f>
        <v>0</v>
      </c>
      <c r="G60" s="51">
        <f>F60*$G$6</f>
        <v>0</v>
      </c>
    </row>
    <row r="61" spans="1:9" ht="15" customHeight="1" x14ac:dyDescent="0.25">
      <c r="A61" s="176" t="s">
        <v>137</v>
      </c>
      <c r="B61" s="176"/>
      <c r="C61" s="176"/>
      <c r="D61" s="176"/>
      <c r="E61" s="176"/>
      <c r="F61" s="79">
        <f>SUM(F59:F60)</f>
        <v>0</v>
      </c>
      <c r="G61" s="78">
        <f>SUM(G59:G60)</f>
        <v>0</v>
      </c>
    </row>
    <row r="62" spans="1:9" ht="15" customHeight="1" x14ac:dyDescent="0.25">
      <c r="A62" s="87"/>
      <c r="B62" s="87"/>
      <c r="C62" s="86"/>
      <c r="D62" s="86"/>
      <c r="E62" s="86"/>
      <c r="F62" s="64"/>
      <c r="G62" s="62"/>
    </row>
    <row r="63" spans="1:9" x14ac:dyDescent="0.25">
      <c r="A63" s="85" t="s">
        <v>136</v>
      </c>
      <c r="B63" s="84"/>
      <c r="C63" s="83"/>
      <c r="D63" s="61"/>
      <c r="E63" s="61"/>
      <c r="F63" s="82" t="s">
        <v>135</v>
      </c>
      <c r="G63" s="81" t="s">
        <v>15</v>
      </c>
    </row>
    <row r="64" spans="1:9" x14ac:dyDescent="0.25">
      <c r="A64" s="80" t="s">
        <v>9</v>
      </c>
      <c r="B64" s="57" t="s">
        <v>134</v>
      </c>
      <c r="G64" s="51">
        <f>G57</f>
        <v>236.25</v>
      </c>
    </row>
    <row r="65" spans="1:9" x14ac:dyDescent="0.25">
      <c r="A65" s="80" t="s">
        <v>16</v>
      </c>
      <c r="B65" s="57" t="s">
        <v>26</v>
      </c>
      <c r="G65" s="51">
        <f>G61</f>
        <v>0</v>
      </c>
    </row>
    <row r="66" spans="1:9" x14ac:dyDescent="0.25">
      <c r="A66" s="176" t="s">
        <v>133</v>
      </c>
      <c r="B66" s="176"/>
      <c r="C66" s="176"/>
      <c r="D66" s="176"/>
      <c r="E66" s="176"/>
      <c r="F66" s="79"/>
      <c r="G66" s="78">
        <f>SUM(G64:G65)</f>
        <v>236.25</v>
      </c>
      <c r="I66" s="74"/>
    </row>
    <row r="68" spans="1:9" x14ac:dyDescent="0.25">
      <c r="A68" s="178" t="s">
        <v>30</v>
      </c>
      <c r="B68" s="178"/>
      <c r="C68" s="178"/>
      <c r="D68" s="178"/>
      <c r="E68" s="178"/>
      <c r="F68" s="178"/>
      <c r="G68" s="178"/>
    </row>
    <row r="69" spans="1:9" x14ac:dyDescent="0.25">
      <c r="A69" s="70">
        <v>5</v>
      </c>
      <c r="B69" s="69" t="s">
        <v>8</v>
      </c>
      <c r="C69" s="68"/>
      <c r="D69" s="67"/>
      <c r="E69" s="67"/>
      <c r="F69" s="66" t="s">
        <v>43</v>
      </c>
      <c r="G69" s="65"/>
    </row>
    <row r="70" spans="1:9" x14ac:dyDescent="0.25">
      <c r="A70" s="55" t="s">
        <v>0</v>
      </c>
      <c r="B70" t="s">
        <v>132</v>
      </c>
      <c r="G70" s="140">
        <f>Uniforme!F10</f>
        <v>51.43</v>
      </c>
    </row>
    <row r="71" spans="1:9" x14ac:dyDescent="0.25">
      <c r="A71" s="55" t="s">
        <v>1</v>
      </c>
      <c r="B71" t="s">
        <v>131</v>
      </c>
      <c r="G71" s="51">
        <f>'Materiais-Limpeza'!E38</f>
        <v>204.42</v>
      </c>
    </row>
    <row r="72" spans="1:9" x14ac:dyDescent="0.25">
      <c r="A72" s="55" t="s">
        <v>2</v>
      </c>
      <c r="B72" t="s">
        <v>130</v>
      </c>
      <c r="G72" s="51">
        <f>'Equipamentos de Limpeza'!G22</f>
        <v>13.43</v>
      </c>
    </row>
    <row r="73" spans="1:9" x14ac:dyDescent="0.25">
      <c r="A73" s="55" t="s">
        <v>1</v>
      </c>
      <c r="B73" t="s">
        <v>49</v>
      </c>
      <c r="G73" s="51">
        <v>110.94</v>
      </c>
    </row>
    <row r="74" spans="1:9" x14ac:dyDescent="0.25">
      <c r="A74" s="176" t="s">
        <v>129</v>
      </c>
      <c r="B74" s="176"/>
      <c r="C74" s="176"/>
      <c r="D74" s="176"/>
      <c r="E74" s="176"/>
      <c r="F74" s="79"/>
      <c r="G74" s="78">
        <f>SUM(G70:G73)</f>
        <v>380.22</v>
      </c>
      <c r="I74" s="74"/>
    </row>
    <row r="76" spans="1:9" x14ac:dyDescent="0.25">
      <c r="A76" s="178" t="s">
        <v>128</v>
      </c>
      <c r="B76" s="178"/>
      <c r="C76" s="178"/>
      <c r="D76" s="178"/>
      <c r="E76" s="178"/>
      <c r="F76" s="178"/>
      <c r="G76" s="178"/>
    </row>
    <row r="77" spans="1:9" x14ac:dyDescent="0.25">
      <c r="A77" s="70">
        <v>6</v>
      </c>
      <c r="B77" s="69" t="s">
        <v>17</v>
      </c>
      <c r="C77" s="68"/>
      <c r="D77" s="67"/>
      <c r="E77" s="67"/>
      <c r="F77" s="66" t="s">
        <v>43</v>
      </c>
      <c r="G77" s="65"/>
    </row>
    <row r="78" spans="1:9" x14ac:dyDescent="0.25">
      <c r="A78" s="55" t="s">
        <v>0</v>
      </c>
      <c r="B78" t="s">
        <v>127</v>
      </c>
      <c r="F78" s="52">
        <v>0.05</v>
      </c>
      <c r="G78" s="51">
        <f>G99*F78</f>
        <v>175.23</v>
      </c>
    </row>
    <row r="79" spans="1:9" x14ac:dyDescent="0.25">
      <c r="A79" s="55" t="s">
        <v>1</v>
      </c>
      <c r="B79" t="s">
        <v>19</v>
      </c>
      <c r="F79" s="52">
        <v>0.1</v>
      </c>
      <c r="G79" s="51">
        <f>(G99+G78)*F79</f>
        <v>367.99</v>
      </c>
    </row>
    <row r="80" spans="1:9" x14ac:dyDescent="0.25">
      <c r="B80" s="63" t="s">
        <v>126</v>
      </c>
      <c r="F80" s="64">
        <f>SUM(F78:F79)</f>
        <v>0.15</v>
      </c>
      <c r="G80" s="62">
        <f>SUM(G78:G79)</f>
        <v>543.22</v>
      </c>
      <c r="I80" s="74"/>
    </row>
    <row r="81" spans="1:13" s="57" customFormat="1" x14ac:dyDescent="0.25">
      <c r="A81" s="55" t="s">
        <v>2</v>
      </c>
      <c r="B81" t="s">
        <v>18</v>
      </c>
      <c r="C81" s="54"/>
      <c r="D81" s="53"/>
      <c r="E81" s="53"/>
      <c r="F81" s="52"/>
      <c r="G81" s="51"/>
      <c r="M81" s="77"/>
    </row>
    <row r="82" spans="1:13" s="57" customFormat="1" x14ac:dyDescent="0.25">
      <c r="A82" s="55" t="s">
        <v>22</v>
      </c>
      <c r="B82" t="s">
        <v>125</v>
      </c>
      <c r="C82" s="54"/>
      <c r="D82" s="53"/>
      <c r="E82" s="53"/>
      <c r="F82" s="52"/>
      <c r="G82" s="51"/>
    </row>
    <row r="83" spans="1:13" s="57" customFormat="1" x14ac:dyDescent="0.25">
      <c r="A83" s="55"/>
      <c r="B83" t="s">
        <v>21</v>
      </c>
      <c r="C83" s="54"/>
      <c r="D83" s="53"/>
      <c r="E83" s="53"/>
      <c r="F83" s="52">
        <v>0.03</v>
      </c>
      <c r="G83" s="51">
        <f>(($G$80+$G$99)/(1-($F$83+$F$84+$F$86)))*(F83)</f>
        <v>132.93</v>
      </c>
    </row>
    <row r="84" spans="1:13" s="57" customFormat="1" x14ac:dyDescent="0.25">
      <c r="A84" s="55"/>
      <c r="B84" t="s">
        <v>20</v>
      </c>
      <c r="C84" s="54"/>
      <c r="D84" s="53"/>
      <c r="E84" s="53"/>
      <c r="F84" s="52">
        <v>6.4999999999999997E-3</v>
      </c>
      <c r="G84" s="51">
        <f>(($G$80+$G$99)/(1-($F$83+$F$84+$F$86)))*(F84)</f>
        <v>28.8</v>
      </c>
    </row>
    <row r="85" spans="1:13" s="57" customFormat="1" x14ac:dyDescent="0.25">
      <c r="A85" s="55" t="s">
        <v>124</v>
      </c>
      <c r="B85" t="s">
        <v>123</v>
      </c>
      <c r="C85" s="54"/>
      <c r="D85" s="53"/>
      <c r="E85" s="53"/>
      <c r="F85" s="52"/>
      <c r="G85" s="51"/>
    </row>
    <row r="86" spans="1:13" s="57" customFormat="1" x14ac:dyDescent="0.25">
      <c r="A86" s="55"/>
      <c r="B86" t="s">
        <v>31</v>
      </c>
      <c r="C86" s="54"/>
      <c r="D86" s="53"/>
      <c r="E86" s="53"/>
      <c r="F86" s="52">
        <v>0.05</v>
      </c>
      <c r="G86" s="51">
        <f t="shared" ref="G86" si="1">(($G$80+$G$99)/(1-($F$83+$F$84+$F$86)))*(F86)</f>
        <v>221.56</v>
      </c>
    </row>
    <row r="87" spans="1:13" s="57" customFormat="1" x14ac:dyDescent="0.25">
      <c r="A87" s="55" t="s">
        <v>122</v>
      </c>
      <c r="B87" t="s">
        <v>121</v>
      </c>
      <c r="C87" s="54"/>
      <c r="D87" s="53"/>
      <c r="E87" s="53"/>
      <c r="F87" s="52"/>
      <c r="G87" s="51"/>
    </row>
    <row r="88" spans="1:13" s="57" customFormat="1" x14ac:dyDescent="0.25">
      <c r="A88" s="55" t="s">
        <v>120</v>
      </c>
      <c r="B88" t="s">
        <v>119</v>
      </c>
      <c r="C88" s="54"/>
      <c r="D88" s="53"/>
      <c r="E88" s="53"/>
      <c r="F88" s="52"/>
      <c r="G88" s="51"/>
    </row>
    <row r="89" spans="1:13" s="57" customFormat="1" x14ac:dyDescent="0.25">
      <c r="A89" s="55"/>
      <c r="B89" s="63" t="s">
        <v>118</v>
      </c>
      <c r="C89" s="54"/>
      <c r="D89" s="53"/>
      <c r="E89" s="53"/>
      <c r="F89" s="64">
        <f>F83+F84+F86+F88</f>
        <v>8.6499999999999994E-2</v>
      </c>
      <c r="G89" s="62">
        <f>G83+G84+G86+G88</f>
        <v>383.29</v>
      </c>
      <c r="I89" s="58"/>
    </row>
    <row r="90" spans="1:13" x14ac:dyDescent="0.25">
      <c r="A90" s="176" t="s">
        <v>117</v>
      </c>
      <c r="B90" s="176"/>
      <c r="C90" s="176"/>
      <c r="D90" s="176"/>
      <c r="E90" s="176"/>
      <c r="F90" s="76"/>
      <c r="G90" s="75">
        <f>G80+G89</f>
        <v>926.51</v>
      </c>
      <c r="I90" s="74"/>
      <c r="J90" s="51"/>
    </row>
    <row r="91" spans="1:13" x14ac:dyDescent="0.25">
      <c r="A91" s="45"/>
      <c r="B91" s="45"/>
      <c r="C91" s="73"/>
      <c r="D91" s="73"/>
      <c r="E91" s="73"/>
      <c r="F91" s="72"/>
      <c r="G91" s="71"/>
    </row>
    <row r="92" spans="1:13" x14ac:dyDescent="0.25">
      <c r="A92" s="178" t="s">
        <v>116</v>
      </c>
      <c r="B92" s="178"/>
      <c r="C92" s="178"/>
      <c r="D92" s="178"/>
      <c r="E92" s="178"/>
      <c r="F92" s="178"/>
      <c r="G92" s="178"/>
    </row>
    <row r="93" spans="1:13" x14ac:dyDescent="0.25">
      <c r="A93" s="70"/>
      <c r="B93" s="69" t="s">
        <v>115</v>
      </c>
      <c r="C93" s="68"/>
      <c r="D93" s="67"/>
      <c r="E93" s="67"/>
      <c r="F93" s="66" t="s">
        <v>43</v>
      </c>
      <c r="G93" s="65"/>
    </row>
    <row r="94" spans="1:13" x14ac:dyDescent="0.25">
      <c r="A94" s="55" t="s">
        <v>0</v>
      </c>
      <c r="B94" s="1" t="s">
        <v>114</v>
      </c>
      <c r="G94" s="51">
        <f>G6</f>
        <v>1358.86</v>
      </c>
    </row>
    <row r="95" spans="1:13" x14ac:dyDescent="0.25">
      <c r="A95" s="55" t="s">
        <v>1</v>
      </c>
      <c r="B95" s="1" t="s">
        <v>113</v>
      </c>
      <c r="G95" s="51">
        <f>G36</f>
        <v>1341.16</v>
      </c>
    </row>
    <row r="96" spans="1:13" x14ac:dyDescent="0.25">
      <c r="A96" s="55" t="s">
        <v>2</v>
      </c>
      <c r="B96" s="1" t="s">
        <v>112</v>
      </c>
      <c r="F96" s="64"/>
      <c r="G96" s="51">
        <f>G46</f>
        <v>188.16</v>
      </c>
    </row>
    <row r="97" spans="1:9" x14ac:dyDescent="0.25">
      <c r="A97" s="55" t="s">
        <v>3</v>
      </c>
      <c r="B97" s="1" t="s">
        <v>111</v>
      </c>
      <c r="G97" s="51">
        <f>G66</f>
        <v>236.25</v>
      </c>
    </row>
    <row r="98" spans="1:9" x14ac:dyDescent="0.25">
      <c r="A98" s="55" t="s">
        <v>4</v>
      </c>
      <c r="B98" s="1" t="s">
        <v>110</v>
      </c>
      <c r="G98" s="51">
        <f>G74</f>
        <v>380.22</v>
      </c>
    </row>
    <row r="99" spans="1:9" x14ac:dyDescent="0.25">
      <c r="B99" s="63" t="s">
        <v>109</v>
      </c>
      <c r="G99" s="62">
        <f>SUM(G94:G98)</f>
        <v>3504.65</v>
      </c>
    </row>
    <row r="100" spans="1:9" x14ac:dyDescent="0.25">
      <c r="A100" s="55" t="s">
        <v>5</v>
      </c>
      <c r="B100" s="1" t="s">
        <v>108</v>
      </c>
      <c r="G100" s="51">
        <f>G90</f>
        <v>926.51</v>
      </c>
    </row>
    <row r="101" spans="1:9" s="57" customFormat="1" x14ac:dyDescent="0.25">
      <c r="A101" s="61"/>
      <c r="B101" s="61" t="s">
        <v>107</v>
      </c>
      <c r="C101" s="61"/>
      <c r="D101" s="61"/>
      <c r="E101" s="61"/>
      <c r="F101" s="60"/>
      <c r="G101" s="59">
        <f>(G99+G80)/(1-F89)</f>
        <v>4431.17</v>
      </c>
      <c r="I101" s="58"/>
    </row>
    <row r="103" spans="1:9" x14ac:dyDescent="0.25">
      <c r="A103" s="179"/>
      <c r="B103" s="179"/>
      <c r="C103" s="179"/>
      <c r="D103" s="179"/>
      <c r="E103" s="179"/>
      <c r="F103" s="179"/>
      <c r="G103" s="179"/>
      <c r="I103" s="56">
        <v>11452.58</v>
      </c>
    </row>
    <row r="104" spans="1:9" x14ac:dyDescent="0.25">
      <c r="A104" s="180"/>
      <c r="B104" s="180"/>
      <c r="C104" s="180"/>
      <c r="D104" s="180"/>
      <c r="E104" s="180"/>
      <c r="F104" s="180"/>
      <c r="G104" s="180"/>
    </row>
  </sheetData>
  <sheetProtection formatCells="0" formatColumns="0" formatRows="0" insertColumns="0" insertRows="0" insertHyperlinks="0" deleteColumns="0" deleteRows="0"/>
  <mergeCells count="18">
    <mergeCell ref="A104:G104"/>
    <mergeCell ref="A46:E46"/>
    <mergeCell ref="A48:G48"/>
    <mergeCell ref="A57:E57"/>
    <mergeCell ref="A61:E61"/>
    <mergeCell ref="A66:E66"/>
    <mergeCell ref="A68:G68"/>
    <mergeCell ref="A74:E74"/>
    <mergeCell ref="A76:G76"/>
    <mergeCell ref="A90:E90"/>
    <mergeCell ref="A92:G92"/>
    <mergeCell ref="A103:G103"/>
    <mergeCell ref="A38:G38"/>
    <mergeCell ref="A1:G1"/>
    <mergeCell ref="A2:G2"/>
    <mergeCell ref="A6:E6"/>
    <mergeCell ref="A8:G8"/>
    <mergeCell ref="A36:F36"/>
  </mergeCells>
  <pageMargins left="0.25" right="0.25" top="0.75" bottom="0.75" header="0.3" footer="0.3"/>
  <pageSetup paperSize="9" scale="84" fitToHeight="0" orientation="portrait" r:id="rId1"/>
  <rowBreaks count="1" manualBreakCount="1">
    <brk id="58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7E2C0-A728-463C-BED3-449A73A5CA6C}">
  <sheetPr>
    <tabColor theme="5" tint="-0.249977111117893"/>
    <pageSetUpPr fitToPage="1"/>
  </sheetPr>
  <dimension ref="A1:M101"/>
  <sheetViews>
    <sheetView view="pageBreakPreview" topLeftCell="A73" zoomScaleNormal="100" zoomScaleSheetLayoutView="100" workbookViewId="0">
      <selection activeCell="G86" sqref="G86"/>
    </sheetView>
  </sheetViews>
  <sheetFormatPr defaultRowHeight="15" x14ac:dyDescent="0.25"/>
  <cols>
    <col min="1" max="1" width="7.42578125" style="55" customWidth="1"/>
    <col min="2" max="2" width="45.7109375" customWidth="1"/>
    <col min="3" max="3" width="11" style="54" customWidth="1"/>
    <col min="4" max="4" width="10.28515625" style="53" customWidth="1"/>
    <col min="5" max="5" width="9.85546875" style="53" customWidth="1"/>
    <col min="6" max="6" width="16.28515625" style="52" customWidth="1"/>
    <col min="7" max="7" width="16.42578125" style="51" bestFit="1" customWidth="1"/>
    <col min="8" max="8" width="0.140625" customWidth="1"/>
    <col min="9" max="9" width="23.85546875" customWidth="1"/>
    <col min="10" max="10" width="14" customWidth="1"/>
  </cols>
  <sheetData>
    <row r="1" spans="1:10" ht="18.75" x14ac:dyDescent="0.3">
      <c r="A1" s="177" t="s">
        <v>186</v>
      </c>
      <c r="B1" s="177"/>
      <c r="C1" s="177"/>
      <c r="D1" s="177"/>
      <c r="E1" s="177"/>
      <c r="F1" s="177"/>
      <c r="G1" s="177"/>
      <c r="H1" s="139"/>
      <c r="I1" s="138"/>
    </row>
    <row r="2" spans="1:10" x14ac:dyDescent="0.25">
      <c r="A2" s="178" t="s">
        <v>181</v>
      </c>
      <c r="B2" s="178"/>
      <c r="C2" s="178"/>
      <c r="D2" s="178"/>
      <c r="E2" s="178"/>
      <c r="F2" s="178"/>
      <c r="G2" s="178"/>
    </row>
    <row r="3" spans="1:10" x14ac:dyDescent="0.25">
      <c r="A3" s="87">
        <v>1</v>
      </c>
      <c r="B3" s="63" t="s">
        <v>180</v>
      </c>
      <c r="C3" s="103"/>
      <c r="D3" s="137" t="s">
        <v>179</v>
      </c>
      <c r="E3" s="87" t="s">
        <v>160</v>
      </c>
      <c r="F3" s="64" t="s">
        <v>178</v>
      </c>
      <c r="G3" s="62" t="s">
        <v>109</v>
      </c>
    </row>
    <row r="4" spans="1:10" x14ac:dyDescent="0.25">
      <c r="A4" s="2" t="s">
        <v>0</v>
      </c>
      <c r="B4" s="63" t="s">
        <v>184</v>
      </c>
      <c r="D4" s="136">
        <v>1</v>
      </c>
      <c r="E4" s="55">
        <v>1</v>
      </c>
      <c r="F4" s="135">
        <v>1271.71</v>
      </c>
      <c r="G4" s="134">
        <f>F4*E4</f>
        <v>1271.71</v>
      </c>
      <c r="I4" s="133"/>
      <c r="J4" s="51"/>
    </row>
    <row r="5" spans="1:10" x14ac:dyDescent="0.25">
      <c r="A5" s="55" t="s">
        <v>1</v>
      </c>
      <c r="B5" s="63" t="s">
        <v>176</v>
      </c>
      <c r="G5" s="51">
        <v>0</v>
      </c>
    </row>
    <row r="6" spans="1:10" x14ac:dyDescent="0.25">
      <c r="A6" s="176" t="s">
        <v>175</v>
      </c>
      <c r="B6" s="176"/>
      <c r="C6" s="176"/>
      <c r="D6" s="176"/>
      <c r="E6" s="176"/>
      <c r="F6" s="132"/>
      <c r="G6" s="78">
        <f>SUM(G4:G5)</f>
        <v>1271.71</v>
      </c>
    </row>
    <row r="8" spans="1:10" x14ac:dyDescent="0.25">
      <c r="A8" s="178" t="s">
        <v>27</v>
      </c>
      <c r="B8" s="178"/>
      <c r="C8" s="178"/>
      <c r="D8" s="178"/>
      <c r="E8" s="178"/>
      <c r="F8" s="178"/>
      <c r="G8" s="178"/>
    </row>
    <row r="9" spans="1:10" x14ac:dyDescent="0.25">
      <c r="A9" s="131" t="s">
        <v>23</v>
      </c>
      <c r="B9" s="69" t="s">
        <v>174</v>
      </c>
      <c r="C9" s="96"/>
      <c r="D9" s="96"/>
      <c r="E9" s="96"/>
      <c r="F9" s="130" t="s">
        <v>145</v>
      </c>
      <c r="G9" s="119"/>
    </row>
    <row r="10" spans="1:10" x14ac:dyDescent="0.25">
      <c r="A10" s="80" t="s">
        <v>0</v>
      </c>
      <c r="B10" s="122" t="s">
        <v>173</v>
      </c>
      <c r="C10" s="116"/>
      <c r="D10" s="116"/>
      <c r="E10" s="116"/>
      <c r="F10" s="121">
        <f>1/12</f>
        <v>8.3299999999999999E-2</v>
      </c>
      <c r="G10" s="120">
        <f>ROUND((F10*G6),2)</f>
        <v>105.93</v>
      </c>
    </row>
    <row r="11" spans="1:10" x14ac:dyDescent="0.25">
      <c r="A11" s="80" t="s">
        <v>1</v>
      </c>
      <c r="B11" s="122" t="s">
        <v>32</v>
      </c>
      <c r="C11" s="116"/>
      <c r="D11" s="116"/>
      <c r="E11" s="116"/>
      <c r="F11" s="165">
        <v>8.3299999999999999E-2</v>
      </c>
      <c r="G11" s="120">
        <f>ROUND((F11*G6),2)</f>
        <v>105.93</v>
      </c>
    </row>
    <row r="12" spans="1:10" x14ac:dyDescent="0.25">
      <c r="A12" s="80" t="s">
        <v>2</v>
      </c>
      <c r="B12" s="122" t="s">
        <v>172</v>
      </c>
      <c r="C12" s="116"/>
      <c r="D12" s="116"/>
      <c r="E12" s="116"/>
      <c r="F12" s="121">
        <f>F11*1/3</f>
        <v>2.7799999999999998E-2</v>
      </c>
      <c r="G12" s="120">
        <f>ROUND((F12*G6),2)</f>
        <v>35.35</v>
      </c>
    </row>
    <row r="13" spans="1:10" x14ac:dyDescent="0.25">
      <c r="A13" s="80"/>
      <c r="B13" s="117" t="s">
        <v>109</v>
      </c>
      <c r="C13" s="116"/>
      <c r="D13" s="116"/>
      <c r="E13" s="116"/>
      <c r="F13" s="129">
        <f>SUM(F10:F12)</f>
        <v>0.19439999999999999</v>
      </c>
      <c r="G13" s="128">
        <f>SUM(G10:G12)</f>
        <v>247.21</v>
      </c>
      <c r="I13" s="74"/>
    </row>
    <row r="14" spans="1:10" x14ac:dyDescent="0.25">
      <c r="A14" s="80" t="s">
        <v>3</v>
      </c>
      <c r="B14" s="122" t="s">
        <v>171</v>
      </c>
      <c r="C14" s="116"/>
      <c r="D14" s="116"/>
      <c r="E14" s="116"/>
      <c r="F14" s="121">
        <f>F13*F26</f>
        <v>7.1499999999999994E-2</v>
      </c>
      <c r="G14" s="127">
        <f>ROUND((F14*G6),2)</f>
        <v>90.93</v>
      </c>
    </row>
    <row r="15" spans="1:10" x14ac:dyDescent="0.25">
      <c r="A15" s="126"/>
      <c r="B15" s="126" t="s">
        <v>170</v>
      </c>
      <c r="C15" s="67"/>
      <c r="D15" s="67"/>
      <c r="E15" s="67"/>
      <c r="F15" s="79">
        <f>SUM(F13:F14)</f>
        <v>0.26590000000000003</v>
      </c>
      <c r="G15" s="118">
        <f>SUM(G13:G14)</f>
        <v>338.14</v>
      </c>
      <c r="I15" s="74"/>
    </row>
    <row r="16" spans="1:10" x14ac:dyDescent="0.25">
      <c r="A16" s="80"/>
      <c r="B16" s="80"/>
      <c r="C16" s="116"/>
      <c r="D16" s="116"/>
      <c r="E16" s="116"/>
      <c r="F16" s="80"/>
      <c r="G16" s="80"/>
    </row>
    <row r="17" spans="1:12" x14ac:dyDescent="0.25">
      <c r="A17" s="114" t="s">
        <v>24</v>
      </c>
      <c r="B17" s="84" t="s">
        <v>169</v>
      </c>
      <c r="C17" s="92"/>
      <c r="D17" s="92"/>
      <c r="E17" s="92"/>
      <c r="F17" s="125" t="s">
        <v>145</v>
      </c>
      <c r="G17" s="124"/>
    </row>
    <row r="18" spans="1:12" x14ac:dyDescent="0.25">
      <c r="A18" s="80" t="s">
        <v>0</v>
      </c>
      <c r="B18" s="122" t="s">
        <v>11</v>
      </c>
      <c r="C18" s="116"/>
      <c r="D18" s="116"/>
      <c r="E18" s="116"/>
      <c r="F18" s="121">
        <v>0.2</v>
      </c>
      <c r="G18" s="120">
        <f>ROUND((F18*G6),2)</f>
        <v>254.34</v>
      </c>
    </row>
    <row r="19" spans="1:12" x14ac:dyDescent="0.25">
      <c r="A19" s="80" t="s">
        <v>1</v>
      </c>
      <c r="B19" s="122" t="s">
        <v>168</v>
      </c>
      <c r="C19" s="116"/>
      <c r="D19" s="116"/>
      <c r="E19" s="116"/>
      <c r="F19" s="121">
        <v>2.5000000000000001E-2</v>
      </c>
      <c r="G19" s="120">
        <f>ROUND((F19*G6),2)</f>
        <v>31.79</v>
      </c>
    </row>
    <row r="20" spans="1:12" x14ac:dyDescent="0.25">
      <c r="A20" s="80" t="s">
        <v>2</v>
      </c>
      <c r="B20" s="122" t="s">
        <v>167</v>
      </c>
      <c r="C20" s="116"/>
      <c r="D20" s="116"/>
      <c r="E20" s="116"/>
      <c r="F20" s="121">
        <v>0.03</v>
      </c>
      <c r="G20" s="120">
        <f>ROUND((F20*G6),2)</f>
        <v>38.15</v>
      </c>
    </row>
    <row r="21" spans="1:12" x14ac:dyDescent="0.25">
      <c r="A21" s="80" t="s">
        <v>3</v>
      </c>
      <c r="B21" s="122" t="s">
        <v>166</v>
      </c>
      <c r="C21" s="116"/>
      <c r="D21" s="116"/>
      <c r="E21" s="116"/>
      <c r="F21" s="121">
        <v>1.4999999999999999E-2</v>
      </c>
      <c r="G21" s="120">
        <f>ROUND((F21*G6),2)</f>
        <v>19.079999999999998</v>
      </c>
    </row>
    <row r="22" spans="1:12" x14ac:dyDescent="0.25">
      <c r="A22" s="80" t="s">
        <v>4</v>
      </c>
      <c r="B22" s="123" t="s">
        <v>165</v>
      </c>
      <c r="C22" s="116"/>
      <c r="D22" s="116"/>
      <c r="E22" s="116"/>
      <c r="F22" s="121">
        <v>0.01</v>
      </c>
      <c r="G22" s="120">
        <f>ROUND((F22*G6),2)</f>
        <v>12.72</v>
      </c>
    </row>
    <row r="23" spans="1:12" x14ac:dyDescent="0.25">
      <c r="A23" s="80" t="s">
        <v>5</v>
      </c>
      <c r="B23" s="122" t="s">
        <v>14</v>
      </c>
      <c r="C23" s="116"/>
      <c r="D23" s="116"/>
      <c r="E23" s="116"/>
      <c r="F23" s="121">
        <v>6.0000000000000001E-3</v>
      </c>
      <c r="G23" s="120">
        <f>ROUND((F23*G6),2)</f>
        <v>7.63</v>
      </c>
    </row>
    <row r="24" spans="1:12" x14ac:dyDescent="0.25">
      <c r="A24" s="80" t="s">
        <v>6</v>
      </c>
      <c r="B24" s="122" t="s">
        <v>12</v>
      </c>
      <c r="C24" s="116"/>
      <c r="D24" s="116"/>
      <c r="E24" s="116"/>
      <c r="F24" s="121">
        <v>2E-3</v>
      </c>
      <c r="G24" s="120">
        <f>ROUND((F24*G6),2)</f>
        <v>2.54</v>
      </c>
    </row>
    <row r="25" spans="1:12" x14ac:dyDescent="0.25">
      <c r="A25" s="80" t="s">
        <v>7</v>
      </c>
      <c r="B25" s="122" t="s">
        <v>13</v>
      </c>
      <c r="C25" s="116"/>
      <c r="D25" s="116"/>
      <c r="E25" s="116"/>
      <c r="F25" s="121">
        <v>0.08</v>
      </c>
      <c r="G25" s="120">
        <f>ROUND((F25*G6),2)</f>
        <v>101.74</v>
      </c>
    </row>
    <row r="26" spans="1:12" x14ac:dyDescent="0.25">
      <c r="A26" s="106"/>
      <c r="B26" s="119" t="s">
        <v>164</v>
      </c>
      <c r="C26" s="67"/>
      <c r="D26" s="67"/>
      <c r="E26" s="67"/>
      <c r="F26" s="79">
        <f>SUM(F18:F25)</f>
        <v>0.36799999999999999</v>
      </c>
      <c r="G26" s="118">
        <f>SUM(G18:G25)</f>
        <v>467.99</v>
      </c>
      <c r="I26" s="74"/>
    </row>
    <row r="27" spans="1:12" x14ac:dyDescent="0.25">
      <c r="A27" s="80"/>
      <c r="B27" s="117"/>
      <c r="C27" s="116"/>
      <c r="D27" s="116"/>
      <c r="E27" s="116"/>
      <c r="F27" s="80"/>
      <c r="G27" s="80"/>
    </row>
    <row r="28" spans="1:12" x14ac:dyDescent="0.25">
      <c r="A28" s="114" t="s">
        <v>25</v>
      </c>
      <c r="B28" s="84" t="s">
        <v>163</v>
      </c>
      <c r="C28" s="115" t="s">
        <v>162</v>
      </c>
      <c r="D28" s="114" t="s">
        <v>161</v>
      </c>
      <c r="E28" s="114" t="s">
        <v>160</v>
      </c>
      <c r="F28" s="113" t="s">
        <v>38</v>
      </c>
      <c r="G28" s="112" t="s">
        <v>109</v>
      </c>
    </row>
    <row r="29" spans="1:12" x14ac:dyDescent="0.25">
      <c r="A29" s="55" t="s">
        <v>0</v>
      </c>
      <c r="B29" t="s">
        <v>159</v>
      </c>
      <c r="C29" s="111">
        <v>0.06</v>
      </c>
      <c r="D29" s="2">
        <v>22</v>
      </c>
      <c r="E29" s="2">
        <v>2</v>
      </c>
      <c r="F29" s="104">
        <v>4.4000000000000004</v>
      </c>
      <c r="G29" s="51">
        <f>IF((F29*D29*E29)-C29*G4&lt;0,0,(F29*D29*E29)-C29*G4)</f>
        <v>117.3</v>
      </c>
    </row>
    <row r="30" spans="1:12" x14ac:dyDescent="0.25">
      <c r="A30" s="55" t="s">
        <v>1</v>
      </c>
      <c r="B30" t="s">
        <v>183</v>
      </c>
      <c r="C30" s="110"/>
      <c r="D30" s="2"/>
      <c r="E30" s="2"/>
      <c r="F30" s="104">
        <v>288.02</v>
      </c>
      <c r="G30" s="109">
        <v>288.02</v>
      </c>
      <c r="I30" s="74"/>
      <c r="L30">
        <f>220-148.47</f>
        <v>71.53</v>
      </c>
    </row>
    <row r="31" spans="1:12" s="169" customFormat="1" x14ac:dyDescent="0.25">
      <c r="A31" s="168" t="s">
        <v>2</v>
      </c>
      <c r="B31" s="169" t="s">
        <v>204</v>
      </c>
      <c r="C31" s="168"/>
      <c r="D31" s="168">
        <v>1</v>
      </c>
      <c r="E31" s="168">
        <v>1</v>
      </c>
      <c r="F31" s="135">
        <v>0</v>
      </c>
      <c r="G31" s="134">
        <v>9.31</v>
      </c>
    </row>
    <row r="32" spans="1:12" x14ac:dyDescent="0.25">
      <c r="A32" s="106"/>
      <c r="B32" s="69" t="s">
        <v>156</v>
      </c>
      <c r="C32" s="68"/>
      <c r="D32" s="67"/>
      <c r="E32" s="67"/>
      <c r="F32" s="105"/>
      <c r="G32" s="78">
        <f>SUM(G29:G31)</f>
        <v>414.63</v>
      </c>
      <c r="I32" s="74"/>
    </row>
    <row r="33" spans="1:13" x14ac:dyDescent="0.25">
      <c r="F33" s="104"/>
    </row>
    <row r="34" spans="1:13" x14ac:dyDescent="0.25">
      <c r="A34" s="176" t="s">
        <v>155</v>
      </c>
      <c r="B34" s="176"/>
      <c r="C34" s="176"/>
      <c r="D34" s="176"/>
      <c r="E34" s="176"/>
      <c r="F34" s="176"/>
      <c r="G34" s="78">
        <f>G15+G26+G32</f>
        <v>1220.76</v>
      </c>
      <c r="I34" s="74"/>
    </row>
    <row r="36" spans="1:13" x14ac:dyDescent="0.25">
      <c r="A36" s="178" t="s">
        <v>28</v>
      </c>
      <c r="B36" s="178"/>
      <c r="C36" s="178"/>
      <c r="D36" s="178"/>
      <c r="E36" s="178"/>
      <c r="F36" s="178"/>
      <c r="G36" s="178"/>
    </row>
    <row r="37" spans="1:13" x14ac:dyDescent="0.25">
      <c r="A37" s="70">
        <v>3</v>
      </c>
      <c r="B37" s="69" t="s">
        <v>154</v>
      </c>
      <c r="C37" s="97"/>
      <c r="D37" s="96"/>
      <c r="E37" s="96"/>
      <c r="F37" s="79" t="s">
        <v>10</v>
      </c>
      <c r="G37" s="78" t="s">
        <v>15</v>
      </c>
    </row>
    <row r="38" spans="1:13" x14ac:dyDescent="0.25">
      <c r="A38" s="2" t="s">
        <v>0</v>
      </c>
      <c r="B38" s="1" t="s">
        <v>153</v>
      </c>
      <c r="C38" s="103"/>
      <c r="D38" s="86"/>
      <c r="E38" s="86"/>
      <c r="F38" s="102">
        <f>(1/12)*0.055</f>
        <v>4.5999999999999999E-3</v>
      </c>
      <c r="G38" s="100">
        <f>(($G$6+($G$34-$G$25))*F38)</f>
        <v>11</v>
      </c>
      <c r="I38" s="74"/>
    </row>
    <row r="39" spans="1:13" x14ac:dyDescent="0.25">
      <c r="A39" s="2" t="s">
        <v>1</v>
      </c>
      <c r="B39" s="1" t="s">
        <v>152</v>
      </c>
      <c r="C39" s="103"/>
      <c r="D39" s="86"/>
      <c r="E39" s="86"/>
      <c r="F39" s="102">
        <f>ROUND((F38*F25),4)</f>
        <v>4.0000000000000002E-4</v>
      </c>
      <c r="G39" s="100">
        <f>(($G$6+($G$34-$G$25))*F39)</f>
        <v>0.96</v>
      </c>
      <c r="I39" s="74"/>
    </row>
    <row r="40" spans="1:13" x14ac:dyDescent="0.25">
      <c r="A40" s="2" t="s">
        <v>2</v>
      </c>
      <c r="B40" s="1" t="s">
        <v>151</v>
      </c>
      <c r="C40" s="103"/>
      <c r="D40" s="86"/>
      <c r="E40" s="86"/>
      <c r="F40" s="102">
        <f>4%</f>
        <v>0.04</v>
      </c>
      <c r="G40" s="100">
        <f>(($G$6+($G$34-$G$25))*F40)</f>
        <v>95.63</v>
      </c>
      <c r="I40" s="74"/>
      <c r="J40" t="s">
        <v>150</v>
      </c>
    </row>
    <row r="41" spans="1:13" x14ac:dyDescent="0.25">
      <c r="A41" s="2" t="s">
        <v>3</v>
      </c>
      <c r="B41" s="1" t="s">
        <v>149</v>
      </c>
      <c r="C41" s="103"/>
      <c r="D41" s="86"/>
      <c r="E41" s="86"/>
      <c r="F41" s="102">
        <f>((1/30)*7)/12</f>
        <v>1.9400000000000001E-2</v>
      </c>
      <c r="G41" s="100">
        <f>($G$6+$G$34)*F41</f>
        <v>48.35</v>
      </c>
      <c r="I41" s="74"/>
    </row>
    <row r="42" spans="1:13" x14ac:dyDescent="0.25">
      <c r="A42" s="55" t="s">
        <v>4</v>
      </c>
      <c r="B42" s="1" t="s">
        <v>148</v>
      </c>
      <c r="F42" s="101">
        <f>ROUND((F41*F26),4)</f>
        <v>7.1000000000000004E-3</v>
      </c>
      <c r="G42" s="100">
        <f>($G$6+$G$34)*F42</f>
        <v>17.7</v>
      </c>
      <c r="I42" s="74"/>
    </row>
    <row r="43" spans="1:13" x14ac:dyDescent="0.25">
      <c r="A43" s="55" t="s">
        <v>5</v>
      </c>
      <c r="B43" s="1" t="s">
        <v>147</v>
      </c>
      <c r="F43" s="101">
        <f>0</f>
        <v>0</v>
      </c>
      <c r="G43" s="100">
        <f>ROUND((F43*G6),2)</f>
        <v>0</v>
      </c>
      <c r="I43" s="74"/>
    </row>
    <row r="44" spans="1:13" x14ac:dyDescent="0.25">
      <c r="A44" s="176" t="s">
        <v>146</v>
      </c>
      <c r="B44" s="176"/>
      <c r="C44" s="176"/>
      <c r="D44" s="176"/>
      <c r="E44" s="176"/>
      <c r="F44" s="79">
        <f>SUM(F38:F43)</f>
        <v>7.1499999999999994E-2</v>
      </c>
      <c r="G44" s="78">
        <f>SUM(G38:G43)</f>
        <v>173.64</v>
      </c>
      <c r="I44" s="99"/>
    </row>
    <row r="45" spans="1:13" x14ac:dyDescent="0.25">
      <c r="M45" s="98">
        <f>8%*40%*0.29%</f>
        <v>0</v>
      </c>
    </row>
    <row r="46" spans="1:13" x14ac:dyDescent="0.25">
      <c r="A46" s="178" t="s">
        <v>29</v>
      </c>
      <c r="B46" s="178"/>
      <c r="C46" s="178"/>
      <c r="D46" s="178"/>
      <c r="E46" s="178"/>
      <c r="F46" s="178"/>
      <c r="G46" s="178"/>
    </row>
    <row r="47" spans="1:13" x14ac:dyDescent="0.25">
      <c r="A47" s="70" t="s">
        <v>9</v>
      </c>
      <c r="B47" s="69" t="s">
        <v>134</v>
      </c>
      <c r="C47" s="97"/>
      <c r="D47" s="96"/>
      <c r="E47" s="96"/>
      <c r="F47" s="94" t="s">
        <v>145</v>
      </c>
      <c r="G47" s="78"/>
    </row>
    <row r="48" spans="1:13" x14ac:dyDescent="0.25">
      <c r="A48" s="55" t="s">
        <v>0</v>
      </c>
      <c r="B48" t="s">
        <v>144</v>
      </c>
      <c r="F48" s="89">
        <f>(1/12/12)+(1/12/12)+(1/12/12/3)</f>
        <v>1.6199999999999999E-2</v>
      </c>
      <c r="G48" s="51">
        <f t="shared" ref="G48:G53" si="0">F48*($G$44+$G$34+$G$6)</f>
        <v>43.19</v>
      </c>
    </row>
    <row r="49" spans="1:9" x14ac:dyDescent="0.25">
      <c r="A49" s="55" t="s">
        <v>1</v>
      </c>
      <c r="B49" t="s">
        <v>134</v>
      </c>
      <c r="F49" s="89">
        <f>(((13/12)/22)*8)/12</f>
        <v>3.2800000000000003E-2</v>
      </c>
      <c r="G49" s="51">
        <f t="shared" si="0"/>
        <v>87.45</v>
      </c>
    </row>
    <row r="50" spans="1:9" x14ac:dyDescent="0.25">
      <c r="A50" s="55" t="s">
        <v>2</v>
      </c>
      <c r="B50" t="s">
        <v>143</v>
      </c>
      <c r="F50" s="89">
        <f>(((13/12)/22)*0.2)/12</f>
        <v>8.0000000000000004E-4</v>
      </c>
      <c r="G50" s="51">
        <f t="shared" si="0"/>
        <v>2.13</v>
      </c>
    </row>
    <row r="51" spans="1:9" x14ac:dyDescent="0.25">
      <c r="A51" s="55" t="s">
        <v>3</v>
      </c>
      <c r="B51" t="s">
        <v>142</v>
      </c>
      <c r="F51" s="89">
        <f>(((13/12)/22)*6)/12</f>
        <v>2.46E-2</v>
      </c>
      <c r="G51" s="51">
        <f t="shared" si="0"/>
        <v>65.59</v>
      </c>
    </row>
    <row r="52" spans="1:9" x14ac:dyDescent="0.25">
      <c r="A52" s="55" t="s">
        <v>4</v>
      </c>
      <c r="B52" t="s">
        <v>141</v>
      </c>
      <c r="F52" s="89">
        <f>(((13/12)/22)*1.8)/12</f>
        <v>7.4000000000000003E-3</v>
      </c>
      <c r="G52" s="51">
        <f t="shared" si="0"/>
        <v>19.73</v>
      </c>
    </row>
    <row r="53" spans="1:9" x14ac:dyDescent="0.25">
      <c r="A53" s="55" t="s">
        <v>5</v>
      </c>
      <c r="B53" t="s">
        <v>140</v>
      </c>
      <c r="F53" s="89">
        <v>0</v>
      </c>
      <c r="G53" s="51">
        <f t="shared" si="0"/>
        <v>0</v>
      </c>
    </row>
    <row r="54" spans="1:9" x14ac:dyDescent="0.25">
      <c r="B54" s="63" t="s">
        <v>109</v>
      </c>
      <c r="F54" s="95">
        <f>SUM(F48:F53)</f>
        <v>8.1799999999999998E-2</v>
      </c>
      <c r="G54" s="62">
        <f>SUM(G48:G53)</f>
        <v>218.09</v>
      </c>
      <c r="I54" s="74"/>
    </row>
    <row r="55" spans="1:9" x14ac:dyDescent="0.25">
      <c r="A55" s="176" t="s">
        <v>139</v>
      </c>
      <c r="B55" s="176"/>
      <c r="C55" s="176"/>
      <c r="D55" s="176"/>
      <c r="E55" s="176"/>
      <c r="F55" s="94">
        <f>SUM(F54:F54)</f>
        <v>8.1799999999999998E-2</v>
      </c>
      <c r="G55" s="78">
        <f>SUM(G54:G54)</f>
        <v>218.09</v>
      </c>
      <c r="I55" s="74"/>
    </row>
    <row r="56" spans="1:9" x14ac:dyDescent="0.25">
      <c r="A56" s="60" t="s">
        <v>16</v>
      </c>
      <c r="B56" s="84" t="s">
        <v>26</v>
      </c>
      <c r="C56" s="93"/>
      <c r="D56" s="92"/>
      <c r="E56" s="92"/>
      <c r="F56" s="91"/>
      <c r="G56" s="90"/>
      <c r="I56" s="74"/>
    </row>
    <row r="57" spans="1:9" x14ac:dyDescent="0.25">
      <c r="A57" s="55" t="s">
        <v>0</v>
      </c>
      <c r="B57" t="s">
        <v>138</v>
      </c>
      <c r="F57" s="89">
        <v>0</v>
      </c>
      <c r="G57" s="51">
        <f>F57*G6</f>
        <v>0</v>
      </c>
    </row>
    <row r="58" spans="1:9" x14ac:dyDescent="0.25">
      <c r="A58" s="45"/>
      <c r="B58" s="63" t="s">
        <v>109</v>
      </c>
      <c r="C58" s="53"/>
      <c r="F58" s="88">
        <f>ROUND((SUM(F57:F57)),4)</f>
        <v>0</v>
      </c>
      <c r="G58" s="51">
        <f>F58*$G$6</f>
        <v>0</v>
      </c>
    </row>
    <row r="59" spans="1:9" ht="15" customHeight="1" x14ac:dyDescent="0.25">
      <c r="A59" s="176" t="s">
        <v>137</v>
      </c>
      <c r="B59" s="176"/>
      <c r="C59" s="176"/>
      <c r="D59" s="176"/>
      <c r="E59" s="176"/>
      <c r="F59" s="79">
        <f>SUM(F57:F58)</f>
        <v>0</v>
      </c>
      <c r="G59" s="78">
        <f>SUM(G57:G58)</f>
        <v>0</v>
      </c>
    </row>
    <row r="60" spans="1:9" ht="15" customHeight="1" x14ac:dyDescent="0.25">
      <c r="A60" s="87"/>
      <c r="B60" s="87"/>
      <c r="C60" s="86"/>
      <c r="D60" s="86"/>
      <c r="E60" s="86"/>
      <c r="F60" s="64"/>
      <c r="G60" s="62"/>
    </row>
    <row r="61" spans="1:9" x14ac:dyDescent="0.25">
      <c r="A61" s="85" t="s">
        <v>136</v>
      </c>
      <c r="B61" s="84"/>
      <c r="C61" s="83"/>
      <c r="D61" s="61"/>
      <c r="E61" s="61"/>
      <c r="F61" s="82" t="s">
        <v>135</v>
      </c>
      <c r="G61" s="81" t="s">
        <v>15</v>
      </c>
    </row>
    <row r="62" spans="1:9" x14ac:dyDescent="0.25">
      <c r="A62" s="80" t="s">
        <v>9</v>
      </c>
      <c r="B62" s="57" t="s">
        <v>134</v>
      </c>
      <c r="G62" s="51">
        <f>G55</f>
        <v>218.09</v>
      </c>
    </row>
    <row r="63" spans="1:9" x14ac:dyDescent="0.25">
      <c r="A63" s="80" t="s">
        <v>16</v>
      </c>
      <c r="B63" s="57" t="s">
        <v>26</v>
      </c>
      <c r="G63" s="51">
        <f>G59</f>
        <v>0</v>
      </c>
    </row>
    <row r="64" spans="1:9" x14ac:dyDescent="0.25">
      <c r="A64" s="176" t="s">
        <v>133</v>
      </c>
      <c r="B64" s="176"/>
      <c r="C64" s="176"/>
      <c r="D64" s="176"/>
      <c r="E64" s="176"/>
      <c r="F64" s="79"/>
      <c r="G64" s="78">
        <f>SUM(G62:G63)</f>
        <v>218.09</v>
      </c>
      <c r="I64" s="74"/>
    </row>
    <row r="66" spans="1:13" x14ac:dyDescent="0.25">
      <c r="A66" s="178" t="s">
        <v>30</v>
      </c>
      <c r="B66" s="178"/>
      <c r="C66" s="178"/>
      <c r="D66" s="178"/>
      <c r="E66" s="178"/>
      <c r="F66" s="178"/>
      <c r="G66" s="178"/>
    </row>
    <row r="67" spans="1:13" x14ac:dyDescent="0.25">
      <c r="A67" s="70">
        <v>5</v>
      </c>
      <c r="B67" s="69" t="s">
        <v>8</v>
      </c>
      <c r="C67" s="68"/>
      <c r="D67" s="67"/>
      <c r="E67" s="67"/>
      <c r="F67" s="66" t="s">
        <v>43</v>
      </c>
      <c r="G67" s="65"/>
    </row>
    <row r="68" spans="1:13" x14ac:dyDescent="0.25">
      <c r="A68" s="55" t="s">
        <v>0</v>
      </c>
      <c r="B68" t="s">
        <v>132</v>
      </c>
      <c r="G68" s="140">
        <f>Uniforme!F10</f>
        <v>51.43</v>
      </c>
    </row>
    <row r="69" spans="1:13" x14ac:dyDescent="0.25">
      <c r="A69" s="55" t="s">
        <v>1</v>
      </c>
      <c r="B69" t="s">
        <v>131</v>
      </c>
      <c r="G69" s="51">
        <f>'Materiais-Limpeza'!E38</f>
        <v>204.42</v>
      </c>
    </row>
    <row r="70" spans="1:13" x14ac:dyDescent="0.25">
      <c r="A70" s="55" t="s">
        <v>2</v>
      </c>
      <c r="B70" t="s">
        <v>130</v>
      </c>
      <c r="G70" s="51">
        <f>'Equipamentos de Limpeza'!G22</f>
        <v>13.43</v>
      </c>
    </row>
    <row r="71" spans="1:13" x14ac:dyDescent="0.25">
      <c r="A71" s="176" t="s">
        <v>129</v>
      </c>
      <c r="B71" s="176"/>
      <c r="C71" s="176"/>
      <c r="D71" s="176"/>
      <c r="E71" s="176"/>
      <c r="F71" s="79"/>
      <c r="G71" s="78">
        <f>SUM(G68:G70)</f>
        <v>269.27999999999997</v>
      </c>
      <c r="I71" s="74"/>
    </row>
    <row r="73" spans="1:13" x14ac:dyDescent="0.25">
      <c r="A73" s="178" t="s">
        <v>128</v>
      </c>
      <c r="B73" s="178"/>
      <c r="C73" s="178"/>
      <c r="D73" s="178"/>
      <c r="E73" s="178"/>
      <c r="F73" s="178"/>
      <c r="G73" s="178"/>
    </row>
    <row r="74" spans="1:13" x14ac:dyDescent="0.25">
      <c r="A74" s="70">
        <v>6</v>
      </c>
      <c r="B74" s="69" t="s">
        <v>17</v>
      </c>
      <c r="C74" s="68"/>
      <c r="D74" s="67"/>
      <c r="E74" s="67"/>
      <c r="F74" s="66" t="s">
        <v>43</v>
      </c>
      <c r="G74" s="65"/>
    </row>
    <row r="75" spans="1:13" x14ac:dyDescent="0.25">
      <c r="A75" s="55" t="s">
        <v>0</v>
      </c>
      <c r="B75" t="s">
        <v>127</v>
      </c>
      <c r="F75" s="52">
        <v>0.05</v>
      </c>
      <c r="G75" s="51">
        <f>G96*F75</f>
        <v>157.66999999999999</v>
      </c>
    </row>
    <row r="76" spans="1:13" x14ac:dyDescent="0.25">
      <c r="A76" s="55" t="s">
        <v>1</v>
      </c>
      <c r="B76" t="s">
        <v>19</v>
      </c>
      <c r="F76" s="52">
        <v>0.1</v>
      </c>
      <c r="G76" s="51">
        <f>(G96+G75)*F76</f>
        <v>331.12</v>
      </c>
    </row>
    <row r="77" spans="1:13" x14ac:dyDescent="0.25">
      <c r="B77" s="63" t="s">
        <v>126</v>
      </c>
      <c r="F77" s="64">
        <f>SUM(F75:F76)</f>
        <v>0.15</v>
      </c>
      <c r="G77" s="62">
        <f>SUM(G75:G76)</f>
        <v>488.79</v>
      </c>
      <c r="I77" s="74"/>
    </row>
    <row r="78" spans="1:13" s="57" customFormat="1" x14ac:dyDescent="0.25">
      <c r="A78" s="55" t="s">
        <v>2</v>
      </c>
      <c r="B78" t="s">
        <v>18</v>
      </c>
      <c r="C78" s="54"/>
      <c r="D78" s="53"/>
      <c r="E78" s="53"/>
      <c r="F78" s="52"/>
      <c r="G78" s="51"/>
      <c r="M78" s="77"/>
    </row>
    <row r="79" spans="1:13" s="57" customFormat="1" x14ac:dyDescent="0.25">
      <c r="A79" s="55" t="s">
        <v>22</v>
      </c>
      <c r="B79" t="s">
        <v>125</v>
      </c>
      <c r="C79" s="54"/>
      <c r="D79" s="53"/>
      <c r="E79" s="53"/>
      <c r="F79" s="52"/>
      <c r="G79" s="51"/>
    </row>
    <row r="80" spans="1:13" s="57" customFormat="1" x14ac:dyDescent="0.25">
      <c r="A80" s="55"/>
      <c r="B80" t="s">
        <v>21</v>
      </c>
      <c r="C80" s="54"/>
      <c r="D80" s="53"/>
      <c r="E80" s="53"/>
      <c r="F80" s="52">
        <v>0.03</v>
      </c>
      <c r="G80" s="51">
        <f>(($G$77+$G$96)/(1-($F$80+$F$81+$F$83)))*(F80)</f>
        <v>119.61</v>
      </c>
    </row>
    <row r="81" spans="1:10" s="57" customFormat="1" x14ac:dyDescent="0.25">
      <c r="A81" s="55"/>
      <c r="B81" t="s">
        <v>20</v>
      </c>
      <c r="C81" s="54"/>
      <c r="D81" s="53"/>
      <c r="E81" s="53"/>
      <c r="F81" s="52">
        <v>6.4999999999999997E-3</v>
      </c>
      <c r="G81" s="51">
        <f>(($G$77+$G$96)/(1-($F$80+$F$81+$F$83)))*(F81)</f>
        <v>25.92</v>
      </c>
    </row>
    <row r="82" spans="1:10" s="57" customFormat="1" x14ac:dyDescent="0.25">
      <c r="A82" s="55" t="s">
        <v>124</v>
      </c>
      <c r="B82" t="s">
        <v>123</v>
      </c>
      <c r="C82" s="54"/>
      <c r="D82" s="53"/>
      <c r="E82" s="53"/>
      <c r="F82" s="52"/>
      <c r="G82" s="51"/>
    </row>
    <row r="83" spans="1:10" s="57" customFormat="1" x14ac:dyDescent="0.25">
      <c r="A83" s="55"/>
      <c r="B83" t="s">
        <v>31</v>
      </c>
      <c r="C83" s="54"/>
      <c r="D83" s="53"/>
      <c r="E83" s="53"/>
      <c r="F83" s="52">
        <v>0.05</v>
      </c>
      <c r="G83" s="51">
        <f t="shared" ref="G83" si="1">(($G$77+$G$96)/(1-($F$80+$F$81+$F$83)))*(F83)</f>
        <v>199.36</v>
      </c>
    </row>
    <row r="84" spans="1:10" s="57" customFormat="1" x14ac:dyDescent="0.25">
      <c r="A84" s="55" t="s">
        <v>122</v>
      </c>
      <c r="B84" t="s">
        <v>121</v>
      </c>
      <c r="C84" s="54"/>
      <c r="D84" s="53"/>
      <c r="E84" s="53"/>
      <c r="F84" s="52"/>
      <c r="G84" s="51"/>
    </row>
    <row r="85" spans="1:10" s="57" customFormat="1" x14ac:dyDescent="0.25">
      <c r="A85" s="55" t="s">
        <v>120</v>
      </c>
      <c r="B85" t="s">
        <v>119</v>
      </c>
      <c r="C85" s="54"/>
      <c r="D85" s="53"/>
      <c r="E85" s="53"/>
      <c r="F85" s="52"/>
      <c r="G85" s="51"/>
    </row>
    <row r="86" spans="1:10" s="57" customFormat="1" x14ac:dyDescent="0.25">
      <c r="A86" s="55"/>
      <c r="B86" s="63" t="s">
        <v>118</v>
      </c>
      <c r="C86" s="54"/>
      <c r="D86" s="53"/>
      <c r="E86" s="53"/>
      <c r="F86" s="64">
        <f>F80+F81+F83+F85</f>
        <v>8.6499999999999994E-2</v>
      </c>
      <c r="G86" s="62">
        <f>G80+G81+G83+G85</f>
        <v>344.89</v>
      </c>
      <c r="I86" s="58"/>
    </row>
    <row r="87" spans="1:10" x14ac:dyDescent="0.25">
      <c r="A87" s="176" t="s">
        <v>117</v>
      </c>
      <c r="B87" s="176"/>
      <c r="C87" s="176"/>
      <c r="D87" s="176"/>
      <c r="E87" s="176"/>
      <c r="F87" s="76"/>
      <c r="G87" s="75">
        <f>G77+G86</f>
        <v>833.68</v>
      </c>
      <c r="I87" s="74"/>
      <c r="J87" s="51"/>
    </row>
    <row r="88" spans="1:10" x14ac:dyDescent="0.25">
      <c r="A88" s="45"/>
      <c r="B88" s="45"/>
      <c r="C88" s="73"/>
      <c r="D88" s="73"/>
      <c r="E88" s="73"/>
      <c r="F88" s="72"/>
      <c r="G88" s="71"/>
    </row>
    <row r="89" spans="1:10" x14ac:dyDescent="0.25">
      <c r="A89" s="178" t="s">
        <v>116</v>
      </c>
      <c r="B89" s="178"/>
      <c r="C89" s="178"/>
      <c r="D89" s="178"/>
      <c r="E89" s="178"/>
      <c r="F89" s="178"/>
      <c r="G89" s="178"/>
    </row>
    <row r="90" spans="1:10" x14ac:dyDescent="0.25">
      <c r="A90" s="70"/>
      <c r="B90" s="69" t="s">
        <v>115</v>
      </c>
      <c r="C90" s="68"/>
      <c r="D90" s="67"/>
      <c r="E90" s="67"/>
      <c r="F90" s="66" t="s">
        <v>43</v>
      </c>
      <c r="G90" s="65"/>
    </row>
    <row r="91" spans="1:10" x14ac:dyDescent="0.25">
      <c r="A91" s="55" t="s">
        <v>0</v>
      </c>
      <c r="B91" s="1" t="s">
        <v>114</v>
      </c>
      <c r="G91" s="51">
        <f>G6</f>
        <v>1271.71</v>
      </c>
    </row>
    <row r="92" spans="1:10" x14ac:dyDescent="0.25">
      <c r="A92" s="55" t="s">
        <v>1</v>
      </c>
      <c r="B92" s="1" t="s">
        <v>113</v>
      </c>
      <c r="G92" s="51">
        <f>G34</f>
        <v>1220.76</v>
      </c>
    </row>
    <row r="93" spans="1:10" x14ac:dyDescent="0.25">
      <c r="A93" s="55" t="s">
        <v>2</v>
      </c>
      <c r="B93" s="1" t="s">
        <v>112</v>
      </c>
      <c r="F93" s="64"/>
      <c r="G93" s="51">
        <f>G44</f>
        <v>173.64</v>
      </c>
    </row>
    <row r="94" spans="1:10" x14ac:dyDescent="0.25">
      <c r="A94" s="55" t="s">
        <v>3</v>
      </c>
      <c r="B94" s="1" t="s">
        <v>111</v>
      </c>
      <c r="G94" s="51">
        <f>G64</f>
        <v>218.09</v>
      </c>
    </row>
    <row r="95" spans="1:10" x14ac:dyDescent="0.25">
      <c r="A95" s="55" t="s">
        <v>4</v>
      </c>
      <c r="B95" s="1" t="s">
        <v>110</v>
      </c>
      <c r="G95" s="51">
        <f>G71</f>
        <v>269.27999999999997</v>
      </c>
    </row>
    <row r="96" spans="1:10" x14ac:dyDescent="0.25">
      <c r="B96" s="63" t="s">
        <v>109</v>
      </c>
      <c r="G96" s="62">
        <f>SUM(G91:G95)</f>
        <v>3153.48</v>
      </c>
    </row>
    <row r="97" spans="1:9" x14ac:dyDescent="0.25">
      <c r="A97" s="55" t="s">
        <v>5</v>
      </c>
      <c r="B97" s="1" t="s">
        <v>108</v>
      </c>
      <c r="G97" s="51">
        <f>G87</f>
        <v>833.68</v>
      </c>
    </row>
    <row r="98" spans="1:9" s="57" customFormat="1" x14ac:dyDescent="0.25">
      <c r="A98" s="61"/>
      <c r="B98" s="61" t="s">
        <v>107</v>
      </c>
      <c r="C98" s="61"/>
      <c r="D98" s="61"/>
      <c r="E98" s="61"/>
      <c r="F98" s="60"/>
      <c r="G98" s="59">
        <f>(G96+G77)/(1-F86)</f>
        <v>3987.16</v>
      </c>
      <c r="I98" s="58"/>
    </row>
    <row r="100" spans="1:9" x14ac:dyDescent="0.25">
      <c r="A100" s="179"/>
      <c r="B100" s="179"/>
      <c r="C100" s="179"/>
      <c r="D100" s="179"/>
      <c r="E100" s="179"/>
      <c r="F100" s="179"/>
      <c r="G100" s="179"/>
      <c r="I100" s="56">
        <v>11452.58</v>
      </c>
    </row>
    <row r="101" spans="1:9" x14ac:dyDescent="0.25">
      <c r="A101" s="180"/>
      <c r="B101" s="180"/>
      <c r="C101" s="180"/>
      <c r="D101" s="180"/>
      <c r="E101" s="180"/>
      <c r="F101" s="180"/>
      <c r="G101" s="180"/>
    </row>
  </sheetData>
  <sheetProtection formatCells="0" formatColumns="0" formatRows="0" insertColumns="0" insertRows="0" insertHyperlinks="0" deleteColumns="0" deleteRows="0"/>
  <mergeCells count="18">
    <mergeCell ref="A101:G101"/>
    <mergeCell ref="A44:E44"/>
    <mergeCell ref="A46:G46"/>
    <mergeCell ref="A55:E55"/>
    <mergeCell ref="A59:E59"/>
    <mergeCell ref="A64:E64"/>
    <mergeCell ref="A66:G66"/>
    <mergeCell ref="A71:E71"/>
    <mergeCell ref="A73:G73"/>
    <mergeCell ref="A87:E87"/>
    <mergeCell ref="A89:G89"/>
    <mergeCell ref="A100:G100"/>
    <mergeCell ref="A36:G36"/>
    <mergeCell ref="A1:G1"/>
    <mergeCell ref="A2:G2"/>
    <mergeCell ref="A6:E6"/>
    <mergeCell ref="A8:G8"/>
    <mergeCell ref="A34:F34"/>
  </mergeCells>
  <pageMargins left="0.25" right="0.25" top="0.75" bottom="0.75" header="0.3" footer="0.3"/>
  <pageSetup paperSize="9" scale="84" fitToHeight="0" orientation="portrait" r:id="rId1"/>
  <rowBreaks count="1" manualBreakCount="1">
    <brk id="56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A5F9D-94AF-43D2-843B-78AA486BB40B}">
  <sheetPr>
    <tabColor theme="5" tint="-0.249977111117893"/>
    <pageSetUpPr fitToPage="1"/>
  </sheetPr>
  <dimension ref="A1:M104"/>
  <sheetViews>
    <sheetView view="pageBreakPreview" topLeftCell="A76" zoomScaleNormal="100" zoomScaleSheetLayoutView="100" workbookViewId="0">
      <selection activeCell="C20" sqref="C20"/>
    </sheetView>
  </sheetViews>
  <sheetFormatPr defaultRowHeight="15" x14ac:dyDescent="0.25"/>
  <cols>
    <col min="1" max="1" width="7.42578125" style="55" customWidth="1"/>
    <col min="2" max="2" width="45.7109375" customWidth="1"/>
    <col min="3" max="3" width="11" style="54" customWidth="1"/>
    <col min="4" max="4" width="10.28515625" style="53" customWidth="1"/>
    <col min="5" max="5" width="9.85546875" style="53" customWidth="1"/>
    <col min="6" max="6" width="16.28515625" style="52" customWidth="1"/>
    <col min="7" max="7" width="16.42578125" style="51" bestFit="1" customWidth="1"/>
    <col min="8" max="8" width="0.140625" customWidth="1"/>
    <col min="9" max="9" width="23.85546875" customWidth="1"/>
    <col min="10" max="10" width="14" customWidth="1"/>
  </cols>
  <sheetData>
    <row r="1" spans="1:10" ht="18.75" x14ac:dyDescent="0.3">
      <c r="A1" s="177" t="s">
        <v>185</v>
      </c>
      <c r="B1" s="177"/>
      <c r="C1" s="177"/>
      <c r="D1" s="177"/>
      <c r="E1" s="177"/>
      <c r="F1" s="177"/>
      <c r="G1" s="177"/>
      <c r="H1" s="139"/>
      <c r="I1" s="138"/>
    </row>
    <row r="2" spans="1:10" x14ac:dyDescent="0.25">
      <c r="A2" s="178" t="s">
        <v>181</v>
      </c>
      <c r="B2" s="178"/>
      <c r="C2" s="178"/>
      <c r="D2" s="178"/>
      <c r="E2" s="178"/>
      <c r="F2" s="178"/>
      <c r="G2" s="178"/>
    </row>
    <row r="3" spans="1:10" x14ac:dyDescent="0.25">
      <c r="A3" s="87">
        <v>1</v>
      </c>
      <c r="B3" s="63" t="s">
        <v>180</v>
      </c>
      <c r="C3" s="103"/>
      <c r="D3" s="137" t="s">
        <v>179</v>
      </c>
      <c r="E3" s="87" t="s">
        <v>160</v>
      </c>
      <c r="F3" s="64" t="s">
        <v>178</v>
      </c>
      <c r="G3" s="62" t="s">
        <v>109</v>
      </c>
    </row>
    <row r="4" spans="1:10" x14ac:dyDescent="0.25">
      <c r="A4" s="2" t="s">
        <v>0</v>
      </c>
      <c r="B4" s="63" t="s">
        <v>88</v>
      </c>
      <c r="D4" s="136">
        <v>1</v>
      </c>
      <c r="E4" s="55">
        <v>1</v>
      </c>
      <c r="F4" s="135">
        <v>1622.36</v>
      </c>
      <c r="G4" s="134">
        <f>F4*E4</f>
        <v>1622.36</v>
      </c>
      <c r="I4" s="133"/>
      <c r="J4" s="51"/>
    </row>
    <row r="5" spans="1:10" x14ac:dyDescent="0.25">
      <c r="A5" s="55" t="s">
        <v>1</v>
      </c>
      <c r="B5" s="63" t="s">
        <v>176</v>
      </c>
      <c r="G5" s="51">
        <v>0</v>
      </c>
    </row>
    <row r="6" spans="1:10" x14ac:dyDescent="0.25">
      <c r="A6" s="176" t="s">
        <v>175</v>
      </c>
      <c r="B6" s="176"/>
      <c r="C6" s="176"/>
      <c r="D6" s="176"/>
      <c r="E6" s="176"/>
      <c r="F6" s="132"/>
      <c r="G6" s="78">
        <f>SUM(G4:G5)</f>
        <v>1622.36</v>
      </c>
    </row>
    <row r="8" spans="1:10" x14ac:dyDescent="0.25">
      <c r="A8" s="178" t="s">
        <v>27</v>
      </c>
      <c r="B8" s="178"/>
      <c r="C8" s="178"/>
      <c r="D8" s="178"/>
      <c r="E8" s="178"/>
      <c r="F8" s="178"/>
      <c r="G8" s="178"/>
    </row>
    <row r="9" spans="1:10" x14ac:dyDescent="0.25">
      <c r="A9" s="131" t="s">
        <v>23</v>
      </c>
      <c r="B9" s="69" t="s">
        <v>174</v>
      </c>
      <c r="C9" s="96"/>
      <c r="D9" s="96"/>
      <c r="E9" s="96"/>
      <c r="F9" s="130" t="s">
        <v>145</v>
      </c>
      <c r="G9" s="119"/>
    </row>
    <row r="10" spans="1:10" x14ac:dyDescent="0.25">
      <c r="A10" s="80" t="s">
        <v>0</v>
      </c>
      <c r="B10" s="122" t="s">
        <v>173</v>
      </c>
      <c r="C10" s="116"/>
      <c r="D10" s="116"/>
      <c r="E10" s="116"/>
      <c r="F10" s="121">
        <v>8.3299999999999999E-2</v>
      </c>
      <c r="G10" s="120">
        <f>ROUND((F10*G6),2)</f>
        <v>135.13999999999999</v>
      </c>
    </row>
    <row r="11" spans="1:10" x14ac:dyDescent="0.25">
      <c r="A11" s="80" t="s">
        <v>1</v>
      </c>
      <c r="B11" s="122" t="s">
        <v>32</v>
      </c>
      <c r="C11" s="116"/>
      <c r="D11" s="116"/>
      <c r="E11" s="116"/>
      <c r="F11" s="121">
        <v>8.3299999999999999E-2</v>
      </c>
      <c r="G11" s="120">
        <f>ROUND((F11*G6),2)</f>
        <v>135.13999999999999</v>
      </c>
    </row>
    <row r="12" spans="1:10" x14ac:dyDescent="0.25">
      <c r="A12" s="80" t="s">
        <v>2</v>
      </c>
      <c r="B12" s="122" t="s">
        <v>172</v>
      </c>
      <c r="C12" s="116"/>
      <c r="D12" s="116"/>
      <c r="E12" s="116"/>
      <c r="F12" s="121">
        <v>2.7799999999999998E-2</v>
      </c>
      <c r="G12" s="120">
        <f>ROUND((F12*G6),2)</f>
        <v>45.1</v>
      </c>
    </row>
    <row r="13" spans="1:10" x14ac:dyDescent="0.25">
      <c r="A13" s="80"/>
      <c r="B13" s="117" t="s">
        <v>109</v>
      </c>
      <c r="C13" s="116"/>
      <c r="D13" s="116"/>
      <c r="E13" s="116"/>
      <c r="F13" s="129">
        <f>SUM(F10:F12)</f>
        <v>0.19439999999999999</v>
      </c>
      <c r="G13" s="128">
        <f>SUM(G10:G12)</f>
        <v>315.38</v>
      </c>
      <c r="I13" s="74"/>
    </row>
    <row r="14" spans="1:10" x14ac:dyDescent="0.25">
      <c r="A14" s="80" t="s">
        <v>3</v>
      </c>
      <c r="B14" s="122" t="s">
        <v>171</v>
      </c>
      <c r="C14" s="116"/>
      <c r="D14" s="116"/>
      <c r="E14" s="116"/>
      <c r="F14" s="121">
        <f>F13*F26</f>
        <v>7.1499999999999994E-2</v>
      </c>
      <c r="G14" s="127">
        <f>ROUND((F14*G6),2)</f>
        <v>116</v>
      </c>
    </row>
    <row r="15" spans="1:10" x14ac:dyDescent="0.25">
      <c r="A15" s="126"/>
      <c r="B15" s="126" t="s">
        <v>170</v>
      </c>
      <c r="C15" s="67"/>
      <c r="D15" s="67"/>
      <c r="E15" s="67"/>
      <c r="F15" s="79">
        <f>SUM(F13:F14)</f>
        <v>0.26590000000000003</v>
      </c>
      <c r="G15" s="118">
        <f>SUM(G13:G14)</f>
        <v>431.38</v>
      </c>
      <c r="I15" s="74"/>
    </row>
    <row r="16" spans="1:10" x14ac:dyDescent="0.25">
      <c r="A16" s="80"/>
      <c r="B16" s="80"/>
      <c r="C16" s="116"/>
      <c r="D16" s="116"/>
      <c r="E16" s="116"/>
      <c r="F16" s="80"/>
      <c r="G16" s="80"/>
    </row>
    <row r="17" spans="1:12" x14ac:dyDescent="0.25">
      <c r="A17" s="114" t="s">
        <v>24</v>
      </c>
      <c r="B17" s="84" t="s">
        <v>169</v>
      </c>
      <c r="C17" s="92"/>
      <c r="D17" s="92"/>
      <c r="E17" s="92"/>
      <c r="F17" s="125" t="s">
        <v>145</v>
      </c>
      <c r="G17" s="124"/>
    </row>
    <row r="18" spans="1:12" x14ac:dyDescent="0.25">
      <c r="A18" s="80" t="s">
        <v>0</v>
      </c>
      <c r="B18" s="122" t="s">
        <v>11</v>
      </c>
      <c r="C18" s="116"/>
      <c r="D18" s="116"/>
      <c r="E18" s="116"/>
      <c r="F18" s="121">
        <v>0.2</v>
      </c>
      <c r="G18" s="120">
        <f>ROUND((F18*G6),2)</f>
        <v>324.47000000000003</v>
      </c>
    </row>
    <row r="19" spans="1:12" x14ac:dyDescent="0.25">
      <c r="A19" s="80" t="s">
        <v>1</v>
      </c>
      <c r="B19" s="122" t="s">
        <v>168</v>
      </c>
      <c r="C19" s="116"/>
      <c r="D19" s="116"/>
      <c r="E19" s="116"/>
      <c r="F19" s="121">
        <v>2.5000000000000001E-2</v>
      </c>
      <c r="G19" s="120">
        <f>ROUND((F19*G6),2)</f>
        <v>40.56</v>
      </c>
    </row>
    <row r="20" spans="1:12" x14ac:dyDescent="0.25">
      <c r="A20" s="80" t="s">
        <v>2</v>
      </c>
      <c r="B20" s="122" t="s">
        <v>167</v>
      </c>
      <c r="C20" s="116"/>
      <c r="D20" s="116"/>
      <c r="E20" s="116"/>
      <c r="F20" s="121">
        <v>0.03</v>
      </c>
      <c r="G20" s="120">
        <f>ROUND((F20*G6),2)</f>
        <v>48.67</v>
      </c>
    </row>
    <row r="21" spans="1:12" x14ac:dyDescent="0.25">
      <c r="A21" s="80" t="s">
        <v>3</v>
      </c>
      <c r="B21" s="122" t="s">
        <v>166</v>
      </c>
      <c r="C21" s="116"/>
      <c r="D21" s="116"/>
      <c r="E21" s="116"/>
      <c r="F21" s="121">
        <v>1.4999999999999999E-2</v>
      </c>
      <c r="G21" s="120">
        <f>ROUND((F21*G6),2)</f>
        <v>24.34</v>
      </c>
    </row>
    <row r="22" spans="1:12" x14ac:dyDescent="0.25">
      <c r="A22" s="80" t="s">
        <v>4</v>
      </c>
      <c r="B22" s="123" t="s">
        <v>165</v>
      </c>
      <c r="C22" s="116"/>
      <c r="D22" s="116"/>
      <c r="E22" s="116"/>
      <c r="F22" s="121">
        <v>0.01</v>
      </c>
      <c r="G22" s="120">
        <f>ROUND((F22*G6),2)</f>
        <v>16.22</v>
      </c>
    </row>
    <row r="23" spans="1:12" x14ac:dyDescent="0.25">
      <c r="A23" s="80" t="s">
        <v>5</v>
      </c>
      <c r="B23" s="122" t="s">
        <v>14</v>
      </c>
      <c r="C23" s="116"/>
      <c r="D23" s="116"/>
      <c r="E23" s="116"/>
      <c r="F23" s="121">
        <v>6.0000000000000001E-3</v>
      </c>
      <c r="G23" s="120">
        <f>ROUND((F23*G6),2)</f>
        <v>9.73</v>
      </c>
    </row>
    <row r="24" spans="1:12" x14ac:dyDescent="0.25">
      <c r="A24" s="80" t="s">
        <v>6</v>
      </c>
      <c r="B24" s="122" t="s">
        <v>12</v>
      </c>
      <c r="C24" s="116"/>
      <c r="D24" s="116"/>
      <c r="E24" s="116"/>
      <c r="F24" s="121">
        <v>2E-3</v>
      </c>
      <c r="G24" s="120">
        <f>ROUND((F24*G6),2)</f>
        <v>3.24</v>
      </c>
    </row>
    <row r="25" spans="1:12" x14ac:dyDescent="0.25">
      <c r="A25" s="80" t="s">
        <v>7</v>
      </c>
      <c r="B25" s="122" t="s">
        <v>13</v>
      </c>
      <c r="C25" s="116"/>
      <c r="D25" s="116"/>
      <c r="E25" s="116"/>
      <c r="F25" s="121">
        <v>0.08</v>
      </c>
      <c r="G25" s="120">
        <f>ROUND((F25*G6),2)</f>
        <v>129.79</v>
      </c>
    </row>
    <row r="26" spans="1:12" x14ac:dyDescent="0.25">
      <c r="A26" s="106"/>
      <c r="B26" s="119" t="s">
        <v>164</v>
      </c>
      <c r="C26" s="67"/>
      <c r="D26" s="67"/>
      <c r="E26" s="67"/>
      <c r="F26" s="79">
        <f>SUM(F18:F25)</f>
        <v>0.36799999999999999</v>
      </c>
      <c r="G26" s="118">
        <f>SUM(G18:G25)</f>
        <v>597.02</v>
      </c>
      <c r="I26" s="74"/>
    </row>
    <row r="27" spans="1:12" x14ac:dyDescent="0.25">
      <c r="A27" s="80"/>
      <c r="B27" s="117"/>
      <c r="C27" s="116"/>
      <c r="D27" s="116"/>
      <c r="E27" s="116"/>
      <c r="F27" s="80"/>
      <c r="G27" s="80"/>
    </row>
    <row r="28" spans="1:12" x14ac:dyDescent="0.25">
      <c r="A28" s="114" t="s">
        <v>25</v>
      </c>
      <c r="B28" s="84" t="s">
        <v>163</v>
      </c>
      <c r="C28" s="115" t="s">
        <v>162</v>
      </c>
      <c r="D28" s="114" t="s">
        <v>161</v>
      </c>
      <c r="E28" s="114" t="s">
        <v>160</v>
      </c>
      <c r="F28" s="113" t="s">
        <v>38</v>
      </c>
      <c r="G28" s="112" t="s">
        <v>109</v>
      </c>
    </row>
    <row r="29" spans="1:12" x14ac:dyDescent="0.25">
      <c r="A29" s="166" t="s">
        <v>0</v>
      </c>
      <c r="B29" t="s">
        <v>159</v>
      </c>
      <c r="C29" s="111">
        <v>0.06</v>
      </c>
      <c r="D29" s="2">
        <v>22</v>
      </c>
      <c r="E29" s="2">
        <v>2</v>
      </c>
      <c r="F29" s="104">
        <v>4.4000000000000004</v>
      </c>
      <c r="G29" s="51">
        <f>IF((F29*D29*E29)-C29*G4&lt;0,0,(F29*D29*E29)-C29*G4)</f>
        <v>96.26</v>
      </c>
    </row>
    <row r="30" spans="1:12" x14ac:dyDescent="0.25">
      <c r="A30" s="166" t="s">
        <v>1</v>
      </c>
      <c r="B30" t="s">
        <v>203</v>
      </c>
      <c r="C30" s="110"/>
      <c r="D30" s="2">
        <v>22</v>
      </c>
      <c r="E30" s="2">
        <v>1</v>
      </c>
      <c r="F30" s="104">
        <f>15.93-1.11</f>
        <v>14.82</v>
      </c>
      <c r="G30" s="109">
        <f>F30*D30</f>
        <v>326.04000000000002</v>
      </c>
      <c r="I30" s="74"/>
      <c r="L30">
        <f>220-148.47</f>
        <v>71.53</v>
      </c>
    </row>
    <row r="31" spans="1:12" x14ac:dyDescent="0.25">
      <c r="A31" s="166" t="s">
        <v>2</v>
      </c>
      <c r="B31" t="s">
        <v>158</v>
      </c>
      <c r="C31" s="2"/>
      <c r="D31" s="2">
        <v>1</v>
      </c>
      <c r="E31" s="2">
        <v>1</v>
      </c>
      <c r="F31" s="104">
        <v>28</v>
      </c>
      <c r="G31" s="109">
        <f>(1-C31)*(F31*E31*D31)</f>
        <v>28</v>
      </c>
      <c r="I31" s="74"/>
    </row>
    <row r="32" spans="1:12" x14ac:dyDescent="0.25">
      <c r="A32" s="166" t="s">
        <v>3</v>
      </c>
      <c r="B32" t="s">
        <v>157</v>
      </c>
      <c r="F32" s="108">
        <v>13.67</v>
      </c>
      <c r="G32" s="107">
        <f>F32*(1-C32)</f>
        <v>13.67</v>
      </c>
    </row>
    <row r="33" spans="1:13" x14ac:dyDescent="0.25">
      <c r="A33" s="166" t="s">
        <v>4</v>
      </c>
      <c r="B33" t="s">
        <v>202</v>
      </c>
      <c r="F33" s="108">
        <v>110.94</v>
      </c>
      <c r="G33" s="107">
        <v>110.94</v>
      </c>
    </row>
    <row r="34" spans="1:13" x14ac:dyDescent="0.25">
      <c r="A34" s="106"/>
      <c r="B34" s="69" t="s">
        <v>156</v>
      </c>
      <c r="C34" s="68"/>
      <c r="D34" s="67"/>
      <c r="E34" s="67"/>
      <c r="F34" s="105"/>
      <c r="G34" s="78">
        <f>SUM(G29:G33)</f>
        <v>574.91</v>
      </c>
      <c r="I34" s="74"/>
    </row>
    <row r="35" spans="1:13" x14ac:dyDescent="0.25">
      <c r="F35" s="104"/>
    </row>
    <row r="36" spans="1:13" x14ac:dyDescent="0.25">
      <c r="A36" s="176" t="s">
        <v>155</v>
      </c>
      <c r="B36" s="176"/>
      <c r="C36" s="176"/>
      <c r="D36" s="176"/>
      <c r="E36" s="176"/>
      <c r="F36" s="176"/>
      <c r="G36" s="78">
        <f>G15+G26+G34</f>
        <v>1603.31</v>
      </c>
      <c r="I36" s="74"/>
    </row>
    <row r="38" spans="1:13" x14ac:dyDescent="0.25">
      <c r="A38" s="178" t="s">
        <v>28</v>
      </c>
      <c r="B38" s="178"/>
      <c r="C38" s="178"/>
      <c r="D38" s="178"/>
      <c r="E38" s="178"/>
      <c r="F38" s="178"/>
      <c r="G38" s="178"/>
    </row>
    <row r="39" spans="1:13" x14ac:dyDescent="0.25">
      <c r="A39" s="70">
        <v>3</v>
      </c>
      <c r="B39" s="69" t="s">
        <v>154</v>
      </c>
      <c r="C39" s="97"/>
      <c r="D39" s="96"/>
      <c r="E39" s="96"/>
      <c r="F39" s="79" t="s">
        <v>10</v>
      </c>
      <c r="G39" s="78" t="s">
        <v>15</v>
      </c>
    </row>
    <row r="40" spans="1:13" x14ac:dyDescent="0.25">
      <c r="A40" s="2" t="s">
        <v>0</v>
      </c>
      <c r="B40" s="1" t="s">
        <v>153</v>
      </c>
      <c r="C40" s="103"/>
      <c r="D40" s="86"/>
      <c r="E40" s="86"/>
      <c r="F40" s="102">
        <f>(1/12)*0.055</f>
        <v>4.5999999999999999E-3</v>
      </c>
      <c r="G40" s="100">
        <f>(($G$6+($G$36-$G$25))*F40)</f>
        <v>14.24</v>
      </c>
      <c r="I40" s="74"/>
    </row>
    <row r="41" spans="1:13" x14ac:dyDescent="0.25">
      <c r="A41" s="2" t="s">
        <v>1</v>
      </c>
      <c r="B41" s="1" t="s">
        <v>152</v>
      </c>
      <c r="C41" s="103"/>
      <c r="D41" s="86"/>
      <c r="E41" s="86"/>
      <c r="F41" s="102">
        <f>ROUND((F40*F25),4)</f>
        <v>4.0000000000000002E-4</v>
      </c>
      <c r="G41" s="100">
        <f>(($G$6+($G$36-$G$25))*F41)</f>
        <v>1.24</v>
      </c>
      <c r="I41" s="74"/>
    </row>
    <row r="42" spans="1:13" x14ac:dyDescent="0.25">
      <c r="A42" s="2" t="s">
        <v>2</v>
      </c>
      <c r="B42" s="1" t="s">
        <v>151</v>
      </c>
      <c r="C42" s="103"/>
      <c r="D42" s="86"/>
      <c r="E42" s="86"/>
      <c r="F42" s="102">
        <f>4%</f>
        <v>0.04</v>
      </c>
      <c r="G42" s="100">
        <f>(($G$6+($G$36-$G$25))*F42)</f>
        <v>123.84</v>
      </c>
      <c r="I42" s="74"/>
      <c r="J42" t="s">
        <v>150</v>
      </c>
    </row>
    <row r="43" spans="1:13" x14ac:dyDescent="0.25">
      <c r="A43" s="2" t="s">
        <v>3</v>
      </c>
      <c r="B43" s="1" t="s">
        <v>149</v>
      </c>
      <c r="C43" s="103"/>
      <c r="D43" s="86"/>
      <c r="E43" s="86"/>
      <c r="F43" s="102">
        <f>((1/30)*7)/12</f>
        <v>1.9400000000000001E-2</v>
      </c>
      <c r="G43" s="100">
        <f>($G$6+$G$36)*F43</f>
        <v>62.58</v>
      </c>
      <c r="I43" s="74"/>
    </row>
    <row r="44" spans="1:13" x14ac:dyDescent="0.25">
      <c r="A44" s="55" t="s">
        <v>4</v>
      </c>
      <c r="B44" s="1" t="s">
        <v>148</v>
      </c>
      <c r="F44" s="101">
        <f>ROUND((F43*F26),4)</f>
        <v>7.1000000000000004E-3</v>
      </c>
      <c r="G44" s="100">
        <f>($G$6+$G$36)*F44</f>
        <v>22.9</v>
      </c>
      <c r="I44" s="74"/>
    </row>
    <row r="45" spans="1:13" x14ac:dyDescent="0.25">
      <c r="A45" s="55" t="s">
        <v>5</v>
      </c>
      <c r="B45" s="1" t="s">
        <v>147</v>
      </c>
      <c r="F45" s="101">
        <f>0</f>
        <v>0</v>
      </c>
      <c r="G45" s="100">
        <f>ROUND((F45*G6),2)</f>
        <v>0</v>
      </c>
      <c r="I45" s="74"/>
    </row>
    <row r="46" spans="1:13" x14ac:dyDescent="0.25">
      <c r="A46" s="176" t="s">
        <v>146</v>
      </c>
      <c r="B46" s="176"/>
      <c r="C46" s="176"/>
      <c r="D46" s="176"/>
      <c r="E46" s="176"/>
      <c r="F46" s="79">
        <f>SUM(F40:F45)</f>
        <v>7.1499999999999994E-2</v>
      </c>
      <c r="G46" s="78">
        <f>SUM(G40:G45)</f>
        <v>224.8</v>
      </c>
      <c r="I46" s="99"/>
    </row>
    <row r="47" spans="1:13" x14ac:dyDescent="0.25">
      <c r="M47" s="98">
        <f>8%*40%*0.29%</f>
        <v>0</v>
      </c>
    </row>
    <row r="48" spans="1:13" x14ac:dyDescent="0.25">
      <c r="A48" s="178" t="s">
        <v>29</v>
      </c>
      <c r="B48" s="178"/>
      <c r="C48" s="178"/>
      <c r="D48" s="178"/>
      <c r="E48" s="178"/>
      <c r="F48" s="178"/>
      <c r="G48" s="178"/>
    </row>
    <row r="49" spans="1:9" x14ac:dyDescent="0.25">
      <c r="A49" s="70" t="s">
        <v>9</v>
      </c>
      <c r="B49" s="69" t="s">
        <v>134</v>
      </c>
      <c r="C49" s="97"/>
      <c r="D49" s="96"/>
      <c r="E49" s="96"/>
      <c r="F49" s="94" t="s">
        <v>145</v>
      </c>
      <c r="G49" s="78"/>
    </row>
    <row r="50" spans="1:9" x14ac:dyDescent="0.25">
      <c r="A50" s="55" t="s">
        <v>0</v>
      </c>
      <c r="B50" t="s">
        <v>144</v>
      </c>
      <c r="F50" s="89">
        <f>(1/12/12)+(1/12/12)+(1/12/12/3)</f>
        <v>1.6199999999999999E-2</v>
      </c>
      <c r="G50" s="51">
        <f>F50*($G$46+$G$36+$G$6)</f>
        <v>55.9</v>
      </c>
    </row>
    <row r="51" spans="1:9" x14ac:dyDescent="0.25">
      <c r="A51" s="55" t="s">
        <v>1</v>
      </c>
      <c r="B51" t="s">
        <v>134</v>
      </c>
      <c r="F51" s="89">
        <f>(((13/12)/22)*8)/12</f>
        <v>3.2800000000000003E-2</v>
      </c>
      <c r="G51" s="51">
        <f t="shared" ref="G51:G55" si="0">F51*($G$46+$G$36+$G$6)</f>
        <v>113.18</v>
      </c>
    </row>
    <row r="52" spans="1:9" x14ac:dyDescent="0.25">
      <c r="A52" s="55" t="s">
        <v>2</v>
      </c>
      <c r="B52" t="s">
        <v>143</v>
      </c>
      <c r="F52" s="89">
        <f>(((13/12)/22)*0.2)/12</f>
        <v>8.0000000000000004E-4</v>
      </c>
      <c r="G52" s="51">
        <f t="shared" si="0"/>
        <v>2.76</v>
      </c>
    </row>
    <row r="53" spans="1:9" x14ac:dyDescent="0.25">
      <c r="A53" s="55" t="s">
        <v>3</v>
      </c>
      <c r="B53" t="s">
        <v>142</v>
      </c>
      <c r="F53" s="89">
        <f>(((13/12)/22)*6)/12</f>
        <v>2.46E-2</v>
      </c>
      <c r="G53" s="51">
        <f t="shared" si="0"/>
        <v>84.88</v>
      </c>
    </row>
    <row r="54" spans="1:9" x14ac:dyDescent="0.25">
      <c r="A54" s="55" t="s">
        <v>4</v>
      </c>
      <c r="B54" t="s">
        <v>141</v>
      </c>
      <c r="F54" s="89">
        <f>(((13/12)/22)*1.8)/12</f>
        <v>7.4000000000000003E-3</v>
      </c>
      <c r="G54" s="51">
        <f t="shared" si="0"/>
        <v>25.53</v>
      </c>
    </row>
    <row r="55" spans="1:9" x14ac:dyDescent="0.25">
      <c r="A55" s="55" t="s">
        <v>5</v>
      </c>
      <c r="B55" t="s">
        <v>140</v>
      </c>
      <c r="F55" s="89">
        <v>0</v>
      </c>
      <c r="G55" s="51">
        <f t="shared" si="0"/>
        <v>0</v>
      </c>
    </row>
    <row r="56" spans="1:9" x14ac:dyDescent="0.25">
      <c r="B56" s="63" t="s">
        <v>109</v>
      </c>
      <c r="F56" s="95">
        <f>SUM(F50:F55)</f>
        <v>8.1799999999999998E-2</v>
      </c>
      <c r="G56" s="62">
        <f>SUM(G50:G55)</f>
        <v>282.25</v>
      </c>
      <c r="I56" s="74"/>
    </row>
    <row r="57" spans="1:9" x14ac:dyDescent="0.25">
      <c r="A57" s="176" t="s">
        <v>139</v>
      </c>
      <c r="B57" s="176"/>
      <c r="C57" s="176"/>
      <c r="D57" s="176"/>
      <c r="E57" s="176"/>
      <c r="F57" s="94">
        <f>SUM(F56:F56)</f>
        <v>8.1799999999999998E-2</v>
      </c>
      <c r="G57" s="78">
        <f>SUM(G56:G56)</f>
        <v>282.25</v>
      </c>
      <c r="I57" s="74"/>
    </row>
    <row r="58" spans="1:9" x14ac:dyDescent="0.25">
      <c r="A58" s="60" t="s">
        <v>16</v>
      </c>
      <c r="B58" s="84" t="s">
        <v>26</v>
      </c>
      <c r="C58" s="93"/>
      <c r="D58" s="92"/>
      <c r="E58" s="92"/>
      <c r="F58" s="91"/>
      <c r="G58" s="90"/>
      <c r="I58" s="74"/>
    </row>
    <row r="59" spans="1:9" x14ac:dyDescent="0.25">
      <c r="A59" s="55" t="s">
        <v>0</v>
      </c>
      <c r="B59" t="s">
        <v>138</v>
      </c>
      <c r="F59" s="89">
        <v>0</v>
      </c>
      <c r="G59" s="51">
        <f>F59*G6</f>
        <v>0</v>
      </c>
    </row>
    <row r="60" spans="1:9" x14ac:dyDescent="0.25">
      <c r="A60" s="45"/>
      <c r="B60" s="63" t="s">
        <v>109</v>
      </c>
      <c r="C60" s="53"/>
      <c r="F60" s="88">
        <f>ROUND((SUM(F59:F59)),4)</f>
        <v>0</v>
      </c>
      <c r="G60" s="51">
        <f>F60*$G$6</f>
        <v>0</v>
      </c>
    </row>
    <row r="61" spans="1:9" ht="15" customHeight="1" x14ac:dyDescent="0.25">
      <c r="A61" s="176" t="s">
        <v>137</v>
      </c>
      <c r="B61" s="176"/>
      <c r="C61" s="176"/>
      <c r="D61" s="176"/>
      <c r="E61" s="176"/>
      <c r="F61" s="79">
        <f>SUM(F59:F60)</f>
        <v>0</v>
      </c>
      <c r="G61" s="78">
        <f>SUM(G59:G60)</f>
        <v>0</v>
      </c>
    </row>
    <row r="62" spans="1:9" ht="15" customHeight="1" x14ac:dyDescent="0.25">
      <c r="A62" s="87"/>
      <c r="B62" s="87"/>
      <c r="C62" s="86"/>
      <c r="D62" s="86"/>
      <c r="E62" s="86"/>
      <c r="F62" s="64"/>
      <c r="G62" s="62"/>
    </row>
    <row r="63" spans="1:9" x14ac:dyDescent="0.25">
      <c r="A63" s="85" t="s">
        <v>136</v>
      </c>
      <c r="B63" s="84"/>
      <c r="C63" s="83"/>
      <c r="D63" s="61"/>
      <c r="E63" s="61"/>
      <c r="F63" s="82" t="s">
        <v>135</v>
      </c>
      <c r="G63" s="81" t="s">
        <v>15</v>
      </c>
    </row>
    <row r="64" spans="1:9" x14ac:dyDescent="0.25">
      <c r="A64" s="80" t="s">
        <v>9</v>
      </c>
      <c r="B64" s="57" t="s">
        <v>134</v>
      </c>
      <c r="G64" s="51">
        <f>G57</f>
        <v>282.25</v>
      </c>
    </row>
    <row r="65" spans="1:9" x14ac:dyDescent="0.25">
      <c r="A65" s="80" t="s">
        <v>16</v>
      </c>
      <c r="B65" s="57" t="s">
        <v>26</v>
      </c>
      <c r="G65" s="51">
        <f>G61</f>
        <v>0</v>
      </c>
    </row>
    <row r="66" spans="1:9" x14ac:dyDescent="0.25">
      <c r="A66" s="176" t="s">
        <v>133</v>
      </c>
      <c r="B66" s="176"/>
      <c r="C66" s="176"/>
      <c r="D66" s="176"/>
      <c r="E66" s="176"/>
      <c r="F66" s="79"/>
      <c r="G66" s="78">
        <f>SUM(G64:G65)</f>
        <v>282.25</v>
      </c>
      <c r="I66" s="74"/>
    </row>
    <row r="68" spans="1:9" x14ac:dyDescent="0.25">
      <c r="A68" s="178" t="s">
        <v>30</v>
      </c>
      <c r="B68" s="178"/>
      <c r="C68" s="178"/>
      <c r="D68" s="178"/>
      <c r="E68" s="178"/>
      <c r="F68" s="178"/>
      <c r="G68" s="178"/>
    </row>
    <row r="69" spans="1:9" x14ac:dyDescent="0.25">
      <c r="A69" s="70">
        <v>5</v>
      </c>
      <c r="B69" s="69" t="s">
        <v>8</v>
      </c>
      <c r="C69" s="68"/>
      <c r="D69" s="67"/>
      <c r="E69" s="67"/>
      <c r="F69" s="66" t="s">
        <v>43</v>
      </c>
      <c r="G69" s="65"/>
    </row>
    <row r="70" spans="1:9" x14ac:dyDescent="0.25">
      <c r="A70" s="55" t="s">
        <v>0</v>
      </c>
      <c r="B70" t="s">
        <v>132</v>
      </c>
      <c r="G70" s="140">
        <f>Uniforme!F18</f>
        <v>32.17</v>
      </c>
    </row>
    <row r="71" spans="1:9" x14ac:dyDescent="0.25">
      <c r="A71" s="55" t="s">
        <v>1</v>
      </c>
      <c r="B71" t="s">
        <v>131</v>
      </c>
      <c r="G71" s="51">
        <f>'Materiais-Limpeza'!E38</f>
        <v>204.42</v>
      </c>
    </row>
    <row r="72" spans="1:9" x14ac:dyDescent="0.25">
      <c r="A72" s="55" t="s">
        <v>2</v>
      </c>
      <c r="B72" t="s">
        <v>130</v>
      </c>
      <c r="G72" s="51">
        <f>'Equipamentos de Limpeza'!G22</f>
        <v>13.43</v>
      </c>
    </row>
    <row r="73" spans="1:9" x14ac:dyDescent="0.25">
      <c r="A73" s="55" t="s">
        <v>1</v>
      </c>
      <c r="B73" t="s">
        <v>49</v>
      </c>
      <c r="G73" s="51">
        <v>110.94</v>
      </c>
    </row>
    <row r="74" spans="1:9" x14ac:dyDescent="0.25">
      <c r="A74" s="176" t="s">
        <v>129</v>
      </c>
      <c r="B74" s="176"/>
      <c r="C74" s="176"/>
      <c r="D74" s="176"/>
      <c r="E74" s="176"/>
      <c r="F74" s="79"/>
      <c r="G74" s="78">
        <f>SUM(G70:G73)</f>
        <v>360.96</v>
      </c>
      <c r="I74" s="74"/>
    </row>
    <row r="76" spans="1:9" x14ac:dyDescent="0.25">
      <c r="A76" s="178" t="s">
        <v>128</v>
      </c>
      <c r="B76" s="178"/>
      <c r="C76" s="178"/>
      <c r="D76" s="178"/>
      <c r="E76" s="178"/>
      <c r="F76" s="178"/>
      <c r="G76" s="178"/>
    </row>
    <row r="77" spans="1:9" x14ac:dyDescent="0.25">
      <c r="A77" s="70">
        <v>6</v>
      </c>
      <c r="B77" s="69" t="s">
        <v>17</v>
      </c>
      <c r="C77" s="68"/>
      <c r="D77" s="67"/>
      <c r="E77" s="67"/>
      <c r="F77" s="66" t="s">
        <v>43</v>
      </c>
      <c r="G77" s="65"/>
    </row>
    <row r="78" spans="1:9" x14ac:dyDescent="0.25">
      <c r="A78" s="55" t="s">
        <v>0</v>
      </c>
      <c r="B78" t="s">
        <v>127</v>
      </c>
      <c r="F78" s="52">
        <v>0.05</v>
      </c>
      <c r="G78" s="51">
        <f>G99*F78</f>
        <v>204.68</v>
      </c>
    </row>
    <row r="79" spans="1:9" x14ac:dyDescent="0.25">
      <c r="A79" s="55" t="s">
        <v>1</v>
      </c>
      <c r="B79" t="s">
        <v>19</v>
      </c>
      <c r="F79" s="52">
        <v>0.1</v>
      </c>
      <c r="G79" s="51">
        <f>(G99+G78)*F79</f>
        <v>429.84</v>
      </c>
    </row>
    <row r="80" spans="1:9" x14ac:dyDescent="0.25">
      <c r="B80" s="63" t="s">
        <v>126</v>
      </c>
      <c r="F80" s="64">
        <f>SUM(F78:F79)</f>
        <v>0.15</v>
      </c>
      <c r="G80" s="62">
        <f>SUM(G78:G79)</f>
        <v>634.52</v>
      </c>
      <c r="I80" s="74"/>
    </row>
    <row r="81" spans="1:13" s="57" customFormat="1" x14ac:dyDescent="0.25">
      <c r="A81" s="55" t="s">
        <v>2</v>
      </c>
      <c r="B81" t="s">
        <v>18</v>
      </c>
      <c r="C81" s="54"/>
      <c r="D81" s="53"/>
      <c r="E81" s="53"/>
      <c r="F81" s="52"/>
      <c r="G81" s="51"/>
      <c r="M81" s="77"/>
    </row>
    <row r="82" spans="1:13" s="57" customFormat="1" x14ac:dyDescent="0.25">
      <c r="A82" s="55" t="s">
        <v>22</v>
      </c>
      <c r="B82" t="s">
        <v>125</v>
      </c>
      <c r="C82" s="54"/>
      <c r="D82" s="53"/>
      <c r="E82" s="53"/>
      <c r="F82" s="52"/>
      <c r="G82" s="51"/>
    </row>
    <row r="83" spans="1:13" s="57" customFormat="1" x14ac:dyDescent="0.25">
      <c r="A83" s="55"/>
      <c r="B83" t="s">
        <v>21</v>
      </c>
      <c r="C83" s="54"/>
      <c r="D83" s="53"/>
      <c r="E83" s="53"/>
      <c r="F83" s="52">
        <v>0.03</v>
      </c>
      <c r="G83" s="51">
        <f>(($G$80+$G$99)/(1-($F$83+$F$84+$F$86)))*(F83)</f>
        <v>155.28</v>
      </c>
    </row>
    <row r="84" spans="1:13" s="57" customFormat="1" x14ac:dyDescent="0.25">
      <c r="A84" s="55"/>
      <c r="B84" t="s">
        <v>20</v>
      </c>
      <c r="C84" s="54"/>
      <c r="D84" s="53"/>
      <c r="E84" s="53"/>
      <c r="F84" s="52">
        <v>6.4999999999999997E-3</v>
      </c>
      <c r="G84" s="51">
        <f>(($G$80+$G$99)/(1-($F$83+$F$84+$F$86)))*(F84)</f>
        <v>33.64</v>
      </c>
    </row>
    <row r="85" spans="1:13" s="57" customFormat="1" x14ac:dyDescent="0.25">
      <c r="A85" s="55" t="s">
        <v>124</v>
      </c>
      <c r="B85" t="s">
        <v>123</v>
      </c>
      <c r="C85" s="54"/>
      <c r="D85" s="53"/>
      <c r="E85" s="53"/>
      <c r="F85" s="52"/>
      <c r="G85" s="51"/>
    </row>
    <row r="86" spans="1:13" s="57" customFormat="1" x14ac:dyDescent="0.25">
      <c r="A86" s="55"/>
      <c r="B86" t="s">
        <v>31</v>
      </c>
      <c r="C86" s="54"/>
      <c r="D86" s="53"/>
      <c r="E86" s="53"/>
      <c r="F86" s="52">
        <v>0.05</v>
      </c>
      <c r="G86" s="51">
        <f t="shared" ref="G86" si="1">(($G$80+$G$99)/(1-($F$83+$F$84+$F$86)))*(F86)</f>
        <v>258.8</v>
      </c>
    </row>
    <row r="87" spans="1:13" s="57" customFormat="1" x14ac:dyDescent="0.25">
      <c r="A87" s="55" t="s">
        <v>122</v>
      </c>
      <c r="B87" t="s">
        <v>121</v>
      </c>
      <c r="C87" s="54"/>
      <c r="D87" s="53"/>
      <c r="E87" s="53"/>
      <c r="F87" s="52"/>
      <c r="G87" s="51"/>
    </row>
    <row r="88" spans="1:13" s="57" customFormat="1" x14ac:dyDescent="0.25">
      <c r="A88" s="55" t="s">
        <v>120</v>
      </c>
      <c r="B88" t="s">
        <v>119</v>
      </c>
      <c r="C88" s="54"/>
      <c r="D88" s="53"/>
      <c r="E88" s="53"/>
      <c r="F88" s="52"/>
      <c r="G88" s="51"/>
    </row>
    <row r="89" spans="1:13" s="57" customFormat="1" x14ac:dyDescent="0.25">
      <c r="A89" s="55"/>
      <c r="B89" s="63" t="s">
        <v>118</v>
      </c>
      <c r="C89" s="54"/>
      <c r="D89" s="53"/>
      <c r="E89" s="53"/>
      <c r="F89" s="64">
        <f>F83+F84+F86+F88</f>
        <v>8.6499999999999994E-2</v>
      </c>
      <c r="G89" s="62">
        <f>G83+G84+G86+G88</f>
        <v>447.72</v>
      </c>
      <c r="I89" s="58"/>
    </row>
    <row r="90" spans="1:13" x14ac:dyDescent="0.25">
      <c r="A90" s="176" t="s">
        <v>117</v>
      </c>
      <c r="B90" s="176"/>
      <c r="C90" s="176"/>
      <c r="D90" s="176"/>
      <c r="E90" s="176"/>
      <c r="F90" s="76"/>
      <c r="G90" s="75">
        <f>G80+G89</f>
        <v>1082.24</v>
      </c>
      <c r="I90" s="74"/>
      <c r="J90" s="51"/>
    </row>
    <row r="91" spans="1:13" x14ac:dyDescent="0.25">
      <c r="A91" s="45"/>
      <c r="B91" s="45"/>
      <c r="C91" s="73"/>
      <c r="D91" s="73"/>
      <c r="E91" s="73"/>
      <c r="F91" s="72"/>
      <c r="G91" s="71"/>
    </row>
    <row r="92" spans="1:13" x14ac:dyDescent="0.25">
      <c r="A92" s="178" t="s">
        <v>116</v>
      </c>
      <c r="B92" s="178"/>
      <c r="C92" s="178"/>
      <c r="D92" s="178"/>
      <c r="E92" s="178"/>
      <c r="F92" s="178"/>
      <c r="G92" s="178"/>
    </row>
    <row r="93" spans="1:13" x14ac:dyDescent="0.25">
      <c r="A93" s="70"/>
      <c r="B93" s="69" t="s">
        <v>115</v>
      </c>
      <c r="C93" s="68"/>
      <c r="D93" s="67"/>
      <c r="E93" s="67"/>
      <c r="F93" s="66" t="s">
        <v>43</v>
      </c>
      <c r="G93" s="65"/>
    </row>
    <row r="94" spans="1:13" x14ac:dyDescent="0.25">
      <c r="A94" s="55" t="s">
        <v>0</v>
      </c>
      <c r="B94" s="1" t="s">
        <v>114</v>
      </c>
      <c r="G94" s="51">
        <f>G6</f>
        <v>1622.36</v>
      </c>
    </row>
    <row r="95" spans="1:13" x14ac:dyDescent="0.25">
      <c r="A95" s="55" t="s">
        <v>1</v>
      </c>
      <c r="B95" s="1" t="s">
        <v>113</v>
      </c>
      <c r="G95" s="51">
        <f>G36</f>
        <v>1603.31</v>
      </c>
    </row>
    <row r="96" spans="1:13" x14ac:dyDescent="0.25">
      <c r="A96" s="55" t="s">
        <v>2</v>
      </c>
      <c r="B96" s="1" t="s">
        <v>112</v>
      </c>
      <c r="F96" s="64"/>
      <c r="G96" s="51">
        <f>G46</f>
        <v>224.8</v>
      </c>
    </row>
    <row r="97" spans="1:9" x14ac:dyDescent="0.25">
      <c r="A97" s="55" t="s">
        <v>3</v>
      </c>
      <c r="B97" s="1" t="s">
        <v>111</v>
      </c>
      <c r="G97" s="51">
        <f>G66</f>
        <v>282.25</v>
      </c>
    </row>
    <row r="98" spans="1:9" x14ac:dyDescent="0.25">
      <c r="A98" s="55" t="s">
        <v>4</v>
      </c>
      <c r="B98" s="1" t="s">
        <v>110</v>
      </c>
      <c r="G98" s="51">
        <f>G74</f>
        <v>360.96</v>
      </c>
    </row>
    <row r="99" spans="1:9" x14ac:dyDescent="0.25">
      <c r="B99" s="63" t="s">
        <v>109</v>
      </c>
      <c r="G99" s="62">
        <f>SUM(G94:G98)</f>
        <v>4093.68</v>
      </c>
    </row>
    <row r="100" spans="1:9" x14ac:dyDescent="0.25">
      <c r="A100" s="55" t="s">
        <v>5</v>
      </c>
      <c r="B100" s="1" t="s">
        <v>108</v>
      </c>
      <c r="G100" s="51">
        <f>G90</f>
        <v>1082.24</v>
      </c>
    </row>
    <row r="101" spans="1:9" s="57" customFormat="1" x14ac:dyDescent="0.25">
      <c r="A101" s="61"/>
      <c r="B101" s="61" t="s">
        <v>107</v>
      </c>
      <c r="C101" s="61"/>
      <c r="D101" s="61"/>
      <c r="E101" s="61"/>
      <c r="F101" s="60"/>
      <c r="G101" s="59">
        <f>(G99+G80)/(1-F89)</f>
        <v>5175.92</v>
      </c>
      <c r="I101" s="58"/>
    </row>
    <row r="103" spans="1:9" x14ac:dyDescent="0.25">
      <c r="A103" s="179"/>
      <c r="B103" s="179"/>
      <c r="C103" s="179"/>
      <c r="D103" s="179"/>
      <c r="E103" s="179"/>
      <c r="F103" s="179"/>
      <c r="G103" s="179"/>
      <c r="I103" s="56">
        <v>11452.58</v>
      </c>
    </row>
    <row r="104" spans="1:9" x14ac:dyDescent="0.25">
      <c r="A104" s="180"/>
      <c r="B104" s="180"/>
      <c r="C104" s="180"/>
      <c r="D104" s="180"/>
      <c r="E104" s="180"/>
      <c r="F104" s="180"/>
      <c r="G104" s="180"/>
    </row>
  </sheetData>
  <sheetProtection formatCells="0" formatColumns="0" formatRows="0" insertColumns="0" insertRows="0" insertHyperlinks="0" deleteColumns="0" deleteRows="0"/>
  <mergeCells count="18">
    <mergeCell ref="A104:G104"/>
    <mergeCell ref="A46:E46"/>
    <mergeCell ref="A48:G48"/>
    <mergeCell ref="A57:E57"/>
    <mergeCell ref="A61:E61"/>
    <mergeCell ref="A66:E66"/>
    <mergeCell ref="A68:G68"/>
    <mergeCell ref="A74:E74"/>
    <mergeCell ref="A76:G76"/>
    <mergeCell ref="A90:E90"/>
    <mergeCell ref="A92:G92"/>
    <mergeCell ref="A103:G103"/>
    <mergeCell ref="A38:G38"/>
    <mergeCell ref="A1:G1"/>
    <mergeCell ref="A2:G2"/>
    <mergeCell ref="A6:E6"/>
    <mergeCell ref="A8:G8"/>
    <mergeCell ref="A36:F36"/>
  </mergeCells>
  <pageMargins left="0.25" right="0.25" top="0.75" bottom="0.75" header="0.3" footer="0.3"/>
  <pageSetup paperSize="9" scale="84" fitToHeight="0" orientation="portrait" r:id="rId1"/>
  <rowBreaks count="1" manualBreakCount="1">
    <brk id="58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8"/>
  <sheetViews>
    <sheetView zoomScaleNormal="100" workbookViewId="0">
      <selection activeCell="E27" sqref="E27"/>
    </sheetView>
  </sheetViews>
  <sheetFormatPr defaultRowHeight="15" x14ac:dyDescent="0.25"/>
  <cols>
    <col min="1" max="1" width="35.85546875" style="6" bestFit="1" customWidth="1"/>
    <col min="2" max="2" width="10.5703125" style="6" customWidth="1"/>
    <col min="3" max="3" width="6.85546875" style="6" bestFit="1" customWidth="1"/>
    <col min="4" max="4" width="11.7109375" style="6" bestFit="1" customWidth="1"/>
    <col min="5" max="5" width="16.28515625" style="6" customWidth="1"/>
    <col min="6" max="6" width="13.85546875" style="6" customWidth="1"/>
    <col min="7" max="7" width="15.5703125" style="6" bestFit="1" customWidth="1"/>
    <col min="8" max="8" width="10" style="5" bestFit="1" customWidth="1"/>
    <col min="9" max="10" width="9.140625" style="5"/>
    <col min="11" max="11" width="10" style="5" bestFit="1" customWidth="1"/>
    <col min="12" max="16384" width="9.140625" style="5"/>
  </cols>
  <sheetData>
    <row r="1" spans="1:7" ht="21" x14ac:dyDescent="0.3">
      <c r="A1" s="181" t="s">
        <v>86</v>
      </c>
      <c r="B1" s="181"/>
      <c r="C1" s="181"/>
      <c r="D1" s="181"/>
      <c r="E1" s="181"/>
      <c r="F1" s="181"/>
      <c r="G1" s="11"/>
    </row>
    <row r="2" spans="1:7" ht="21" x14ac:dyDescent="0.3">
      <c r="A2" s="32"/>
      <c r="B2" s="32"/>
      <c r="C2" s="32"/>
      <c r="D2" s="32"/>
      <c r="E2" s="32"/>
      <c r="F2" s="32"/>
      <c r="G2" s="11"/>
    </row>
    <row r="3" spans="1:7" x14ac:dyDescent="0.25">
      <c r="A3" s="183" t="s">
        <v>87</v>
      </c>
      <c r="B3" s="183" t="s">
        <v>45</v>
      </c>
      <c r="C3" s="183" t="s">
        <v>39</v>
      </c>
      <c r="D3" s="182" t="s">
        <v>44</v>
      </c>
      <c r="E3" s="182" t="s">
        <v>39</v>
      </c>
      <c r="F3" s="182" t="s">
        <v>42</v>
      </c>
      <c r="G3" s="189"/>
    </row>
    <row r="4" spans="1:7" x14ac:dyDescent="0.25">
      <c r="A4" s="183"/>
      <c r="B4" s="183"/>
      <c r="C4" s="183"/>
      <c r="D4" s="182"/>
      <c r="E4" s="182"/>
      <c r="F4" s="182"/>
      <c r="G4" s="189"/>
    </row>
    <row r="5" spans="1:7" ht="15.75" x14ac:dyDescent="0.25">
      <c r="A5" s="15" t="s">
        <v>187</v>
      </c>
      <c r="B5" s="16">
        <v>2</v>
      </c>
      <c r="C5" s="7">
        <f>B5*2</f>
        <v>4</v>
      </c>
      <c r="D5" s="25">
        <v>30.82</v>
      </c>
      <c r="E5" s="26">
        <f>C5</f>
        <v>4</v>
      </c>
      <c r="F5" s="27">
        <f>D5*E5</f>
        <v>123.28</v>
      </c>
      <c r="G5" s="12"/>
    </row>
    <row r="6" spans="1:7" ht="15.75" x14ac:dyDescent="0.25">
      <c r="A6" s="15" t="s">
        <v>89</v>
      </c>
      <c r="B6" s="16">
        <v>2</v>
      </c>
      <c r="C6" s="7">
        <f>B6*2</f>
        <v>4</v>
      </c>
      <c r="D6" s="25">
        <v>76.83</v>
      </c>
      <c r="E6" s="26">
        <f>C6</f>
        <v>4</v>
      </c>
      <c r="F6" s="27">
        <f t="shared" ref="F6:F8" si="0">D6*E6</f>
        <v>307.32</v>
      </c>
      <c r="G6" s="12"/>
    </row>
    <row r="7" spans="1:7" ht="15.75" x14ac:dyDescent="0.25">
      <c r="A7" s="15" t="s">
        <v>90</v>
      </c>
      <c r="B7" s="16">
        <v>1</v>
      </c>
      <c r="C7" s="7">
        <f>B7*2</f>
        <v>2</v>
      </c>
      <c r="D7" s="25">
        <v>37.19</v>
      </c>
      <c r="E7" s="26">
        <f>C7</f>
        <v>2</v>
      </c>
      <c r="F7" s="27">
        <f t="shared" si="0"/>
        <v>74.38</v>
      </c>
      <c r="G7" s="12"/>
    </row>
    <row r="8" spans="1:7" ht="15.75" x14ac:dyDescent="0.25">
      <c r="A8" s="15" t="s">
        <v>196</v>
      </c>
      <c r="B8" s="16">
        <v>1</v>
      </c>
      <c r="C8" s="7">
        <v>2</v>
      </c>
      <c r="D8" s="25">
        <v>28.06</v>
      </c>
      <c r="E8" s="144">
        <f>C8</f>
        <v>2</v>
      </c>
      <c r="F8" s="27">
        <f t="shared" si="0"/>
        <v>56.12</v>
      </c>
      <c r="G8" s="12"/>
    </row>
    <row r="9" spans="1:7" ht="15.75" x14ac:dyDescent="0.25">
      <c r="A9" s="15" t="s">
        <v>91</v>
      </c>
      <c r="B9" s="16">
        <v>4</v>
      </c>
      <c r="C9" s="7">
        <v>8</v>
      </c>
      <c r="D9" s="25">
        <v>7.01</v>
      </c>
      <c r="E9" s="26">
        <f>C9</f>
        <v>8</v>
      </c>
      <c r="F9" s="27">
        <f>D9*E9</f>
        <v>56.08</v>
      </c>
      <c r="G9" s="12"/>
    </row>
    <row r="10" spans="1:7" ht="15.75" x14ac:dyDescent="0.25">
      <c r="A10" s="15"/>
      <c r="B10" s="16"/>
      <c r="C10" s="7"/>
      <c r="D10" s="187" t="s">
        <v>197</v>
      </c>
      <c r="E10" s="188"/>
      <c r="F10" s="27">
        <f>SUM(F5:F9)/12</f>
        <v>51.43</v>
      </c>
      <c r="G10" s="12"/>
    </row>
    <row r="11" spans="1:7" ht="15.75" x14ac:dyDescent="0.25">
      <c r="A11" s="15"/>
      <c r="B11" s="143"/>
      <c r="C11" s="148"/>
      <c r="D11" s="149"/>
      <c r="E11" s="150"/>
      <c r="F11" s="151"/>
      <c r="G11" s="12"/>
    </row>
    <row r="12" spans="1:7" ht="15.75" x14ac:dyDescent="0.25">
      <c r="A12" s="46" t="s">
        <v>88</v>
      </c>
      <c r="B12" s="184"/>
      <c r="C12" s="185"/>
      <c r="D12" s="185"/>
      <c r="E12" s="185"/>
      <c r="F12" s="186"/>
      <c r="G12" s="12"/>
    </row>
    <row r="13" spans="1:7" ht="15.75" x14ac:dyDescent="0.25">
      <c r="A13" s="15" t="s">
        <v>92</v>
      </c>
      <c r="B13" s="16">
        <v>2</v>
      </c>
      <c r="C13" s="7">
        <v>4</v>
      </c>
      <c r="D13" s="25">
        <v>27.57</v>
      </c>
      <c r="E13" s="26">
        <f>C13</f>
        <v>4</v>
      </c>
      <c r="F13" s="27">
        <f>D13*E13</f>
        <v>110.28</v>
      </c>
      <c r="G13" s="12"/>
    </row>
    <row r="14" spans="1:7" ht="15.75" x14ac:dyDescent="0.25">
      <c r="A14" s="15" t="s">
        <v>93</v>
      </c>
      <c r="B14" s="16">
        <v>2</v>
      </c>
      <c r="C14" s="7">
        <v>4</v>
      </c>
      <c r="D14" s="25">
        <v>19.829999999999998</v>
      </c>
      <c r="E14" s="44">
        <f>C14</f>
        <v>4</v>
      </c>
      <c r="F14" s="27">
        <f>D14*E14</f>
        <v>79.319999999999993</v>
      </c>
      <c r="G14" s="12"/>
    </row>
    <row r="15" spans="1:7" ht="15.75" x14ac:dyDescent="0.25">
      <c r="A15" s="15" t="s">
        <v>94</v>
      </c>
      <c r="B15" s="16">
        <v>1</v>
      </c>
      <c r="C15" s="7">
        <v>2</v>
      </c>
      <c r="D15" s="25">
        <v>29.9</v>
      </c>
      <c r="E15" s="44">
        <f>C15</f>
        <v>2</v>
      </c>
      <c r="F15" s="27">
        <f>D15*E15</f>
        <v>59.8</v>
      </c>
      <c r="G15" s="12"/>
    </row>
    <row r="16" spans="1:7" ht="15.75" x14ac:dyDescent="0.25">
      <c r="A16" s="15" t="s">
        <v>95</v>
      </c>
      <c r="B16" s="16">
        <v>1</v>
      </c>
      <c r="C16" s="7">
        <v>2</v>
      </c>
      <c r="D16" s="25">
        <v>40.270000000000003</v>
      </c>
      <c r="E16" s="44">
        <f>C16</f>
        <v>2</v>
      </c>
      <c r="F16" s="27">
        <f>D16*E16</f>
        <v>80.540000000000006</v>
      </c>
      <c r="G16" s="12"/>
    </row>
    <row r="17" spans="1:12" ht="15" customHeight="1" x14ac:dyDescent="0.25">
      <c r="A17" s="47" t="s">
        <v>91</v>
      </c>
      <c r="B17" s="28">
        <v>4</v>
      </c>
      <c r="C17" s="28">
        <v>8</v>
      </c>
      <c r="D17" s="25">
        <v>7.01</v>
      </c>
      <c r="E17" s="44">
        <f>C17</f>
        <v>8</v>
      </c>
      <c r="F17" s="27">
        <f>D17*E17</f>
        <v>56.08</v>
      </c>
      <c r="G17" s="12"/>
    </row>
    <row r="18" spans="1:12" ht="15" customHeight="1" x14ac:dyDescent="0.25">
      <c r="A18" s="47"/>
      <c r="B18" s="28"/>
      <c r="C18" s="28"/>
      <c r="D18" s="182" t="s">
        <v>198</v>
      </c>
      <c r="E18" s="182"/>
      <c r="F18" s="27">
        <f>SUM(F13:F17)/12</f>
        <v>32.17</v>
      </c>
      <c r="G18" s="12"/>
    </row>
    <row r="21" spans="1:12" ht="72" customHeight="1" x14ac:dyDescent="0.25">
      <c r="H21" s="13"/>
      <c r="I21" s="13"/>
      <c r="K21" s="13"/>
    </row>
    <row r="22" spans="1:12" x14ac:dyDescent="0.25">
      <c r="I22" s="13"/>
      <c r="K22" s="13"/>
      <c r="L22" s="13"/>
    </row>
    <row r="23" spans="1:12" x14ac:dyDescent="0.25">
      <c r="H23" s="13"/>
      <c r="I23" s="13"/>
    </row>
    <row r="25" spans="1:12" x14ac:dyDescent="0.25">
      <c r="I25" s="13"/>
    </row>
    <row r="27" spans="1:12" ht="59.25" customHeight="1" x14ac:dyDescent="0.25"/>
    <row r="28" spans="1:12" ht="69" customHeight="1" x14ac:dyDescent="0.25"/>
    <row r="29" spans="1:12" s="14" customFormat="1" ht="81.75" customHeight="1" x14ac:dyDescent="0.25"/>
    <row r="36" ht="62.25" customHeight="1" x14ac:dyDescent="0.25"/>
    <row r="44" ht="220.5" customHeight="1" x14ac:dyDescent="0.25"/>
    <row r="46" ht="107.25" customHeight="1" x14ac:dyDescent="0.25"/>
    <row r="48" ht="45" customHeight="1" x14ac:dyDescent="0.25"/>
  </sheetData>
  <mergeCells count="11">
    <mergeCell ref="B12:F12"/>
    <mergeCell ref="D10:E10"/>
    <mergeCell ref="D18:E18"/>
    <mergeCell ref="G3:G4"/>
    <mergeCell ref="A3:A4"/>
    <mergeCell ref="A1:F1"/>
    <mergeCell ref="E3:E4"/>
    <mergeCell ref="D3:D4"/>
    <mergeCell ref="F3:F4"/>
    <mergeCell ref="B3:B4"/>
    <mergeCell ref="C3:C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DABDC-1D09-4D92-87CC-169F74672E1B}">
  <dimension ref="A1:H22"/>
  <sheetViews>
    <sheetView zoomScaleNormal="100" workbookViewId="0">
      <selection activeCell="K10" sqref="K10"/>
    </sheetView>
  </sheetViews>
  <sheetFormatPr defaultRowHeight="12.75" x14ac:dyDescent="0.2"/>
  <cols>
    <col min="1" max="1" width="9.140625" style="8"/>
    <col min="2" max="2" width="44.140625" style="8" customWidth="1"/>
    <col min="3" max="3" width="9.28515625" style="8" bestFit="1" customWidth="1"/>
    <col min="4" max="4" width="11.7109375" style="8" bestFit="1" customWidth="1"/>
    <col min="5" max="5" width="11.7109375" style="8" customWidth="1"/>
    <col min="6" max="6" width="12.28515625" style="8" bestFit="1" customWidth="1"/>
    <col min="7" max="16384" width="9.140625" style="8"/>
  </cols>
  <sheetData>
    <row r="1" spans="1:8" ht="15" customHeight="1" x14ac:dyDescent="0.25">
      <c r="A1" s="193" t="s">
        <v>96</v>
      </c>
      <c r="B1" s="194"/>
      <c r="C1" s="194"/>
      <c r="D1" s="194"/>
      <c r="E1" s="194"/>
      <c r="F1" s="195"/>
    </row>
    <row r="2" spans="1:8" ht="15" customHeight="1" x14ac:dyDescent="0.25">
      <c r="A2" s="30"/>
      <c r="B2" s="31"/>
      <c r="C2" s="31"/>
      <c r="D2" s="29"/>
      <c r="E2" s="147"/>
      <c r="F2" s="31"/>
    </row>
    <row r="3" spans="1:8" ht="15" customHeight="1" x14ac:dyDescent="0.25">
      <c r="A3" s="30"/>
      <c r="B3" s="31"/>
      <c r="C3" s="31"/>
      <c r="D3" s="29"/>
      <c r="E3" s="147"/>
      <c r="F3" s="31"/>
    </row>
    <row r="4" spans="1:8" x14ac:dyDescent="0.2">
      <c r="A4" s="196" t="s">
        <v>46</v>
      </c>
      <c r="B4" s="199" t="s">
        <v>37</v>
      </c>
      <c r="C4" s="199" t="s">
        <v>45</v>
      </c>
      <c r="D4" s="17" t="s">
        <v>44</v>
      </c>
      <c r="E4" s="202" t="s">
        <v>200</v>
      </c>
      <c r="F4" s="197" t="s">
        <v>106</v>
      </c>
      <c r="G4" s="190" t="s">
        <v>201</v>
      </c>
      <c r="H4" s="8">
        <v>6</v>
      </c>
    </row>
    <row r="5" spans="1:8" ht="25.5" x14ac:dyDescent="0.2">
      <c r="A5" s="196"/>
      <c r="B5" s="200"/>
      <c r="C5" s="200"/>
      <c r="D5" s="18" t="s">
        <v>38</v>
      </c>
      <c r="E5" s="203"/>
      <c r="F5" s="198"/>
      <c r="G5" s="190"/>
    </row>
    <row r="6" spans="1:8" ht="25.5" x14ac:dyDescent="0.2">
      <c r="A6" s="9">
        <v>1</v>
      </c>
      <c r="B6" s="36" t="s">
        <v>103</v>
      </c>
      <c r="C6" s="21">
        <v>3</v>
      </c>
      <c r="D6" s="19">
        <v>423.55</v>
      </c>
      <c r="E6" s="152">
        <f>120/6</f>
        <v>20</v>
      </c>
      <c r="F6" s="153">
        <f>(C6*D6)/E6</f>
        <v>63.53</v>
      </c>
      <c r="G6" s="156">
        <f>F6/$H$4</f>
        <v>10.59</v>
      </c>
    </row>
    <row r="7" spans="1:8" ht="45" customHeight="1" x14ac:dyDescent="0.2">
      <c r="A7" s="9">
        <v>2</v>
      </c>
      <c r="B7" s="22" t="s">
        <v>188</v>
      </c>
      <c r="C7" s="21">
        <v>10</v>
      </c>
      <c r="D7" s="19">
        <v>41.7</v>
      </c>
      <c r="E7" s="152">
        <f>60/6</f>
        <v>10</v>
      </c>
      <c r="F7" s="153">
        <f>(C7*D7)/E7</f>
        <v>41.7</v>
      </c>
      <c r="G7" s="156">
        <f t="shared" ref="G7:G20" si="0">F7/$H$4</f>
        <v>6.95</v>
      </c>
    </row>
    <row r="8" spans="1:8" x14ac:dyDescent="0.2">
      <c r="A8" s="9">
        <v>3</v>
      </c>
      <c r="B8" s="22" t="s">
        <v>77</v>
      </c>
      <c r="C8" s="21">
        <v>20</v>
      </c>
      <c r="D8" s="19">
        <v>9.02</v>
      </c>
      <c r="E8" s="152">
        <v>1</v>
      </c>
      <c r="F8" s="153">
        <f>(C8*D8)/E8</f>
        <v>180.4</v>
      </c>
      <c r="G8" s="156">
        <f t="shared" si="0"/>
        <v>30.07</v>
      </c>
    </row>
    <row r="9" spans="1:8" x14ac:dyDescent="0.2">
      <c r="A9" s="9">
        <v>4</v>
      </c>
      <c r="B9" s="22" t="s">
        <v>78</v>
      </c>
      <c r="C9" s="21">
        <v>6</v>
      </c>
      <c r="D9" s="19">
        <v>16.32</v>
      </c>
      <c r="E9" s="152">
        <v>1</v>
      </c>
      <c r="F9" s="153">
        <f>(C9*D9)/E9</f>
        <v>97.92</v>
      </c>
      <c r="G9" s="156">
        <f t="shared" si="0"/>
        <v>16.32</v>
      </c>
    </row>
    <row r="10" spans="1:8" ht="31.5" customHeight="1" x14ac:dyDescent="0.2">
      <c r="A10" s="9">
        <v>5</v>
      </c>
      <c r="B10" s="37" t="s">
        <v>79</v>
      </c>
      <c r="C10" s="21">
        <v>8</v>
      </c>
      <c r="D10" s="19">
        <v>18.32</v>
      </c>
      <c r="E10" s="152">
        <v>1</v>
      </c>
      <c r="F10" s="153">
        <f>(C10*D10)/E10</f>
        <v>146.56</v>
      </c>
      <c r="G10" s="156">
        <f t="shared" si="0"/>
        <v>24.43</v>
      </c>
    </row>
    <row r="11" spans="1:8" x14ac:dyDescent="0.2">
      <c r="A11" s="9">
        <v>6</v>
      </c>
      <c r="B11" s="22" t="s">
        <v>199</v>
      </c>
      <c r="C11" s="21">
        <v>8</v>
      </c>
      <c r="D11" s="19">
        <v>46.12</v>
      </c>
      <c r="E11" s="152">
        <v>10</v>
      </c>
      <c r="F11" s="153">
        <f>(C11*D11)/E11</f>
        <v>36.9</v>
      </c>
      <c r="G11" s="156">
        <f t="shared" si="0"/>
        <v>6.15</v>
      </c>
    </row>
    <row r="12" spans="1:8" x14ac:dyDescent="0.2">
      <c r="A12" s="9">
        <v>7</v>
      </c>
      <c r="B12" s="22" t="s">
        <v>80</v>
      </c>
      <c r="C12" s="21">
        <v>2</v>
      </c>
      <c r="D12" s="19">
        <v>160.46</v>
      </c>
      <c r="E12" s="152">
        <v>1</v>
      </c>
      <c r="F12" s="153">
        <f>(C12*D12)/E12</f>
        <v>320.92</v>
      </c>
      <c r="G12" s="156">
        <f t="shared" si="0"/>
        <v>53.49</v>
      </c>
    </row>
    <row r="13" spans="1:8" x14ac:dyDescent="0.2">
      <c r="A13" s="9">
        <v>8</v>
      </c>
      <c r="B13" s="23" t="s">
        <v>81</v>
      </c>
      <c r="C13" s="21">
        <v>2</v>
      </c>
      <c r="D13" s="19">
        <v>141.43</v>
      </c>
      <c r="E13" s="152">
        <v>1</v>
      </c>
      <c r="F13" s="153">
        <f>(C13*D13)/E13</f>
        <v>282.86</v>
      </c>
      <c r="G13" s="156">
        <f t="shared" si="0"/>
        <v>47.14</v>
      </c>
    </row>
    <row r="14" spans="1:8" x14ac:dyDescent="0.2">
      <c r="A14" s="9">
        <v>9</v>
      </c>
      <c r="B14" s="22" t="s">
        <v>82</v>
      </c>
      <c r="C14" s="21">
        <v>4</v>
      </c>
      <c r="D14" s="19">
        <v>3.2</v>
      </c>
      <c r="E14" s="152">
        <v>1</v>
      </c>
      <c r="F14" s="153">
        <f>(C14*D14)/E14</f>
        <v>12.8</v>
      </c>
      <c r="G14" s="156">
        <f t="shared" si="0"/>
        <v>2.13</v>
      </c>
    </row>
    <row r="15" spans="1:8" ht="21.75" customHeight="1" x14ac:dyDescent="0.2">
      <c r="A15" s="9">
        <v>10</v>
      </c>
      <c r="B15" s="22" t="s">
        <v>98</v>
      </c>
      <c r="C15" s="21">
        <v>2</v>
      </c>
      <c r="D15" s="19">
        <v>1121.3699999999999</v>
      </c>
      <c r="E15" s="152">
        <v>20</v>
      </c>
      <c r="F15" s="153">
        <f>(C15*D15)/E15</f>
        <v>112.14</v>
      </c>
      <c r="G15" s="156">
        <f t="shared" si="0"/>
        <v>18.690000000000001</v>
      </c>
    </row>
    <row r="16" spans="1:8" ht="37.5" customHeight="1" x14ac:dyDescent="0.2">
      <c r="A16" s="9">
        <v>11</v>
      </c>
      <c r="B16" s="22" t="s">
        <v>102</v>
      </c>
      <c r="C16" s="21">
        <v>2</v>
      </c>
      <c r="D16" s="19">
        <v>162.22999999999999</v>
      </c>
      <c r="E16" s="152">
        <v>20</v>
      </c>
      <c r="F16" s="153">
        <f>(C16*D16)/E16</f>
        <v>16.22</v>
      </c>
      <c r="G16" s="156">
        <f t="shared" si="0"/>
        <v>2.7</v>
      </c>
    </row>
    <row r="17" spans="1:8" x14ac:dyDescent="0.2">
      <c r="A17" s="9">
        <v>12</v>
      </c>
      <c r="B17" s="22" t="s">
        <v>104</v>
      </c>
      <c r="C17" s="21">
        <v>1</v>
      </c>
      <c r="D17" s="19">
        <v>160.46</v>
      </c>
      <c r="E17" s="152">
        <v>10</v>
      </c>
      <c r="F17" s="153">
        <f>(C17*D17)/E17</f>
        <v>16.05</v>
      </c>
      <c r="G17" s="156">
        <f t="shared" si="0"/>
        <v>2.68</v>
      </c>
    </row>
    <row r="18" spans="1:8" x14ac:dyDescent="0.2">
      <c r="A18" s="9">
        <v>13</v>
      </c>
      <c r="B18" s="22" t="s">
        <v>105</v>
      </c>
      <c r="C18" s="21">
        <v>2</v>
      </c>
      <c r="D18" s="19">
        <v>70.36</v>
      </c>
      <c r="E18" s="152">
        <v>10</v>
      </c>
      <c r="F18" s="153">
        <f>(C18*D18)/E18</f>
        <v>14.07</v>
      </c>
      <c r="G18" s="156">
        <f t="shared" si="0"/>
        <v>2.35</v>
      </c>
    </row>
    <row r="19" spans="1:8" x14ac:dyDescent="0.2">
      <c r="A19" s="9">
        <v>14</v>
      </c>
      <c r="B19" s="23" t="s">
        <v>83</v>
      </c>
      <c r="C19" s="21">
        <v>15</v>
      </c>
      <c r="D19" s="19">
        <v>21.44</v>
      </c>
      <c r="E19" s="152">
        <v>1</v>
      </c>
      <c r="F19" s="153">
        <f>(C19*D19)/E19</f>
        <v>321.60000000000002</v>
      </c>
      <c r="G19" s="156">
        <f t="shared" si="0"/>
        <v>53.6</v>
      </c>
    </row>
    <row r="20" spans="1:8" ht="38.25" customHeight="1" x14ac:dyDescent="0.2">
      <c r="A20" s="9">
        <v>15</v>
      </c>
      <c r="B20" s="22" t="s">
        <v>84</v>
      </c>
      <c r="C20" s="21">
        <v>15</v>
      </c>
      <c r="D20" s="19">
        <v>12.62</v>
      </c>
      <c r="E20" s="152">
        <v>1</v>
      </c>
      <c r="F20" s="153">
        <f>(C20*D20)/E20</f>
        <v>189.3</v>
      </c>
      <c r="G20" s="156">
        <f t="shared" si="0"/>
        <v>31.55</v>
      </c>
    </row>
    <row r="21" spans="1:8" x14ac:dyDescent="0.2">
      <c r="B21" s="201" t="s">
        <v>101</v>
      </c>
      <c r="C21" s="201"/>
      <c r="D21" s="191"/>
      <c r="E21" s="192"/>
      <c r="F21" s="154">
        <f>SUM(F6:F20)</f>
        <v>1852.97</v>
      </c>
      <c r="G21" s="50">
        <f>SUM(G6:G20)</f>
        <v>308.83999999999997</v>
      </c>
    </row>
    <row r="22" spans="1:8" ht="12.75" customHeight="1" x14ac:dyDescent="0.2">
      <c r="D22" s="191"/>
      <c r="E22" s="192"/>
      <c r="F22" s="155">
        <f>F21/23</f>
        <v>80.56</v>
      </c>
      <c r="G22" s="34">
        <f>G21/23</f>
        <v>13.43</v>
      </c>
      <c r="H22" s="146"/>
    </row>
  </sheetData>
  <mergeCells count="10">
    <mergeCell ref="G4:G5"/>
    <mergeCell ref="D21:E21"/>
    <mergeCell ref="D22:E22"/>
    <mergeCell ref="A1:F1"/>
    <mergeCell ref="A4:A5"/>
    <mergeCell ref="F4:F5"/>
    <mergeCell ref="C4:C5"/>
    <mergeCell ref="B4:B5"/>
    <mergeCell ref="B21:C21"/>
    <mergeCell ref="E4:E5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F140-132D-4BC6-88CC-2D1D94A749CC}">
  <dimension ref="A2:E39"/>
  <sheetViews>
    <sheetView zoomScale="110" zoomScaleNormal="110" workbookViewId="0">
      <selection activeCell="H9" sqref="H9"/>
    </sheetView>
  </sheetViews>
  <sheetFormatPr defaultRowHeight="12.75" x14ac:dyDescent="0.2"/>
  <cols>
    <col min="1" max="1" width="3" style="8" bestFit="1" customWidth="1"/>
    <col min="2" max="2" width="44.140625" style="8" customWidth="1"/>
    <col min="3" max="3" width="9.28515625" style="160" bestFit="1" customWidth="1"/>
    <col min="4" max="4" width="11.7109375" style="8" bestFit="1" customWidth="1"/>
    <col min="5" max="5" width="12.28515625" style="8" bestFit="1" customWidth="1"/>
    <col min="6" max="16384" width="9.140625" style="8"/>
  </cols>
  <sheetData>
    <row r="2" spans="1:5" ht="15" customHeight="1" x14ac:dyDescent="0.25">
      <c r="A2" s="193" t="s">
        <v>97</v>
      </c>
      <c r="B2" s="194"/>
      <c r="C2" s="194"/>
      <c r="D2" s="194"/>
      <c r="E2" s="195"/>
    </row>
    <row r="3" spans="1:5" ht="15" customHeight="1" x14ac:dyDescent="0.25">
      <c r="A3" s="29"/>
      <c r="B3" s="29"/>
      <c r="C3" s="157"/>
      <c r="D3" s="29"/>
      <c r="E3" s="29"/>
    </row>
    <row r="4" spans="1:5" ht="15" customHeight="1" x14ac:dyDescent="0.25">
      <c r="A4" s="29"/>
      <c r="B4" s="29"/>
      <c r="C4" s="157"/>
      <c r="D4" s="29"/>
      <c r="E4" s="29"/>
    </row>
    <row r="5" spans="1:5" x14ac:dyDescent="0.2">
      <c r="A5" s="204" t="s">
        <v>47</v>
      </c>
      <c r="B5" s="206" t="s">
        <v>37</v>
      </c>
      <c r="C5" s="199" t="s">
        <v>76</v>
      </c>
      <c r="D5" s="24" t="s">
        <v>44</v>
      </c>
      <c r="E5" s="205" t="s">
        <v>100</v>
      </c>
    </row>
    <row r="6" spans="1:5" ht="25.5" x14ac:dyDescent="0.2">
      <c r="A6" s="204"/>
      <c r="B6" s="200"/>
      <c r="C6" s="200"/>
      <c r="D6" s="18" t="s">
        <v>38</v>
      </c>
      <c r="E6" s="205"/>
    </row>
    <row r="7" spans="1:5" ht="51.75" customHeight="1" x14ac:dyDescent="0.2">
      <c r="A7" s="9">
        <v>1</v>
      </c>
      <c r="B7" s="22" t="s">
        <v>50</v>
      </c>
      <c r="C7" s="35">
        <v>12</v>
      </c>
      <c r="D7" s="19">
        <v>4.91</v>
      </c>
      <c r="E7" s="20">
        <f>C7*D7</f>
        <v>58.92</v>
      </c>
    </row>
    <row r="8" spans="1:5" ht="51" x14ac:dyDescent="0.2">
      <c r="A8" s="9">
        <v>2</v>
      </c>
      <c r="B8" s="22" t="s">
        <v>51</v>
      </c>
      <c r="C8" s="35">
        <v>24</v>
      </c>
      <c r="D8" s="19">
        <v>6.63</v>
      </c>
      <c r="E8" s="20">
        <f>C8*D8</f>
        <v>159.12</v>
      </c>
    </row>
    <row r="9" spans="1:5" ht="52.5" customHeight="1" x14ac:dyDescent="0.2">
      <c r="A9" s="9">
        <v>3</v>
      </c>
      <c r="B9" s="43" t="s">
        <v>52</v>
      </c>
      <c r="C9" s="21">
        <v>3</v>
      </c>
      <c r="D9" s="19">
        <v>17.440000000000001</v>
      </c>
      <c r="E9" s="20">
        <f>C9*D9</f>
        <v>52.32</v>
      </c>
    </row>
    <row r="10" spans="1:5" ht="63" customHeight="1" x14ac:dyDescent="0.2">
      <c r="A10" s="9">
        <v>4</v>
      </c>
      <c r="B10" s="36" t="s">
        <v>53</v>
      </c>
      <c r="C10" s="21">
        <v>4</v>
      </c>
      <c r="D10" s="19">
        <v>7.64</v>
      </c>
      <c r="E10" s="20">
        <f>C10*D10</f>
        <v>30.56</v>
      </c>
    </row>
    <row r="11" spans="1:5" ht="108" customHeight="1" x14ac:dyDescent="0.2">
      <c r="A11" s="9">
        <v>5</v>
      </c>
      <c r="B11" s="22" t="s">
        <v>54</v>
      </c>
      <c r="C11" s="21">
        <v>8</v>
      </c>
      <c r="D11" s="19">
        <v>20.09</v>
      </c>
      <c r="E11" s="20">
        <f>C11*D11</f>
        <v>160.72</v>
      </c>
    </row>
    <row r="12" spans="1:5" ht="26.25" customHeight="1" x14ac:dyDescent="0.2">
      <c r="A12" s="9">
        <v>6</v>
      </c>
      <c r="B12" s="37" t="s">
        <v>55</v>
      </c>
      <c r="C12" s="21">
        <v>10</v>
      </c>
      <c r="D12" s="19">
        <v>16.07</v>
      </c>
      <c r="E12" s="20">
        <f>C12*D12</f>
        <v>160.69999999999999</v>
      </c>
    </row>
    <row r="13" spans="1:5" ht="33" customHeight="1" x14ac:dyDescent="0.2">
      <c r="A13" s="9">
        <v>7</v>
      </c>
      <c r="B13" s="22" t="s">
        <v>56</v>
      </c>
      <c r="C13" s="21">
        <v>20</v>
      </c>
      <c r="D13" s="19">
        <v>0.83</v>
      </c>
      <c r="E13" s="20">
        <f>C13*D13</f>
        <v>16.600000000000001</v>
      </c>
    </row>
    <row r="14" spans="1:5" ht="30" customHeight="1" x14ac:dyDescent="0.2">
      <c r="A14" s="9">
        <v>8</v>
      </c>
      <c r="B14" s="22" t="s">
        <v>57</v>
      </c>
      <c r="C14" s="21">
        <v>4</v>
      </c>
      <c r="D14" s="19">
        <v>4.37</v>
      </c>
      <c r="E14" s="20">
        <f>C14*D14</f>
        <v>17.48</v>
      </c>
    </row>
    <row r="15" spans="1:5" x14ac:dyDescent="0.2">
      <c r="A15" s="9">
        <v>9</v>
      </c>
      <c r="B15" s="22" t="s">
        <v>58</v>
      </c>
      <c r="C15" s="21">
        <v>20</v>
      </c>
      <c r="D15" s="19">
        <v>1.62</v>
      </c>
      <c r="E15" s="20">
        <f>C15*D15</f>
        <v>32.4</v>
      </c>
    </row>
    <row r="16" spans="1:5" ht="25.5" x14ac:dyDescent="0.2">
      <c r="A16" s="9">
        <v>10</v>
      </c>
      <c r="B16" s="22" t="s">
        <v>189</v>
      </c>
      <c r="C16" s="21">
        <v>20</v>
      </c>
      <c r="D16" s="19">
        <v>9.6300000000000008</v>
      </c>
      <c r="E16" s="20">
        <f>C16*D16</f>
        <v>192.6</v>
      </c>
    </row>
    <row r="17" spans="1:5" x14ac:dyDescent="0.2">
      <c r="A17" s="38">
        <v>11</v>
      </c>
      <c r="B17" s="22" t="s">
        <v>59</v>
      </c>
      <c r="C17" s="21">
        <v>40</v>
      </c>
      <c r="D17" s="19">
        <v>3.2</v>
      </c>
      <c r="E17" s="20">
        <f>C17*D17</f>
        <v>128</v>
      </c>
    </row>
    <row r="18" spans="1:5" ht="27" customHeight="1" x14ac:dyDescent="0.2">
      <c r="A18" s="10">
        <v>12</v>
      </c>
      <c r="B18" s="39" t="s">
        <v>60</v>
      </c>
      <c r="C18" s="145">
        <v>25</v>
      </c>
      <c r="D18" s="19">
        <v>41.78</v>
      </c>
      <c r="E18" s="20">
        <f>C18*D18</f>
        <v>1044.5</v>
      </c>
    </row>
    <row r="19" spans="1:5" ht="25.5" x14ac:dyDescent="0.2">
      <c r="A19" s="10">
        <v>13</v>
      </c>
      <c r="B19" s="39" t="s">
        <v>61</v>
      </c>
      <c r="C19" s="145">
        <v>30</v>
      </c>
      <c r="D19" s="19">
        <v>15.97</v>
      </c>
      <c r="E19" s="20">
        <f>C19*D19</f>
        <v>479.1</v>
      </c>
    </row>
    <row r="20" spans="1:5" ht="25.5" x14ac:dyDescent="0.2">
      <c r="A20" s="10">
        <v>14</v>
      </c>
      <c r="B20" s="39" t="s">
        <v>62</v>
      </c>
      <c r="C20" s="145">
        <v>10</v>
      </c>
      <c r="D20" s="19">
        <v>9.24</v>
      </c>
      <c r="E20" s="20">
        <f>C20*D20</f>
        <v>92.4</v>
      </c>
    </row>
    <row r="21" spans="1:5" x14ac:dyDescent="0.2">
      <c r="A21" s="10">
        <v>15</v>
      </c>
      <c r="B21" s="39" t="s">
        <v>63</v>
      </c>
      <c r="C21" s="145">
        <v>4</v>
      </c>
      <c r="D21" s="19">
        <v>3</v>
      </c>
      <c r="E21" s="20">
        <f>C21*D21</f>
        <v>12</v>
      </c>
    </row>
    <row r="22" spans="1:5" x14ac:dyDescent="0.2">
      <c r="A22" s="10">
        <v>16</v>
      </c>
      <c r="B22" s="39" t="s">
        <v>64</v>
      </c>
      <c r="C22" s="145">
        <v>35</v>
      </c>
      <c r="D22" s="19">
        <v>7.74</v>
      </c>
      <c r="E22" s="20">
        <f>C22*D22</f>
        <v>270.89999999999998</v>
      </c>
    </row>
    <row r="23" spans="1:5" x14ac:dyDescent="0.2">
      <c r="A23" s="10">
        <v>17</v>
      </c>
      <c r="B23" s="39" t="s">
        <v>65</v>
      </c>
      <c r="C23" s="145">
        <v>10</v>
      </c>
      <c r="D23" s="19">
        <v>11.41</v>
      </c>
      <c r="E23" s="20">
        <f>C23*D23</f>
        <v>114.1</v>
      </c>
    </row>
    <row r="24" spans="1:5" x14ac:dyDescent="0.2">
      <c r="A24" s="10">
        <v>18</v>
      </c>
      <c r="B24" s="39" t="s">
        <v>85</v>
      </c>
      <c r="C24" s="145">
        <v>10</v>
      </c>
      <c r="D24" s="19">
        <v>13.16</v>
      </c>
      <c r="E24" s="20">
        <f>C24*D24</f>
        <v>131.6</v>
      </c>
    </row>
    <row r="25" spans="1:5" x14ac:dyDescent="0.2">
      <c r="A25" s="10">
        <v>19</v>
      </c>
      <c r="B25" s="39" t="s">
        <v>66</v>
      </c>
      <c r="C25" s="145">
        <v>14</v>
      </c>
      <c r="D25" s="19">
        <v>4.8499999999999996</v>
      </c>
      <c r="E25" s="20">
        <f>C25*D25</f>
        <v>67.900000000000006</v>
      </c>
    </row>
    <row r="26" spans="1:5" ht="18.75" customHeight="1" x14ac:dyDescent="0.2">
      <c r="A26" s="10">
        <v>20</v>
      </c>
      <c r="B26" s="40" t="s">
        <v>67</v>
      </c>
      <c r="C26" s="145">
        <v>1</v>
      </c>
      <c r="D26" s="19">
        <v>90.19</v>
      </c>
      <c r="E26" s="20">
        <f>C26*D26</f>
        <v>90.19</v>
      </c>
    </row>
    <row r="27" spans="1:5" x14ac:dyDescent="0.2">
      <c r="A27" s="10">
        <v>21</v>
      </c>
      <c r="B27" s="40" t="s">
        <v>190</v>
      </c>
      <c r="C27" s="145">
        <v>30</v>
      </c>
      <c r="D27" s="19">
        <v>20.51</v>
      </c>
      <c r="E27" s="20">
        <f>C27*D27</f>
        <v>615.29999999999995</v>
      </c>
    </row>
    <row r="28" spans="1:5" x14ac:dyDescent="0.2">
      <c r="A28" s="10">
        <v>22</v>
      </c>
      <c r="B28" s="41" t="s">
        <v>68</v>
      </c>
      <c r="C28" s="158">
        <v>7</v>
      </c>
      <c r="D28" s="19">
        <v>11</v>
      </c>
      <c r="E28" s="20">
        <f>C28*D28</f>
        <v>77</v>
      </c>
    </row>
    <row r="29" spans="1:5" ht="25.5" x14ac:dyDescent="0.2">
      <c r="A29" s="10">
        <v>23</v>
      </c>
      <c r="B29" s="39" t="s">
        <v>69</v>
      </c>
      <c r="C29" s="145">
        <v>7</v>
      </c>
      <c r="D29" s="19">
        <v>12.37</v>
      </c>
      <c r="E29" s="20">
        <f>C29*D29</f>
        <v>86.59</v>
      </c>
    </row>
    <row r="30" spans="1:5" ht="25.5" x14ac:dyDescent="0.2">
      <c r="A30" s="10">
        <v>24</v>
      </c>
      <c r="B30" s="39" t="s">
        <v>70</v>
      </c>
      <c r="C30" s="145">
        <v>6</v>
      </c>
      <c r="D30" s="19">
        <v>3.3</v>
      </c>
      <c r="E30" s="20">
        <f>C30*D30</f>
        <v>19.8</v>
      </c>
    </row>
    <row r="31" spans="1:5" ht="38.25" x14ac:dyDescent="0.2">
      <c r="A31" s="10">
        <v>25</v>
      </c>
      <c r="B31" s="39" t="s">
        <v>71</v>
      </c>
      <c r="C31" s="145">
        <v>12</v>
      </c>
      <c r="D31" s="19">
        <v>6.43</v>
      </c>
      <c r="E31" s="20">
        <f>C31*D31</f>
        <v>77.16</v>
      </c>
    </row>
    <row r="32" spans="1:5" x14ac:dyDescent="0.2">
      <c r="A32" s="10">
        <v>26</v>
      </c>
      <c r="B32" s="39" t="s">
        <v>72</v>
      </c>
      <c r="C32" s="145">
        <v>2</v>
      </c>
      <c r="D32" s="19">
        <v>29.71</v>
      </c>
      <c r="E32" s="20">
        <f>C32*D32</f>
        <v>59.42</v>
      </c>
    </row>
    <row r="33" spans="1:5" x14ac:dyDescent="0.2">
      <c r="A33" s="10">
        <v>27</v>
      </c>
      <c r="B33" s="40" t="s">
        <v>99</v>
      </c>
      <c r="C33" s="145">
        <v>25</v>
      </c>
      <c r="D33" s="19">
        <v>4.6100000000000003</v>
      </c>
      <c r="E33" s="20">
        <f>C33*D33</f>
        <v>115.25</v>
      </c>
    </row>
    <row r="34" spans="1:5" x14ac:dyDescent="0.2">
      <c r="A34" s="10">
        <v>28</v>
      </c>
      <c r="B34" s="39" t="s">
        <v>73</v>
      </c>
      <c r="C34" s="145">
        <v>16</v>
      </c>
      <c r="D34" s="19">
        <v>18.66</v>
      </c>
      <c r="E34" s="20">
        <f>C34*D34</f>
        <v>298.56</v>
      </c>
    </row>
    <row r="35" spans="1:5" x14ac:dyDescent="0.2">
      <c r="A35" s="10">
        <v>29</v>
      </c>
      <c r="B35" s="40" t="s">
        <v>74</v>
      </c>
      <c r="C35" s="145">
        <v>12</v>
      </c>
      <c r="D35" s="19">
        <v>2.87</v>
      </c>
      <c r="E35" s="20">
        <f>C35*D35</f>
        <v>34.44</v>
      </c>
    </row>
    <row r="36" spans="1:5" x14ac:dyDescent="0.2">
      <c r="A36" s="10">
        <v>30</v>
      </c>
      <c r="B36" s="39" t="s">
        <v>75</v>
      </c>
      <c r="C36" s="145">
        <v>4</v>
      </c>
      <c r="D36" s="19">
        <v>1.51</v>
      </c>
      <c r="E36" s="20">
        <f>C36*D36</f>
        <v>6.04</v>
      </c>
    </row>
    <row r="37" spans="1:5" ht="15" customHeight="1" x14ac:dyDescent="0.2">
      <c r="A37" s="10"/>
      <c r="B37" s="42"/>
      <c r="C37" s="159"/>
      <c r="D37" s="167"/>
      <c r="E37" s="50">
        <f>SUM(E7:E36)</f>
        <v>4701.67</v>
      </c>
    </row>
    <row r="38" spans="1:5" ht="15" customHeight="1" x14ac:dyDescent="0.2">
      <c r="A38" s="10"/>
      <c r="B38" s="42"/>
      <c r="C38" s="159"/>
      <c r="D38" s="167"/>
      <c r="E38" s="34">
        <f>E37/23</f>
        <v>204.42</v>
      </c>
    </row>
    <row r="39" spans="1:5" x14ac:dyDescent="0.2">
      <c r="A39" s="10"/>
      <c r="B39" s="42"/>
      <c r="C39" s="159"/>
      <c r="D39" s="48"/>
      <c r="E39" s="49"/>
    </row>
  </sheetData>
  <mergeCells count="5">
    <mergeCell ref="A5:A6"/>
    <mergeCell ref="A2:E2"/>
    <mergeCell ref="E5:E6"/>
    <mergeCell ref="B5:B6"/>
    <mergeCell ref="C5:C6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RESUMO</vt:lpstr>
      <vt:lpstr>Auxiliar de Limpeza</vt:lpstr>
      <vt:lpstr>Limpador de Vidros</vt:lpstr>
      <vt:lpstr>Jardineiro</vt:lpstr>
      <vt:lpstr>Encarregado</vt:lpstr>
      <vt:lpstr>Uniforme</vt:lpstr>
      <vt:lpstr>Equipamentos de Limpeza</vt:lpstr>
      <vt:lpstr>Materiais-Limpeza</vt:lpstr>
      <vt:lpstr>'Auxiliar de Limpeza'!Area_de_impressao</vt:lpstr>
      <vt:lpstr>Encarregado!Area_de_impressao</vt:lpstr>
      <vt:lpstr>Jardineiro!Area_de_impressao</vt:lpstr>
      <vt:lpstr>'Limpador de Vidros'!Area_de_impressao</vt:lpstr>
    </vt:vector>
  </TitlesOfParts>
  <Company>Controladoria-Geral da União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Ferreira de Macedo</dc:creator>
  <cp:lastModifiedBy>Victor Hugo Martins dos Santos</cp:lastModifiedBy>
  <cp:lastPrinted>2019-10-23T19:54:27Z</cp:lastPrinted>
  <dcterms:created xsi:type="dcterms:W3CDTF">2013-07-25T13:44:18Z</dcterms:created>
  <dcterms:modified xsi:type="dcterms:W3CDTF">2021-01-27T17:49:54Z</dcterms:modified>
</cp:coreProperties>
</file>