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hmds\Downloads\Pesquisa Brigadista\"/>
    </mc:Choice>
  </mc:AlternateContent>
  <xr:revisionPtr revIDLastSave="0" documentId="13_ncr:1_{C668BBAE-FC53-49DF-A13B-3993032C3C0B}" xr6:coauthVersionLast="45" xr6:coauthVersionMax="45" xr10:uidLastSave="{00000000-0000-0000-0000-000000000000}"/>
  <bookViews>
    <workbookView xWindow="-120" yWindow="-120" windowWidth="20730" windowHeight="11160" tabRatio="969" firstSheet="1" activeTab="7" xr2:uid="{00000000-000D-0000-FFFF-FFFF00000000}"/>
  </bookViews>
  <sheets>
    <sheet name="RESUMO" sheetId="39" r:id="rId1"/>
    <sheet name="Brigadista Diurno 12x36" sheetId="33" r:id="rId2"/>
    <sheet name="Brigadista Noturno 12x36" sheetId="48" r:id="rId3"/>
    <sheet name="Brigadista Diurno Líder 12x36" sheetId="49" r:id="rId4"/>
    <sheet name="Custos Variáveis" sheetId="37" r:id="rId5"/>
    <sheet name="Uniforme" sheetId="34" r:id="rId6"/>
    <sheet name="Equipamentos - PS" sheetId="43" r:id="rId7"/>
    <sheet name="Equipamentos - Auxiliares" sheetId="45" r:id="rId8"/>
  </sheets>
  <definedNames>
    <definedName name="_xlnm.Print_Area" localSheetId="1">'Brigadista Diurno 12x36'!$A$1:$D$136</definedName>
    <definedName name="_xlnm.Print_Area" localSheetId="3">'Brigadista Diurno Líder 12x36'!$A$1:$D$136</definedName>
    <definedName name="_xlnm.Print_Area" localSheetId="2">'Brigadista Noturno 12x36'!$A$1:$D$136</definedName>
  </definedNames>
  <calcPr calcId="191029" fullPrecision="0"/>
</workbook>
</file>

<file path=xl/calcChain.xml><?xml version="1.0" encoding="utf-8"?>
<calcChain xmlns="http://schemas.openxmlformats.org/spreadsheetml/2006/main">
  <c r="L7" i="43" l="1"/>
  <c r="L8" i="43"/>
  <c r="L9" i="43"/>
  <c r="L10" i="43"/>
  <c r="L11" i="43"/>
  <c r="L12" i="43"/>
  <c r="L13" i="43"/>
  <c r="L14" i="43"/>
  <c r="L15" i="43"/>
  <c r="L16" i="43"/>
  <c r="L17" i="43"/>
  <c r="L18" i="43"/>
  <c r="L19" i="43"/>
  <c r="L20" i="43"/>
  <c r="L21" i="43"/>
  <c r="L22" i="43"/>
  <c r="L23" i="43"/>
  <c r="L24" i="43"/>
  <c r="L6" i="43"/>
  <c r="D30" i="49"/>
  <c r="C119" i="49"/>
  <c r="C118" i="49"/>
  <c r="C117" i="49"/>
  <c r="D109" i="49"/>
  <c r="C104" i="49"/>
  <c r="C94" i="49"/>
  <c r="C92" i="49"/>
  <c r="C91" i="49"/>
  <c r="C90" i="49"/>
  <c r="C89" i="49"/>
  <c r="C77" i="49"/>
  <c r="C78" i="49" s="1"/>
  <c r="C65" i="49"/>
  <c r="C63" i="49"/>
  <c r="C61" i="49"/>
  <c r="C57" i="49"/>
  <c r="C81" i="49" s="1"/>
  <c r="C51" i="49"/>
  <c r="C43" i="49"/>
  <c r="C41" i="49"/>
  <c r="D24" i="49"/>
  <c r="D22" i="49"/>
  <c r="D34" i="48"/>
  <c r="D33" i="48"/>
  <c r="C119" i="48"/>
  <c r="C118" i="48"/>
  <c r="C117" i="48"/>
  <c r="D109" i="48"/>
  <c r="C104" i="48"/>
  <c r="C92" i="48"/>
  <c r="C91" i="48"/>
  <c r="C90" i="48"/>
  <c r="C89" i="48"/>
  <c r="C94" i="48" s="1"/>
  <c r="C77" i="48"/>
  <c r="C78" i="48" s="1"/>
  <c r="C65" i="48"/>
  <c r="C63" i="48"/>
  <c r="C62" i="48"/>
  <c r="C66" i="48" s="1"/>
  <c r="C72" i="48" s="1"/>
  <c r="C61" i="48"/>
  <c r="C51" i="48"/>
  <c r="C43" i="48"/>
  <c r="C41" i="48"/>
  <c r="D31" i="48"/>
  <c r="D24" i="48"/>
  <c r="D22" i="48"/>
  <c r="C92" i="33"/>
  <c r="C91" i="33"/>
  <c r="C90" i="33"/>
  <c r="C89" i="33"/>
  <c r="C65" i="33"/>
  <c r="C63" i="33"/>
  <c r="C62" i="49" l="1"/>
  <c r="C66" i="49" s="1"/>
  <c r="C72" i="49" s="1"/>
  <c r="D31" i="49"/>
  <c r="D37" i="49" s="1"/>
  <c r="C83" i="49"/>
  <c r="D37" i="48"/>
  <c r="D41" i="48" s="1"/>
  <c r="C57" i="48"/>
  <c r="C81" i="48" s="1"/>
  <c r="D22" i="33"/>
  <c r="D128" i="49" l="1"/>
  <c r="D42" i="49"/>
  <c r="D41" i="49"/>
  <c r="D42" i="48"/>
  <c r="D43" i="48" s="1"/>
  <c r="D128" i="48"/>
  <c r="C83" i="48"/>
  <c r="D43" i="49" l="1"/>
  <c r="D53" i="48"/>
  <c r="C70" i="48"/>
  <c r="D52" i="48"/>
  <c r="D49" i="48"/>
  <c r="D45" i="48"/>
  <c r="D54" i="48"/>
  <c r="D55" i="48"/>
  <c r="D56" i="48"/>
  <c r="D50" i="48"/>
  <c r="D51" i="48"/>
  <c r="I2" i="37"/>
  <c r="I5" i="37"/>
  <c r="I6" i="37"/>
  <c r="I7" i="37"/>
  <c r="I8" i="37"/>
  <c r="I10" i="37"/>
  <c r="I11" i="37"/>
  <c r="I4" i="37"/>
  <c r="D56" i="49" l="1"/>
  <c r="D49" i="49"/>
  <c r="D57" i="49" s="1"/>
  <c r="C71" i="49" s="1"/>
  <c r="D54" i="49"/>
  <c r="D51" i="49"/>
  <c r="D55" i="49"/>
  <c r="C70" i="49"/>
  <c r="D45" i="49"/>
  <c r="D53" i="49"/>
  <c r="D50" i="49"/>
  <c r="D52" i="49"/>
  <c r="D57" i="48"/>
  <c r="C71" i="48" s="1"/>
  <c r="C73" i="48" s="1"/>
  <c r="O11" i="43"/>
  <c r="O12" i="43"/>
  <c r="O20" i="43"/>
  <c r="O23" i="43"/>
  <c r="O7" i="43"/>
  <c r="M7" i="45"/>
  <c r="L7" i="45"/>
  <c r="M8" i="45"/>
  <c r="M9" i="45"/>
  <c r="M10" i="45"/>
  <c r="O10" i="45" s="1"/>
  <c r="M11" i="45"/>
  <c r="M12" i="45"/>
  <c r="M13" i="45"/>
  <c r="M14" i="45"/>
  <c r="M15" i="45"/>
  <c r="M16" i="45"/>
  <c r="M17" i="45"/>
  <c r="M7" i="43"/>
  <c r="M8" i="43"/>
  <c r="M9" i="43"/>
  <c r="O9" i="43" s="1"/>
  <c r="M10" i="43"/>
  <c r="M11" i="43"/>
  <c r="M12" i="43"/>
  <c r="M13" i="43"/>
  <c r="M14" i="43"/>
  <c r="M15" i="43"/>
  <c r="M16" i="43"/>
  <c r="M17" i="43"/>
  <c r="M18" i="43"/>
  <c r="M19" i="43"/>
  <c r="M20" i="43"/>
  <c r="M21" i="43"/>
  <c r="M22" i="43"/>
  <c r="M23" i="43"/>
  <c r="M24" i="43"/>
  <c r="M6" i="43"/>
  <c r="O6" i="43" s="1"/>
  <c r="L17" i="45"/>
  <c r="O17" i="45" s="1"/>
  <c r="L16" i="45"/>
  <c r="O16" i="45" s="1"/>
  <c r="L15" i="45"/>
  <c r="L14" i="45"/>
  <c r="L13" i="45"/>
  <c r="L12" i="45"/>
  <c r="L11" i="45"/>
  <c r="L10" i="45"/>
  <c r="L9" i="45"/>
  <c r="O9" i="45" s="1"/>
  <c r="L8" i="45"/>
  <c r="O24" i="43"/>
  <c r="O22" i="43"/>
  <c r="O21" i="43"/>
  <c r="O19" i="43"/>
  <c r="O18" i="43"/>
  <c r="O17" i="43"/>
  <c r="O16" i="43"/>
  <c r="O15" i="43"/>
  <c r="O14" i="43"/>
  <c r="O13" i="43"/>
  <c r="O10" i="43"/>
  <c r="O8" i="43"/>
  <c r="O8" i="45" l="1"/>
  <c r="O15" i="45"/>
  <c r="O14" i="45"/>
  <c r="O7" i="45"/>
  <c r="O13" i="45"/>
  <c r="O12" i="45"/>
  <c r="O11" i="45"/>
  <c r="C73" i="49"/>
  <c r="D129" i="48"/>
  <c r="D78" i="48"/>
  <c r="D77" i="48"/>
  <c r="D80" i="48"/>
  <c r="D79" i="48"/>
  <c r="D82" i="48"/>
  <c r="D81" i="48"/>
  <c r="O25" i="43"/>
  <c r="O26" i="43" s="1"/>
  <c r="O27" i="43" s="1"/>
  <c r="K6" i="34"/>
  <c r="K7" i="34"/>
  <c r="K8" i="34"/>
  <c r="K9" i="34"/>
  <c r="K10" i="34"/>
  <c r="K5" i="34"/>
  <c r="L9" i="34"/>
  <c r="L10" i="34"/>
  <c r="O18" i="45" l="1"/>
  <c r="O19" i="45" s="1"/>
  <c r="O20" i="45" s="1"/>
  <c r="D111" i="33" s="1"/>
  <c r="D110" i="49"/>
  <c r="D110" i="48"/>
  <c r="D110" i="33"/>
  <c r="D129" i="49"/>
  <c r="D78" i="49"/>
  <c r="D80" i="49"/>
  <c r="D81" i="49"/>
  <c r="D77" i="49"/>
  <c r="D83" i="49" s="1"/>
  <c r="D93" i="49" s="1"/>
  <c r="D82" i="49"/>
  <c r="D79" i="49"/>
  <c r="D83" i="48"/>
  <c r="D88" i="48" s="1"/>
  <c r="M9" i="34"/>
  <c r="D111" i="48" l="1"/>
  <c r="D113" i="48" s="1"/>
  <c r="D132" i="48" s="1"/>
  <c r="D111" i="49"/>
  <c r="D113" i="49" s="1"/>
  <c r="D132" i="49" s="1"/>
  <c r="D88" i="49"/>
  <c r="D130" i="49"/>
  <c r="D90" i="49"/>
  <c r="D91" i="49"/>
  <c r="D92" i="49"/>
  <c r="D89" i="49"/>
  <c r="D94" i="49" s="1"/>
  <c r="C103" i="49" s="1"/>
  <c r="C105" i="49" s="1"/>
  <c r="D131" i="49" s="1"/>
  <c r="D91" i="48"/>
  <c r="D89" i="48"/>
  <c r="D93" i="48"/>
  <c r="D92" i="48"/>
  <c r="D130" i="48"/>
  <c r="D90" i="48"/>
  <c r="D94" i="48" s="1"/>
  <c r="C103" i="48" s="1"/>
  <c r="C105" i="48" s="1"/>
  <c r="D131" i="48" s="1"/>
  <c r="C62" i="33"/>
  <c r="D31" i="33"/>
  <c r="D133" i="48" l="1"/>
  <c r="D117" i="48" s="1"/>
  <c r="D133" i="49"/>
  <c r="D117" i="49" s="1"/>
  <c r="D118" i="49" l="1"/>
  <c r="D121" i="49" s="1"/>
  <c r="D118" i="48"/>
  <c r="D122" i="49" l="1"/>
  <c r="D123" i="49"/>
  <c r="D123" i="48"/>
  <c r="D121" i="48"/>
  <c r="D122" i="48"/>
  <c r="D124" i="49" l="1"/>
  <c r="D134" i="49" s="1"/>
  <c r="D136" i="49" s="1"/>
  <c r="F5" i="39" s="1"/>
  <c r="G5" i="39" s="1"/>
  <c r="H5" i="39" s="1"/>
  <c r="D124" i="48"/>
  <c r="D134" i="48" s="1"/>
  <c r="D135" i="48" s="1"/>
  <c r="D135" i="49" l="1"/>
  <c r="D136" i="48"/>
  <c r="F4" i="39" s="1"/>
  <c r="C61" i="33" l="1"/>
  <c r="C51" i="33" l="1"/>
  <c r="C6" i="34" l="1"/>
  <c r="L6" i="34" s="1"/>
  <c r="C7" i="34"/>
  <c r="L7" i="34" s="1"/>
  <c r="L8" i="34"/>
  <c r="C5" i="34"/>
  <c r="L5" i="34" s="1"/>
  <c r="M5" i="34" s="1"/>
  <c r="M10" i="34" l="1"/>
  <c r="M8" i="34"/>
  <c r="M7" i="34"/>
  <c r="M6" i="34"/>
  <c r="M11" i="34" l="1"/>
  <c r="M12" i="34" s="1"/>
  <c r="D109" i="33" l="1"/>
  <c r="D113" i="33" s="1"/>
  <c r="D132" i="33" s="1"/>
  <c r="C117" i="33"/>
  <c r="C118" i="33"/>
  <c r="C119" i="33"/>
  <c r="C104" i="33"/>
  <c r="C77" i="33"/>
  <c r="C78" i="33" s="1"/>
  <c r="C57" i="33"/>
  <c r="C81" i="33" s="1"/>
  <c r="C41" i="33"/>
  <c r="C43" i="33" s="1"/>
  <c r="D24" i="33"/>
  <c r="C94" i="33" l="1"/>
  <c r="D37" i="33"/>
  <c r="D128" i="33" s="1"/>
  <c r="C83" i="33"/>
  <c r="C66" i="33" l="1"/>
  <c r="C72" i="33" s="1"/>
  <c r="D41" i="33"/>
  <c r="D42" i="33"/>
  <c r="D43" i="33" l="1"/>
  <c r="D52" i="33" s="1"/>
  <c r="D56" i="33" l="1"/>
  <c r="C70" i="33"/>
  <c r="D53" i="33"/>
  <c r="D49" i="33"/>
  <c r="D50" i="33"/>
  <c r="D55" i="33"/>
  <c r="D54" i="33"/>
  <c r="D45" i="33"/>
  <c r="D51" i="33"/>
  <c r="D57" i="33" l="1"/>
  <c r="C71" i="33" s="1"/>
  <c r="C73" i="33" s="1"/>
  <c r="D78" i="33" s="1"/>
  <c r="D81" i="33"/>
  <c r="D82" i="33"/>
  <c r="D79" i="33" l="1"/>
  <c r="D77" i="33"/>
  <c r="D80" i="33"/>
  <c r="D129" i="33"/>
  <c r="D83" i="33"/>
  <c r="D88" i="33" s="1"/>
  <c r="D89" i="33" l="1"/>
  <c r="D90" i="33"/>
  <c r="D93" i="33"/>
  <c r="D130" i="33"/>
  <c r="D92" i="33"/>
  <c r="D91" i="33"/>
  <c r="D94" i="33" l="1"/>
  <c r="C103" i="33" s="1"/>
  <c r="C105" i="33" s="1"/>
  <c r="D131" i="33" s="1"/>
  <c r="D133" i="33" s="1"/>
  <c r="D117" i="33" l="1"/>
  <c r="D118" i="33" s="1"/>
  <c r="D121" i="33" s="1"/>
  <c r="D123" i="33" l="1"/>
  <c r="D122" i="33"/>
  <c r="D124" i="33" l="1"/>
  <c r="D134" i="33" s="1"/>
  <c r="G4" i="39"/>
  <c r="H4" i="39" s="1"/>
  <c r="D136" i="33" l="1"/>
  <c r="F3" i="39" s="1"/>
  <c r="G3" i="39" s="1"/>
  <c r="H3" i="39" s="1"/>
  <c r="H6" i="39" s="1"/>
  <c r="D135" i="33"/>
</calcChain>
</file>

<file path=xl/sharedStrings.xml><?xml version="1.0" encoding="utf-8"?>
<sst xmlns="http://schemas.openxmlformats.org/spreadsheetml/2006/main" count="893" uniqueCount="222">
  <si>
    <t>Dados complementares para composição dos custos referente à mão-de-obra</t>
  </si>
  <si>
    <t>Tipo de serviço (mesmo serviço com características distintas)</t>
  </si>
  <si>
    <t>Data base da categoria (dia/mês/ano)</t>
  </si>
  <si>
    <t>MÓDULO 1 - COMPOSIÇÃO DA REMUNERAÇÃO</t>
  </si>
  <si>
    <t>I</t>
  </si>
  <si>
    <t>Composição da Remuneração</t>
  </si>
  <si>
    <t>Valor (R$)</t>
  </si>
  <si>
    <t>A</t>
  </si>
  <si>
    <t>Salário Base</t>
  </si>
  <si>
    <t>B</t>
  </si>
  <si>
    <t>Adicional de periculosidade</t>
  </si>
  <si>
    <t>C</t>
  </si>
  <si>
    <t>Adicional de insalubridade</t>
  </si>
  <si>
    <t>D</t>
  </si>
  <si>
    <t>E</t>
  </si>
  <si>
    <t>Hora noturna adicional</t>
  </si>
  <si>
    <t>F</t>
  </si>
  <si>
    <t>G</t>
  </si>
  <si>
    <t>H</t>
  </si>
  <si>
    <t>Outros (especificar)</t>
  </si>
  <si>
    <t>Total da Remuneração</t>
  </si>
  <si>
    <t>MÓDULO 2 - BENEFÍCIOS MENSAIS E DIÁRIOS</t>
  </si>
  <si>
    <t>Benefícios Mensais e Diários</t>
  </si>
  <si>
    <t>Transporte</t>
  </si>
  <si>
    <t>Total de benefícios mensais e diários</t>
  </si>
  <si>
    <t>Insumos diversos</t>
  </si>
  <si>
    <t>4.1</t>
  </si>
  <si>
    <t>Encargos previdenciários e FGTS</t>
  </si>
  <si>
    <t>%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</si>
  <si>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</si>
  <si>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</si>
  <si>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</si>
  <si>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</si>
  <si>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</si>
  <si>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</si>
  <si>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</si>
  <si>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Total</t>
  </si>
  <si>
    <t>4.2</t>
  </si>
  <si>
    <t>13º Salário</t>
  </si>
  <si>
    <t>Provisão para Rescisão</t>
  </si>
  <si>
    <t>Custo de Reposição do Profissional Ausente</t>
  </si>
  <si>
    <t>Custos Indiretos, Tributos e Lucro</t>
  </si>
  <si>
    <t>Custos Indiretos</t>
  </si>
  <si>
    <t>Tributos</t>
  </si>
  <si>
    <t>Tributos Federais (especificar)</t>
  </si>
  <si>
    <t>Lucro</t>
  </si>
  <si>
    <t>Mão-de-Obra vinculada à execução contratual (valor por empregado)</t>
  </si>
  <si>
    <t>(R$)</t>
  </si>
  <si>
    <t>Módulo 1 - Composição da Remuneração</t>
  </si>
  <si>
    <t>A.1</t>
  </si>
  <si>
    <t>Desconto Transporte</t>
  </si>
  <si>
    <t>PIS</t>
  </si>
  <si>
    <t>COFINS</t>
  </si>
  <si>
    <t>MODELO DE PLANILHA DE COMPOSIÇÃO DE CUSTOS E FORMAÇÃO DE PREÇOS</t>
  </si>
  <si>
    <t>Discriminação dos Serviços (dados referentes à contratação)</t>
  </si>
  <si>
    <t>Data de apresentação da proposta (dia/mês/ano)</t>
  </si>
  <si>
    <t>Município/UF</t>
  </si>
  <si>
    <t>Ano, Acordo, Convenção ou Sentença Normativa em Dissídio Coletivo</t>
  </si>
  <si>
    <t>Nº de meses de execução contratual</t>
  </si>
  <si>
    <t>Identificação do Serviço</t>
  </si>
  <si>
    <t>C.1</t>
  </si>
  <si>
    <t>C.1.1</t>
  </si>
  <si>
    <t>C.1.2</t>
  </si>
  <si>
    <t>CCT (REFERÊNCIA)</t>
  </si>
  <si>
    <t>Total de Insumos Diversos</t>
  </si>
  <si>
    <t>Nº da Licitação</t>
  </si>
  <si>
    <t>Nº do Processo</t>
  </si>
  <si>
    <t>Empresa</t>
  </si>
  <si>
    <t>TIPO DE SERVIÇO</t>
  </si>
  <si>
    <t>UNIDADE DE MEDIDA</t>
  </si>
  <si>
    <t>QUANTIDADE MENSAL A CONTRATAR</t>
  </si>
  <si>
    <t>Posto</t>
  </si>
  <si>
    <t>Quantidade (nº de trabalhadores)</t>
  </si>
  <si>
    <t>Uniformes/EPIs</t>
  </si>
  <si>
    <t>Incidência do FGTS sobre o Aviso Prévio Indenizado</t>
  </si>
  <si>
    <t>Aviso Prévio Indenizado</t>
  </si>
  <si>
    <t>Aviso Prévio Trabalhado</t>
  </si>
  <si>
    <t>Feriado Trabalhado (Súmula 444 TST)</t>
  </si>
  <si>
    <t>Adicional de Férias</t>
  </si>
  <si>
    <t>13º (décimo terceiro) Salário, Férias e Adicional de Férias</t>
  </si>
  <si>
    <t>2.1</t>
  </si>
  <si>
    <t>Submódulo 2.2 - Encargos Previdenciários (GPS), Fundo de Garantia por Tempo de Serviço (FGTS) e outras contribuições.</t>
  </si>
  <si>
    <t>2.2</t>
  </si>
  <si>
    <t xml:space="preserve">Seguro Acidente do Trabalho </t>
  </si>
  <si>
    <t>Submódulo 2.3 - Benefícios Mensais e Diários.</t>
  </si>
  <si>
    <t>2.3</t>
  </si>
  <si>
    <t>Encargos e Benefícios Anuais, Mensais e Diários</t>
  </si>
  <si>
    <t>GPS, FGTS e outras contribuições</t>
  </si>
  <si>
    <t>TOTAL</t>
  </si>
  <si>
    <t>MÓDULO 3 - PROVISÃO PARA RESCISÃO</t>
  </si>
  <si>
    <t>Incidência do submódulo 2.2 sobre o Aviso Prévio Trabalhado</t>
  </si>
  <si>
    <t>MÓDULO 4 - CUSTO DE REPOSIÇÃO DE PROFISSIONAL AUSENTE</t>
  </si>
  <si>
    <t>Quadro-Resumo do Módulo 2 - Encargos e Benefícios Anuais, Mensais e Diários</t>
  </si>
  <si>
    <t>Submódulo 4.1 - Ausências Legais</t>
  </si>
  <si>
    <t>Ausências Legais</t>
  </si>
  <si>
    <t>Ausência Legais</t>
  </si>
  <si>
    <t>Licença Paternidade</t>
  </si>
  <si>
    <t>Submódulo 4.2 - Intrajornada</t>
  </si>
  <si>
    <t>Intrajornada</t>
  </si>
  <si>
    <t>Intervalo para repouso e alimentação</t>
  </si>
  <si>
    <t>Quadro-Resumo do Módulo 4 - Custo de Reposição de Profissional Ausente</t>
  </si>
  <si>
    <t>MÓDULO 5 - INSUMOS DIVERSOS</t>
  </si>
  <si>
    <t>MÓDULO 6 - CUSTOS INDIRETOS, TRIBUTOS E LUCRO</t>
  </si>
  <si>
    <t>C.1.3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</si>
  <si>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</si>
  <si>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</si>
  <si>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</si>
  <si>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</si>
  <si>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+ B + C + D + E):</t>
  </si>
  <si>
    <t>Módulo 6 - Custos Indiretos, Tributos e Lucro</t>
  </si>
  <si>
    <t>Quadro-Resumo do Custo por Empregados</t>
  </si>
  <si>
    <t>Multa FGTS  e Contribuições Sociais do Aviso Prévio Trabalhado</t>
  </si>
  <si>
    <t>Ausência por Acidente de trabalho</t>
  </si>
  <si>
    <t>ISS</t>
  </si>
  <si>
    <t xml:space="preserve">Ausências Maternidade </t>
  </si>
  <si>
    <t>Categoria profissional (vinculada à execução contratual)</t>
  </si>
  <si>
    <t xml:space="preserve">Multa FGTS e contribuições sociais sobre o Aviso Prévio Indenizado </t>
  </si>
  <si>
    <t>Férias</t>
  </si>
  <si>
    <t>Valor Total Mensal do Empregado</t>
  </si>
  <si>
    <t>Valor Total Mensal do Posto</t>
  </si>
  <si>
    <t>Total - Módulo 1 + 2.1</t>
  </si>
  <si>
    <t xml:space="preserve">Salário normativo da categoria profissional </t>
  </si>
  <si>
    <t>Outros - Auxílio Doença</t>
  </si>
  <si>
    <t>MÉDIA</t>
  </si>
  <si>
    <t>CCT 2020</t>
  </si>
  <si>
    <t>2020</t>
  </si>
  <si>
    <t>ITEM</t>
  </si>
  <si>
    <t xml:space="preserve"> </t>
  </si>
  <si>
    <t>POSTO</t>
  </si>
  <si>
    <t>CBO</t>
  </si>
  <si>
    <t>QTD DE POSTOS</t>
  </si>
  <si>
    <t>Item</t>
  </si>
  <si>
    <t>Valor Unitário</t>
  </si>
  <si>
    <t xml:space="preserve">Qtd. Anual </t>
  </si>
  <si>
    <t>VALOR MENSAL DO POSTO</t>
  </si>
  <si>
    <t>VALOR ANUAL DO POSTO</t>
  </si>
  <si>
    <t>VALOR TOTAL DA CONTRATAÇÃO</t>
  </si>
  <si>
    <t>Valor Total Anual (R$)</t>
  </si>
  <si>
    <t xml:space="preserve">Auxílio-Refeição/Alimentação </t>
  </si>
  <si>
    <r>
      <rPr>
        <b/>
        <sz val="11"/>
        <color theme="1"/>
        <rFont val="Calibri"/>
        <family val="2"/>
        <scheme val="minor"/>
      </rPr>
      <t>MINISTÉRIO DO TURISMO</t>
    </r>
    <r>
      <rPr>
        <sz val="11"/>
        <color theme="1"/>
        <rFont val="Calibri"/>
        <family val="2"/>
        <scheme val="minor"/>
      </rPr>
      <t xml:space="preserve">
Subsecretaria de Planejamento, Orçamento e Administração
Coordenação-Geral de Recursos Logísticos </t>
    </r>
  </si>
  <si>
    <t>São Paulo/SP</t>
  </si>
  <si>
    <t xml:space="preserve">Vigilante </t>
  </si>
  <si>
    <t>-</t>
  </si>
  <si>
    <t>Média</t>
  </si>
  <si>
    <t xml:space="preserve">Vida útil (meses) </t>
  </si>
  <si>
    <t>TOTAL ANUAL</t>
  </si>
  <si>
    <t xml:space="preserve">SP000021/2020 </t>
  </si>
  <si>
    <t>Painel de Preços</t>
  </si>
  <si>
    <t>Camiseta em tecido de malha fria</t>
  </si>
  <si>
    <t>Calça em tecido ripstop</t>
  </si>
  <si>
    <t>Gandola em tecido ripstop</t>
  </si>
  <si>
    <t>Coturno</t>
  </si>
  <si>
    <t>Meia</t>
  </si>
  <si>
    <t>Cinto com fivela</t>
  </si>
  <si>
    <t>Água Oxigenada 10 volumes, frasco de 100ml</t>
  </si>
  <si>
    <t>Alcool etílico a 70% PV. Para superfícies fixas, antissepsia da pele em procedimentos de médio e baixo risco.</t>
  </si>
  <si>
    <t>Algodão hidrófilo em camadas (manta) contínuas em forma de rolo, com aspecto homogêneo e macio, cor branca - 500grs</t>
  </si>
  <si>
    <t>Aparelho para verificação de pressão arterial e batimentos cadíacos, do tipo tenso e esfignomanômetro</t>
  </si>
  <si>
    <t>Atadura de crepe de 20cm cor natural, constituída de fios de algodão cru (pacote com 12 unidades)</t>
  </si>
  <si>
    <t>Colar cervical confeccionado e, polipropileno, suporte adaptável a qualquer forma e tamanho P, M, G</t>
  </si>
  <si>
    <t>Compressa de gaze, medindo 7,5 x 7,5cm, 13 fios com 5 dobras confeccionada com fios 100% hidrófilo, pacote com 10 unidades.</t>
  </si>
  <si>
    <t>Desfibrilador Externo Automático - DEA (ressuscitador) com pás eletrodo</t>
  </si>
  <si>
    <t>Talas moldável em EVA. Para imobilização provisoria de membros inferiores e superiores. Confeccionada em tela aramada zincada anti ferrugem, maleável revestida em EVA virgem (sem resíduos de chumbo). Tam PP - 30x8cm, tama. O - 53x8cm; tam. M - 63 x 9cm; Tam. G - 86 x 10cm; espessura: 4mm</t>
  </si>
  <si>
    <t>Luva de látex para procedimento hospitalar, descartável alta sensibilidade tátil e resistência. Caixa com 100 unidades</t>
  </si>
  <si>
    <t>Máscara cirurgica descartável, formato retangular cor branca. Caixa com 50 unidades</t>
  </si>
  <si>
    <t>Plástico protetor de queimaduras e eviscerações de 50x50cm, pacote de 10 unidades.</t>
  </si>
  <si>
    <t>Prancha de resgate longa de madeira com imbilizador lateral de cabeça, confeccionado em espuma injetada; impermeável e com tirantes de fixação para testa e queixo e pontos para verificação de saída de líquido pelo ouvido; tamamnho: adulto, de 190 x 45cm (comp.xlargura) com jogo de tirantes para transporte de acidentado.</t>
  </si>
  <si>
    <t>Reanimador manual BVM (bolsa válvulo máscara) em silicone, tamanho adulto (conhecido como ambu)</t>
  </si>
  <si>
    <t>Soro fisiológico de 0,9% em embalagem plástica de 500ml</t>
  </si>
  <si>
    <t>Termômetro clínico digital, com beep sonoro, visor grande, desligamento automático</t>
  </si>
  <si>
    <t>Tesoura sem ponta reta, confeccionada em aço inox, medindo 11cm de comprimento</t>
  </si>
  <si>
    <t>Aparelho de radiocomunicação tipo HT, com níveis de potência ajustáveis, com alcance mínimo de 9,8km na transmissão, nível profissional, acompanhado de carregador e bateriais carregáveis. Com substituição anual</t>
  </si>
  <si>
    <t>Capacete CA 14816 - Capacete de segurança tipo III, Classe A, injetado em polipropileno, com tira abservedora de suor, confeccionado em neoperene com regulagem de tamanho feita através de ajuste simples com velcro e jugular confeccionada com fitas de poliéster com três pontos de ancoragem na parte interna do casdo, com suporte de nylon para fixação de lanterna.</t>
  </si>
  <si>
    <t>Lanternas em LED recarregável com sinalizador destacável, e recarregador tamanho: 15cm tática 390.000 Lumens Profissional</t>
  </si>
  <si>
    <t>Luva de alta tensão, confeccionada em material isolante para trabalho em local energinzado, punho longo com resistência mínima de 20.000volts</t>
  </si>
  <si>
    <t>Luvas em raspa de couro, punho de 15cm</t>
  </si>
  <si>
    <t>Megafone portátil profissional, com cabo retrátil</t>
  </si>
  <si>
    <t>óculos de segurança tipo ampla visão, confeccionado em policarbonato ótico, tratamento antirrisco e antiembaçante. Armação em material plástico, vedção através de borracha macia.</t>
  </si>
  <si>
    <t>Tapete de borracha para alta tensão com capacidade mínima de 25.000volts, com dimensões 50x35x3,5cm</t>
  </si>
  <si>
    <t>Trena de aço com 20 metros, tipo lufkin</t>
  </si>
  <si>
    <t>Fita zebrada para isolamento de área 7cmx200m</t>
  </si>
  <si>
    <t>Bateria 9v</t>
  </si>
  <si>
    <t>Pregão 23/2020 - Min da Defesa</t>
  </si>
  <si>
    <t>Pregão 19.2020 - TRF</t>
  </si>
  <si>
    <t>Pregão 07.2020 - MPU</t>
  </si>
  <si>
    <t>Qtd. Semestral</t>
  </si>
  <si>
    <t>Qtd. Anual</t>
  </si>
  <si>
    <t>Pregão 01.2020 - Min da Infraestrutura</t>
  </si>
  <si>
    <t>Pregão 01/2020 - FNS</t>
  </si>
  <si>
    <t>Pregão 01/2020 - FNDE</t>
  </si>
  <si>
    <t>Pregão 04.2020 - Min da Cidadania</t>
  </si>
  <si>
    <t>Pregão 04.2020 - Min Cidadania</t>
  </si>
  <si>
    <t>Esparadrapo impermeável branco 10x4,5cm (rolo)</t>
  </si>
  <si>
    <t>Internet</t>
  </si>
  <si>
    <t>Compressa de gaze, medindo 10x 15cm, 13 fios com 5 dobras confeccionada com fios 100% hidrófilo, pacote com 10 unidades.</t>
  </si>
  <si>
    <t>Nº</t>
  </si>
  <si>
    <t>nº</t>
  </si>
  <si>
    <t>Equipamentos - Auxiliares para Prestação de Serviços</t>
  </si>
  <si>
    <t>Equipamentos - Materias de Primeiros Socorros</t>
  </si>
  <si>
    <t>Uniforme - Brigadista</t>
  </si>
  <si>
    <t xml:space="preserve">Fontes de Pesquisa </t>
  </si>
  <si>
    <t xml:space="preserve">Painel de Preços </t>
  </si>
  <si>
    <t xml:space="preserve">Total Anual </t>
  </si>
  <si>
    <t xml:space="preserve">Total Mensal </t>
  </si>
  <si>
    <t>Total por Brigadista</t>
  </si>
  <si>
    <t>Grupo 01</t>
  </si>
  <si>
    <t>Bombeiro Civil - Diurno 12x36hs</t>
  </si>
  <si>
    <t>Bombeiro Civil - Noturno 12x36hs</t>
  </si>
  <si>
    <t>Bombeiro Líder - Diurno 12x36hs.</t>
  </si>
  <si>
    <t>5171-10</t>
  </si>
  <si>
    <t>TOTAL MENSAL POR VIGILANTE (12)</t>
  </si>
  <si>
    <t>Total por Brigadista (12)</t>
  </si>
  <si>
    <t>Brigadista Diurno 12x36</t>
  </si>
  <si>
    <t>Cesta Básica</t>
  </si>
  <si>
    <t xml:space="preserve">Assistência Odontológica </t>
  </si>
  <si>
    <t xml:space="preserve">Equipamentos - Primeiros Socorros </t>
  </si>
  <si>
    <t>Equipamentos Auxiliares</t>
  </si>
  <si>
    <t>Adicional Noturno</t>
  </si>
  <si>
    <t xml:space="preserve">Adicional Noturno </t>
  </si>
  <si>
    <t>Brigadista Noturno 12x36</t>
  </si>
  <si>
    <t>Brigadista Diurno Líder 12x36</t>
  </si>
  <si>
    <t>desconsiderado, pois apareceu em apenas um pregão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</si>
</sst>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0%"/>
    <numFmt numFmtId="166" formatCode="_(* #,##0.00_);_(* \(#,##0.00\);_(* \-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9" fillId="0" borderId="0" applyFill="0" applyBorder="0" applyAlignment="0" applyProtection="0"/>
  </cellStyleXfs>
  <cellXfs count="24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10" fontId="9" fillId="4" borderId="15" xfId="2" applyNumberFormat="1" applyFont="1" applyFill="1" applyBorder="1" applyAlignment="1">
      <alignment horizontal="center"/>
    </xf>
    <xf numFmtId="10" fontId="9" fillId="4" borderId="15" xfId="2" applyNumberFormat="1" applyFont="1" applyFill="1" applyBorder="1" applyAlignment="1">
      <alignment horizontal="center" vertical="center"/>
    </xf>
    <xf numFmtId="10" fontId="13" fillId="4" borderId="15" xfId="2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vertical="center" wrapText="1"/>
    </xf>
    <xf numFmtId="10" fontId="12" fillId="4" borderId="1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 wrapText="1"/>
    </xf>
    <xf numFmtId="10" fontId="10" fillId="4" borderId="1" xfId="2" applyNumberFormat="1" applyFont="1" applyFill="1" applyBorder="1" applyAlignment="1">
      <alignment horizontal="center" vertical="center" wrapText="1"/>
    </xf>
    <xf numFmtId="44" fontId="4" fillId="4" borderId="28" xfId="1" applyFont="1" applyFill="1" applyBorder="1" applyAlignment="1">
      <alignment horizontal="center" vertical="center" wrapText="1"/>
    </xf>
    <xf numFmtId="44" fontId="4" fillId="4" borderId="39" xfId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0" fillId="4" borderId="0" xfId="0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3" fillId="4" borderId="19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44" fontId="4" fillId="4" borderId="12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0" fontId="4" fillId="4" borderId="12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/>
    <xf numFmtId="0" fontId="4" fillId="4" borderId="0" xfId="0" applyFont="1" applyFill="1" applyAlignment="1">
      <alignment horizontal="center" vertical="center"/>
    </xf>
    <xf numFmtId="0" fontId="3" fillId="4" borderId="28" xfId="0" applyFont="1" applyFill="1" applyBorder="1" applyAlignment="1">
      <alignment vertical="center" wrapText="1"/>
    </xf>
    <xf numFmtId="44" fontId="4" fillId="4" borderId="39" xfId="1" applyFont="1" applyFill="1" applyBorder="1" applyAlignment="1">
      <alignment vertical="center" wrapText="1"/>
    </xf>
    <xf numFmtId="44" fontId="4" fillId="4" borderId="12" xfId="1" applyFont="1" applyFill="1" applyBorder="1" applyAlignment="1">
      <alignment vertical="center" wrapText="1"/>
    </xf>
    <xf numFmtId="0" fontId="11" fillId="4" borderId="0" xfId="0" applyFont="1" applyFill="1"/>
    <xf numFmtId="0" fontId="4" fillId="4" borderId="26" xfId="0" applyFont="1" applyFill="1" applyBorder="1" applyAlignment="1">
      <alignment horizontal="center" vertical="center" wrapText="1"/>
    </xf>
    <xf numFmtId="44" fontId="4" fillId="4" borderId="36" xfId="1" applyFont="1" applyFill="1" applyBorder="1" applyAlignment="1">
      <alignment vertical="center" wrapText="1"/>
    </xf>
    <xf numFmtId="44" fontId="4" fillId="4" borderId="28" xfId="1" applyFont="1" applyFill="1" applyBorder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10" fontId="3" fillId="4" borderId="21" xfId="2" applyNumberFormat="1" applyFont="1" applyFill="1" applyBorder="1" applyAlignment="1">
      <alignment horizontal="center" vertical="center" wrapText="1"/>
    </xf>
    <xf numFmtId="164" fontId="0" fillId="4" borderId="1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7" xfId="0" applyFont="1" applyFill="1" applyBorder="1" applyAlignment="1">
      <alignment vertical="center" wrapText="1"/>
    </xf>
    <xf numFmtId="44" fontId="3" fillId="4" borderId="28" xfId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 wrapText="1"/>
    </xf>
    <xf numFmtId="44" fontId="4" fillId="4" borderId="1" xfId="1" applyFont="1" applyFill="1" applyBorder="1" applyAlignment="1">
      <alignment vertical="center" wrapText="1"/>
    </xf>
    <xf numFmtId="44" fontId="3" fillId="4" borderId="8" xfId="1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left" vertical="center" wrapText="1"/>
    </xf>
    <xf numFmtId="10" fontId="0" fillId="4" borderId="0" xfId="0" applyNumberFormat="1" applyFont="1" applyFill="1"/>
    <xf numFmtId="0" fontId="6" fillId="4" borderId="0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44" fontId="4" fillId="4" borderId="15" xfId="1" applyFont="1" applyFill="1" applyBorder="1" applyAlignment="1">
      <alignment vertical="center" wrapText="1"/>
    </xf>
    <xf numFmtId="165" fontId="3" fillId="4" borderId="21" xfId="2" applyNumberFormat="1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vertical="center" wrapText="1"/>
    </xf>
    <xf numFmtId="44" fontId="3" fillId="4" borderId="21" xfId="1" applyFont="1" applyFill="1" applyBorder="1" applyAlignment="1">
      <alignment horizontal="center" vertical="center" wrapText="1"/>
    </xf>
    <xf numFmtId="44" fontId="4" fillId="4" borderId="40" xfId="0" applyNumberFormat="1" applyFont="1" applyFill="1" applyBorder="1" applyAlignment="1">
      <alignment horizontal="center" vertical="center" wrapText="1"/>
    </xf>
    <xf numFmtId="10" fontId="3" fillId="4" borderId="15" xfId="2" applyNumberFormat="1" applyFont="1" applyFill="1" applyBorder="1" applyAlignment="1">
      <alignment horizontal="center" vertical="center" wrapText="1"/>
    </xf>
    <xf numFmtId="44" fontId="4" fillId="4" borderId="39" xfId="0" applyNumberFormat="1" applyFont="1" applyFill="1" applyBorder="1" applyAlignment="1">
      <alignment horizontal="center" vertical="center" wrapText="1"/>
    </xf>
    <xf numFmtId="10" fontId="4" fillId="4" borderId="1" xfId="2" applyNumberFormat="1" applyFont="1" applyFill="1" applyBorder="1" applyAlignment="1">
      <alignment horizontal="center" vertical="center" wrapText="1"/>
    </xf>
    <xf numFmtId="44" fontId="4" fillId="4" borderId="28" xfId="0" applyNumberFormat="1" applyFont="1" applyFill="1" applyBorder="1" applyAlignment="1">
      <alignment horizontal="center" vertical="center" wrapText="1"/>
    </xf>
    <xf numFmtId="44" fontId="4" fillId="4" borderId="39" xfId="0" applyNumberFormat="1" applyFont="1" applyFill="1" applyBorder="1" applyAlignment="1">
      <alignment vertical="center" wrapText="1"/>
    </xf>
    <xf numFmtId="44" fontId="4" fillId="4" borderId="12" xfId="0" applyNumberFormat="1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44" fontId="4" fillId="4" borderId="36" xfId="0" applyNumberFormat="1" applyFont="1" applyFill="1" applyBorder="1" applyAlignment="1">
      <alignment vertical="center" wrapText="1"/>
    </xf>
    <xf numFmtId="44" fontId="3" fillId="4" borderId="12" xfId="0" applyNumberFormat="1" applyFont="1" applyFill="1" applyBorder="1" applyAlignment="1">
      <alignment vertical="center" wrapText="1"/>
    </xf>
    <xf numFmtId="44" fontId="3" fillId="4" borderId="41" xfId="0" applyNumberFormat="1" applyFont="1" applyFill="1" applyBorder="1" applyAlignment="1">
      <alignment vertical="center" wrapText="1"/>
    </xf>
    <xf numFmtId="0" fontId="14" fillId="5" borderId="1" xfId="4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1" xfId="2" applyNumberFormat="1" applyFont="1" applyFill="1" applyBorder="1" applyAlignment="1">
      <alignment horizontal="center" vertical="center" wrapText="1"/>
    </xf>
    <xf numFmtId="10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0" fontId="8" fillId="4" borderId="1" xfId="0" applyNumberFormat="1" applyFont="1" applyFill="1" applyBorder="1" applyAlignment="1">
      <alignment horizontal="center" vertical="center" wrapText="1"/>
    </xf>
    <xf numFmtId="10" fontId="8" fillId="4" borderId="1" xfId="2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0" fontId="2" fillId="0" borderId="0" xfId="2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wrapText="1"/>
    </xf>
    <xf numFmtId="164" fontId="16" fillId="4" borderId="0" xfId="0" applyNumberFormat="1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44" fontId="4" fillId="4" borderId="1" xfId="1" applyFont="1" applyFill="1" applyBorder="1" applyAlignment="1">
      <alignment horizontal="center" vertical="center" wrapText="1"/>
    </xf>
    <xf numFmtId="10" fontId="3" fillId="4" borderId="1" xfId="2" applyNumberFormat="1" applyFont="1" applyFill="1" applyBorder="1" applyAlignment="1">
      <alignment horizontal="center" vertical="center" wrapText="1"/>
    </xf>
    <xf numFmtId="44" fontId="17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44" fontId="18" fillId="0" borderId="1" xfId="1" applyFont="1" applyBorder="1" applyAlignment="1">
      <alignment horizontal="center" vertical="center" wrapText="1"/>
    </xf>
    <xf numFmtId="44" fontId="18" fillId="4" borderId="1" xfId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44" fontId="20" fillId="2" borderId="1" xfId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1" fillId="2" borderId="1" xfId="5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4" fontId="22" fillId="2" borderId="1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64" fontId="22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wrapText="1"/>
    </xf>
    <xf numFmtId="0" fontId="5" fillId="6" borderId="27" xfId="0" applyFont="1" applyFill="1" applyBorder="1" applyAlignment="1">
      <alignment wrapText="1"/>
    </xf>
    <xf numFmtId="0" fontId="18" fillId="6" borderId="1" xfId="0" applyFont="1" applyFill="1" applyBorder="1" applyAlignment="1">
      <alignment wrapText="1"/>
    </xf>
    <xf numFmtId="0" fontId="23" fillId="6" borderId="1" xfId="0" applyFont="1" applyFill="1" applyBorder="1" applyAlignment="1">
      <alignment horizontal="center" vertical="center" wrapText="1"/>
    </xf>
    <xf numFmtId="44" fontId="11" fillId="2" borderId="15" xfId="0" applyNumberFormat="1" applyFont="1" applyFill="1" applyBorder="1" applyAlignment="1">
      <alignment horizontal="center" vertical="center"/>
    </xf>
    <xf numFmtId="44" fontId="7" fillId="2" borderId="15" xfId="0" applyNumberFormat="1" applyFont="1" applyFill="1" applyBorder="1" applyAlignment="1">
      <alignment vertical="center"/>
    </xf>
    <xf numFmtId="0" fontId="0" fillId="5" borderId="1" xfId="0" applyFill="1" applyBorder="1"/>
    <xf numFmtId="44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8" fillId="4" borderId="1" xfId="0" applyNumberFormat="1" applyFont="1" applyFill="1" applyBorder="1" applyAlignment="1">
      <alignment wrapText="1"/>
    </xf>
    <xf numFmtId="44" fontId="8" fillId="4" borderId="1" xfId="0" applyNumberFormat="1" applyFont="1" applyFill="1" applyBorder="1" applyAlignment="1">
      <alignment wrapText="1"/>
    </xf>
    <xf numFmtId="44" fontId="8" fillId="3" borderId="1" xfId="0" applyNumberFormat="1" applyFont="1" applyFill="1" applyBorder="1" applyAlignment="1">
      <alignment wrapText="1"/>
    </xf>
    <xf numFmtId="0" fontId="2" fillId="4" borderId="1" xfId="5" applyNumberFormat="1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0" fontId="4" fillId="4" borderId="15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17" fontId="4" fillId="4" borderId="13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4" fontId="3" fillId="4" borderId="3" xfId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4" borderId="3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44" fontId="4" fillId="4" borderId="12" xfId="1" applyFont="1" applyFill="1" applyBorder="1" applyAlignment="1">
      <alignment horizontal="center" vertical="center" wrapText="1"/>
    </xf>
    <xf numFmtId="44" fontId="4" fillId="4" borderId="13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4" borderId="4" xfId="0" applyFill="1" applyBorder="1" applyAlignment="1">
      <alignment horizontal="center"/>
    </xf>
    <xf numFmtId="0" fontId="8" fillId="4" borderId="0" xfId="0" applyFont="1" applyFill="1" applyBorder="1" applyAlignment="1">
      <alignment horizontal="left" vertical="center" wrapText="1"/>
    </xf>
    <xf numFmtId="44" fontId="4" fillId="4" borderId="16" xfId="1" applyFont="1" applyFill="1" applyBorder="1" applyAlignment="1">
      <alignment horizontal="center" vertical="center" wrapText="1"/>
    </xf>
    <xf numFmtId="44" fontId="4" fillId="4" borderId="17" xfId="1" applyFont="1" applyFill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wrapText="1"/>
    </xf>
    <xf numFmtId="0" fontId="5" fillId="7" borderId="13" xfId="0" applyFont="1" applyFill="1" applyBorder="1" applyAlignment="1">
      <alignment horizontal="center" wrapText="1"/>
    </xf>
    <xf numFmtId="0" fontId="5" fillId="7" borderId="14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14" xfId="0" applyFont="1" applyFill="1" applyBorder="1" applyAlignment="1">
      <alignment horizontal="center" wrapText="1"/>
    </xf>
    <xf numFmtId="0" fontId="8" fillId="0" borderId="42" xfId="0" applyFont="1" applyBorder="1" applyAlignment="1">
      <alignment horizontal="center" vertical="center" wrapText="1"/>
    </xf>
  </cellXfs>
  <cellStyles count="6">
    <cellStyle name="Moeda" xfId="1" builtinId="4"/>
    <cellStyle name="Normal" xfId="0" builtinId="0"/>
    <cellStyle name="Normal 18 2" xfId="4" xr:uid="{00000000-0005-0000-0000-000002000000}"/>
    <cellStyle name="Normal 2" xfId="3" xr:uid="{00000000-0005-0000-0000-000003000000}"/>
    <cellStyle name="Porcentagem" xfId="2" builtinId="5"/>
    <cellStyle name="Vírgula 2" xfId="5" xr:uid="{FA2F08FC-D44D-4918-9596-B9B1F4F6632D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595622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595622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595622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6136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595622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6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595622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54CDD6-E7DD-44C3-8733-CA864DA13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3415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595622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43D4CD3-3E8C-44C7-AA0D-BEC9A2714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3415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595622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F51F8E1-3015-4E15-80AC-814E8E870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3415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595622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C2747E9-D896-4FAE-9738-4BADF8B7A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34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595622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3365D4-2DC0-4439-9B01-70AE49DB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3415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595622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10E5FE6-4782-417A-9AB0-E6D0B6D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3415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3619500</xdr:colOff>
      <xdr:row>1</xdr:row>
      <xdr:rowOff>595622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718C9B0-EAD3-4A1B-9F4E-76230AE7E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87520" cy="603415"/>
        </a:xfrm>
        <a:prstGeom prst="rect">
          <a:avLst/>
        </a:prstGeom>
      </xdr:spPr>
    </xdr:pic>
    <xdr:clientData/>
  </xdr:twoCellAnchor>
  <xdr:twoCellAnchor editAs="oneCell">
    <xdr:from>
      <xdr:col>1</xdr:col>
      <xdr:colOff>3031980</xdr:colOff>
      <xdr:row>0</xdr:row>
      <xdr:rowOff>182707</xdr:rowOff>
    </xdr:from>
    <xdr:to>
      <xdr:col>1</xdr:col>
      <xdr:colOff>3629025</xdr:colOff>
      <xdr:row>1</xdr:row>
      <xdr:rowOff>595622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74919E0-90EF-4C01-A8F5-6883B37C3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3530" y="182707"/>
          <a:ext cx="597045" cy="603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workbookViewId="0">
      <selection activeCell="D5" sqref="D5"/>
    </sheetView>
  </sheetViews>
  <sheetFormatPr defaultRowHeight="15" x14ac:dyDescent="0.25"/>
  <cols>
    <col min="2" max="2" width="5.42578125" bestFit="1" customWidth="1"/>
    <col min="3" max="3" width="29.28515625" style="80" bestFit="1" customWidth="1"/>
    <col min="4" max="4" width="8.85546875" bestFit="1" customWidth="1"/>
    <col min="5" max="5" width="8.5703125" bestFit="1" customWidth="1"/>
    <col min="6" max="6" width="15.85546875" bestFit="1" customWidth="1"/>
    <col min="7" max="7" width="17.85546875" bestFit="1" customWidth="1"/>
    <col min="8" max="8" width="22" bestFit="1" customWidth="1"/>
  </cols>
  <sheetData>
    <row r="2" spans="1:8" ht="25.5" x14ac:dyDescent="0.25">
      <c r="A2" s="155"/>
      <c r="B2" s="77" t="s">
        <v>126</v>
      </c>
      <c r="C2" s="77" t="s">
        <v>128</v>
      </c>
      <c r="D2" s="77" t="s">
        <v>130</v>
      </c>
      <c r="E2" s="77" t="s">
        <v>129</v>
      </c>
      <c r="F2" s="77" t="s">
        <v>134</v>
      </c>
      <c r="G2" s="77" t="s">
        <v>135</v>
      </c>
      <c r="H2" s="77" t="s">
        <v>136</v>
      </c>
    </row>
    <row r="3" spans="1:8" ht="28.5" x14ac:dyDescent="0.25">
      <c r="A3" s="164" t="s">
        <v>205</v>
      </c>
      <c r="B3" s="78">
        <v>1</v>
      </c>
      <c r="C3" s="79" t="s">
        <v>206</v>
      </c>
      <c r="D3" s="78">
        <v>2</v>
      </c>
      <c r="E3" s="78" t="s">
        <v>209</v>
      </c>
      <c r="F3" s="156">
        <f>'Brigadista Diurno 12x36'!D136</f>
        <v>12099.92</v>
      </c>
      <c r="G3" s="156">
        <f>F3*12</f>
        <v>145199.04000000001</v>
      </c>
      <c r="H3" s="156">
        <f>G3*D3</f>
        <v>290398.08000000002</v>
      </c>
    </row>
    <row r="4" spans="1:8" ht="30" x14ac:dyDescent="0.25">
      <c r="A4" s="164"/>
      <c r="B4" s="78">
        <v>2</v>
      </c>
      <c r="C4" s="157" t="s">
        <v>207</v>
      </c>
      <c r="D4" s="78">
        <v>3</v>
      </c>
      <c r="E4" s="78" t="s">
        <v>209</v>
      </c>
      <c r="F4" s="156">
        <f>'Brigadista Noturno 12x36'!D136</f>
        <v>14515.8</v>
      </c>
      <c r="G4" s="156">
        <f t="shared" ref="G4" si="0">F4*12</f>
        <v>174189.6</v>
      </c>
      <c r="H4" s="156">
        <f>G4*D4</f>
        <v>522568.8</v>
      </c>
    </row>
    <row r="5" spans="1:8" ht="28.5" customHeight="1" x14ac:dyDescent="0.25">
      <c r="A5" s="164"/>
      <c r="B5" s="78">
        <v>3</v>
      </c>
      <c r="C5" s="157" t="s">
        <v>208</v>
      </c>
      <c r="D5" s="78">
        <v>1</v>
      </c>
      <c r="E5" s="78" t="s">
        <v>209</v>
      </c>
      <c r="F5" s="156">
        <f>'Brigadista Diurno Líder 12x36'!D136</f>
        <v>16223.04</v>
      </c>
      <c r="G5" s="156">
        <f t="shared" ref="G5" si="1">F5*12</f>
        <v>194676.48000000001</v>
      </c>
      <c r="H5" s="156">
        <f>G5*D5</f>
        <v>194676.48000000001</v>
      </c>
    </row>
    <row r="6" spans="1:8" ht="18.75" x14ac:dyDescent="0.25">
      <c r="C6" s="80" t="s">
        <v>127</v>
      </c>
      <c r="G6" s="153" t="s">
        <v>145</v>
      </c>
      <c r="H6" s="154">
        <f>SUM(H3:H5)</f>
        <v>1007643.36</v>
      </c>
    </row>
  </sheetData>
  <mergeCells count="1">
    <mergeCell ref="A3:A5"/>
  </mergeCells>
  <conditionalFormatting sqref="H2 B2:E2">
    <cfRule type="cellIs" dxfId="1" priority="1" operator="equal">
      <formula>"PROCURAR"</formula>
    </cfRule>
  </conditionalFormatting>
  <conditionalFormatting sqref="F2:G2">
    <cfRule type="cellIs" dxfId="0" priority="2" operator="equal">
      <formula>"PROCURAR"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6"/>
  <sheetViews>
    <sheetView showGridLines="0" view="pageBreakPreview" topLeftCell="B43" zoomScale="80" zoomScaleNormal="90" zoomScaleSheetLayoutView="80" workbookViewId="0">
      <selection activeCell="B61" sqref="A61:XFD61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8" customFormat="1" x14ac:dyDescent="0.25">
      <c r="A1" s="214" t="s">
        <v>139</v>
      </c>
      <c r="B1" s="215"/>
      <c r="C1" s="215"/>
      <c r="D1" s="215"/>
    </row>
    <row r="2" spans="1:4" s="18" customFormat="1" ht="99" customHeight="1" thickBot="1" x14ac:dyDescent="0.3">
      <c r="A2" s="216"/>
      <c r="B2" s="216"/>
      <c r="C2" s="216"/>
      <c r="D2" s="216"/>
    </row>
    <row r="3" spans="1:4" s="18" customFormat="1" ht="15" customHeight="1" x14ac:dyDescent="0.25">
      <c r="A3" s="173" t="s">
        <v>53</v>
      </c>
      <c r="B3" s="174"/>
      <c r="C3" s="174"/>
      <c r="D3" s="174"/>
    </row>
    <row r="4" spans="1:4" s="18" customFormat="1" ht="15.75" customHeight="1" thickBot="1" x14ac:dyDescent="0.3">
      <c r="A4" s="175"/>
      <c r="B4" s="176"/>
      <c r="C4" s="176"/>
      <c r="D4" s="176"/>
    </row>
    <row r="5" spans="1:4" s="18" customFormat="1" ht="15.75" thickBot="1" x14ac:dyDescent="0.3">
      <c r="A5" s="19"/>
      <c r="D5" s="20"/>
    </row>
    <row r="6" spans="1:4" s="18" customFormat="1" x14ac:dyDescent="0.25">
      <c r="A6" s="21" t="s">
        <v>66</v>
      </c>
      <c r="B6" s="177"/>
      <c r="C6" s="177"/>
      <c r="D6" s="177"/>
    </row>
    <row r="7" spans="1:4" s="18" customFormat="1" x14ac:dyDescent="0.25">
      <c r="A7" s="22" t="s">
        <v>65</v>
      </c>
      <c r="B7" s="178"/>
      <c r="C7" s="179"/>
      <c r="D7" s="179"/>
    </row>
    <row r="8" spans="1:4" s="18" customFormat="1" ht="15.75" thickBot="1" x14ac:dyDescent="0.3">
      <c r="A8" s="23" t="s">
        <v>67</v>
      </c>
      <c r="B8" s="180"/>
      <c r="C8" s="180"/>
      <c r="D8" s="180"/>
    </row>
    <row r="9" spans="1:4" s="18" customFormat="1" ht="15.75" thickBot="1" x14ac:dyDescent="0.3">
      <c r="A9" s="24"/>
      <c r="B9" s="24"/>
      <c r="C9" s="24"/>
      <c r="D9" s="20"/>
    </row>
    <row r="10" spans="1:4" s="18" customFormat="1" ht="15.75" thickBot="1" x14ac:dyDescent="0.3">
      <c r="A10" s="181" t="s">
        <v>54</v>
      </c>
      <c r="B10" s="182"/>
      <c r="C10" s="182"/>
      <c r="D10" s="183"/>
    </row>
    <row r="11" spans="1:4" s="18" customFormat="1" x14ac:dyDescent="0.25">
      <c r="A11" s="9" t="s">
        <v>7</v>
      </c>
      <c r="B11" s="184" t="s">
        <v>55</v>
      </c>
      <c r="C11" s="185"/>
      <c r="D11" s="10"/>
    </row>
    <row r="12" spans="1:4" s="18" customFormat="1" x14ac:dyDescent="0.25">
      <c r="A12" s="6" t="s">
        <v>9</v>
      </c>
      <c r="B12" s="186" t="s">
        <v>56</v>
      </c>
      <c r="C12" s="187"/>
      <c r="D12" s="25" t="s">
        <v>140</v>
      </c>
    </row>
    <row r="13" spans="1:4" s="18" customFormat="1" x14ac:dyDescent="0.25">
      <c r="A13" s="6" t="s">
        <v>11</v>
      </c>
      <c r="B13" s="186" t="s">
        <v>63</v>
      </c>
      <c r="C13" s="187"/>
      <c r="D13" s="106" t="s">
        <v>146</v>
      </c>
    </row>
    <row r="14" spans="1:4" s="18" customFormat="1" ht="15" customHeight="1" x14ac:dyDescent="0.25">
      <c r="A14" s="6" t="s">
        <v>13</v>
      </c>
      <c r="B14" s="186" t="s">
        <v>57</v>
      </c>
      <c r="C14" s="187"/>
      <c r="D14" s="25" t="s">
        <v>124</v>
      </c>
    </row>
    <row r="15" spans="1:4" s="18" customFormat="1" ht="15.75" thickBot="1" x14ac:dyDescent="0.3">
      <c r="A15" s="26" t="s">
        <v>14</v>
      </c>
      <c r="B15" s="188" t="s">
        <v>58</v>
      </c>
      <c r="C15" s="189"/>
      <c r="D15" s="27">
        <v>12</v>
      </c>
    </row>
    <row r="16" spans="1:4" s="18" customFormat="1" ht="15.75" thickBot="1" x14ac:dyDescent="0.3">
      <c r="A16" s="24"/>
      <c r="B16" s="24"/>
      <c r="C16" s="24"/>
      <c r="D16" s="20"/>
    </row>
    <row r="17" spans="1:6" s="18" customFormat="1" ht="15.75" thickBot="1" x14ac:dyDescent="0.3">
      <c r="A17" s="190" t="s">
        <v>59</v>
      </c>
      <c r="B17" s="191"/>
      <c r="C17" s="191"/>
      <c r="D17" s="191"/>
    </row>
    <row r="18" spans="1:6" s="18" customFormat="1" ht="30.75" customHeight="1" x14ac:dyDescent="0.25">
      <c r="A18" s="171" t="s">
        <v>68</v>
      </c>
      <c r="B18" s="172"/>
      <c r="C18" s="28" t="s">
        <v>69</v>
      </c>
      <c r="D18" s="29" t="s">
        <v>70</v>
      </c>
    </row>
    <row r="19" spans="1:6" s="18" customFormat="1" ht="15.75" customHeight="1" thickBot="1" x14ac:dyDescent="0.3">
      <c r="A19" s="166" t="s">
        <v>212</v>
      </c>
      <c r="B19" s="167"/>
      <c r="C19" s="30" t="s">
        <v>71</v>
      </c>
      <c r="D19" s="27">
        <v>12</v>
      </c>
    </row>
    <row r="20" spans="1:6" s="18" customFormat="1" ht="15.75" thickBot="1" x14ac:dyDescent="0.3">
      <c r="A20" s="20"/>
      <c r="D20" s="20"/>
    </row>
    <row r="21" spans="1:6" s="18" customFormat="1" ht="15.75" customHeight="1" thickBot="1" x14ac:dyDescent="0.3">
      <c r="A21" s="168" t="s">
        <v>0</v>
      </c>
      <c r="B21" s="169"/>
      <c r="C21" s="169"/>
      <c r="D21" s="170"/>
    </row>
    <row r="22" spans="1:6" s="18" customFormat="1" x14ac:dyDescent="0.25">
      <c r="A22" s="9">
        <v>1</v>
      </c>
      <c r="B22" s="184" t="s">
        <v>1</v>
      </c>
      <c r="C22" s="185"/>
      <c r="D22" s="31" t="str">
        <f>A19</f>
        <v>Brigadista Diurno 12x36</v>
      </c>
    </row>
    <row r="23" spans="1:6" s="18" customFormat="1" x14ac:dyDescent="0.25">
      <c r="A23" s="6">
        <v>2</v>
      </c>
      <c r="B23" s="186" t="s">
        <v>121</v>
      </c>
      <c r="C23" s="187"/>
      <c r="D23" s="32">
        <v>2024.46</v>
      </c>
    </row>
    <row r="24" spans="1:6" s="18" customFormat="1" x14ac:dyDescent="0.25">
      <c r="A24" s="6">
        <v>3</v>
      </c>
      <c r="B24" s="192" t="s">
        <v>115</v>
      </c>
      <c r="C24" s="193"/>
      <c r="D24" s="25" t="str">
        <f>A19</f>
        <v>Brigadista Diurno 12x36</v>
      </c>
    </row>
    <row r="25" spans="1:6" s="18" customFormat="1" x14ac:dyDescent="0.25">
      <c r="A25" s="6">
        <v>4</v>
      </c>
      <c r="B25" s="186" t="s">
        <v>2</v>
      </c>
      <c r="C25" s="187"/>
      <c r="D25" s="33" t="s">
        <v>125</v>
      </c>
    </row>
    <row r="26" spans="1:6" s="35" customFormat="1" ht="15.75" thickBot="1" x14ac:dyDescent="0.3">
      <c r="A26" s="26">
        <v>5</v>
      </c>
      <c r="B26" s="188" t="s">
        <v>72</v>
      </c>
      <c r="C26" s="189"/>
      <c r="D26" s="34"/>
    </row>
    <row r="27" spans="1:6" s="18" customFormat="1" x14ac:dyDescent="0.25">
      <c r="A27" s="36"/>
      <c r="D27" s="20"/>
    </row>
    <row r="28" spans="1:6" s="18" customFormat="1" ht="16.5" thickBot="1" x14ac:dyDescent="0.3">
      <c r="A28" s="194" t="s">
        <v>3</v>
      </c>
      <c r="B28" s="194"/>
      <c r="C28" s="194"/>
      <c r="D28" s="194"/>
    </row>
    <row r="29" spans="1:6" s="18" customFormat="1" ht="15.75" thickBot="1" x14ac:dyDescent="0.3">
      <c r="A29" s="16" t="s">
        <v>4</v>
      </c>
      <c r="B29" s="170" t="s">
        <v>5</v>
      </c>
      <c r="C29" s="195"/>
      <c r="D29" s="37" t="s">
        <v>6</v>
      </c>
    </row>
    <row r="30" spans="1:6" s="18" customFormat="1" x14ac:dyDescent="0.25">
      <c r="A30" s="9" t="s">
        <v>7</v>
      </c>
      <c r="B30" s="184" t="s">
        <v>8</v>
      </c>
      <c r="C30" s="185"/>
      <c r="D30" s="38">
        <v>2024.46</v>
      </c>
    </row>
    <row r="31" spans="1:6" s="18" customFormat="1" x14ac:dyDescent="0.25">
      <c r="A31" s="6" t="s">
        <v>9</v>
      </c>
      <c r="B31" s="186" t="s">
        <v>10</v>
      </c>
      <c r="C31" s="187"/>
      <c r="D31" s="39">
        <f>D30*30%</f>
        <v>607.34</v>
      </c>
    </row>
    <row r="32" spans="1:6" s="18" customFormat="1" x14ac:dyDescent="0.25">
      <c r="A32" s="6" t="s">
        <v>11</v>
      </c>
      <c r="B32" s="186" t="s">
        <v>12</v>
      </c>
      <c r="C32" s="187"/>
      <c r="D32" s="39"/>
      <c r="F32" s="40"/>
    </row>
    <row r="33" spans="1:4" s="18" customFormat="1" x14ac:dyDescent="0.25">
      <c r="A33" s="6" t="s">
        <v>13</v>
      </c>
      <c r="B33" s="186" t="s">
        <v>217</v>
      </c>
      <c r="C33" s="187"/>
      <c r="D33" s="39"/>
    </row>
    <row r="34" spans="1:4" s="18" customFormat="1" x14ac:dyDescent="0.25">
      <c r="A34" s="6" t="s">
        <v>14</v>
      </c>
      <c r="B34" s="186" t="s">
        <v>15</v>
      </c>
      <c r="C34" s="187"/>
      <c r="D34" s="39"/>
    </row>
    <row r="35" spans="1:4" s="18" customFormat="1" ht="15.75" customHeight="1" x14ac:dyDescent="0.25">
      <c r="A35" s="6" t="s">
        <v>16</v>
      </c>
      <c r="B35" s="192" t="s">
        <v>77</v>
      </c>
      <c r="C35" s="193"/>
      <c r="D35" s="39"/>
    </row>
    <row r="36" spans="1:4" s="18" customFormat="1" ht="15.75" thickBot="1" x14ac:dyDescent="0.3">
      <c r="A36" s="41" t="s">
        <v>17</v>
      </c>
      <c r="B36" s="188" t="s">
        <v>19</v>
      </c>
      <c r="C36" s="189"/>
      <c r="D36" s="42"/>
    </row>
    <row r="37" spans="1:4" s="18" customFormat="1" ht="15.75" customHeight="1" thickBot="1" x14ac:dyDescent="0.3">
      <c r="A37" s="196" t="s">
        <v>20</v>
      </c>
      <c r="B37" s="197"/>
      <c r="C37" s="195"/>
      <c r="D37" s="43">
        <f>SUM(D30:D36)</f>
        <v>2631.8</v>
      </c>
    </row>
    <row r="38" spans="1:4" s="18" customFormat="1" x14ac:dyDescent="0.25">
      <c r="A38" s="44"/>
      <c r="D38" s="20"/>
    </row>
    <row r="39" spans="1:4" s="18" customFormat="1" ht="16.5" thickBot="1" x14ac:dyDescent="0.3">
      <c r="A39" s="194" t="s">
        <v>21</v>
      </c>
      <c r="B39" s="194"/>
      <c r="C39" s="194"/>
      <c r="D39" s="194"/>
    </row>
    <row r="40" spans="1:4" s="18" customFormat="1" ht="15.75" thickBot="1" x14ac:dyDescent="0.3">
      <c r="A40" s="16" t="s">
        <v>80</v>
      </c>
      <c r="B40" s="17" t="s">
        <v>79</v>
      </c>
      <c r="C40" s="17" t="s">
        <v>28</v>
      </c>
      <c r="D40" s="45" t="s">
        <v>6</v>
      </c>
    </row>
    <row r="41" spans="1:4" s="18" customFormat="1" x14ac:dyDescent="0.25">
      <c r="A41" s="9" t="s">
        <v>7</v>
      </c>
      <c r="B41" s="46" t="s">
        <v>38</v>
      </c>
      <c r="C41" s="3">
        <f>1/12</f>
        <v>8.3299999999999999E-2</v>
      </c>
      <c r="D41" s="15">
        <f>C41*D37</f>
        <v>219.23</v>
      </c>
    </row>
    <row r="42" spans="1:4" s="18" customFormat="1" ht="15.75" thickBot="1" x14ac:dyDescent="0.3">
      <c r="A42" s="9" t="s">
        <v>9</v>
      </c>
      <c r="B42" s="46" t="s">
        <v>78</v>
      </c>
      <c r="C42" s="3">
        <v>0.121</v>
      </c>
      <c r="D42" s="15">
        <f>D37*C42</f>
        <v>318.45</v>
      </c>
    </row>
    <row r="43" spans="1:4" s="18" customFormat="1" ht="15.75" thickBot="1" x14ac:dyDescent="0.3">
      <c r="A43" s="168" t="s">
        <v>36</v>
      </c>
      <c r="B43" s="169"/>
      <c r="C43" s="47">
        <f>SUM(C41:C42)</f>
        <v>0.20430000000000001</v>
      </c>
      <c r="D43" s="14">
        <f>SUM(D41:D42)</f>
        <v>537.67999999999995</v>
      </c>
    </row>
    <row r="44" spans="1:4" s="18" customFormat="1" x14ac:dyDescent="0.25">
      <c r="A44" s="44"/>
      <c r="D44" s="20"/>
    </row>
    <row r="45" spans="1:4" s="18" customFormat="1" x14ac:dyDescent="0.25">
      <c r="A45" s="165" t="s">
        <v>120</v>
      </c>
      <c r="B45" s="165"/>
      <c r="C45" s="165"/>
      <c r="D45" s="48">
        <f>D37+D43</f>
        <v>3169.48</v>
      </c>
    </row>
    <row r="46" spans="1:4" s="18" customFormat="1" x14ac:dyDescent="0.25">
      <c r="A46" s="44"/>
      <c r="D46" s="20"/>
    </row>
    <row r="47" spans="1:4" s="18" customFormat="1" ht="16.5" thickBot="1" x14ac:dyDescent="0.3">
      <c r="A47" s="194" t="s">
        <v>81</v>
      </c>
      <c r="B47" s="194"/>
      <c r="C47" s="194"/>
      <c r="D47" s="194"/>
    </row>
    <row r="48" spans="1:4" s="18" customFormat="1" ht="15.75" thickBot="1" x14ac:dyDescent="0.3">
      <c r="A48" s="16" t="s">
        <v>82</v>
      </c>
      <c r="B48" s="17" t="s">
        <v>27</v>
      </c>
      <c r="C48" s="17" t="s">
        <v>28</v>
      </c>
      <c r="D48" s="45" t="s">
        <v>6</v>
      </c>
    </row>
    <row r="49" spans="1:4" s="18" customFormat="1" x14ac:dyDescent="0.25">
      <c r="A49" s="9" t="s">
        <v>7</v>
      </c>
      <c r="B49" s="46" t="s">
        <v>29</v>
      </c>
      <c r="C49" s="3">
        <v>0.2</v>
      </c>
      <c r="D49" s="15">
        <f>C49*(D37+D43)</f>
        <v>633.9</v>
      </c>
    </row>
    <row r="50" spans="1:4" s="18" customFormat="1" x14ac:dyDescent="0.25">
      <c r="A50" s="9" t="s">
        <v>9</v>
      </c>
      <c r="B50" s="49" t="s">
        <v>33</v>
      </c>
      <c r="C50" s="3">
        <v>2.5000000000000001E-2</v>
      </c>
      <c r="D50" s="15">
        <f>C50*(D$37+D43)</f>
        <v>79.239999999999995</v>
      </c>
    </row>
    <row r="51" spans="1:4" s="18" customFormat="1" x14ac:dyDescent="0.25">
      <c r="A51" s="9" t="s">
        <v>11</v>
      </c>
      <c r="B51" s="7" t="s">
        <v>83</v>
      </c>
      <c r="C51" s="3">
        <f>'Custos Variáveis'!I2</f>
        <v>1.7000000000000001E-2</v>
      </c>
      <c r="D51" s="15">
        <f>C51*(D$37+D43)</f>
        <v>53.88</v>
      </c>
    </row>
    <row r="52" spans="1:4" s="18" customFormat="1" x14ac:dyDescent="0.25">
      <c r="A52" s="6" t="s">
        <v>13</v>
      </c>
      <c r="B52" s="7" t="s">
        <v>30</v>
      </c>
      <c r="C52" s="3">
        <v>1.4999999999999999E-2</v>
      </c>
      <c r="D52" s="15">
        <f>C52*(D$37+D43)</f>
        <v>47.54</v>
      </c>
    </row>
    <row r="53" spans="1:4" s="18" customFormat="1" x14ac:dyDescent="0.25">
      <c r="A53" s="6" t="s">
        <v>14</v>
      </c>
      <c r="B53" s="7" t="s">
        <v>31</v>
      </c>
      <c r="C53" s="3">
        <v>0.01</v>
      </c>
      <c r="D53" s="15">
        <f>C53*(D43+D$37)</f>
        <v>31.69</v>
      </c>
    </row>
    <row r="54" spans="1:4" s="18" customFormat="1" x14ac:dyDescent="0.25">
      <c r="A54" s="6" t="s">
        <v>16</v>
      </c>
      <c r="B54" s="50" t="s">
        <v>35</v>
      </c>
      <c r="C54" s="3">
        <v>6.0000000000000001E-3</v>
      </c>
      <c r="D54" s="15">
        <f>C54*(D$37+D43)</f>
        <v>19.02</v>
      </c>
    </row>
    <row r="55" spans="1:4" s="18" customFormat="1" x14ac:dyDescent="0.25">
      <c r="A55" s="6" t="s">
        <v>17</v>
      </c>
      <c r="B55" s="7" t="s">
        <v>32</v>
      </c>
      <c r="C55" s="3">
        <v>2E-3</v>
      </c>
      <c r="D55" s="15">
        <f>C55*(D$37+D43)</f>
        <v>6.34</v>
      </c>
    </row>
    <row r="56" spans="1:4" s="18" customFormat="1" ht="15.75" thickBot="1" x14ac:dyDescent="0.3">
      <c r="A56" s="6" t="s">
        <v>18</v>
      </c>
      <c r="B56" s="7" t="s">
        <v>34</v>
      </c>
      <c r="C56" s="3">
        <v>0.08</v>
      </c>
      <c r="D56" s="15">
        <f>C56*(D$37+D43)</f>
        <v>253.56</v>
      </c>
    </row>
    <row r="57" spans="1:4" s="18" customFormat="1" ht="15.75" thickBot="1" x14ac:dyDescent="0.3">
      <c r="A57" s="168" t="s">
        <v>36</v>
      </c>
      <c r="B57" s="169"/>
      <c r="C57" s="47">
        <f>SUM(C49:C56)</f>
        <v>0.35499999999999998</v>
      </c>
      <c r="D57" s="51">
        <f>SUM(D49:D56)</f>
        <v>1125.17</v>
      </c>
    </row>
    <row r="58" spans="1:4" s="18" customFormat="1" x14ac:dyDescent="0.25">
      <c r="A58" s="44"/>
      <c r="D58" s="20"/>
    </row>
    <row r="59" spans="1:4" s="18" customFormat="1" ht="16.5" thickBot="1" x14ac:dyDescent="0.3">
      <c r="A59" s="194" t="s">
        <v>84</v>
      </c>
      <c r="B59" s="194"/>
      <c r="C59" s="194"/>
      <c r="D59" s="194"/>
    </row>
    <row r="60" spans="1:4" s="18" customFormat="1" ht="15.75" thickBot="1" x14ac:dyDescent="0.3">
      <c r="A60" s="16" t="s">
        <v>85</v>
      </c>
      <c r="B60" s="17" t="s">
        <v>22</v>
      </c>
      <c r="C60" s="170" t="s">
        <v>6</v>
      </c>
      <c r="D60" s="197"/>
    </row>
    <row r="61" spans="1:4" s="18" customFormat="1" x14ac:dyDescent="0.25">
      <c r="A61" s="9" t="s">
        <v>7</v>
      </c>
      <c r="B61" s="46" t="s">
        <v>23</v>
      </c>
      <c r="C61" s="218">
        <f>(15*4.4*2)</f>
        <v>132</v>
      </c>
      <c r="D61" s="219"/>
    </row>
    <row r="62" spans="1:4" s="18" customFormat="1" x14ac:dyDescent="0.25">
      <c r="A62" s="6" t="s">
        <v>49</v>
      </c>
      <c r="B62" s="7" t="s">
        <v>50</v>
      </c>
      <c r="C62" s="211">
        <f>-(6%*D30*50%)</f>
        <v>-60.73</v>
      </c>
      <c r="D62" s="212"/>
    </row>
    <row r="63" spans="1:4" s="18" customFormat="1" x14ac:dyDescent="0.25">
      <c r="A63" s="6" t="s">
        <v>9</v>
      </c>
      <c r="B63" s="7" t="s">
        <v>138</v>
      </c>
      <c r="C63" s="211">
        <f>15*4.33</f>
        <v>64.95</v>
      </c>
      <c r="D63" s="212"/>
    </row>
    <row r="64" spans="1:4" s="18" customFormat="1" x14ac:dyDescent="0.25">
      <c r="A64" s="6" t="s">
        <v>11</v>
      </c>
      <c r="B64" s="7" t="s">
        <v>213</v>
      </c>
      <c r="C64" s="211">
        <v>137.53</v>
      </c>
      <c r="D64" s="212"/>
    </row>
    <row r="65" spans="1:4" s="18" customFormat="1" ht="15.75" thickBot="1" x14ac:dyDescent="0.3">
      <c r="A65" s="6"/>
      <c r="B65" s="7" t="s">
        <v>214</v>
      </c>
      <c r="C65" s="211">
        <f>28.56-14.28</f>
        <v>14.28</v>
      </c>
      <c r="D65" s="212"/>
    </row>
    <row r="66" spans="1:4" s="18" customFormat="1" ht="15" customHeight="1" thickBot="1" x14ac:dyDescent="0.3">
      <c r="A66" s="196" t="s">
        <v>24</v>
      </c>
      <c r="B66" s="197"/>
      <c r="C66" s="198">
        <f>SUM(C61:D65)</f>
        <v>288.02999999999997</v>
      </c>
      <c r="D66" s="198"/>
    </row>
    <row r="67" spans="1:4" s="18" customFormat="1" x14ac:dyDescent="0.25">
      <c r="A67" s="217"/>
      <c r="B67" s="217"/>
      <c r="C67" s="217"/>
      <c r="D67" s="217"/>
    </row>
    <row r="68" spans="1:4" s="18" customFormat="1" ht="16.5" thickBot="1" x14ac:dyDescent="0.3">
      <c r="A68" s="213" t="s">
        <v>92</v>
      </c>
      <c r="B68" s="213"/>
      <c r="C68" s="213"/>
      <c r="D68" s="52"/>
    </row>
    <row r="69" spans="1:4" s="18" customFormat="1" ht="15.75" thickBot="1" x14ac:dyDescent="0.3">
      <c r="A69" s="16">
        <v>2</v>
      </c>
      <c r="B69" s="17" t="s">
        <v>86</v>
      </c>
      <c r="C69" s="17" t="s">
        <v>6</v>
      </c>
      <c r="D69" s="53"/>
    </row>
    <row r="70" spans="1:4" s="18" customFormat="1" x14ac:dyDescent="0.25">
      <c r="A70" s="8" t="s">
        <v>80</v>
      </c>
      <c r="B70" s="7" t="s">
        <v>79</v>
      </c>
      <c r="C70" s="54">
        <f>D43</f>
        <v>537.67999999999995</v>
      </c>
      <c r="D70" s="53"/>
    </row>
    <row r="71" spans="1:4" s="18" customFormat="1" x14ac:dyDescent="0.25">
      <c r="A71" s="8" t="s">
        <v>82</v>
      </c>
      <c r="B71" s="7" t="s">
        <v>87</v>
      </c>
      <c r="C71" s="54">
        <f>D57</f>
        <v>1125.17</v>
      </c>
      <c r="D71" s="53"/>
    </row>
    <row r="72" spans="1:4" s="18" customFormat="1" ht="15.75" thickBot="1" x14ac:dyDescent="0.3">
      <c r="A72" s="8" t="s">
        <v>85</v>
      </c>
      <c r="B72" s="7" t="s">
        <v>22</v>
      </c>
      <c r="C72" s="54">
        <f>C66</f>
        <v>288.02999999999997</v>
      </c>
      <c r="D72" s="53"/>
    </row>
    <row r="73" spans="1:4" s="18" customFormat="1" ht="15" customHeight="1" thickBot="1" x14ac:dyDescent="0.3">
      <c r="A73" s="196" t="s">
        <v>88</v>
      </c>
      <c r="B73" s="197"/>
      <c r="C73" s="55">
        <f>SUM(C70:C72)</f>
        <v>1950.88</v>
      </c>
      <c r="D73" s="53"/>
    </row>
    <row r="74" spans="1:4" s="18" customFormat="1" ht="15" customHeight="1" x14ac:dyDescent="0.25">
      <c r="A74" s="53"/>
      <c r="B74" s="53"/>
      <c r="C74" s="53"/>
      <c r="D74" s="53"/>
    </row>
    <row r="75" spans="1:4" s="18" customFormat="1" ht="15" customHeight="1" thickBot="1" x14ac:dyDescent="0.3">
      <c r="A75" s="194" t="s">
        <v>89</v>
      </c>
      <c r="B75" s="194"/>
      <c r="C75" s="194"/>
      <c r="D75" s="194"/>
    </row>
    <row r="76" spans="1:4" s="18" customFormat="1" ht="15" customHeight="1" thickBot="1" x14ac:dyDescent="0.3">
      <c r="A76" s="16">
        <v>3</v>
      </c>
      <c r="B76" s="17" t="s">
        <v>39</v>
      </c>
      <c r="C76" s="17" t="s">
        <v>28</v>
      </c>
      <c r="D76" s="45" t="s">
        <v>6</v>
      </c>
    </row>
    <row r="77" spans="1:4" s="18" customFormat="1" x14ac:dyDescent="0.25">
      <c r="A77" s="9" t="s">
        <v>7</v>
      </c>
      <c r="B77" s="46" t="s">
        <v>75</v>
      </c>
      <c r="C77" s="4">
        <f>0.46%</f>
        <v>4.5999999999999999E-3</v>
      </c>
      <c r="D77" s="15">
        <f t="shared" ref="D77:D82" si="0">C77*($D$37+$C$73)</f>
        <v>21.08</v>
      </c>
    </row>
    <row r="78" spans="1:4" s="18" customFormat="1" ht="15" customHeight="1" x14ac:dyDescent="0.25">
      <c r="A78" s="6" t="s">
        <v>9</v>
      </c>
      <c r="B78" s="7" t="s">
        <v>74</v>
      </c>
      <c r="C78" s="4">
        <f>(C77*C56)</f>
        <v>4.0000000000000002E-4</v>
      </c>
      <c r="D78" s="15">
        <f t="shared" si="0"/>
        <v>1.83</v>
      </c>
    </row>
    <row r="79" spans="1:4" s="18" customFormat="1" ht="15" customHeight="1" x14ac:dyDescent="0.25">
      <c r="A79" s="6" t="s">
        <v>11</v>
      </c>
      <c r="B79" s="7" t="s">
        <v>116</v>
      </c>
      <c r="C79" s="4">
        <v>0.04</v>
      </c>
      <c r="D79" s="15">
        <f t="shared" si="0"/>
        <v>183.31</v>
      </c>
    </row>
    <row r="80" spans="1:4" s="18" customFormat="1" ht="15" customHeight="1" x14ac:dyDescent="0.25">
      <c r="A80" s="6" t="s">
        <v>13</v>
      </c>
      <c r="B80" s="7" t="s">
        <v>76</v>
      </c>
      <c r="C80" s="4">
        <v>1.9400000000000001E-2</v>
      </c>
      <c r="D80" s="15">
        <f t="shared" si="0"/>
        <v>88.9</v>
      </c>
    </row>
    <row r="81" spans="1:6" s="18" customFormat="1" ht="15" customHeight="1" x14ac:dyDescent="0.25">
      <c r="A81" s="6" t="s">
        <v>14</v>
      </c>
      <c r="B81" s="7" t="s">
        <v>90</v>
      </c>
      <c r="C81" s="4">
        <f>C80*C57</f>
        <v>6.8999999999999999E-3</v>
      </c>
      <c r="D81" s="15">
        <f t="shared" si="0"/>
        <v>31.62</v>
      </c>
    </row>
    <row r="82" spans="1:6" s="18" customFormat="1" ht="15" customHeight="1" thickBot="1" x14ac:dyDescent="0.3">
      <c r="A82" s="41" t="s">
        <v>16</v>
      </c>
      <c r="B82" s="56" t="s">
        <v>111</v>
      </c>
      <c r="C82" s="5"/>
      <c r="D82" s="15">
        <f t="shared" si="0"/>
        <v>0</v>
      </c>
      <c r="F82" s="57"/>
    </row>
    <row r="83" spans="1:6" s="18" customFormat="1" ht="15" customHeight="1" thickBot="1" x14ac:dyDescent="0.3">
      <c r="A83" s="168" t="s">
        <v>36</v>
      </c>
      <c r="B83" s="169"/>
      <c r="C83" s="47">
        <f>SUM(C77:C82)</f>
        <v>7.1300000000000002E-2</v>
      </c>
      <c r="D83" s="14">
        <f>SUM(D77:D82)</f>
        <v>326.74</v>
      </c>
    </row>
    <row r="84" spans="1:6" s="18" customFormat="1" ht="15" customHeight="1" x14ac:dyDescent="0.25">
      <c r="A84" s="58"/>
      <c r="B84" s="58"/>
      <c r="C84" s="58"/>
      <c r="D84" s="58"/>
    </row>
    <row r="85" spans="1:6" s="18" customFormat="1" ht="15" customHeight="1" x14ac:dyDescent="0.25">
      <c r="A85" s="194" t="s">
        <v>91</v>
      </c>
      <c r="B85" s="194"/>
      <c r="C85" s="194"/>
      <c r="D85" s="194"/>
    </row>
    <row r="86" spans="1:6" s="18" customFormat="1" ht="15" customHeight="1" x14ac:dyDescent="0.25">
      <c r="A86" s="194" t="s">
        <v>93</v>
      </c>
      <c r="B86" s="194"/>
      <c r="C86" s="194"/>
      <c r="D86" s="194"/>
    </row>
    <row r="87" spans="1:6" s="18" customFormat="1" ht="15" customHeight="1" x14ac:dyDescent="0.25">
      <c r="A87" s="100" t="s">
        <v>26</v>
      </c>
      <c r="B87" s="100" t="s">
        <v>94</v>
      </c>
      <c r="C87" s="100" t="s">
        <v>28</v>
      </c>
      <c r="D87" s="100" t="s">
        <v>6</v>
      </c>
    </row>
    <row r="88" spans="1:6" s="18" customFormat="1" x14ac:dyDescent="0.25">
      <c r="A88" s="8" t="s">
        <v>7</v>
      </c>
      <c r="B88" s="7" t="s">
        <v>117</v>
      </c>
      <c r="C88" s="13">
        <v>8.3299999999999999E-2</v>
      </c>
      <c r="D88" s="107">
        <f t="shared" ref="D88:D93" si="1">C88*($D$37+$C$73+$D$83)</f>
        <v>408.95</v>
      </c>
    </row>
    <row r="89" spans="1:6" s="18" customFormat="1" x14ac:dyDescent="0.25">
      <c r="A89" s="8" t="s">
        <v>9</v>
      </c>
      <c r="B89" s="7" t="s">
        <v>95</v>
      </c>
      <c r="C89" s="13">
        <f>'Custos Variáveis'!I4</f>
        <v>1.8E-3</v>
      </c>
      <c r="D89" s="107">
        <f t="shared" si="1"/>
        <v>8.84</v>
      </c>
    </row>
    <row r="90" spans="1:6" s="18" customFormat="1" x14ac:dyDescent="0.25">
      <c r="A90" s="8" t="s">
        <v>11</v>
      </c>
      <c r="B90" s="7" t="s">
        <v>96</v>
      </c>
      <c r="C90" s="13">
        <f>'Custos Variáveis'!I5</f>
        <v>2.9999999999999997E-4</v>
      </c>
      <c r="D90" s="107">
        <f t="shared" si="1"/>
        <v>1.47</v>
      </c>
    </row>
    <row r="91" spans="1:6" s="18" customFormat="1" x14ac:dyDescent="0.25">
      <c r="A91" s="8" t="s">
        <v>13</v>
      </c>
      <c r="B91" s="7" t="s">
        <v>114</v>
      </c>
      <c r="C91" s="13">
        <f>'Custos Variáveis'!I6</f>
        <v>3.3E-3</v>
      </c>
      <c r="D91" s="107">
        <f t="shared" si="1"/>
        <v>16.2</v>
      </c>
    </row>
    <row r="92" spans="1:6" s="18" customFormat="1" x14ac:dyDescent="0.25">
      <c r="A92" s="8" t="s">
        <v>14</v>
      </c>
      <c r="B92" s="7" t="s">
        <v>112</v>
      </c>
      <c r="C92" s="13">
        <f>'Custos Variáveis'!I7</f>
        <v>1.2999999999999999E-3</v>
      </c>
      <c r="D92" s="107">
        <f t="shared" si="1"/>
        <v>6.38</v>
      </c>
    </row>
    <row r="93" spans="1:6" s="18" customFormat="1" x14ac:dyDescent="0.25">
      <c r="A93" s="8" t="s">
        <v>16</v>
      </c>
      <c r="B93" s="7" t="s">
        <v>19</v>
      </c>
      <c r="C93" s="13"/>
      <c r="D93" s="107">
        <f t="shared" si="1"/>
        <v>0</v>
      </c>
    </row>
    <row r="94" spans="1:6" s="18" customFormat="1" x14ac:dyDescent="0.25">
      <c r="A94" s="208" t="s">
        <v>36</v>
      </c>
      <c r="B94" s="208"/>
      <c r="C94" s="108">
        <f>SUM(C88:C93)</f>
        <v>0.09</v>
      </c>
      <c r="D94" s="107">
        <f>SUM(D88:D93)</f>
        <v>441.84</v>
      </c>
    </row>
    <row r="95" spans="1:6" s="18" customFormat="1" x14ac:dyDescent="0.25"/>
    <row r="96" spans="1:6" s="18" customFormat="1" ht="16.5" thickBot="1" x14ac:dyDescent="0.3">
      <c r="A96" s="200" t="s">
        <v>97</v>
      </c>
      <c r="B96" s="200"/>
      <c r="C96" s="200"/>
      <c r="D96" s="200"/>
    </row>
    <row r="97" spans="1:4" s="18" customFormat="1" ht="15.75" thickBot="1" x14ac:dyDescent="0.3">
      <c r="A97" s="16" t="s">
        <v>37</v>
      </c>
      <c r="B97" s="17" t="s">
        <v>98</v>
      </c>
      <c r="C97" s="60" t="s">
        <v>6</v>
      </c>
    </row>
    <row r="98" spans="1:4" s="18" customFormat="1" ht="15.75" thickBot="1" x14ac:dyDescent="0.3">
      <c r="A98" s="9" t="s">
        <v>7</v>
      </c>
      <c r="B98" s="46" t="s">
        <v>99</v>
      </c>
      <c r="C98" s="61"/>
    </row>
    <row r="99" spans="1:4" s="18" customFormat="1" ht="15.75" thickBot="1" x14ac:dyDescent="0.3">
      <c r="A99" s="168" t="s">
        <v>36</v>
      </c>
      <c r="B99" s="169"/>
      <c r="C99" s="62"/>
    </row>
    <row r="100" spans="1:4" s="18" customFormat="1" x14ac:dyDescent="0.25"/>
    <row r="101" spans="1:4" s="18" customFormat="1" ht="15.75" thickBot="1" x14ac:dyDescent="0.3">
      <c r="A101" s="199" t="s">
        <v>100</v>
      </c>
      <c r="B101" s="199"/>
      <c r="C101" s="199"/>
    </row>
    <row r="102" spans="1:4" s="18" customFormat="1" ht="15.75" thickBot="1" x14ac:dyDescent="0.3">
      <c r="A102" s="16">
        <v>4</v>
      </c>
      <c r="B102" s="17" t="s">
        <v>40</v>
      </c>
      <c r="C102" s="60" t="s">
        <v>6</v>
      </c>
    </row>
    <row r="103" spans="1:4" s="18" customFormat="1" x14ac:dyDescent="0.25">
      <c r="A103" s="6" t="s">
        <v>26</v>
      </c>
      <c r="B103" s="46" t="s">
        <v>94</v>
      </c>
      <c r="C103" s="61">
        <f>D94</f>
        <v>441.84</v>
      </c>
    </row>
    <row r="104" spans="1:4" s="18" customFormat="1" ht="15.75" thickBot="1" x14ac:dyDescent="0.3">
      <c r="A104" s="6" t="s">
        <v>37</v>
      </c>
      <c r="B104" s="63" t="s">
        <v>98</v>
      </c>
      <c r="C104" s="61">
        <f>C98</f>
        <v>0</v>
      </c>
    </row>
    <row r="105" spans="1:4" s="18" customFormat="1" ht="15.75" thickBot="1" x14ac:dyDescent="0.3">
      <c r="A105" s="168" t="s">
        <v>36</v>
      </c>
      <c r="B105" s="169"/>
      <c r="C105" s="64">
        <f>SUM(C103:C104)</f>
        <v>441.84</v>
      </c>
    </row>
    <row r="106" spans="1:4" s="18" customFormat="1" x14ac:dyDescent="0.25">
      <c r="A106" s="44"/>
      <c r="D106" s="20"/>
    </row>
    <row r="107" spans="1:4" s="18" customFormat="1" ht="16.5" thickBot="1" x14ac:dyDescent="0.3">
      <c r="A107" s="194" t="s">
        <v>101</v>
      </c>
      <c r="B107" s="194"/>
      <c r="C107" s="194"/>
      <c r="D107" s="194"/>
    </row>
    <row r="108" spans="1:4" s="18" customFormat="1" ht="15.75" thickBot="1" x14ac:dyDescent="0.3">
      <c r="A108" s="16">
        <v>5</v>
      </c>
      <c r="B108" s="170" t="s">
        <v>25</v>
      </c>
      <c r="C108" s="195"/>
      <c r="D108" s="37" t="s">
        <v>6</v>
      </c>
    </row>
    <row r="109" spans="1:4" s="18" customFormat="1" x14ac:dyDescent="0.25">
      <c r="A109" s="9" t="s">
        <v>7</v>
      </c>
      <c r="B109" s="184" t="s">
        <v>73</v>
      </c>
      <c r="C109" s="185"/>
      <c r="D109" s="38">
        <f>Uniforme!M12</f>
        <v>69.41</v>
      </c>
    </row>
    <row r="110" spans="1:4" s="18" customFormat="1" x14ac:dyDescent="0.25">
      <c r="A110" s="6" t="s">
        <v>9</v>
      </c>
      <c r="B110" s="186" t="s">
        <v>215</v>
      </c>
      <c r="C110" s="187"/>
      <c r="D110" s="39">
        <f>'Equipamentos - PS'!O27</f>
        <v>12.59</v>
      </c>
    </row>
    <row r="111" spans="1:4" s="18" customFormat="1" x14ac:dyDescent="0.25">
      <c r="A111" s="6" t="s">
        <v>11</v>
      </c>
      <c r="B111" s="186" t="s">
        <v>216</v>
      </c>
      <c r="C111" s="187"/>
      <c r="D111" s="39">
        <f>'Equipamentos - Auxiliares'!O20</f>
        <v>7.62</v>
      </c>
    </row>
    <row r="112" spans="1:4" s="18" customFormat="1" ht="15.75" thickBot="1" x14ac:dyDescent="0.3">
      <c r="A112" s="41" t="s">
        <v>13</v>
      </c>
      <c r="B112" s="188" t="s">
        <v>19</v>
      </c>
      <c r="C112" s="189"/>
      <c r="D112" s="42"/>
    </row>
    <row r="113" spans="1:4" s="18" customFormat="1" ht="15.75" customHeight="1" thickBot="1" x14ac:dyDescent="0.3">
      <c r="A113" s="196" t="s">
        <v>64</v>
      </c>
      <c r="B113" s="197"/>
      <c r="C113" s="195"/>
      <c r="D113" s="43">
        <f>SUM(D109:D112)</f>
        <v>89.62</v>
      </c>
    </row>
    <row r="114" spans="1:4" s="18" customFormat="1" x14ac:dyDescent="0.25"/>
    <row r="115" spans="1:4" s="18" customFormat="1" ht="16.5" thickBot="1" x14ac:dyDescent="0.3">
      <c r="A115" s="194" t="s">
        <v>102</v>
      </c>
      <c r="B115" s="194"/>
      <c r="C115" s="194"/>
      <c r="D115" s="194"/>
    </row>
    <row r="116" spans="1:4" s="18" customFormat="1" ht="15.75" thickBot="1" x14ac:dyDescent="0.3">
      <c r="A116" s="16">
        <v>5</v>
      </c>
      <c r="B116" s="17" t="s">
        <v>41</v>
      </c>
      <c r="C116" s="59" t="s">
        <v>28</v>
      </c>
      <c r="D116" s="45" t="s">
        <v>6</v>
      </c>
    </row>
    <row r="117" spans="1:4" s="18" customFormat="1" x14ac:dyDescent="0.25">
      <c r="A117" s="9" t="s">
        <v>7</v>
      </c>
      <c r="B117" s="10" t="s">
        <v>42</v>
      </c>
      <c r="C117" s="11">
        <f>'Custos Variáveis'!I10</f>
        <v>8.0999999999999996E-3</v>
      </c>
      <c r="D117" s="65">
        <f>C117*$D$133</f>
        <v>44.07</v>
      </c>
    </row>
    <row r="118" spans="1:4" s="18" customFormat="1" x14ac:dyDescent="0.25">
      <c r="A118" s="6" t="s">
        <v>9</v>
      </c>
      <c r="B118" s="12" t="s">
        <v>45</v>
      </c>
      <c r="C118" s="11">
        <f>'Custos Variáveis'!I11</f>
        <v>7.6E-3</v>
      </c>
      <c r="D118" s="65">
        <f>C118*(D117+$D$133)</f>
        <v>41.69</v>
      </c>
    </row>
    <row r="119" spans="1:4" s="18" customFormat="1" x14ac:dyDescent="0.25">
      <c r="A119" s="6" t="s">
        <v>11</v>
      </c>
      <c r="B119" s="7" t="s">
        <v>43</v>
      </c>
      <c r="C119" s="163">
        <f>SUM(C120:C123)</f>
        <v>8.6499999999999994E-2</v>
      </c>
      <c r="D119" s="67"/>
    </row>
    <row r="120" spans="1:4" s="18" customFormat="1" x14ac:dyDescent="0.25">
      <c r="A120" s="6" t="s">
        <v>60</v>
      </c>
      <c r="B120" s="7" t="s">
        <v>44</v>
      </c>
      <c r="C120" s="68">
        <v>0</v>
      </c>
      <c r="D120" s="67"/>
    </row>
    <row r="121" spans="1:4" s="18" customFormat="1" x14ac:dyDescent="0.25">
      <c r="A121" s="6" t="s">
        <v>61</v>
      </c>
      <c r="B121" s="7" t="s">
        <v>51</v>
      </c>
      <c r="C121" s="68">
        <v>6.4999999999999997E-3</v>
      </c>
      <c r="D121" s="67">
        <f>(D133+D117+D118)/(1-C119)*C121</f>
        <v>39.32</v>
      </c>
    </row>
    <row r="122" spans="1:4" s="18" customFormat="1" x14ac:dyDescent="0.25">
      <c r="A122" s="6" t="s">
        <v>62</v>
      </c>
      <c r="B122" s="7" t="s">
        <v>52</v>
      </c>
      <c r="C122" s="68">
        <v>0.03</v>
      </c>
      <c r="D122" s="67">
        <f>(D133+D117+D118)/(1-C119)*C122</f>
        <v>181.5</v>
      </c>
    </row>
    <row r="123" spans="1:4" s="18" customFormat="1" ht="15.75" thickBot="1" x14ac:dyDescent="0.3">
      <c r="A123" s="6" t="s">
        <v>103</v>
      </c>
      <c r="B123" s="49" t="s">
        <v>113</v>
      </c>
      <c r="C123" s="68">
        <v>0.05</v>
      </c>
      <c r="D123" s="67">
        <f>(D133+D117+D118)/(1-C119)*C123</f>
        <v>302.5</v>
      </c>
    </row>
    <row r="124" spans="1:4" s="35" customFormat="1" ht="15.75" thickBot="1" x14ac:dyDescent="0.3">
      <c r="A124" s="168" t="s">
        <v>36</v>
      </c>
      <c r="B124" s="169"/>
      <c r="C124" s="169"/>
      <c r="D124" s="69">
        <f>SUM(D117:D123)</f>
        <v>609.08000000000004</v>
      </c>
    </row>
    <row r="125" spans="1:4" s="18" customFormat="1" ht="15.75" customHeight="1" x14ac:dyDescent="0.25">
      <c r="A125" s="44"/>
      <c r="D125" s="20"/>
    </row>
    <row r="126" spans="1:4" s="18" customFormat="1" ht="16.5" thickBot="1" x14ac:dyDescent="0.3">
      <c r="A126" s="207" t="s">
        <v>110</v>
      </c>
      <c r="B126" s="207"/>
      <c r="C126" s="207"/>
      <c r="D126" s="207"/>
    </row>
    <row r="127" spans="1:4" s="18" customFormat="1" ht="15.75" customHeight="1" thickBot="1" x14ac:dyDescent="0.3">
      <c r="A127" s="196" t="s">
        <v>46</v>
      </c>
      <c r="B127" s="197"/>
      <c r="C127" s="195"/>
      <c r="D127" s="45" t="s">
        <v>47</v>
      </c>
    </row>
    <row r="128" spans="1:4" s="18" customFormat="1" x14ac:dyDescent="0.25">
      <c r="A128" s="9" t="s">
        <v>7</v>
      </c>
      <c r="B128" s="184" t="s">
        <v>48</v>
      </c>
      <c r="C128" s="185"/>
      <c r="D128" s="70">
        <f>D37</f>
        <v>2631.8</v>
      </c>
    </row>
    <row r="129" spans="1:4" s="18" customFormat="1" x14ac:dyDescent="0.25">
      <c r="A129" s="6" t="s">
        <v>9</v>
      </c>
      <c r="B129" s="186" t="s">
        <v>104</v>
      </c>
      <c r="C129" s="187"/>
      <c r="D129" s="71">
        <f>C73</f>
        <v>1950.88</v>
      </c>
    </row>
    <row r="130" spans="1:4" s="18" customFormat="1" x14ac:dyDescent="0.25">
      <c r="A130" s="6" t="s">
        <v>11</v>
      </c>
      <c r="B130" s="186" t="s">
        <v>105</v>
      </c>
      <c r="C130" s="187"/>
      <c r="D130" s="71">
        <f>D83</f>
        <v>326.74</v>
      </c>
    </row>
    <row r="131" spans="1:4" s="18" customFormat="1" ht="15" customHeight="1" x14ac:dyDescent="0.25">
      <c r="A131" s="6" t="s">
        <v>13</v>
      </c>
      <c r="B131" s="72" t="s">
        <v>106</v>
      </c>
      <c r="C131" s="73"/>
      <c r="D131" s="71">
        <f>C105</f>
        <v>441.84</v>
      </c>
    </row>
    <row r="132" spans="1:4" s="18" customFormat="1" x14ac:dyDescent="0.25">
      <c r="A132" s="6" t="s">
        <v>14</v>
      </c>
      <c r="B132" s="186" t="s">
        <v>107</v>
      </c>
      <c r="C132" s="187"/>
      <c r="D132" s="71">
        <f>D113</f>
        <v>89.62</v>
      </c>
    </row>
    <row r="133" spans="1:4" s="18" customFormat="1" ht="15" customHeight="1" x14ac:dyDescent="0.25">
      <c r="A133" s="201" t="s">
        <v>108</v>
      </c>
      <c r="B133" s="202"/>
      <c r="C133" s="203"/>
      <c r="D133" s="71">
        <f>SUM(D128:D132)</f>
        <v>5440.88</v>
      </c>
    </row>
    <row r="134" spans="1:4" s="18" customFormat="1" ht="15.75" customHeight="1" x14ac:dyDescent="0.25">
      <c r="A134" s="41" t="s">
        <v>16</v>
      </c>
      <c r="B134" s="209" t="s">
        <v>109</v>
      </c>
      <c r="C134" s="210"/>
      <c r="D134" s="74">
        <f>D124</f>
        <v>609.08000000000004</v>
      </c>
    </row>
    <row r="135" spans="1:4" s="18" customFormat="1" ht="15" customHeight="1" x14ac:dyDescent="0.25">
      <c r="A135" s="208" t="s">
        <v>118</v>
      </c>
      <c r="B135" s="208"/>
      <c r="C135" s="208"/>
      <c r="D135" s="75">
        <f>SUM(D133:D134)</f>
        <v>6049.96</v>
      </c>
    </row>
    <row r="136" spans="1:4" s="18" customFormat="1" ht="15.75" customHeight="1" thickBot="1" x14ac:dyDescent="0.3">
      <c r="A136" s="204" t="s">
        <v>119</v>
      </c>
      <c r="B136" s="205"/>
      <c r="C136" s="206"/>
      <c r="D136" s="76">
        <f>SUM(D133:D134)*2</f>
        <v>12099.92</v>
      </c>
    </row>
  </sheetData>
  <mergeCells count="75">
    <mergeCell ref="A1:D2"/>
    <mergeCell ref="B108:C108"/>
    <mergeCell ref="B109:C109"/>
    <mergeCell ref="B110:C110"/>
    <mergeCell ref="A105:B105"/>
    <mergeCell ref="A39:D39"/>
    <mergeCell ref="A67:D67"/>
    <mergeCell ref="A86:D86"/>
    <mergeCell ref="A43:B43"/>
    <mergeCell ref="A83:B83"/>
    <mergeCell ref="A47:D47"/>
    <mergeCell ref="A57:B57"/>
    <mergeCell ref="C60:D60"/>
    <mergeCell ref="A59:D59"/>
    <mergeCell ref="A73:B73"/>
    <mergeCell ref="C61:D61"/>
    <mergeCell ref="C62:D62"/>
    <mergeCell ref="A94:B94"/>
    <mergeCell ref="C63:D63"/>
    <mergeCell ref="A68:C68"/>
    <mergeCell ref="A75:D75"/>
    <mergeCell ref="A85:D85"/>
    <mergeCell ref="C64:D64"/>
    <mergeCell ref="C65:D65"/>
    <mergeCell ref="A133:C133"/>
    <mergeCell ref="A136:C136"/>
    <mergeCell ref="A126:D126"/>
    <mergeCell ref="A127:C127"/>
    <mergeCell ref="B128:C128"/>
    <mergeCell ref="B129:C129"/>
    <mergeCell ref="B130:C130"/>
    <mergeCell ref="A135:C135"/>
    <mergeCell ref="B134:C134"/>
    <mergeCell ref="B132:C132"/>
    <mergeCell ref="A115:D115"/>
    <mergeCell ref="A124:C124"/>
    <mergeCell ref="B111:C111"/>
    <mergeCell ref="B112:C112"/>
    <mergeCell ref="C66:D66"/>
    <mergeCell ref="A66:B66"/>
    <mergeCell ref="A113:C113"/>
    <mergeCell ref="A101:C101"/>
    <mergeCell ref="A107:D107"/>
    <mergeCell ref="A96:D96"/>
    <mergeCell ref="A99:B99"/>
    <mergeCell ref="B30:C30"/>
    <mergeCell ref="B29:C29"/>
    <mergeCell ref="A37:C37"/>
    <mergeCell ref="B32:C32"/>
    <mergeCell ref="B33:C33"/>
    <mergeCell ref="B34:C34"/>
    <mergeCell ref="B35:C35"/>
    <mergeCell ref="B36:C36"/>
    <mergeCell ref="B31:C31"/>
    <mergeCell ref="B23:C23"/>
    <mergeCell ref="B24:C24"/>
    <mergeCell ref="B25:C25"/>
    <mergeCell ref="B26:C26"/>
    <mergeCell ref="A28:D28"/>
    <mergeCell ref="A45:C45"/>
    <mergeCell ref="A19:B19"/>
    <mergeCell ref="A21:D21"/>
    <mergeCell ref="A18:B18"/>
    <mergeCell ref="A3:D4"/>
    <mergeCell ref="B6:D6"/>
    <mergeCell ref="B7:D7"/>
    <mergeCell ref="B8:D8"/>
    <mergeCell ref="A10:D10"/>
    <mergeCell ref="B11:C11"/>
    <mergeCell ref="B12:C12"/>
    <mergeCell ref="B13:C13"/>
    <mergeCell ref="B14:C14"/>
    <mergeCell ref="B15:C15"/>
    <mergeCell ref="A17:D17"/>
    <mergeCell ref="B22:C22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227E-1162-44C9-A76F-6171D4C311FA}">
  <dimension ref="A1:F136"/>
  <sheetViews>
    <sheetView showGridLines="0" view="pageBreakPreview" topLeftCell="A49" zoomScale="80" zoomScaleNormal="90" zoomScaleSheetLayoutView="80" workbookViewId="0">
      <selection activeCell="D71" sqref="D71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8" customFormat="1" x14ac:dyDescent="0.25">
      <c r="A1" s="214" t="s">
        <v>139</v>
      </c>
      <c r="B1" s="215"/>
      <c r="C1" s="215"/>
      <c r="D1" s="215"/>
    </row>
    <row r="2" spans="1:4" s="18" customFormat="1" ht="99" customHeight="1" thickBot="1" x14ac:dyDescent="0.3">
      <c r="A2" s="216"/>
      <c r="B2" s="216"/>
      <c r="C2" s="216"/>
      <c r="D2" s="216"/>
    </row>
    <row r="3" spans="1:4" s="18" customFormat="1" ht="15" customHeight="1" x14ac:dyDescent="0.25">
      <c r="A3" s="173" t="s">
        <v>53</v>
      </c>
      <c r="B3" s="174"/>
      <c r="C3" s="174"/>
      <c r="D3" s="174"/>
    </row>
    <row r="4" spans="1:4" s="18" customFormat="1" ht="15.75" customHeight="1" thickBot="1" x14ac:dyDescent="0.3">
      <c r="A4" s="175"/>
      <c r="B4" s="176"/>
      <c r="C4" s="176"/>
      <c r="D4" s="176"/>
    </row>
    <row r="5" spans="1:4" s="18" customFormat="1" ht="15.75" thickBot="1" x14ac:dyDescent="0.3">
      <c r="A5" s="19"/>
      <c r="D5" s="20"/>
    </row>
    <row r="6" spans="1:4" s="18" customFormat="1" x14ac:dyDescent="0.25">
      <c r="A6" s="21" t="s">
        <v>66</v>
      </c>
      <c r="B6" s="177"/>
      <c r="C6" s="177"/>
      <c r="D6" s="177"/>
    </row>
    <row r="7" spans="1:4" s="18" customFormat="1" x14ac:dyDescent="0.25">
      <c r="A7" s="22" t="s">
        <v>65</v>
      </c>
      <c r="B7" s="178"/>
      <c r="C7" s="179"/>
      <c r="D7" s="179"/>
    </row>
    <row r="8" spans="1:4" s="18" customFormat="1" ht="15.75" thickBot="1" x14ac:dyDescent="0.3">
      <c r="A8" s="23" t="s">
        <v>67</v>
      </c>
      <c r="B8" s="180"/>
      <c r="C8" s="180"/>
      <c r="D8" s="180"/>
    </row>
    <row r="9" spans="1:4" s="18" customFormat="1" ht="15.75" thickBot="1" x14ac:dyDescent="0.3">
      <c r="A9" s="24"/>
      <c r="B9" s="24"/>
      <c r="C9" s="24"/>
      <c r="D9" s="20"/>
    </row>
    <row r="10" spans="1:4" s="18" customFormat="1" ht="15.75" thickBot="1" x14ac:dyDescent="0.3">
      <c r="A10" s="181" t="s">
        <v>54</v>
      </c>
      <c r="B10" s="182"/>
      <c r="C10" s="182"/>
      <c r="D10" s="183"/>
    </row>
    <row r="11" spans="1:4" s="18" customFormat="1" x14ac:dyDescent="0.25">
      <c r="A11" s="9" t="s">
        <v>7</v>
      </c>
      <c r="B11" s="184" t="s">
        <v>55</v>
      </c>
      <c r="C11" s="185"/>
      <c r="D11" s="10"/>
    </row>
    <row r="12" spans="1:4" s="18" customFormat="1" x14ac:dyDescent="0.25">
      <c r="A12" s="6" t="s">
        <v>9</v>
      </c>
      <c r="B12" s="186" t="s">
        <v>56</v>
      </c>
      <c r="C12" s="187"/>
      <c r="D12" s="25" t="s">
        <v>140</v>
      </c>
    </row>
    <row r="13" spans="1:4" s="18" customFormat="1" x14ac:dyDescent="0.25">
      <c r="A13" s="6" t="s">
        <v>11</v>
      </c>
      <c r="B13" s="186" t="s">
        <v>63</v>
      </c>
      <c r="C13" s="187"/>
      <c r="D13" s="106" t="s">
        <v>146</v>
      </c>
    </row>
    <row r="14" spans="1:4" s="18" customFormat="1" ht="15" customHeight="1" x14ac:dyDescent="0.25">
      <c r="A14" s="6" t="s">
        <v>13</v>
      </c>
      <c r="B14" s="186" t="s">
        <v>57</v>
      </c>
      <c r="C14" s="187"/>
      <c r="D14" s="25" t="s">
        <v>124</v>
      </c>
    </row>
    <row r="15" spans="1:4" s="18" customFormat="1" ht="15.75" thickBot="1" x14ac:dyDescent="0.3">
      <c r="A15" s="26" t="s">
        <v>14</v>
      </c>
      <c r="B15" s="188" t="s">
        <v>58</v>
      </c>
      <c r="C15" s="189"/>
      <c r="D15" s="27">
        <v>12</v>
      </c>
    </row>
    <row r="16" spans="1:4" s="18" customFormat="1" ht="15.75" thickBot="1" x14ac:dyDescent="0.3">
      <c r="A16" s="24"/>
      <c r="B16" s="24"/>
      <c r="C16" s="24"/>
      <c r="D16" s="20"/>
    </row>
    <row r="17" spans="1:6" s="18" customFormat="1" ht="15.75" thickBot="1" x14ac:dyDescent="0.3">
      <c r="A17" s="190" t="s">
        <v>59</v>
      </c>
      <c r="B17" s="191"/>
      <c r="C17" s="191"/>
      <c r="D17" s="191"/>
    </row>
    <row r="18" spans="1:6" s="18" customFormat="1" ht="30.75" customHeight="1" x14ac:dyDescent="0.25">
      <c r="A18" s="171" t="s">
        <v>68</v>
      </c>
      <c r="B18" s="172"/>
      <c r="C18" s="28" t="s">
        <v>69</v>
      </c>
      <c r="D18" s="29" t="s">
        <v>70</v>
      </c>
    </row>
    <row r="19" spans="1:6" s="18" customFormat="1" ht="15.75" customHeight="1" thickBot="1" x14ac:dyDescent="0.3">
      <c r="A19" s="166" t="s">
        <v>219</v>
      </c>
      <c r="B19" s="167"/>
      <c r="C19" s="30" t="s">
        <v>71</v>
      </c>
      <c r="D19" s="27">
        <v>12</v>
      </c>
    </row>
    <row r="20" spans="1:6" s="18" customFormat="1" ht="15.75" thickBot="1" x14ac:dyDescent="0.3">
      <c r="A20" s="20"/>
      <c r="D20" s="20"/>
    </row>
    <row r="21" spans="1:6" s="18" customFormat="1" ht="15.75" customHeight="1" thickBot="1" x14ac:dyDescent="0.3">
      <c r="A21" s="168" t="s">
        <v>0</v>
      </c>
      <c r="B21" s="169"/>
      <c r="C21" s="169"/>
      <c r="D21" s="170"/>
    </row>
    <row r="22" spans="1:6" s="18" customFormat="1" x14ac:dyDescent="0.25">
      <c r="A22" s="9">
        <v>1</v>
      </c>
      <c r="B22" s="184" t="s">
        <v>1</v>
      </c>
      <c r="C22" s="185"/>
      <c r="D22" s="31" t="str">
        <f>A19</f>
        <v>Brigadista Noturno 12x36</v>
      </c>
    </row>
    <row r="23" spans="1:6" s="18" customFormat="1" x14ac:dyDescent="0.25">
      <c r="A23" s="6">
        <v>2</v>
      </c>
      <c r="B23" s="186" t="s">
        <v>121</v>
      </c>
      <c r="C23" s="187"/>
      <c r="D23" s="32">
        <v>2024.46</v>
      </c>
    </row>
    <row r="24" spans="1:6" s="18" customFormat="1" x14ac:dyDescent="0.25">
      <c r="A24" s="6">
        <v>3</v>
      </c>
      <c r="B24" s="192" t="s">
        <v>115</v>
      </c>
      <c r="C24" s="193"/>
      <c r="D24" s="25" t="str">
        <f>A19</f>
        <v>Brigadista Noturno 12x36</v>
      </c>
    </row>
    <row r="25" spans="1:6" s="18" customFormat="1" x14ac:dyDescent="0.25">
      <c r="A25" s="6">
        <v>4</v>
      </c>
      <c r="B25" s="186" t="s">
        <v>2</v>
      </c>
      <c r="C25" s="187"/>
      <c r="D25" s="33" t="s">
        <v>125</v>
      </c>
    </row>
    <row r="26" spans="1:6" s="35" customFormat="1" ht="15.75" thickBot="1" x14ac:dyDescent="0.3">
      <c r="A26" s="26">
        <v>5</v>
      </c>
      <c r="B26" s="188" t="s">
        <v>72</v>
      </c>
      <c r="C26" s="189"/>
      <c r="D26" s="34"/>
    </row>
    <row r="27" spans="1:6" s="18" customFormat="1" x14ac:dyDescent="0.25">
      <c r="A27" s="36"/>
      <c r="D27" s="20"/>
    </row>
    <row r="28" spans="1:6" s="18" customFormat="1" ht="16.5" thickBot="1" x14ac:dyDescent="0.3">
      <c r="A28" s="194" t="s">
        <v>3</v>
      </c>
      <c r="B28" s="194"/>
      <c r="C28" s="194"/>
      <c r="D28" s="194"/>
    </row>
    <row r="29" spans="1:6" s="18" customFormat="1" ht="15.75" thickBot="1" x14ac:dyDescent="0.3">
      <c r="A29" s="119" t="s">
        <v>4</v>
      </c>
      <c r="B29" s="170" t="s">
        <v>5</v>
      </c>
      <c r="C29" s="195"/>
      <c r="D29" s="37" t="s">
        <v>6</v>
      </c>
    </row>
    <row r="30" spans="1:6" s="18" customFormat="1" x14ac:dyDescent="0.25">
      <c r="A30" s="9" t="s">
        <v>7</v>
      </c>
      <c r="B30" s="184" t="s">
        <v>8</v>
      </c>
      <c r="C30" s="185"/>
      <c r="D30" s="38">
        <v>2024.46</v>
      </c>
    </row>
    <row r="31" spans="1:6" s="18" customFormat="1" x14ac:dyDescent="0.25">
      <c r="A31" s="6" t="s">
        <v>9</v>
      </c>
      <c r="B31" s="186" t="s">
        <v>10</v>
      </c>
      <c r="C31" s="187"/>
      <c r="D31" s="39">
        <f>D30*30%</f>
        <v>607.34</v>
      </c>
    </row>
    <row r="32" spans="1:6" s="18" customFormat="1" x14ac:dyDescent="0.25">
      <c r="A32" s="6" t="s">
        <v>11</v>
      </c>
      <c r="B32" s="186" t="s">
        <v>12</v>
      </c>
      <c r="C32" s="187"/>
      <c r="D32" s="39"/>
      <c r="F32" s="40"/>
    </row>
    <row r="33" spans="1:4" s="18" customFormat="1" x14ac:dyDescent="0.25">
      <c r="A33" s="6" t="s">
        <v>13</v>
      </c>
      <c r="B33" s="186" t="s">
        <v>218</v>
      </c>
      <c r="C33" s="187"/>
      <c r="D33" s="39">
        <f>(D30+D31)*58.33%*20%</f>
        <v>307.02999999999997</v>
      </c>
    </row>
    <row r="34" spans="1:4" s="18" customFormat="1" x14ac:dyDescent="0.25">
      <c r="A34" s="6" t="s">
        <v>14</v>
      </c>
      <c r="B34" s="186" t="s">
        <v>15</v>
      </c>
      <c r="C34" s="187"/>
      <c r="D34" s="39">
        <f>(D30+D31)*8.33%*1.2</f>
        <v>263.07</v>
      </c>
    </row>
    <row r="35" spans="1:4" s="18" customFormat="1" ht="15.75" customHeight="1" x14ac:dyDescent="0.25">
      <c r="A35" s="6" t="s">
        <v>16</v>
      </c>
      <c r="B35" s="192" t="s">
        <v>77</v>
      </c>
      <c r="C35" s="193"/>
      <c r="D35" s="39"/>
    </row>
    <row r="36" spans="1:4" s="18" customFormat="1" ht="15.75" thickBot="1" x14ac:dyDescent="0.3">
      <c r="A36" s="41" t="s">
        <v>17</v>
      </c>
      <c r="B36" s="188" t="s">
        <v>19</v>
      </c>
      <c r="C36" s="189"/>
      <c r="D36" s="42"/>
    </row>
    <row r="37" spans="1:4" s="18" customFormat="1" ht="15.75" customHeight="1" thickBot="1" x14ac:dyDescent="0.3">
      <c r="A37" s="196" t="s">
        <v>20</v>
      </c>
      <c r="B37" s="197"/>
      <c r="C37" s="195"/>
      <c r="D37" s="43">
        <f>SUM(D30:D36)</f>
        <v>3201.9</v>
      </c>
    </row>
    <row r="38" spans="1:4" s="18" customFormat="1" x14ac:dyDescent="0.25">
      <c r="A38" s="44"/>
      <c r="D38" s="20"/>
    </row>
    <row r="39" spans="1:4" s="18" customFormat="1" ht="16.5" thickBot="1" x14ac:dyDescent="0.3">
      <c r="A39" s="194" t="s">
        <v>21</v>
      </c>
      <c r="B39" s="194"/>
      <c r="C39" s="194"/>
      <c r="D39" s="194"/>
    </row>
    <row r="40" spans="1:4" s="18" customFormat="1" ht="15.75" thickBot="1" x14ac:dyDescent="0.3">
      <c r="A40" s="119" t="s">
        <v>80</v>
      </c>
      <c r="B40" s="120" t="s">
        <v>79</v>
      </c>
      <c r="C40" s="120" t="s">
        <v>28</v>
      </c>
      <c r="D40" s="116" t="s">
        <v>6</v>
      </c>
    </row>
    <row r="41" spans="1:4" s="18" customFormat="1" x14ac:dyDescent="0.25">
      <c r="A41" s="9" t="s">
        <v>7</v>
      </c>
      <c r="B41" s="46" t="s">
        <v>38</v>
      </c>
      <c r="C41" s="3">
        <f>1/12</f>
        <v>8.3299999999999999E-2</v>
      </c>
      <c r="D41" s="15">
        <f>C41*D37</f>
        <v>266.72000000000003</v>
      </c>
    </row>
    <row r="42" spans="1:4" s="18" customFormat="1" ht="15.75" thickBot="1" x14ac:dyDescent="0.3">
      <c r="A42" s="9" t="s">
        <v>9</v>
      </c>
      <c r="B42" s="46" t="s">
        <v>78</v>
      </c>
      <c r="C42" s="3">
        <v>0.121</v>
      </c>
      <c r="D42" s="15">
        <f>D37*C42</f>
        <v>387.43</v>
      </c>
    </row>
    <row r="43" spans="1:4" s="18" customFormat="1" ht="15.75" thickBot="1" x14ac:dyDescent="0.3">
      <c r="A43" s="168" t="s">
        <v>36</v>
      </c>
      <c r="B43" s="169"/>
      <c r="C43" s="47">
        <f>SUM(C41:C42)</f>
        <v>0.20430000000000001</v>
      </c>
      <c r="D43" s="14">
        <f>SUM(D41:D42)</f>
        <v>654.15</v>
      </c>
    </row>
    <row r="44" spans="1:4" s="18" customFormat="1" x14ac:dyDescent="0.25">
      <c r="A44" s="44"/>
      <c r="D44" s="20"/>
    </row>
    <row r="45" spans="1:4" s="18" customFormat="1" x14ac:dyDescent="0.25">
      <c r="A45" s="165" t="s">
        <v>120</v>
      </c>
      <c r="B45" s="165"/>
      <c r="C45" s="165"/>
      <c r="D45" s="48">
        <f>D37+D43</f>
        <v>3856.05</v>
      </c>
    </row>
    <row r="46" spans="1:4" s="18" customFormat="1" x14ac:dyDescent="0.25">
      <c r="A46" s="44"/>
      <c r="D46" s="20"/>
    </row>
    <row r="47" spans="1:4" s="18" customFormat="1" ht="16.5" thickBot="1" x14ac:dyDescent="0.3">
      <c r="A47" s="194" t="s">
        <v>81</v>
      </c>
      <c r="B47" s="194"/>
      <c r="C47" s="194"/>
      <c r="D47" s="194"/>
    </row>
    <row r="48" spans="1:4" s="18" customFormat="1" ht="15.75" thickBot="1" x14ac:dyDescent="0.3">
      <c r="A48" s="119" t="s">
        <v>82</v>
      </c>
      <c r="B48" s="120" t="s">
        <v>27</v>
      </c>
      <c r="C48" s="120" t="s">
        <v>28</v>
      </c>
      <c r="D48" s="116" t="s">
        <v>6</v>
      </c>
    </row>
    <row r="49" spans="1:4" s="18" customFormat="1" x14ac:dyDescent="0.25">
      <c r="A49" s="9" t="s">
        <v>7</v>
      </c>
      <c r="B49" s="46" t="s">
        <v>29</v>
      </c>
      <c r="C49" s="3">
        <v>0.2</v>
      </c>
      <c r="D49" s="15">
        <f>C49*(D37+D43)</f>
        <v>771.21</v>
      </c>
    </row>
    <row r="50" spans="1:4" s="18" customFormat="1" x14ac:dyDescent="0.25">
      <c r="A50" s="9" t="s">
        <v>9</v>
      </c>
      <c r="B50" s="49" t="s">
        <v>33</v>
      </c>
      <c r="C50" s="3">
        <v>2.5000000000000001E-2</v>
      </c>
      <c r="D50" s="15">
        <f>C50*(D$37+D43)</f>
        <v>96.4</v>
      </c>
    </row>
    <row r="51" spans="1:4" s="18" customFormat="1" x14ac:dyDescent="0.25">
      <c r="A51" s="9" t="s">
        <v>11</v>
      </c>
      <c r="B51" s="7" t="s">
        <v>83</v>
      </c>
      <c r="C51" s="3">
        <f>'Custos Variáveis'!I2</f>
        <v>1.7000000000000001E-2</v>
      </c>
      <c r="D51" s="15">
        <f>C51*(D$37+D43)</f>
        <v>65.55</v>
      </c>
    </row>
    <row r="52" spans="1:4" s="18" customFormat="1" x14ac:dyDescent="0.25">
      <c r="A52" s="6" t="s">
        <v>13</v>
      </c>
      <c r="B52" s="7" t="s">
        <v>30</v>
      </c>
      <c r="C52" s="3">
        <v>1.4999999999999999E-2</v>
      </c>
      <c r="D52" s="15">
        <f>C52*(D$37+D43)</f>
        <v>57.84</v>
      </c>
    </row>
    <row r="53" spans="1:4" s="18" customFormat="1" x14ac:dyDescent="0.25">
      <c r="A53" s="6" t="s">
        <v>14</v>
      </c>
      <c r="B53" s="7" t="s">
        <v>31</v>
      </c>
      <c r="C53" s="3">
        <v>0.01</v>
      </c>
      <c r="D53" s="15">
        <f>C53*(D43+D$37)</f>
        <v>38.56</v>
      </c>
    </row>
    <row r="54" spans="1:4" s="18" customFormat="1" x14ac:dyDescent="0.25">
      <c r="A54" s="6" t="s">
        <v>16</v>
      </c>
      <c r="B54" s="50" t="s">
        <v>35</v>
      </c>
      <c r="C54" s="3">
        <v>6.0000000000000001E-3</v>
      </c>
      <c r="D54" s="15">
        <f>C54*(D$37+D43)</f>
        <v>23.14</v>
      </c>
    </row>
    <row r="55" spans="1:4" s="18" customFormat="1" x14ac:dyDescent="0.25">
      <c r="A55" s="6" t="s">
        <v>17</v>
      </c>
      <c r="B55" s="7" t="s">
        <v>32</v>
      </c>
      <c r="C55" s="3">
        <v>2E-3</v>
      </c>
      <c r="D55" s="15">
        <f>C55*(D$37+D43)</f>
        <v>7.71</v>
      </c>
    </row>
    <row r="56" spans="1:4" s="18" customFormat="1" ht="15.75" thickBot="1" x14ac:dyDescent="0.3">
      <c r="A56" s="6" t="s">
        <v>18</v>
      </c>
      <c r="B56" s="7" t="s">
        <v>34</v>
      </c>
      <c r="C56" s="3">
        <v>0.08</v>
      </c>
      <c r="D56" s="15">
        <f>C56*(D$37+D43)</f>
        <v>308.48</v>
      </c>
    </row>
    <row r="57" spans="1:4" s="18" customFormat="1" ht="15.75" thickBot="1" x14ac:dyDescent="0.3">
      <c r="A57" s="168" t="s">
        <v>36</v>
      </c>
      <c r="B57" s="169"/>
      <c r="C57" s="47">
        <f>SUM(C49:C56)</f>
        <v>0.35499999999999998</v>
      </c>
      <c r="D57" s="51">
        <f>SUM(D49:D56)</f>
        <v>1368.89</v>
      </c>
    </row>
    <row r="58" spans="1:4" s="18" customFormat="1" x14ac:dyDescent="0.25">
      <c r="A58" s="44"/>
      <c r="D58" s="20"/>
    </row>
    <row r="59" spans="1:4" s="18" customFormat="1" ht="16.5" thickBot="1" x14ac:dyDescent="0.3">
      <c r="A59" s="194" t="s">
        <v>84</v>
      </c>
      <c r="B59" s="194"/>
      <c r="C59" s="194"/>
      <c r="D59" s="194"/>
    </row>
    <row r="60" spans="1:4" s="18" customFormat="1" ht="15.75" thickBot="1" x14ac:dyDescent="0.3">
      <c r="A60" s="119" t="s">
        <v>85</v>
      </c>
      <c r="B60" s="120" t="s">
        <v>22</v>
      </c>
      <c r="C60" s="170" t="s">
        <v>6</v>
      </c>
      <c r="D60" s="197"/>
    </row>
    <row r="61" spans="1:4" s="18" customFormat="1" x14ac:dyDescent="0.25">
      <c r="A61" s="9" t="s">
        <v>7</v>
      </c>
      <c r="B61" s="46" t="s">
        <v>23</v>
      </c>
      <c r="C61" s="218">
        <f>(15*4.4*2)</f>
        <v>132</v>
      </c>
      <c r="D61" s="219"/>
    </row>
    <row r="62" spans="1:4" s="18" customFormat="1" x14ac:dyDescent="0.25">
      <c r="A62" s="6" t="s">
        <v>49</v>
      </c>
      <c r="B62" s="7" t="s">
        <v>50</v>
      </c>
      <c r="C62" s="211">
        <f>-(6%*D30*50%)</f>
        <v>-60.73</v>
      </c>
      <c r="D62" s="212"/>
    </row>
    <row r="63" spans="1:4" s="18" customFormat="1" x14ac:dyDescent="0.25">
      <c r="A63" s="6" t="s">
        <v>9</v>
      </c>
      <c r="B63" s="7" t="s">
        <v>138</v>
      </c>
      <c r="C63" s="211">
        <f>15*4.33</f>
        <v>64.95</v>
      </c>
      <c r="D63" s="212"/>
    </row>
    <row r="64" spans="1:4" s="18" customFormat="1" x14ac:dyDescent="0.25">
      <c r="A64" s="6" t="s">
        <v>11</v>
      </c>
      <c r="B64" s="7" t="s">
        <v>213</v>
      </c>
      <c r="C64" s="211">
        <v>137.53</v>
      </c>
      <c r="D64" s="212"/>
    </row>
    <row r="65" spans="1:4" s="18" customFormat="1" ht="15.75" thickBot="1" x14ac:dyDescent="0.3">
      <c r="A65" s="6" t="s">
        <v>13</v>
      </c>
      <c r="B65" s="7" t="s">
        <v>214</v>
      </c>
      <c r="C65" s="211">
        <f>28.56-14.28</f>
        <v>14.28</v>
      </c>
      <c r="D65" s="212"/>
    </row>
    <row r="66" spans="1:4" s="18" customFormat="1" ht="15" customHeight="1" thickBot="1" x14ac:dyDescent="0.3">
      <c r="A66" s="196" t="s">
        <v>24</v>
      </c>
      <c r="B66" s="197"/>
      <c r="C66" s="198">
        <f>SUM(C61:D65)</f>
        <v>288.02999999999997</v>
      </c>
      <c r="D66" s="198"/>
    </row>
    <row r="67" spans="1:4" s="18" customFormat="1" x14ac:dyDescent="0.25">
      <c r="A67" s="217"/>
      <c r="B67" s="217"/>
      <c r="C67" s="217"/>
      <c r="D67" s="217"/>
    </row>
    <row r="68" spans="1:4" s="18" customFormat="1" ht="16.5" thickBot="1" x14ac:dyDescent="0.3">
      <c r="A68" s="213" t="s">
        <v>92</v>
      </c>
      <c r="B68" s="213"/>
      <c r="C68" s="213"/>
      <c r="D68" s="52"/>
    </row>
    <row r="69" spans="1:4" s="18" customFormat="1" ht="15.75" thickBot="1" x14ac:dyDescent="0.3">
      <c r="A69" s="119">
        <v>2</v>
      </c>
      <c r="B69" s="120" t="s">
        <v>86</v>
      </c>
      <c r="C69" s="120" t="s">
        <v>6</v>
      </c>
      <c r="D69" s="122"/>
    </row>
    <row r="70" spans="1:4" s="18" customFormat="1" x14ac:dyDescent="0.25">
      <c r="A70" s="8" t="s">
        <v>80</v>
      </c>
      <c r="B70" s="7" t="s">
        <v>79</v>
      </c>
      <c r="C70" s="54">
        <f>D43</f>
        <v>654.15</v>
      </c>
      <c r="D70" s="122"/>
    </row>
    <row r="71" spans="1:4" s="18" customFormat="1" x14ac:dyDescent="0.25">
      <c r="A71" s="8" t="s">
        <v>82</v>
      </c>
      <c r="B71" s="7" t="s">
        <v>87</v>
      </c>
      <c r="C71" s="54">
        <f>D57</f>
        <v>1368.89</v>
      </c>
      <c r="D71" s="122"/>
    </row>
    <row r="72" spans="1:4" s="18" customFormat="1" ht="15.75" thickBot="1" x14ac:dyDescent="0.3">
      <c r="A72" s="8" t="s">
        <v>85</v>
      </c>
      <c r="B72" s="7" t="s">
        <v>22</v>
      </c>
      <c r="C72" s="54">
        <f>C66</f>
        <v>288.02999999999997</v>
      </c>
      <c r="D72" s="122"/>
    </row>
    <row r="73" spans="1:4" s="18" customFormat="1" ht="15" customHeight="1" thickBot="1" x14ac:dyDescent="0.3">
      <c r="A73" s="196" t="s">
        <v>88</v>
      </c>
      <c r="B73" s="197"/>
      <c r="C73" s="55">
        <f>SUM(C70:C72)</f>
        <v>2311.0700000000002</v>
      </c>
      <c r="D73" s="122"/>
    </row>
    <row r="74" spans="1:4" s="18" customFormat="1" ht="15" customHeight="1" x14ac:dyDescent="0.25">
      <c r="A74" s="122"/>
      <c r="B74" s="122"/>
      <c r="C74" s="122"/>
      <c r="D74" s="122"/>
    </row>
    <row r="75" spans="1:4" s="18" customFormat="1" ht="15" customHeight="1" thickBot="1" x14ac:dyDescent="0.3">
      <c r="A75" s="194" t="s">
        <v>89</v>
      </c>
      <c r="B75" s="194"/>
      <c r="C75" s="194"/>
      <c r="D75" s="194"/>
    </row>
    <row r="76" spans="1:4" s="18" customFormat="1" ht="15" customHeight="1" thickBot="1" x14ac:dyDescent="0.3">
      <c r="A76" s="119">
        <v>3</v>
      </c>
      <c r="B76" s="120" t="s">
        <v>39</v>
      </c>
      <c r="C76" s="120" t="s">
        <v>28</v>
      </c>
      <c r="D76" s="116" t="s">
        <v>6</v>
      </c>
    </row>
    <row r="77" spans="1:4" s="18" customFormat="1" x14ac:dyDescent="0.25">
      <c r="A77" s="9" t="s">
        <v>7</v>
      </c>
      <c r="B77" s="46" t="s">
        <v>75</v>
      </c>
      <c r="C77" s="4">
        <f>0.46%</f>
        <v>4.5999999999999999E-3</v>
      </c>
      <c r="D77" s="15">
        <f t="shared" ref="D77:D82" si="0">C77*($D$37+$C$73)</f>
        <v>25.36</v>
      </c>
    </row>
    <row r="78" spans="1:4" s="18" customFormat="1" ht="15" customHeight="1" x14ac:dyDescent="0.25">
      <c r="A78" s="6" t="s">
        <v>9</v>
      </c>
      <c r="B78" s="7" t="s">
        <v>74</v>
      </c>
      <c r="C78" s="4">
        <f>(C77*C56)</f>
        <v>4.0000000000000002E-4</v>
      </c>
      <c r="D78" s="15">
        <f t="shared" si="0"/>
        <v>2.21</v>
      </c>
    </row>
    <row r="79" spans="1:4" s="18" customFormat="1" ht="15" customHeight="1" x14ac:dyDescent="0.25">
      <c r="A79" s="6" t="s">
        <v>11</v>
      </c>
      <c r="B79" s="7" t="s">
        <v>116</v>
      </c>
      <c r="C79" s="4">
        <v>0.04</v>
      </c>
      <c r="D79" s="15">
        <f t="shared" si="0"/>
        <v>220.52</v>
      </c>
    </row>
    <row r="80" spans="1:4" s="18" customFormat="1" ht="15" customHeight="1" x14ac:dyDescent="0.25">
      <c r="A80" s="6" t="s">
        <v>13</v>
      </c>
      <c r="B80" s="7" t="s">
        <v>76</v>
      </c>
      <c r="C80" s="4">
        <v>1.9400000000000001E-2</v>
      </c>
      <c r="D80" s="15">
        <f t="shared" si="0"/>
        <v>106.95</v>
      </c>
    </row>
    <row r="81" spans="1:6" s="18" customFormat="1" ht="15" customHeight="1" x14ac:dyDescent="0.25">
      <c r="A81" s="6" t="s">
        <v>14</v>
      </c>
      <c r="B81" s="7" t="s">
        <v>90</v>
      </c>
      <c r="C81" s="4">
        <f>C80*C57</f>
        <v>6.8999999999999999E-3</v>
      </c>
      <c r="D81" s="15">
        <f t="shared" si="0"/>
        <v>38.04</v>
      </c>
    </row>
    <row r="82" spans="1:6" s="18" customFormat="1" ht="15" customHeight="1" thickBot="1" x14ac:dyDescent="0.3">
      <c r="A82" s="41" t="s">
        <v>16</v>
      </c>
      <c r="B82" s="56" t="s">
        <v>111</v>
      </c>
      <c r="C82" s="5"/>
      <c r="D82" s="15">
        <f t="shared" si="0"/>
        <v>0</v>
      </c>
      <c r="F82" s="57"/>
    </row>
    <row r="83" spans="1:6" s="18" customFormat="1" ht="15" customHeight="1" thickBot="1" x14ac:dyDescent="0.3">
      <c r="A83" s="168" t="s">
        <v>36</v>
      </c>
      <c r="B83" s="169"/>
      <c r="C83" s="47">
        <f>SUM(C77:C82)</f>
        <v>7.1300000000000002E-2</v>
      </c>
      <c r="D83" s="14">
        <f>SUM(D77:D82)</f>
        <v>393.08</v>
      </c>
    </row>
    <row r="84" spans="1:6" s="18" customFormat="1" ht="15" customHeight="1" x14ac:dyDescent="0.25">
      <c r="A84" s="121"/>
      <c r="B84" s="121"/>
      <c r="C84" s="121"/>
      <c r="D84" s="121"/>
    </row>
    <row r="85" spans="1:6" s="18" customFormat="1" ht="15" customHeight="1" x14ac:dyDescent="0.25">
      <c r="A85" s="194" t="s">
        <v>91</v>
      </c>
      <c r="B85" s="194"/>
      <c r="C85" s="194"/>
      <c r="D85" s="194"/>
    </row>
    <row r="86" spans="1:6" s="18" customFormat="1" ht="15" customHeight="1" x14ac:dyDescent="0.25">
      <c r="A86" s="194" t="s">
        <v>93</v>
      </c>
      <c r="B86" s="194"/>
      <c r="C86" s="194"/>
      <c r="D86" s="194"/>
    </row>
    <row r="87" spans="1:6" s="18" customFormat="1" ht="15" customHeight="1" x14ac:dyDescent="0.25">
      <c r="A87" s="123" t="s">
        <v>26</v>
      </c>
      <c r="B87" s="123" t="s">
        <v>94</v>
      </c>
      <c r="C87" s="123" t="s">
        <v>28</v>
      </c>
      <c r="D87" s="123" t="s">
        <v>6</v>
      </c>
    </row>
    <row r="88" spans="1:6" s="18" customFormat="1" x14ac:dyDescent="0.25">
      <c r="A88" s="8" t="s">
        <v>7</v>
      </c>
      <c r="B88" s="7" t="s">
        <v>117</v>
      </c>
      <c r="C88" s="13">
        <v>8.3299999999999999E-2</v>
      </c>
      <c r="D88" s="107">
        <f t="shared" ref="D88:D93" si="1">C88*($D$37+$C$73+$D$83)</f>
        <v>491.97</v>
      </c>
    </row>
    <row r="89" spans="1:6" s="18" customFormat="1" x14ac:dyDescent="0.25">
      <c r="A89" s="8" t="s">
        <v>9</v>
      </c>
      <c r="B89" s="7" t="s">
        <v>95</v>
      </c>
      <c r="C89" s="13">
        <f>'Custos Variáveis'!I4</f>
        <v>1.8E-3</v>
      </c>
      <c r="D89" s="107">
        <f t="shared" si="1"/>
        <v>10.63</v>
      </c>
    </row>
    <row r="90" spans="1:6" s="18" customFormat="1" x14ac:dyDescent="0.25">
      <c r="A90" s="8" t="s">
        <v>11</v>
      </c>
      <c r="B90" s="7" t="s">
        <v>96</v>
      </c>
      <c r="C90" s="13">
        <f>'Custos Variáveis'!I5</f>
        <v>2.9999999999999997E-4</v>
      </c>
      <c r="D90" s="107">
        <f t="shared" si="1"/>
        <v>1.77</v>
      </c>
    </row>
    <row r="91" spans="1:6" s="18" customFormat="1" x14ac:dyDescent="0.25">
      <c r="A91" s="8" t="s">
        <v>13</v>
      </c>
      <c r="B91" s="7" t="s">
        <v>114</v>
      </c>
      <c r="C91" s="13">
        <f>'Custos Variáveis'!I6</f>
        <v>3.3E-3</v>
      </c>
      <c r="D91" s="107">
        <f t="shared" si="1"/>
        <v>19.489999999999998</v>
      </c>
    </row>
    <row r="92" spans="1:6" s="18" customFormat="1" x14ac:dyDescent="0.25">
      <c r="A92" s="8" t="s">
        <v>14</v>
      </c>
      <c r="B92" s="7" t="s">
        <v>112</v>
      </c>
      <c r="C92" s="13">
        <f>'Custos Variáveis'!I7</f>
        <v>1.2999999999999999E-3</v>
      </c>
      <c r="D92" s="107">
        <f t="shared" si="1"/>
        <v>7.68</v>
      </c>
    </row>
    <row r="93" spans="1:6" s="18" customFormat="1" x14ac:dyDescent="0.25">
      <c r="A93" s="8" t="s">
        <v>16</v>
      </c>
      <c r="B93" s="7" t="s">
        <v>19</v>
      </c>
      <c r="C93" s="13"/>
      <c r="D93" s="107">
        <f t="shared" si="1"/>
        <v>0</v>
      </c>
    </row>
    <row r="94" spans="1:6" s="18" customFormat="1" x14ac:dyDescent="0.25">
      <c r="A94" s="208" t="s">
        <v>36</v>
      </c>
      <c r="B94" s="208"/>
      <c r="C94" s="108">
        <f>SUM(C88:C93)</f>
        <v>0.09</v>
      </c>
      <c r="D94" s="107">
        <f>SUM(D88:D93)</f>
        <v>531.54</v>
      </c>
    </row>
    <row r="95" spans="1:6" s="18" customFormat="1" x14ac:dyDescent="0.25"/>
    <row r="96" spans="1:6" s="18" customFormat="1" ht="16.5" thickBot="1" x14ac:dyDescent="0.3">
      <c r="A96" s="200" t="s">
        <v>97</v>
      </c>
      <c r="B96" s="200"/>
      <c r="C96" s="200"/>
      <c r="D96" s="200"/>
    </row>
    <row r="97" spans="1:4" s="18" customFormat="1" ht="15.75" thickBot="1" x14ac:dyDescent="0.3">
      <c r="A97" s="119" t="s">
        <v>37</v>
      </c>
      <c r="B97" s="120" t="s">
        <v>98</v>
      </c>
      <c r="C97" s="60" t="s">
        <v>6</v>
      </c>
    </row>
    <row r="98" spans="1:4" s="18" customFormat="1" ht="15.75" thickBot="1" x14ac:dyDescent="0.3">
      <c r="A98" s="9" t="s">
        <v>7</v>
      </c>
      <c r="B98" s="46" t="s">
        <v>99</v>
      </c>
      <c r="C98" s="61"/>
    </row>
    <row r="99" spans="1:4" s="18" customFormat="1" ht="15.75" thickBot="1" x14ac:dyDescent="0.3">
      <c r="A99" s="168" t="s">
        <v>36</v>
      </c>
      <c r="B99" s="169"/>
      <c r="C99" s="62"/>
    </row>
    <row r="100" spans="1:4" s="18" customFormat="1" x14ac:dyDescent="0.25"/>
    <row r="101" spans="1:4" s="18" customFormat="1" ht="15.75" thickBot="1" x14ac:dyDescent="0.3">
      <c r="A101" s="199" t="s">
        <v>100</v>
      </c>
      <c r="B101" s="199"/>
      <c r="C101" s="199"/>
    </row>
    <row r="102" spans="1:4" s="18" customFormat="1" ht="15.75" thickBot="1" x14ac:dyDescent="0.3">
      <c r="A102" s="119">
        <v>4</v>
      </c>
      <c r="B102" s="120" t="s">
        <v>40</v>
      </c>
      <c r="C102" s="60" t="s">
        <v>6</v>
      </c>
    </row>
    <row r="103" spans="1:4" s="18" customFormat="1" x14ac:dyDescent="0.25">
      <c r="A103" s="6" t="s">
        <v>26</v>
      </c>
      <c r="B103" s="46" t="s">
        <v>94</v>
      </c>
      <c r="C103" s="61">
        <f>D94</f>
        <v>531.54</v>
      </c>
    </row>
    <row r="104" spans="1:4" s="18" customFormat="1" ht="15.75" thickBot="1" x14ac:dyDescent="0.3">
      <c r="A104" s="6" t="s">
        <v>37</v>
      </c>
      <c r="B104" s="63" t="s">
        <v>98</v>
      </c>
      <c r="C104" s="61">
        <f>C98</f>
        <v>0</v>
      </c>
    </row>
    <row r="105" spans="1:4" s="18" customFormat="1" ht="15.75" thickBot="1" x14ac:dyDescent="0.3">
      <c r="A105" s="168" t="s">
        <v>36</v>
      </c>
      <c r="B105" s="169"/>
      <c r="C105" s="64">
        <f>SUM(C103:C104)</f>
        <v>531.54</v>
      </c>
    </row>
    <row r="106" spans="1:4" s="18" customFormat="1" x14ac:dyDescent="0.25">
      <c r="A106" s="44"/>
      <c r="D106" s="20"/>
    </row>
    <row r="107" spans="1:4" s="18" customFormat="1" ht="16.5" thickBot="1" x14ac:dyDescent="0.3">
      <c r="A107" s="194" t="s">
        <v>101</v>
      </c>
      <c r="B107" s="194"/>
      <c r="C107" s="194"/>
      <c r="D107" s="194"/>
    </row>
    <row r="108" spans="1:4" s="18" customFormat="1" ht="15.75" thickBot="1" x14ac:dyDescent="0.3">
      <c r="A108" s="119">
        <v>5</v>
      </c>
      <c r="B108" s="170" t="s">
        <v>25</v>
      </c>
      <c r="C108" s="195"/>
      <c r="D108" s="37" t="s">
        <v>6</v>
      </c>
    </row>
    <row r="109" spans="1:4" s="18" customFormat="1" x14ac:dyDescent="0.25">
      <c r="A109" s="9" t="s">
        <v>7</v>
      </c>
      <c r="B109" s="184" t="s">
        <v>73</v>
      </c>
      <c r="C109" s="185"/>
      <c r="D109" s="38">
        <f>Uniforme!M12</f>
        <v>69.41</v>
      </c>
    </row>
    <row r="110" spans="1:4" s="18" customFormat="1" x14ac:dyDescent="0.25">
      <c r="A110" s="6" t="s">
        <v>9</v>
      </c>
      <c r="B110" s="186" t="s">
        <v>215</v>
      </c>
      <c r="C110" s="187"/>
      <c r="D110" s="39">
        <f>'Equipamentos - PS'!O27</f>
        <v>12.59</v>
      </c>
    </row>
    <row r="111" spans="1:4" s="18" customFormat="1" x14ac:dyDescent="0.25">
      <c r="A111" s="6" t="s">
        <v>11</v>
      </c>
      <c r="B111" s="186" t="s">
        <v>216</v>
      </c>
      <c r="C111" s="187"/>
      <c r="D111" s="39">
        <f>'Equipamentos - Auxiliares'!O20</f>
        <v>7.62</v>
      </c>
    </row>
    <row r="112" spans="1:4" s="18" customFormat="1" ht="15.75" thickBot="1" x14ac:dyDescent="0.3">
      <c r="A112" s="41" t="s">
        <v>13</v>
      </c>
      <c r="B112" s="188" t="s">
        <v>19</v>
      </c>
      <c r="C112" s="189"/>
      <c r="D112" s="42"/>
    </row>
    <row r="113" spans="1:4" s="18" customFormat="1" ht="15.75" customHeight="1" thickBot="1" x14ac:dyDescent="0.3">
      <c r="A113" s="196" t="s">
        <v>64</v>
      </c>
      <c r="B113" s="197"/>
      <c r="C113" s="195"/>
      <c r="D113" s="43">
        <f>SUM(D109:D112)</f>
        <v>89.62</v>
      </c>
    </row>
    <row r="114" spans="1:4" s="18" customFormat="1" x14ac:dyDescent="0.25"/>
    <row r="115" spans="1:4" s="18" customFormat="1" ht="16.5" thickBot="1" x14ac:dyDescent="0.3">
      <c r="A115" s="194" t="s">
        <v>102</v>
      </c>
      <c r="B115" s="194"/>
      <c r="C115" s="194"/>
      <c r="D115" s="194"/>
    </row>
    <row r="116" spans="1:4" s="18" customFormat="1" ht="15.75" thickBot="1" x14ac:dyDescent="0.3">
      <c r="A116" s="119">
        <v>5</v>
      </c>
      <c r="B116" s="120" t="s">
        <v>41</v>
      </c>
      <c r="C116" s="59" t="s">
        <v>28</v>
      </c>
      <c r="D116" s="116" t="s">
        <v>6</v>
      </c>
    </row>
    <row r="117" spans="1:4" s="18" customFormat="1" x14ac:dyDescent="0.25">
      <c r="A117" s="9" t="s">
        <v>7</v>
      </c>
      <c r="B117" s="10" t="s">
        <v>42</v>
      </c>
      <c r="C117" s="11">
        <f>'Custos Variáveis'!I10</f>
        <v>8.0999999999999996E-3</v>
      </c>
      <c r="D117" s="65">
        <f>C117*$D$133</f>
        <v>52.87</v>
      </c>
    </row>
    <row r="118" spans="1:4" s="18" customFormat="1" x14ac:dyDescent="0.25">
      <c r="A118" s="6" t="s">
        <v>9</v>
      </c>
      <c r="B118" s="12" t="s">
        <v>45</v>
      </c>
      <c r="C118" s="11">
        <f>'Custos Variáveis'!I11</f>
        <v>7.6E-3</v>
      </c>
      <c r="D118" s="65">
        <f>C118*(D117+$D$133)</f>
        <v>50.01</v>
      </c>
    </row>
    <row r="119" spans="1:4" s="18" customFormat="1" x14ac:dyDescent="0.25">
      <c r="A119" s="6" t="s">
        <v>11</v>
      </c>
      <c r="B119" s="7" t="s">
        <v>43</v>
      </c>
      <c r="C119" s="66">
        <f>SUM(C120:C123)</f>
        <v>8.6499999999999994E-2</v>
      </c>
      <c r="D119" s="67"/>
    </row>
    <row r="120" spans="1:4" s="18" customFormat="1" x14ac:dyDescent="0.25">
      <c r="A120" s="6" t="s">
        <v>60</v>
      </c>
      <c r="B120" s="7" t="s">
        <v>44</v>
      </c>
      <c r="C120" s="68">
        <v>0</v>
      </c>
      <c r="D120" s="67"/>
    </row>
    <row r="121" spans="1:4" s="18" customFormat="1" x14ac:dyDescent="0.25">
      <c r="A121" s="6" t="s">
        <v>61</v>
      </c>
      <c r="B121" s="7" t="s">
        <v>51</v>
      </c>
      <c r="C121" s="68">
        <v>6.4999999999999997E-3</v>
      </c>
      <c r="D121" s="67">
        <f>(D133+D117+D118)/(1-C119)*C121</f>
        <v>47.18</v>
      </c>
    </row>
    <row r="122" spans="1:4" s="18" customFormat="1" x14ac:dyDescent="0.25">
      <c r="A122" s="6" t="s">
        <v>62</v>
      </c>
      <c r="B122" s="7" t="s">
        <v>52</v>
      </c>
      <c r="C122" s="68">
        <v>0.03</v>
      </c>
      <c r="D122" s="67">
        <f>(D133+D117+D118)/(1-C119)*C122</f>
        <v>217.74</v>
      </c>
    </row>
    <row r="123" spans="1:4" s="18" customFormat="1" ht="15.75" thickBot="1" x14ac:dyDescent="0.3">
      <c r="A123" s="6" t="s">
        <v>103</v>
      </c>
      <c r="B123" s="49" t="s">
        <v>113</v>
      </c>
      <c r="C123" s="68">
        <v>0.05</v>
      </c>
      <c r="D123" s="67">
        <f>(D133+D117+D118)/(1-C119)*C123</f>
        <v>362.89</v>
      </c>
    </row>
    <row r="124" spans="1:4" s="35" customFormat="1" ht="15.75" thickBot="1" x14ac:dyDescent="0.3">
      <c r="A124" s="168" t="s">
        <v>36</v>
      </c>
      <c r="B124" s="169"/>
      <c r="C124" s="169"/>
      <c r="D124" s="69">
        <f>SUM(D117:D123)</f>
        <v>730.69</v>
      </c>
    </row>
    <row r="125" spans="1:4" s="18" customFormat="1" ht="15.75" customHeight="1" x14ac:dyDescent="0.25">
      <c r="A125" s="44"/>
      <c r="D125" s="20"/>
    </row>
    <row r="126" spans="1:4" s="18" customFormat="1" ht="16.5" thickBot="1" x14ac:dyDescent="0.3">
      <c r="A126" s="207" t="s">
        <v>110</v>
      </c>
      <c r="B126" s="207"/>
      <c r="C126" s="207"/>
      <c r="D126" s="207"/>
    </row>
    <row r="127" spans="1:4" s="18" customFormat="1" ht="15.75" customHeight="1" thickBot="1" x14ac:dyDescent="0.3">
      <c r="A127" s="196" t="s">
        <v>46</v>
      </c>
      <c r="B127" s="197"/>
      <c r="C127" s="195"/>
      <c r="D127" s="116" t="s">
        <v>47</v>
      </c>
    </row>
    <row r="128" spans="1:4" s="18" customFormat="1" x14ac:dyDescent="0.25">
      <c r="A128" s="9" t="s">
        <v>7</v>
      </c>
      <c r="B128" s="184" t="s">
        <v>48</v>
      </c>
      <c r="C128" s="185"/>
      <c r="D128" s="70">
        <f>D37</f>
        <v>3201.9</v>
      </c>
    </row>
    <row r="129" spans="1:4" s="18" customFormat="1" x14ac:dyDescent="0.25">
      <c r="A129" s="6" t="s">
        <v>9</v>
      </c>
      <c r="B129" s="186" t="s">
        <v>104</v>
      </c>
      <c r="C129" s="187"/>
      <c r="D129" s="71">
        <f>C73</f>
        <v>2311.0700000000002</v>
      </c>
    </row>
    <row r="130" spans="1:4" s="18" customFormat="1" x14ac:dyDescent="0.25">
      <c r="A130" s="6" t="s">
        <v>11</v>
      </c>
      <c r="B130" s="186" t="s">
        <v>105</v>
      </c>
      <c r="C130" s="187"/>
      <c r="D130" s="71">
        <f>D83</f>
        <v>393.08</v>
      </c>
    </row>
    <row r="131" spans="1:4" s="18" customFormat="1" ht="15" customHeight="1" x14ac:dyDescent="0.25">
      <c r="A131" s="6" t="s">
        <v>13</v>
      </c>
      <c r="B131" s="117" t="s">
        <v>106</v>
      </c>
      <c r="C131" s="118"/>
      <c r="D131" s="71">
        <f>C105</f>
        <v>531.54</v>
      </c>
    </row>
    <row r="132" spans="1:4" s="18" customFormat="1" x14ac:dyDescent="0.25">
      <c r="A132" s="6" t="s">
        <v>14</v>
      </c>
      <c r="B132" s="186" t="s">
        <v>107</v>
      </c>
      <c r="C132" s="187"/>
      <c r="D132" s="71">
        <f>D113</f>
        <v>89.62</v>
      </c>
    </row>
    <row r="133" spans="1:4" s="18" customFormat="1" ht="15" customHeight="1" x14ac:dyDescent="0.25">
      <c r="A133" s="201" t="s">
        <v>108</v>
      </c>
      <c r="B133" s="202"/>
      <c r="C133" s="203"/>
      <c r="D133" s="71">
        <f>SUM(D128:D132)</f>
        <v>6527.21</v>
      </c>
    </row>
    <row r="134" spans="1:4" s="18" customFormat="1" ht="15.75" customHeight="1" x14ac:dyDescent="0.25">
      <c r="A134" s="41" t="s">
        <v>16</v>
      </c>
      <c r="B134" s="209" t="s">
        <v>109</v>
      </c>
      <c r="C134" s="210"/>
      <c r="D134" s="74">
        <f>D124</f>
        <v>730.69</v>
      </c>
    </row>
    <row r="135" spans="1:4" s="18" customFormat="1" ht="15" customHeight="1" x14ac:dyDescent="0.25">
      <c r="A135" s="208" t="s">
        <v>118</v>
      </c>
      <c r="B135" s="208"/>
      <c r="C135" s="208"/>
      <c r="D135" s="75">
        <f>SUM(D133:D134)</f>
        <v>7257.9</v>
      </c>
    </row>
    <row r="136" spans="1:4" s="18" customFormat="1" ht="15.75" customHeight="1" thickBot="1" x14ac:dyDescent="0.3">
      <c r="A136" s="204" t="s">
        <v>119</v>
      </c>
      <c r="B136" s="205"/>
      <c r="C136" s="206"/>
      <c r="D136" s="76">
        <f>SUM(D133:D134)*2</f>
        <v>14515.8</v>
      </c>
    </row>
  </sheetData>
  <mergeCells count="75">
    <mergeCell ref="B134:C134"/>
    <mergeCell ref="A135:C135"/>
    <mergeCell ref="A136:C136"/>
    <mergeCell ref="A127:C127"/>
    <mergeCell ref="B128:C128"/>
    <mergeCell ref="B129:C129"/>
    <mergeCell ref="B130:C130"/>
    <mergeCell ref="B132:C132"/>
    <mergeCell ref="A133:C133"/>
    <mergeCell ref="A126:D126"/>
    <mergeCell ref="A101:C101"/>
    <mergeCell ref="A105:B105"/>
    <mergeCell ref="A107:D107"/>
    <mergeCell ref="B108:C108"/>
    <mergeCell ref="B109:C109"/>
    <mergeCell ref="B110:C110"/>
    <mergeCell ref="B111:C111"/>
    <mergeCell ref="B112:C112"/>
    <mergeCell ref="A113:C113"/>
    <mergeCell ref="A115:D115"/>
    <mergeCell ref="A124:C124"/>
    <mergeCell ref="A99:B99"/>
    <mergeCell ref="A66:B66"/>
    <mergeCell ref="C66:D66"/>
    <mergeCell ref="A67:D67"/>
    <mergeCell ref="A68:C68"/>
    <mergeCell ref="A73:B73"/>
    <mergeCell ref="A75:D75"/>
    <mergeCell ref="A83:B83"/>
    <mergeCell ref="A85:D85"/>
    <mergeCell ref="A86:D86"/>
    <mergeCell ref="A94:B94"/>
    <mergeCell ref="A96:D96"/>
    <mergeCell ref="C65:D65"/>
    <mergeCell ref="A39:D39"/>
    <mergeCell ref="A43:B43"/>
    <mergeCell ref="A45:C45"/>
    <mergeCell ref="A47:D47"/>
    <mergeCell ref="A57:B57"/>
    <mergeCell ref="A59:D59"/>
    <mergeCell ref="C60:D60"/>
    <mergeCell ref="C61:D61"/>
    <mergeCell ref="C62:D62"/>
    <mergeCell ref="C63:D63"/>
    <mergeCell ref="C64:D64"/>
    <mergeCell ref="A37:C37"/>
    <mergeCell ref="B25:C25"/>
    <mergeCell ref="B26:C26"/>
    <mergeCell ref="A28:D28"/>
    <mergeCell ref="B29:C29"/>
    <mergeCell ref="B30:C30"/>
    <mergeCell ref="B31:C31"/>
    <mergeCell ref="B32:C32"/>
    <mergeCell ref="B33:C33"/>
    <mergeCell ref="B34:C34"/>
    <mergeCell ref="B35:C35"/>
    <mergeCell ref="B36:C36"/>
    <mergeCell ref="B24:C24"/>
    <mergeCell ref="B11:C11"/>
    <mergeCell ref="B12:C12"/>
    <mergeCell ref="B13:C13"/>
    <mergeCell ref="B14:C14"/>
    <mergeCell ref="B15:C15"/>
    <mergeCell ref="A17:D17"/>
    <mergeCell ref="A18:B18"/>
    <mergeCell ref="A19:B19"/>
    <mergeCell ref="A21:D21"/>
    <mergeCell ref="B22:C22"/>
    <mergeCell ref="B23:C23"/>
    <mergeCell ref="A10:D10"/>
    <mergeCell ref="A1:D2"/>
    <mergeCell ref="A3:D4"/>
    <mergeCell ref="B6:D6"/>
    <mergeCell ref="B7:D7"/>
    <mergeCell ref="B8:D8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3DAE-9BBA-4F2D-A7C6-4B5E07A52F4E}">
  <dimension ref="A1:F136"/>
  <sheetViews>
    <sheetView showGridLines="0" view="pageBreakPreview" topLeftCell="A16" zoomScale="80" zoomScaleNormal="90" zoomScaleSheetLayoutView="80" workbookViewId="0">
      <selection activeCell="D26" sqref="D26"/>
    </sheetView>
  </sheetViews>
  <sheetFormatPr defaultRowHeight="15" x14ac:dyDescent="0.25"/>
  <cols>
    <col min="1" max="1" width="14.5703125" style="2" bestFit="1" customWidth="1"/>
    <col min="2" max="2" width="59" style="1" bestFit="1" customWidth="1"/>
    <col min="3" max="3" width="20" style="1" bestFit="1" customWidth="1"/>
    <col min="4" max="4" width="34.7109375" style="2" bestFit="1" customWidth="1"/>
    <col min="5" max="5" width="9.140625" style="1"/>
    <col min="6" max="6" width="17.85546875" style="1" customWidth="1"/>
    <col min="7" max="16384" width="9.140625" style="1"/>
  </cols>
  <sheetData>
    <row r="1" spans="1:4" s="18" customFormat="1" x14ac:dyDescent="0.25">
      <c r="A1" s="214" t="s">
        <v>139</v>
      </c>
      <c r="B1" s="215"/>
      <c r="C1" s="215"/>
      <c r="D1" s="215"/>
    </row>
    <row r="2" spans="1:4" s="18" customFormat="1" ht="99" customHeight="1" thickBot="1" x14ac:dyDescent="0.3">
      <c r="A2" s="216"/>
      <c r="B2" s="216"/>
      <c r="C2" s="216"/>
      <c r="D2" s="216"/>
    </row>
    <row r="3" spans="1:4" s="18" customFormat="1" ht="15" customHeight="1" x14ac:dyDescent="0.25">
      <c r="A3" s="173" t="s">
        <v>53</v>
      </c>
      <c r="B3" s="174"/>
      <c r="C3" s="174"/>
      <c r="D3" s="174"/>
    </row>
    <row r="4" spans="1:4" s="18" customFormat="1" ht="15.75" customHeight="1" thickBot="1" x14ac:dyDescent="0.3">
      <c r="A4" s="175"/>
      <c r="B4" s="176"/>
      <c r="C4" s="176"/>
      <c r="D4" s="176"/>
    </row>
    <row r="5" spans="1:4" s="18" customFormat="1" ht="15.75" thickBot="1" x14ac:dyDescent="0.3">
      <c r="A5" s="19"/>
      <c r="D5" s="20"/>
    </row>
    <row r="6" spans="1:4" s="18" customFormat="1" x14ac:dyDescent="0.25">
      <c r="A6" s="21" t="s">
        <v>66</v>
      </c>
      <c r="B6" s="177"/>
      <c r="C6" s="177"/>
      <c r="D6" s="177"/>
    </row>
    <row r="7" spans="1:4" s="18" customFormat="1" x14ac:dyDescent="0.25">
      <c r="A7" s="22" t="s">
        <v>65</v>
      </c>
      <c r="B7" s="178"/>
      <c r="C7" s="179"/>
      <c r="D7" s="179"/>
    </row>
    <row r="8" spans="1:4" s="18" customFormat="1" ht="15.75" thickBot="1" x14ac:dyDescent="0.3">
      <c r="A8" s="23" t="s">
        <v>67</v>
      </c>
      <c r="B8" s="180"/>
      <c r="C8" s="180"/>
      <c r="D8" s="180"/>
    </row>
    <row r="9" spans="1:4" s="18" customFormat="1" ht="15.75" thickBot="1" x14ac:dyDescent="0.3">
      <c r="A9" s="24"/>
      <c r="B9" s="24"/>
      <c r="C9" s="24"/>
      <c r="D9" s="20"/>
    </row>
    <row r="10" spans="1:4" s="18" customFormat="1" ht="15.75" thickBot="1" x14ac:dyDescent="0.3">
      <c r="A10" s="181" t="s">
        <v>54</v>
      </c>
      <c r="B10" s="182"/>
      <c r="C10" s="182"/>
      <c r="D10" s="183"/>
    </row>
    <row r="11" spans="1:4" s="18" customFormat="1" x14ac:dyDescent="0.25">
      <c r="A11" s="9" t="s">
        <v>7</v>
      </c>
      <c r="B11" s="184" t="s">
        <v>55</v>
      </c>
      <c r="C11" s="185"/>
      <c r="D11" s="10"/>
    </row>
    <row r="12" spans="1:4" s="18" customFormat="1" x14ac:dyDescent="0.25">
      <c r="A12" s="6" t="s">
        <v>9</v>
      </c>
      <c r="B12" s="186" t="s">
        <v>56</v>
      </c>
      <c r="C12" s="187"/>
      <c r="D12" s="25" t="s">
        <v>140</v>
      </c>
    </row>
    <row r="13" spans="1:4" s="18" customFormat="1" x14ac:dyDescent="0.25">
      <c r="A13" s="6" t="s">
        <v>11</v>
      </c>
      <c r="B13" s="186" t="s">
        <v>63</v>
      </c>
      <c r="C13" s="187"/>
      <c r="D13" s="106" t="s">
        <v>146</v>
      </c>
    </row>
    <row r="14" spans="1:4" s="18" customFormat="1" ht="15" customHeight="1" x14ac:dyDescent="0.25">
      <c r="A14" s="6" t="s">
        <v>13</v>
      </c>
      <c r="B14" s="186" t="s">
        <v>57</v>
      </c>
      <c r="C14" s="187"/>
      <c r="D14" s="25" t="s">
        <v>124</v>
      </c>
    </row>
    <row r="15" spans="1:4" s="18" customFormat="1" ht="15.75" thickBot="1" x14ac:dyDescent="0.3">
      <c r="A15" s="26" t="s">
        <v>14</v>
      </c>
      <c r="B15" s="188" t="s">
        <v>58</v>
      </c>
      <c r="C15" s="189"/>
      <c r="D15" s="27">
        <v>12</v>
      </c>
    </row>
    <row r="16" spans="1:4" s="18" customFormat="1" ht="15.75" thickBot="1" x14ac:dyDescent="0.3">
      <c r="A16" s="24"/>
      <c r="B16" s="24"/>
      <c r="C16" s="24"/>
      <c r="D16" s="20"/>
    </row>
    <row r="17" spans="1:6" s="18" customFormat="1" ht="15.75" thickBot="1" x14ac:dyDescent="0.3">
      <c r="A17" s="190" t="s">
        <v>59</v>
      </c>
      <c r="B17" s="191"/>
      <c r="C17" s="191"/>
      <c r="D17" s="191"/>
    </row>
    <row r="18" spans="1:6" s="18" customFormat="1" ht="30.75" customHeight="1" x14ac:dyDescent="0.25">
      <c r="A18" s="171" t="s">
        <v>68</v>
      </c>
      <c r="B18" s="172"/>
      <c r="C18" s="28" t="s">
        <v>69</v>
      </c>
      <c r="D18" s="29" t="s">
        <v>70</v>
      </c>
    </row>
    <row r="19" spans="1:6" s="18" customFormat="1" ht="15.75" customHeight="1" thickBot="1" x14ac:dyDescent="0.3">
      <c r="A19" s="166" t="s">
        <v>220</v>
      </c>
      <c r="B19" s="167"/>
      <c r="C19" s="30" t="s">
        <v>71</v>
      </c>
      <c r="D19" s="27">
        <v>12</v>
      </c>
    </row>
    <row r="20" spans="1:6" s="18" customFormat="1" ht="15.75" thickBot="1" x14ac:dyDescent="0.3">
      <c r="A20" s="20"/>
      <c r="D20" s="20"/>
    </row>
    <row r="21" spans="1:6" s="18" customFormat="1" ht="15.75" customHeight="1" thickBot="1" x14ac:dyDescent="0.3">
      <c r="A21" s="168" t="s">
        <v>0</v>
      </c>
      <c r="B21" s="169"/>
      <c r="C21" s="169"/>
      <c r="D21" s="170"/>
    </row>
    <row r="22" spans="1:6" s="18" customFormat="1" x14ac:dyDescent="0.25">
      <c r="A22" s="9">
        <v>1</v>
      </c>
      <c r="B22" s="184" t="s">
        <v>1</v>
      </c>
      <c r="C22" s="185"/>
      <c r="D22" s="31" t="str">
        <f>A19</f>
        <v>Brigadista Diurno Líder 12x36</v>
      </c>
    </row>
    <row r="23" spans="1:6" s="18" customFormat="1" x14ac:dyDescent="0.25">
      <c r="A23" s="6">
        <v>2</v>
      </c>
      <c r="B23" s="186" t="s">
        <v>121</v>
      </c>
      <c r="C23" s="187"/>
      <c r="D23" s="32">
        <v>2783.63</v>
      </c>
    </row>
    <row r="24" spans="1:6" s="18" customFormat="1" x14ac:dyDescent="0.25">
      <c r="A24" s="6">
        <v>3</v>
      </c>
      <c r="B24" s="192" t="s">
        <v>115</v>
      </c>
      <c r="C24" s="193"/>
      <c r="D24" s="25" t="str">
        <f>A19</f>
        <v>Brigadista Diurno Líder 12x36</v>
      </c>
    </row>
    <row r="25" spans="1:6" s="18" customFormat="1" x14ac:dyDescent="0.25">
      <c r="A25" s="6">
        <v>4</v>
      </c>
      <c r="B25" s="186" t="s">
        <v>2</v>
      </c>
      <c r="C25" s="187"/>
      <c r="D25" s="33" t="s">
        <v>125</v>
      </c>
    </row>
    <row r="26" spans="1:6" s="35" customFormat="1" ht="15.75" thickBot="1" x14ac:dyDescent="0.3">
      <c r="A26" s="26">
        <v>5</v>
      </c>
      <c r="B26" s="188" t="s">
        <v>72</v>
      </c>
      <c r="C26" s="189"/>
      <c r="D26" s="34"/>
    </row>
    <row r="27" spans="1:6" s="18" customFormat="1" x14ac:dyDescent="0.25">
      <c r="A27" s="36"/>
      <c r="D27" s="20"/>
    </row>
    <row r="28" spans="1:6" s="18" customFormat="1" ht="16.5" thickBot="1" x14ac:dyDescent="0.3">
      <c r="A28" s="194" t="s">
        <v>3</v>
      </c>
      <c r="B28" s="194"/>
      <c r="C28" s="194"/>
      <c r="D28" s="194"/>
    </row>
    <row r="29" spans="1:6" s="18" customFormat="1" ht="15.75" thickBot="1" x14ac:dyDescent="0.3">
      <c r="A29" s="119" t="s">
        <v>4</v>
      </c>
      <c r="B29" s="170" t="s">
        <v>5</v>
      </c>
      <c r="C29" s="195"/>
      <c r="D29" s="37" t="s">
        <v>6</v>
      </c>
    </row>
    <row r="30" spans="1:6" s="18" customFormat="1" x14ac:dyDescent="0.25">
      <c r="A30" s="9" t="s">
        <v>7</v>
      </c>
      <c r="B30" s="184" t="s">
        <v>8</v>
      </c>
      <c r="C30" s="185"/>
      <c r="D30" s="38">
        <f>D23</f>
        <v>2783.63</v>
      </c>
    </row>
    <row r="31" spans="1:6" s="18" customFormat="1" x14ac:dyDescent="0.25">
      <c r="A31" s="6" t="s">
        <v>9</v>
      </c>
      <c r="B31" s="186" t="s">
        <v>10</v>
      </c>
      <c r="C31" s="187"/>
      <c r="D31" s="39">
        <f>D30*30%</f>
        <v>835.09</v>
      </c>
    </row>
    <row r="32" spans="1:6" s="18" customFormat="1" x14ac:dyDescent="0.25">
      <c r="A32" s="6" t="s">
        <v>11</v>
      </c>
      <c r="B32" s="186" t="s">
        <v>12</v>
      </c>
      <c r="C32" s="187"/>
      <c r="D32" s="39"/>
      <c r="F32" s="40"/>
    </row>
    <row r="33" spans="1:4" s="18" customFormat="1" x14ac:dyDescent="0.25">
      <c r="A33" s="6" t="s">
        <v>13</v>
      </c>
      <c r="B33" s="186" t="s">
        <v>217</v>
      </c>
      <c r="C33" s="187"/>
      <c r="D33" s="39"/>
    </row>
    <row r="34" spans="1:4" s="18" customFormat="1" x14ac:dyDescent="0.25">
      <c r="A34" s="6" t="s">
        <v>14</v>
      </c>
      <c r="B34" s="186" t="s">
        <v>15</v>
      </c>
      <c r="C34" s="187"/>
      <c r="D34" s="39"/>
    </row>
    <row r="35" spans="1:4" s="18" customFormat="1" ht="15.75" customHeight="1" x14ac:dyDescent="0.25">
      <c r="A35" s="6" t="s">
        <v>16</v>
      </c>
      <c r="B35" s="192" t="s">
        <v>77</v>
      </c>
      <c r="C35" s="193"/>
      <c r="D35" s="39"/>
    </row>
    <row r="36" spans="1:4" s="18" customFormat="1" ht="15.75" thickBot="1" x14ac:dyDescent="0.3">
      <c r="A36" s="41" t="s">
        <v>17</v>
      </c>
      <c r="B36" s="188" t="s">
        <v>19</v>
      </c>
      <c r="C36" s="189"/>
      <c r="D36" s="42"/>
    </row>
    <row r="37" spans="1:4" s="18" customFormat="1" ht="15.75" customHeight="1" thickBot="1" x14ac:dyDescent="0.3">
      <c r="A37" s="196" t="s">
        <v>20</v>
      </c>
      <c r="B37" s="197"/>
      <c r="C37" s="195"/>
      <c r="D37" s="43">
        <f>SUM(D30:D36)</f>
        <v>3618.72</v>
      </c>
    </row>
    <row r="38" spans="1:4" s="18" customFormat="1" x14ac:dyDescent="0.25">
      <c r="A38" s="44"/>
      <c r="D38" s="20"/>
    </row>
    <row r="39" spans="1:4" s="18" customFormat="1" ht="16.5" thickBot="1" x14ac:dyDescent="0.3">
      <c r="A39" s="194" t="s">
        <v>21</v>
      </c>
      <c r="B39" s="194"/>
      <c r="C39" s="194"/>
      <c r="D39" s="194"/>
    </row>
    <row r="40" spans="1:4" s="18" customFormat="1" ht="15.75" thickBot="1" x14ac:dyDescent="0.3">
      <c r="A40" s="119" t="s">
        <v>80</v>
      </c>
      <c r="B40" s="120" t="s">
        <v>79</v>
      </c>
      <c r="C40" s="120" t="s">
        <v>28</v>
      </c>
      <c r="D40" s="116" t="s">
        <v>6</v>
      </c>
    </row>
    <row r="41" spans="1:4" s="18" customFormat="1" x14ac:dyDescent="0.25">
      <c r="A41" s="9" t="s">
        <v>7</v>
      </c>
      <c r="B41" s="46" t="s">
        <v>38</v>
      </c>
      <c r="C41" s="3">
        <f>1/12</f>
        <v>8.3299999999999999E-2</v>
      </c>
      <c r="D41" s="15">
        <f>C41*D37</f>
        <v>301.44</v>
      </c>
    </row>
    <row r="42" spans="1:4" s="18" customFormat="1" ht="15.75" thickBot="1" x14ac:dyDescent="0.3">
      <c r="A42" s="9" t="s">
        <v>9</v>
      </c>
      <c r="B42" s="46" t="s">
        <v>78</v>
      </c>
      <c r="C42" s="3">
        <v>0.121</v>
      </c>
      <c r="D42" s="15">
        <f>D37*C42</f>
        <v>437.87</v>
      </c>
    </row>
    <row r="43" spans="1:4" s="18" customFormat="1" ht="15.75" thickBot="1" x14ac:dyDescent="0.3">
      <c r="A43" s="168" t="s">
        <v>36</v>
      </c>
      <c r="B43" s="169"/>
      <c r="C43" s="47">
        <f>SUM(C41:C42)</f>
        <v>0.20430000000000001</v>
      </c>
      <c r="D43" s="14">
        <f>SUM(D41:D42)</f>
        <v>739.31</v>
      </c>
    </row>
    <row r="44" spans="1:4" s="18" customFormat="1" x14ac:dyDescent="0.25">
      <c r="A44" s="44"/>
      <c r="D44" s="20"/>
    </row>
    <row r="45" spans="1:4" s="18" customFormat="1" x14ac:dyDescent="0.25">
      <c r="A45" s="165" t="s">
        <v>120</v>
      </c>
      <c r="B45" s="165"/>
      <c r="C45" s="165"/>
      <c r="D45" s="48">
        <f>D37+D43</f>
        <v>4358.03</v>
      </c>
    </row>
    <row r="46" spans="1:4" s="18" customFormat="1" x14ac:dyDescent="0.25">
      <c r="A46" s="44"/>
      <c r="D46" s="20"/>
    </row>
    <row r="47" spans="1:4" s="18" customFormat="1" ht="16.5" thickBot="1" x14ac:dyDescent="0.3">
      <c r="A47" s="194" t="s">
        <v>81</v>
      </c>
      <c r="B47" s="194"/>
      <c r="C47" s="194"/>
      <c r="D47" s="194"/>
    </row>
    <row r="48" spans="1:4" s="18" customFormat="1" ht="15.75" thickBot="1" x14ac:dyDescent="0.3">
      <c r="A48" s="119" t="s">
        <v>82</v>
      </c>
      <c r="B48" s="120" t="s">
        <v>27</v>
      </c>
      <c r="C48" s="120" t="s">
        <v>28</v>
      </c>
      <c r="D48" s="116" t="s">
        <v>6</v>
      </c>
    </row>
    <row r="49" spans="1:4" s="18" customFormat="1" x14ac:dyDescent="0.25">
      <c r="A49" s="9" t="s">
        <v>7</v>
      </c>
      <c r="B49" s="46" t="s">
        <v>29</v>
      </c>
      <c r="C49" s="3">
        <v>0.2</v>
      </c>
      <c r="D49" s="15">
        <f>C49*(D37+D43)</f>
        <v>871.61</v>
      </c>
    </row>
    <row r="50" spans="1:4" s="18" customFormat="1" x14ac:dyDescent="0.25">
      <c r="A50" s="9" t="s">
        <v>9</v>
      </c>
      <c r="B50" s="49" t="s">
        <v>33</v>
      </c>
      <c r="C50" s="3">
        <v>2.5000000000000001E-2</v>
      </c>
      <c r="D50" s="15">
        <f>C50*(D$37+D43)</f>
        <v>108.95</v>
      </c>
    </row>
    <row r="51" spans="1:4" s="18" customFormat="1" x14ac:dyDescent="0.25">
      <c r="A51" s="9" t="s">
        <v>11</v>
      </c>
      <c r="B51" s="7" t="s">
        <v>83</v>
      </c>
      <c r="C51" s="3">
        <f>'Custos Variáveis'!I2</f>
        <v>1.7000000000000001E-2</v>
      </c>
      <c r="D51" s="15">
        <f>C51*(D$37+D43)</f>
        <v>74.09</v>
      </c>
    </row>
    <row r="52" spans="1:4" s="18" customFormat="1" x14ac:dyDescent="0.25">
      <c r="A52" s="6" t="s">
        <v>13</v>
      </c>
      <c r="B52" s="7" t="s">
        <v>30</v>
      </c>
      <c r="C52" s="3">
        <v>1.4999999999999999E-2</v>
      </c>
      <c r="D52" s="15">
        <f>C52*(D$37+D43)</f>
        <v>65.37</v>
      </c>
    </row>
    <row r="53" spans="1:4" s="18" customFormat="1" x14ac:dyDescent="0.25">
      <c r="A53" s="6" t="s">
        <v>14</v>
      </c>
      <c r="B53" s="7" t="s">
        <v>31</v>
      </c>
      <c r="C53" s="3">
        <v>0.01</v>
      </c>
      <c r="D53" s="15">
        <f>C53*(D43+D$37)</f>
        <v>43.58</v>
      </c>
    </row>
    <row r="54" spans="1:4" s="18" customFormat="1" x14ac:dyDescent="0.25">
      <c r="A54" s="6" t="s">
        <v>16</v>
      </c>
      <c r="B54" s="50" t="s">
        <v>35</v>
      </c>
      <c r="C54" s="3">
        <v>6.0000000000000001E-3</v>
      </c>
      <c r="D54" s="15">
        <f>C54*(D$37+D43)</f>
        <v>26.15</v>
      </c>
    </row>
    <row r="55" spans="1:4" s="18" customFormat="1" x14ac:dyDescent="0.25">
      <c r="A55" s="6" t="s">
        <v>17</v>
      </c>
      <c r="B55" s="7" t="s">
        <v>32</v>
      </c>
      <c r="C55" s="3">
        <v>2E-3</v>
      </c>
      <c r="D55" s="15">
        <f>C55*(D$37+D43)</f>
        <v>8.7200000000000006</v>
      </c>
    </row>
    <row r="56" spans="1:4" s="18" customFormat="1" ht="15.75" thickBot="1" x14ac:dyDescent="0.3">
      <c r="A56" s="6" t="s">
        <v>18</v>
      </c>
      <c r="B56" s="7" t="s">
        <v>34</v>
      </c>
      <c r="C56" s="3">
        <v>0.08</v>
      </c>
      <c r="D56" s="15">
        <f>C56*(D$37+D43)</f>
        <v>348.64</v>
      </c>
    </row>
    <row r="57" spans="1:4" s="18" customFormat="1" ht="15.75" thickBot="1" x14ac:dyDescent="0.3">
      <c r="A57" s="168" t="s">
        <v>36</v>
      </c>
      <c r="B57" s="169"/>
      <c r="C57" s="47">
        <f>SUM(C49:C56)</f>
        <v>0.35499999999999998</v>
      </c>
      <c r="D57" s="51">
        <f>SUM(D49:D56)</f>
        <v>1547.11</v>
      </c>
    </row>
    <row r="58" spans="1:4" s="18" customFormat="1" x14ac:dyDescent="0.25">
      <c r="A58" s="44"/>
      <c r="D58" s="20"/>
    </row>
    <row r="59" spans="1:4" s="18" customFormat="1" ht="16.5" thickBot="1" x14ac:dyDescent="0.3">
      <c r="A59" s="194" t="s">
        <v>84</v>
      </c>
      <c r="B59" s="194"/>
      <c r="C59" s="194"/>
      <c r="D59" s="194"/>
    </row>
    <row r="60" spans="1:4" s="18" customFormat="1" ht="15.75" thickBot="1" x14ac:dyDescent="0.3">
      <c r="A60" s="119" t="s">
        <v>85</v>
      </c>
      <c r="B60" s="120" t="s">
        <v>22</v>
      </c>
      <c r="C60" s="170" t="s">
        <v>6</v>
      </c>
      <c r="D60" s="197"/>
    </row>
    <row r="61" spans="1:4" s="18" customFormat="1" x14ac:dyDescent="0.25">
      <c r="A61" s="9" t="s">
        <v>7</v>
      </c>
      <c r="B61" s="46" t="s">
        <v>23</v>
      </c>
      <c r="C61" s="218">
        <f>(15*4.4*2)</f>
        <v>132</v>
      </c>
      <c r="D61" s="219"/>
    </row>
    <row r="62" spans="1:4" s="18" customFormat="1" x14ac:dyDescent="0.25">
      <c r="A62" s="6" t="s">
        <v>49</v>
      </c>
      <c r="B62" s="7" t="s">
        <v>50</v>
      </c>
      <c r="C62" s="211">
        <f>-(6%*D30*50%)</f>
        <v>-83.51</v>
      </c>
      <c r="D62" s="212"/>
    </row>
    <row r="63" spans="1:4" s="18" customFormat="1" x14ac:dyDescent="0.25">
      <c r="A63" s="6" t="s">
        <v>9</v>
      </c>
      <c r="B63" s="7" t="s">
        <v>138</v>
      </c>
      <c r="C63" s="211">
        <f>15*4.33</f>
        <v>64.95</v>
      </c>
      <c r="D63" s="212"/>
    </row>
    <row r="64" spans="1:4" s="18" customFormat="1" x14ac:dyDescent="0.25">
      <c r="A64" s="6" t="s">
        <v>11</v>
      </c>
      <c r="B64" s="7" t="s">
        <v>213</v>
      </c>
      <c r="C64" s="211">
        <v>137.53</v>
      </c>
      <c r="D64" s="212"/>
    </row>
    <row r="65" spans="1:4" s="18" customFormat="1" ht="15.75" thickBot="1" x14ac:dyDescent="0.3">
      <c r="A65" s="6"/>
      <c r="B65" s="7" t="s">
        <v>214</v>
      </c>
      <c r="C65" s="211">
        <f>28.56-14.28</f>
        <v>14.28</v>
      </c>
      <c r="D65" s="212"/>
    </row>
    <row r="66" spans="1:4" s="18" customFormat="1" ht="15" customHeight="1" thickBot="1" x14ac:dyDescent="0.3">
      <c r="A66" s="196" t="s">
        <v>24</v>
      </c>
      <c r="B66" s="197"/>
      <c r="C66" s="198">
        <f>SUM(C61:D65)</f>
        <v>265.25</v>
      </c>
      <c r="D66" s="198"/>
    </row>
    <row r="67" spans="1:4" s="18" customFormat="1" x14ac:dyDescent="0.25">
      <c r="A67" s="217"/>
      <c r="B67" s="217"/>
      <c r="C67" s="217"/>
      <c r="D67" s="217"/>
    </row>
    <row r="68" spans="1:4" s="18" customFormat="1" ht="16.5" thickBot="1" x14ac:dyDescent="0.3">
      <c r="A68" s="213" t="s">
        <v>92</v>
      </c>
      <c r="B68" s="213"/>
      <c r="C68" s="213"/>
      <c r="D68" s="52"/>
    </row>
    <row r="69" spans="1:4" s="18" customFormat="1" ht="15.75" thickBot="1" x14ac:dyDescent="0.3">
      <c r="A69" s="119">
        <v>2</v>
      </c>
      <c r="B69" s="120" t="s">
        <v>86</v>
      </c>
      <c r="C69" s="120" t="s">
        <v>6</v>
      </c>
      <c r="D69" s="122"/>
    </row>
    <row r="70" spans="1:4" s="18" customFormat="1" x14ac:dyDescent="0.25">
      <c r="A70" s="8" t="s">
        <v>80</v>
      </c>
      <c r="B70" s="7" t="s">
        <v>79</v>
      </c>
      <c r="C70" s="54">
        <f>D43</f>
        <v>739.31</v>
      </c>
      <c r="D70" s="122"/>
    </row>
    <row r="71" spans="1:4" s="18" customFormat="1" x14ac:dyDescent="0.25">
      <c r="A71" s="8" t="s">
        <v>82</v>
      </c>
      <c r="B71" s="7" t="s">
        <v>87</v>
      </c>
      <c r="C71" s="54">
        <f>D57</f>
        <v>1547.11</v>
      </c>
      <c r="D71" s="122"/>
    </row>
    <row r="72" spans="1:4" s="18" customFormat="1" ht="15.75" thickBot="1" x14ac:dyDescent="0.3">
      <c r="A72" s="8" t="s">
        <v>85</v>
      </c>
      <c r="B72" s="7" t="s">
        <v>22</v>
      </c>
      <c r="C72" s="54">
        <f>C66</f>
        <v>265.25</v>
      </c>
      <c r="D72" s="122"/>
    </row>
    <row r="73" spans="1:4" s="18" customFormat="1" ht="15" customHeight="1" thickBot="1" x14ac:dyDescent="0.3">
      <c r="A73" s="196" t="s">
        <v>88</v>
      </c>
      <c r="B73" s="197"/>
      <c r="C73" s="55">
        <f>SUM(C70:C72)</f>
        <v>2551.67</v>
      </c>
      <c r="D73" s="122"/>
    </row>
    <row r="74" spans="1:4" s="18" customFormat="1" ht="15" customHeight="1" x14ac:dyDescent="0.25">
      <c r="A74" s="122"/>
      <c r="B74" s="122"/>
      <c r="C74" s="122"/>
      <c r="D74" s="122"/>
    </row>
    <row r="75" spans="1:4" s="18" customFormat="1" ht="15" customHeight="1" thickBot="1" x14ac:dyDescent="0.3">
      <c r="A75" s="194" t="s">
        <v>89</v>
      </c>
      <c r="B75" s="194"/>
      <c r="C75" s="194"/>
      <c r="D75" s="194"/>
    </row>
    <row r="76" spans="1:4" s="18" customFormat="1" ht="15" customHeight="1" thickBot="1" x14ac:dyDescent="0.3">
      <c r="A76" s="119">
        <v>3</v>
      </c>
      <c r="B76" s="120" t="s">
        <v>39</v>
      </c>
      <c r="C76" s="120" t="s">
        <v>28</v>
      </c>
      <c r="D76" s="116" t="s">
        <v>6</v>
      </c>
    </row>
    <row r="77" spans="1:4" s="18" customFormat="1" x14ac:dyDescent="0.25">
      <c r="A77" s="9" t="s">
        <v>7</v>
      </c>
      <c r="B77" s="46" t="s">
        <v>75</v>
      </c>
      <c r="C77" s="4">
        <f>0.46%</f>
        <v>4.5999999999999999E-3</v>
      </c>
      <c r="D77" s="15">
        <f t="shared" ref="D77:D82" si="0">C77*($D$37+$C$73)</f>
        <v>28.38</v>
      </c>
    </row>
    <row r="78" spans="1:4" s="18" customFormat="1" ht="15" customHeight="1" x14ac:dyDescent="0.25">
      <c r="A78" s="6" t="s">
        <v>9</v>
      </c>
      <c r="B78" s="7" t="s">
        <v>74</v>
      </c>
      <c r="C78" s="4">
        <f>(C77*C56)</f>
        <v>4.0000000000000002E-4</v>
      </c>
      <c r="D78" s="15">
        <f t="shared" si="0"/>
        <v>2.4700000000000002</v>
      </c>
    </row>
    <row r="79" spans="1:4" s="18" customFormat="1" ht="15" customHeight="1" x14ac:dyDescent="0.25">
      <c r="A79" s="6" t="s">
        <v>11</v>
      </c>
      <c r="B79" s="7" t="s">
        <v>116</v>
      </c>
      <c r="C79" s="4">
        <v>0.04</v>
      </c>
      <c r="D79" s="15">
        <f t="shared" si="0"/>
        <v>246.82</v>
      </c>
    </row>
    <row r="80" spans="1:4" s="18" customFormat="1" ht="15" customHeight="1" x14ac:dyDescent="0.25">
      <c r="A80" s="6" t="s">
        <v>13</v>
      </c>
      <c r="B80" s="7" t="s">
        <v>76</v>
      </c>
      <c r="C80" s="4">
        <v>1.9400000000000001E-2</v>
      </c>
      <c r="D80" s="15">
        <f t="shared" si="0"/>
        <v>119.71</v>
      </c>
    </row>
    <row r="81" spans="1:6" s="18" customFormat="1" ht="15" customHeight="1" x14ac:dyDescent="0.25">
      <c r="A81" s="6" t="s">
        <v>14</v>
      </c>
      <c r="B81" s="7" t="s">
        <v>90</v>
      </c>
      <c r="C81" s="4">
        <f>C80*C57</f>
        <v>6.8999999999999999E-3</v>
      </c>
      <c r="D81" s="15">
        <f t="shared" si="0"/>
        <v>42.58</v>
      </c>
    </row>
    <row r="82" spans="1:6" s="18" customFormat="1" ht="15" customHeight="1" thickBot="1" x14ac:dyDescent="0.3">
      <c r="A82" s="41" t="s">
        <v>16</v>
      </c>
      <c r="B82" s="56" t="s">
        <v>111</v>
      </c>
      <c r="C82" s="5"/>
      <c r="D82" s="15">
        <f t="shared" si="0"/>
        <v>0</v>
      </c>
      <c r="F82" s="57"/>
    </row>
    <row r="83" spans="1:6" s="18" customFormat="1" ht="15" customHeight="1" thickBot="1" x14ac:dyDescent="0.3">
      <c r="A83" s="168" t="s">
        <v>36</v>
      </c>
      <c r="B83" s="169"/>
      <c r="C83" s="47">
        <f>SUM(C77:C82)</f>
        <v>7.1300000000000002E-2</v>
      </c>
      <c r="D83" s="14">
        <f>SUM(D77:D82)</f>
        <v>439.96</v>
      </c>
    </row>
    <row r="84" spans="1:6" s="18" customFormat="1" ht="15" customHeight="1" x14ac:dyDescent="0.25">
      <c r="A84" s="121"/>
      <c r="B84" s="121"/>
      <c r="C84" s="121"/>
      <c r="D84" s="121"/>
    </row>
    <row r="85" spans="1:6" s="18" customFormat="1" ht="15" customHeight="1" x14ac:dyDescent="0.25">
      <c r="A85" s="194" t="s">
        <v>91</v>
      </c>
      <c r="B85" s="194"/>
      <c r="C85" s="194"/>
      <c r="D85" s="194"/>
    </row>
    <row r="86" spans="1:6" s="18" customFormat="1" ht="15" customHeight="1" x14ac:dyDescent="0.25">
      <c r="A86" s="194" t="s">
        <v>93</v>
      </c>
      <c r="B86" s="194"/>
      <c r="C86" s="194"/>
      <c r="D86" s="194"/>
    </row>
    <row r="87" spans="1:6" s="18" customFormat="1" ht="15" customHeight="1" x14ac:dyDescent="0.25">
      <c r="A87" s="123" t="s">
        <v>26</v>
      </c>
      <c r="B87" s="123" t="s">
        <v>94</v>
      </c>
      <c r="C87" s="123" t="s">
        <v>28</v>
      </c>
      <c r="D87" s="123" t="s">
        <v>6</v>
      </c>
    </row>
    <row r="88" spans="1:6" s="18" customFormat="1" x14ac:dyDescent="0.25">
      <c r="A88" s="8" t="s">
        <v>7</v>
      </c>
      <c r="B88" s="7" t="s">
        <v>117</v>
      </c>
      <c r="C88" s="13">
        <v>8.3299999999999999E-2</v>
      </c>
      <c r="D88" s="107">
        <f t="shared" ref="D88:D93" si="1">C88*($D$37+$C$73+$D$83)</f>
        <v>550.64</v>
      </c>
    </row>
    <row r="89" spans="1:6" s="18" customFormat="1" x14ac:dyDescent="0.25">
      <c r="A89" s="8" t="s">
        <v>9</v>
      </c>
      <c r="B89" s="7" t="s">
        <v>95</v>
      </c>
      <c r="C89" s="13">
        <f>'Custos Variáveis'!I4</f>
        <v>1.8E-3</v>
      </c>
      <c r="D89" s="107">
        <f t="shared" si="1"/>
        <v>11.9</v>
      </c>
    </row>
    <row r="90" spans="1:6" s="18" customFormat="1" x14ac:dyDescent="0.25">
      <c r="A90" s="8" t="s">
        <v>11</v>
      </c>
      <c r="B90" s="7" t="s">
        <v>96</v>
      </c>
      <c r="C90" s="13">
        <f>'Custos Variáveis'!I5</f>
        <v>2.9999999999999997E-4</v>
      </c>
      <c r="D90" s="107">
        <f t="shared" si="1"/>
        <v>1.98</v>
      </c>
    </row>
    <row r="91" spans="1:6" s="18" customFormat="1" x14ac:dyDescent="0.25">
      <c r="A91" s="8" t="s">
        <v>13</v>
      </c>
      <c r="B91" s="7" t="s">
        <v>114</v>
      </c>
      <c r="C91" s="13">
        <f>'Custos Variáveis'!I6</f>
        <v>3.3E-3</v>
      </c>
      <c r="D91" s="107">
        <f t="shared" si="1"/>
        <v>21.81</v>
      </c>
    </row>
    <row r="92" spans="1:6" s="18" customFormat="1" x14ac:dyDescent="0.25">
      <c r="A92" s="8" t="s">
        <v>14</v>
      </c>
      <c r="B92" s="7" t="s">
        <v>112</v>
      </c>
      <c r="C92" s="13">
        <f>'Custos Variáveis'!I7</f>
        <v>1.2999999999999999E-3</v>
      </c>
      <c r="D92" s="107">
        <f t="shared" si="1"/>
        <v>8.59</v>
      </c>
    </row>
    <row r="93" spans="1:6" s="18" customFormat="1" x14ac:dyDescent="0.25">
      <c r="A93" s="8" t="s">
        <v>16</v>
      </c>
      <c r="B93" s="7" t="s">
        <v>19</v>
      </c>
      <c r="C93" s="13"/>
      <c r="D93" s="107">
        <f t="shared" si="1"/>
        <v>0</v>
      </c>
    </row>
    <row r="94" spans="1:6" s="18" customFormat="1" x14ac:dyDescent="0.25">
      <c r="A94" s="208" t="s">
        <v>36</v>
      </c>
      <c r="B94" s="208"/>
      <c r="C94" s="108">
        <f>SUM(C88:C93)</f>
        <v>0.09</v>
      </c>
      <c r="D94" s="107">
        <f>SUM(D88:D93)</f>
        <v>594.91999999999996</v>
      </c>
    </row>
    <row r="95" spans="1:6" s="18" customFormat="1" x14ac:dyDescent="0.25"/>
    <row r="96" spans="1:6" s="18" customFormat="1" ht="16.5" thickBot="1" x14ac:dyDescent="0.3">
      <c r="A96" s="200" t="s">
        <v>97</v>
      </c>
      <c r="B96" s="200"/>
      <c r="C96" s="200"/>
      <c r="D96" s="200"/>
    </row>
    <row r="97" spans="1:4" s="18" customFormat="1" ht="15.75" thickBot="1" x14ac:dyDescent="0.3">
      <c r="A97" s="119" t="s">
        <v>37</v>
      </c>
      <c r="B97" s="120" t="s">
        <v>98</v>
      </c>
      <c r="C97" s="60" t="s">
        <v>6</v>
      </c>
    </row>
    <row r="98" spans="1:4" s="18" customFormat="1" ht="15.75" thickBot="1" x14ac:dyDescent="0.3">
      <c r="A98" s="9" t="s">
        <v>7</v>
      </c>
      <c r="B98" s="46" t="s">
        <v>99</v>
      </c>
      <c r="C98" s="61"/>
    </row>
    <row r="99" spans="1:4" s="18" customFormat="1" ht="15.75" thickBot="1" x14ac:dyDescent="0.3">
      <c r="A99" s="168" t="s">
        <v>36</v>
      </c>
      <c r="B99" s="169"/>
      <c r="C99" s="62"/>
    </row>
    <row r="100" spans="1:4" s="18" customFormat="1" x14ac:dyDescent="0.25"/>
    <row r="101" spans="1:4" s="18" customFormat="1" ht="15.75" thickBot="1" x14ac:dyDescent="0.3">
      <c r="A101" s="199" t="s">
        <v>100</v>
      </c>
      <c r="B101" s="199"/>
      <c r="C101" s="199"/>
    </row>
    <row r="102" spans="1:4" s="18" customFormat="1" ht="15.75" thickBot="1" x14ac:dyDescent="0.3">
      <c r="A102" s="119">
        <v>4</v>
      </c>
      <c r="B102" s="120" t="s">
        <v>40</v>
      </c>
      <c r="C102" s="60" t="s">
        <v>6</v>
      </c>
    </row>
    <row r="103" spans="1:4" s="18" customFormat="1" x14ac:dyDescent="0.25">
      <c r="A103" s="6" t="s">
        <v>26</v>
      </c>
      <c r="B103" s="46" t="s">
        <v>94</v>
      </c>
      <c r="C103" s="61">
        <f>D94</f>
        <v>594.91999999999996</v>
      </c>
    </row>
    <row r="104" spans="1:4" s="18" customFormat="1" ht="15.75" thickBot="1" x14ac:dyDescent="0.3">
      <c r="A104" s="6" t="s">
        <v>37</v>
      </c>
      <c r="B104" s="63" t="s">
        <v>98</v>
      </c>
      <c r="C104" s="61">
        <f>C98</f>
        <v>0</v>
      </c>
    </row>
    <row r="105" spans="1:4" s="18" customFormat="1" ht="15.75" thickBot="1" x14ac:dyDescent="0.3">
      <c r="A105" s="168" t="s">
        <v>36</v>
      </c>
      <c r="B105" s="169"/>
      <c r="C105" s="64">
        <f>SUM(C103:C104)</f>
        <v>594.91999999999996</v>
      </c>
    </row>
    <row r="106" spans="1:4" s="18" customFormat="1" x14ac:dyDescent="0.25">
      <c r="A106" s="44"/>
      <c r="D106" s="20"/>
    </row>
    <row r="107" spans="1:4" s="18" customFormat="1" ht="16.5" thickBot="1" x14ac:dyDescent="0.3">
      <c r="A107" s="194" t="s">
        <v>101</v>
      </c>
      <c r="B107" s="194"/>
      <c r="C107" s="194"/>
      <c r="D107" s="194"/>
    </row>
    <row r="108" spans="1:4" s="18" customFormat="1" ht="15.75" thickBot="1" x14ac:dyDescent="0.3">
      <c r="A108" s="119">
        <v>5</v>
      </c>
      <c r="B108" s="170" t="s">
        <v>25</v>
      </c>
      <c r="C108" s="195"/>
      <c r="D108" s="37" t="s">
        <v>6</v>
      </c>
    </row>
    <row r="109" spans="1:4" s="18" customFormat="1" x14ac:dyDescent="0.25">
      <c r="A109" s="9" t="s">
        <v>7</v>
      </c>
      <c r="B109" s="184" t="s">
        <v>73</v>
      </c>
      <c r="C109" s="185"/>
      <c r="D109" s="38">
        <f>Uniforme!M12</f>
        <v>69.41</v>
      </c>
    </row>
    <row r="110" spans="1:4" s="18" customFormat="1" x14ac:dyDescent="0.25">
      <c r="A110" s="6" t="s">
        <v>9</v>
      </c>
      <c r="B110" s="186" t="s">
        <v>215</v>
      </c>
      <c r="C110" s="187"/>
      <c r="D110" s="39">
        <f>'Equipamentos - PS'!O27</f>
        <v>12.59</v>
      </c>
    </row>
    <row r="111" spans="1:4" s="18" customFormat="1" x14ac:dyDescent="0.25">
      <c r="A111" s="6" t="s">
        <v>11</v>
      </c>
      <c r="B111" s="186" t="s">
        <v>216</v>
      </c>
      <c r="C111" s="187"/>
      <c r="D111" s="39">
        <f>'Equipamentos - Auxiliares'!O20</f>
        <v>7.62</v>
      </c>
    </row>
    <row r="112" spans="1:4" s="18" customFormat="1" ht="15.75" thickBot="1" x14ac:dyDescent="0.3">
      <c r="A112" s="41" t="s">
        <v>13</v>
      </c>
      <c r="B112" s="188" t="s">
        <v>19</v>
      </c>
      <c r="C112" s="189"/>
      <c r="D112" s="42"/>
    </row>
    <row r="113" spans="1:4" s="18" customFormat="1" ht="15.75" customHeight="1" thickBot="1" x14ac:dyDescent="0.3">
      <c r="A113" s="196" t="s">
        <v>64</v>
      </c>
      <c r="B113" s="197"/>
      <c r="C113" s="195"/>
      <c r="D113" s="43">
        <f>SUM(D109:D112)</f>
        <v>89.62</v>
      </c>
    </row>
    <row r="114" spans="1:4" s="18" customFormat="1" x14ac:dyDescent="0.25"/>
    <row r="115" spans="1:4" s="18" customFormat="1" ht="16.5" thickBot="1" x14ac:dyDescent="0.3">
      <c r="A115" s="194" t="s">
        <v>102</v>
      </c>
      <c r="B115" s="194"/>
      <c r="C115" s="194"/>
      <c r="D115" s="194"/>
    </row>
    <row r="116" spans="1:4" s="18" customFormat="1" ht="15.75" thickBot="1" x14ac:dyDescent="0.3">
      <c r="A116" s="119">
        <v>5</v>
      </c>
      <c r="B116" s="120" t="s">
        <v>41</v>
      </c>
      <c r="C116" s="59" t="s">
        <v>28</v>
      </c>
      <c r="D116" s="116" t="s">
        <v>6</v>
      </c>
    </row>
    <row r="117" spans="1:4" s="18" customFormat="1" x14ac:dyDescent="0.25">
      <c r="A117" s="9" t="s">
        <v>7</v>
      </c>
      <c r="B117" s="10" t="s">
        <v>42</v>
      </c>
      <c r="C117" s="11">
        <f>'Custos Variáveis'!I10</f>
        <v>8.0999999999999996E-3</v>
      </c>
      <c r="D117" s="65">
        <f>C117*$D$133</f>
        <v>59.09</v>
      </c>
    </row>
    <row r="118" spans="1:4" s="18" customFormat="1" x14ac:dyDescent="0.25">
      <c r="A118" s="6" t="s">
        <v>9</v>
      </c>
      <c r="B118" s="12" t="s">
        <v>45</v>
      </c>
      <c r="C118" s="11">
        <f>'Custos Variáveis'!I11</f>
        <v>7.6E-3</v>
      </c>
      <c r="D118" s="65">
        <f>C118*(D117+$D$133)</f>
        <v>55.89</v>
      </c>
    </row>
    <row r="119" spans="1:4" s="18" customFormat="1" x14ac:dyDescent="0.25">
      <c r="A119" s="6" t="s">
        <v>11</v>
      </c>
      <c r="B119" s="7" t="s">
        <v>43</v>
      </c>
      <c r="C119" s="66">
        <f>SUM(C120:C123)</f>
        <v>8.6499999999999994E-2</v>
      </c>
      <c r="D119" s="67"/>
    </row>
    <row r="120" spans="1:4" s="18" customFormat="1" x14ac:dyDescent="0.25">
      <c r="A120" s="6" t="s">
        <v>60</v>
      </c>
      <c r="B120" s="7" t="s">
        <v>44</v>
      </c>
      <c r="C120" s="68">
        <v>0</v>
      </c>
      <c r="D120" s="67"/>
    </row>
    <row r="121" spans="1:4" s="18" customFormat="1" x14ac:dyDescent="0.25">
      <c r="A121" s="6" t="s">
        <v>61</v>
      </c>
      <c r="B121" s="7" t="s">
        <v>51</v>
      </c>
      <c r="C121" s="68">
        <v>6.4999999999999997E-3</v>
      </c>
      <c r="D121" s="67">
        <f>(D133+D117+D118)/(1-C119)*C121</f>
        <v>52.72</v>
      </c>
    </row>
    <row r="122" spans="1:4" s="18" customFormat="1" x14ac:dyDescent="0.25">
      <c r="A122" s="6" t="s">
        <v>62</v>
      </c>
      <c r="B122" s="7" t="s">
        <v>52</v>
      </c>
      <c r="C122" s="68">
        <v>0.03</v>
      </c>
      <c r="D122" s="67">
        <f>(D133+D117+D118)/(1-C119)*C122</f>
        <v>243.35</v>
      </c>
    </row>
    <row r="123" spans="1:4" s="18" customFormat="1" ht="15.75" thickBot="1" x14ac:dyDescent="0.3">
      <c r="A123" s="6" t="s">
        <v>103</v>
      </c>
      <c r="B123" s="49" t="s">
        <v>113</v>
      </c>
      <c r="C123" s="68">
        <v>0.05</v>
      </c>
      <c r="D123" s="67">
        <f>(D133+D117+D118)/(1-C119)*C123</f>
        <v>405.58</v>
      </c>
    </row>
    <row r="124" spans="1:4" s="35" customFormat="1" ht="15.75" thickBot="1" x14ac:dyDescent="0.3">
      <c r="A124" s="168" t="s">
        <v>36</v>
      </c>
      <c r="B124" s="169"/>
      <c r="C124" s="169"/>
      <c r="D124" s="69">
        <f>SUM(D117:D123)</f>
        <v>816.63</v>
      </c>
    </row>
    <row r="125" spans="1:4" s="18" customFormat="1" ht="15.75" customHeight="1" x14ac:dyDescent="0.25">
      <c r="A125" s="44"/>
      <c r="D125" s="20"/>
    </row>
    <row r="126" spans="1:4" s="18" customFormat="1" ht="16.5" thickBot="1" x14ac:dyDescent="0.3">
      <c r="A126" s="207" t="s">
        <v>110</v>
      </c>
      <c r="B126" s="207"/>
      <c r="C126" s="207"/>
      <c r="D126" s="207"/>
    </row>
    <row r="127" spans="1:4" s="18" customFormat="1" ht="15.75" customHeight="1" thickBot="1" x14ac:dyDescent="0.3">
      <c r="A127" s="196" t="s">
        <v>46</v>
      </c>
      <c r="B127" s="197"/>
      <c r="C127" s="195"/>
      <c r="D127" s="116" t="s">
        <v>47</v>
      </c>
    </row>
    <row r="128" spans="1:4" s="18" customFormat="1" x14ac:dyDescent="0.25">
      <c r="A128" s="9" t="s">
        <v>7</v>
      </c>
      <c r="B128" s="184" t="s">
        <v>48</v>
      </c>
      <c r="C128" s="185"/>
      <c r="D128" s="70">
        <f>D37</f>
        <v>3618.72</v>
      </c>
    </row>
    <row r="129" spans="1:4" s="18" customFormat="1" x14ac:dyDescent="0.25">
      <c r="A129" s="6" t="s">
        <v>9</v>
      </c>
      <c r="B129" s="186" t="s">
        <v>104</v>
      </c>
      <c r="C129" s="187"/>
      <c r="D129" s="71">
        <f>C73</f>
        <v>2551.67</v>
      </c>
    </row>
    <row r="130" spans="1:4" s="18" customFormat="1" x14ac:dyDescent="0.25">
      <c r="A130" s="6" t="s">
        <v>11</v>
      </c>
      <c r="B130" s="186" t="s">
        <v>105</v>
      </c>
      <c r="C130" s="187"/>
      <c r="D130" s="71">
        <f>D83</f>
        <v>439.96</v>
      </c>
    </row>
    <row r="131" spans="1:4" s="18" customFormat="1" ht="15" customHeight="1" x14ac:dyDescent="0.25">
      <c r="A131" s="6" t="s">
        <v>13</v>
      </c>
      <c r="B131" s="117" t="s">
        <v>106</v>
      </c>
      <c r="C131" s="118"/>
      <c r="D131" s="71">
        <f>C105</f>
        <v>594.91999999999996</v>
      </c>
    </row>
    <row r="132" spans="1:4" s="18" customFormat="1" x14ac:dyDescent="0.25">
      <c r="A132" s="6" t="s">
        <v>14</v>
      </c>
      <c r="B132" s="186" t="s">
        <v>107</v>
      </c>
      <c r="C132" s="187"/>
      <c r="D132" s="71">
        <f>D113</f>
        <v>89.62</v>
      </c>
    </row>
    <row r="133" spans="1:4" s="18" customFormat="1" ht="15" customHeight="1" x14ac:dyDescent="0.25">
      <c r="A133" s="201" t="s">
        <v>108</v>
      </c>
      <c r="B133" s="202"/>
      <c r="C133" s="203"/>
      <c r="D133" s="71">
        <f>SUM(D128:D132)</f>
        <v>7294.89</v>
      </c>
    </row>
    <row r="134" spans="1:4" s="18" customFormat="1" ht="15.75" customHeight="1" x14ac:dyDescent="0.25">
      <c r="A134" s="41" t="s">
        <v>16</v>
      </c>
      <c r="B134" s="209" t="s">
        <v>109</v>
      </c>
      <c r="C134" s="210"/>
      <c r="D134" s="74">
        <f>D124</f>
        <v>816.63</v>
      </c>
    </row>
    <row r="135" spans="1:4" s="18" customFormat="1" ht="15" customHeight="1" x14ac:dyDescent="0.25">
      <c r="A135" s="208" t="s">
        <v>118</v>
      </c>
      <c r="B135" s="208"/>
      <c r="C135" s="208"/>
      <c r="D135" s="75">
        <f>SUM(D133:D134)</f>
        <v>8111.52</v>
      </c>
    </row>
    <row r="136" spans="1:4" s="18" customFormat="1" ht="15.75" customHeight="1" thickBot="1" x14ac:dyDescent="0.3">
      <c r="A136" s="204" t="s">
        <v>119</v>
      </c>
      <c r="B136" s="205"/>
      <c r="C136" s="206"/>
      <c r="D136" s="76">
        <f>SUM(D133:D134)*2</f>
        <v>16223.04</v>
      </c>
    </row>
  </sheetData>
  <mergeCells count="75">
    <mergeCell ref="B134:C134"/>
    <mergeCell ref="A135:C135"/>
    <mergeCell ref="A136:C136"/>
    <mergeCell ref="A127:C127"/>
    <mergeCell ref="B128:C128"/>
    <mergeCell ref="B129:C129"/>
    <mergeCell ref="B130:C130"/>
    <mergeCell ref="B132:C132"/>
    <mergeCell ref="A133:C133"/>
    <mergeCell ref="A126:D126"/>
    <mergeCell ref="A101:C101"/>
    <mergeCell ref="A105:B105"/>
    <mergeCell ref="A107:D107"/>
    <mergeCell ref="B108:C108"/>
    <mergeCell ref="B109:C109"/>
    <mergeCell ref="B110:C110"/>
    <mergeCell ref="B111:C111"/>
    <mergeCell ref="B112:C112"/>
    <mergeCell ref="A113:C113"/>
    <mergeCell ref="A115:D115"/>
    <mergeCell ref="A124:C124"/>
    <mergeCell ref="A99:B99"/>
    <mergeCell ref="A66:B66"/>
    <mergeCell ref="C66:D66"/>
    <mergeCell ref="A67:D67"/>
    <mergeCell ref="A68:C68"/>
    <mergeCell ref="A73:B73"/>
    <mergeCell ref="A75:D75"/>
    <mergeCell ref="A83:B83"/>
    <mergeCell ref="A85:D85"/>
    <mergeCell ref="A86:D86"/>
    <mergeCell ref="A94:B94"/>
    <mergeCell ref="A96:D96"/>
    <mergeCell ref="C65:D65"/>
    <mergeCell ref="A39:D39"/>
    <mergeCell ref="A43:B43"/>
    <mergeCell ref="A45:C45"/>
    <mergeCell ref="A47:D47"/>
    <mergeCell ref="A57:B57"/>
    <mergeCell ref="A59:D59"/>
    <mergeCell ref="C60:D60"/>
    <mergeCell ref="C61:D61"/>
    <mergeCell ref="C62:D62"/>
    <mergeCell ref="C63:D63"/>
    <mergeCell ref="C64:D64"/>
    <mergeCell ref="A37:C37"/>
    <mergeCell ref="B25:C25"/>
    <mergeCell ref="B26:C26"/>
    <mergeCell ref="A28:D28"/>
    <mergeCell ref="B29:C29"/>
    <mergeCell ref="B30:C30"/>
    <mergeCell ref="B31:C31"/>
    <mergeCell ref="B32:C32"/>
    <mergeCell ref="B33:C33"/>
    <mergeCell ref="B34:C34"/>
    <mergeCell ref="B35:C35"/>
    <mergeCell ref="B36:C36"/>
    <mergeCell ref="B24:C24"/>
    <mergeCell ref="B11:C11"/>
    <mergeCell ref="B12:C12"/>
    <mergeCell ref="B13:C13"/>
    <mergeCell ref="B14:C14"/>
    <mergeCell ref="B15:C15"/>
    <mergeCell ref="A17:D17"/>
    <mergeCell ref="A18:B18"/>
    <mergeCell ref="A19:B19"/>
    <mergeCell ref="A21:D21"/>
    <mergeCell ref="B22:C22"/>
    <mergeCell ref="B23:C23"/>
    <mergeCell ref="A10:D10"/>
    <mergeCell ref="A1:D2"/>
    <mergeCell ref="A3:D4"/>
    <mergeCell ref="B6:D6"/>
    <mergeCell ref="B7:D7"/>
    <mergeCell ref="B8:D8"/>
  </mergeCells>
  <printOptions horizontalCentered="1"/>
  <pageMargins left="0.23622047244094491" right="0.23622047244094491" top="0.86614173228346458" bottom="0.43307086614173229" header="0.15748031496062992" footer="0.31496062992125984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workbookViewId="0">
      <selection activeCell="M10" sqref="M10"/>
    </sheetView>
  </sheetViews>
  <sheetFormatPr defaultRowHeight="12.75" x14ac:dyDescent="0.2"/>
  <cols>
    <col min="1" max="1" width="19.85546875" style="84" bestFit="1" customWidth="1"/>
    <col min="2" max="2" width="9" style="84" bestFit="1" customWidth="1"/>
    <col min="3" max="3" width="8.7109375" style="99" bestFit="1" customWidth="1"/>
    <col min="4" max="4" width="8.7109375" style="84" bestFit="1" customWidth="1"/>
    <col min="5" max="5" width="11.140625" style="84" customWidth="1"/>
    <col min="6" max="6" width="8.140625" style="84" customWidth="1"/>
    <col min="7" max="7" width="9.42578125" style="84" bestFit="1" customWidth="1"/>
    <col min="8" max="8" width="9.42578125" style="84" customWidth="1"/>
    <col min="9" max="9" width="8.140625" style="84" bestFit="1" customWidth="1"/>
    <col min="10" max="10" width="14.5703125" style="95" customWidth="1"/>
    <col min="11" max="11" width="9.140625" style="84"/>
    <col min="12" max="12" width="11.42578125" style="84" bestFit="1" customWidth="1"/>
    <col min="13" max="13" width="11.5703125" style="84" bestFit="1" customWidth="1"/>
    <col min="14" max="15" width="11.42578125" style="84" bestFit="1" customWidth="1"/>
    <col min="16" max="16384" width="9.140625" style="84"/>
  </cols>
  <sheetData>
    <row r="1" spans="1:10" ht="75" x14ac:dyDescent="0.2">
      <c r="A1" s="83" t="s">
        <v>141</v>
      </c>
      <c r="B1" s="110" t="s">
        <v>182</v>
      </c>
      <c r="C1" s="110" t="s">
        <v>183</v>
      </c>
      <c r="D1" s="110" t="s">
        <v>184</v>
      </c>
      <c r="E1" s="110" t="s">
        <v>187</v>
      </c>
      <c r="F1" s="110" t="s">
        <v>188</v>
      </c>
      <c r="G1" s="162" t="s">
        <v>189</v>
      </c>
      <c r="H1" s="162" t="s">
        <v>190</v>
      </c>
      <c r="I1" s="83" t="s">
        <v>123</v>
      </c>
      <c r="J1" s="98"/>
    </row>
    <row r="2" spans="1:10" ht="25.5" x14ac:dyDescent="0.2">
      <c r="A2" s="85" t="s">
        <v>83</v>
      </c>
      <c r="B2" s="86">
        <v>5.0000000000000001E-3</v>
      </c>
      <c r="C2" s="87">
        <v>1.4999999999999999E-2</v>
      </c>
      <c r="D2" s="86">
        <v>0.02</v>
      </c>
      <c r="E2" s="87">
        <v>1.9599999999999999E-2</v>
      </c>
      <c r="F2" s="87">
        <v>3.4500000000000003E-2</v>
      </c>
      <c r="G2" s="87">
        <v>1.4999999999999999E-2</v>
      </c>
      <c r="H2" s="87">
        <v>0.01</v>
      </c>
      <c r="I2" s="88">
        <f t="shared" ref="I2" si="0">AVERAGE(B2:H2)</f>
        <v>1.7000000000000001E-2</v>
      </c>
      <c r="J2" s="98"/>
    </row>
    <row r="3" spans="1:10" s="92" customFormat="1" x14ac:dyDescent="0.2">
      <c r="A3" s="89"/>
      <c r="B3" s="90"/>
      <c r="C3" s="90"/>
      <c r="D3" s="90"/>
      <c r="E3" s="91"/>
      <c r="F3" s="91"/>
      <c r="G3" s="91"/>
      <c r="H3" s="91"/>
      <c r="I3" s="88"/>
      <c r="J3" s="85"/>
    </row>
    <row r="4" spans="1:10" x14ac:dyDescent="0.2">
      <c r="A4" s="85" t="s">
        <v>95</v>
      </c>
      <c r="B4" s="93">
        <v>2.8E-3</v>
      </c>
      <c r="C4" s="93">
        <v>2.0000000000000001E-4</v>
      </c>
      <c r="D4" s="93">
        <v>2.8E-3</v>
      </c>
      <c r="E4" s="94">
        <v>8.0000000000000004E-4</v>
      </c>
      <c r="F4" s="94">
        <v>1E-4</v>
      </c>
      <c r="G4" s="94">
        <v>2.8E-3</v>
      </c>
      <c r="H4" s="94">
        <v>2.8E-3</v>
      </c>
      <c r="I4" s="88">
        <f>AVERAGE(B4:H4)</f>
        <v>1.8E-3</v>
      </c>
      <c r="J4" s="98"/>
    </row>
    <row r="5" spans="1:10" x14ac:dyDescent="0.2">
      <c r="A5" s="85" t="s">
        <v>96</v>
      </c>
      <c r="B5" s="93">
        <v>2.0000000000000001E-4</v>
      </c>
      <c r="C5" s="93">
        <v>2.0000000000000001E-4</v>
      </c>
      <c r="D5" s="93">
        <v>1E-4</v>
      </c>
      <c r="E5" s="94">
        <v>2.0000000000000001E-4</v>
      </c>
      <c r="F5" s="94">
        <v>2.0000000000000001E-4</v>
      </c>
      <c r="G5" s="94">
        <v>1E-3</v>
      </c>
      <c r="H5" s="94">
        <v>4.0000000000000002E-4</v>
      </c>
      <c r="I5" s="88">
        <f t="shared" ref="I5:I11" si="1">AVERAGE(B5:H5)</f>
        <v>2.9999999999999997E-4</v>
      </c>
      <c r="J5" s="98"/>
    </row>
    <row r="6" spans="1:10" x14ac:dyDescent="0.2">
      <c r="A6" s="85" t="s">
        <v>114</v>
      </c>
      <c r="B6" s="93">
        <v>2.0000000000000001E-4</v>
      </c>
      <c r="C6" s="93">
        <v>0.02</v>
      </c>
      <c r="D6" s="93">
        <v>1.4E-3</v>
      </c>
      <c r="E6" s="94">
        <v>2.0000000000000001E-4</v>
      </c>
      <c r="F6" s="94">
        <v>2.0000000000000001E-4</v>
      </c>
      <c r="G6" s="94">
        <v>2.0000000000000001E-4</v>
      </c>
      <c r="H6" s="94">
        <v>1.1999999999999999E-3</v>
      </c>
      <c r="I6" s="88">
        <f t="shared" si="1"/>
        <v>3.3E-3</v>
      </c>
      <c r="J6" s="98"/>
    </row>
    <row r="7" spans="1:10" ht="25.5" x14ac:dyDescent="0.2">
      <c r="A7" s="85" t="s">
        <v>112</v>
      </c>
      <c r="B7" s="93">
        <v>2.8E-3</v>
      </c>
      <c r="C7" s="93">
        <v>2.0000000000000001E-4</v>
      </c>
      <c r="D7" s="93">
        <v>2.0000000000000001E-4</v>
      </c>
      <c r="E7" s="94">
        <v>3.3E-3</v>
      </c>
      <c r="F7" s="94">
        <v>4.0000000000000002E-4</v>
      </c>
      <c r="G7" s="94">
        <v>8.0000000000000004E-4</v>
      </c>
      <c r="H7" s="94">
        <v>1.1999999999999999E-3</v>
      </c>
      <c r="I7" s="88">
        <f t="shared" si="1"/>
        <v>1.2999999999999999E-3</v>
      </c>
      <c r="J7" s="98"/>
    </row>
    <row r="8" spans="1:10" ht="51" x14ac:dyDescent="0.2">
      <c r="A8" s="85" t="s">
        <v>122</v>
      </c>
      <c r="B8" s="93">
        <v>0</v>
      </c>
      <c r="C8" s="93">
        <v>0</v>
      </c>
      <c r="D8" s="93">
        <v>0</v>
      </c>
      <c r="E8" s="94">
        <v>0</v>
      </c>
      <c r="F8" s="94">
        <v>2.0000000000000001E-4</v>
      </c>
      <c r="G8" s="93">
        <v>0</v>
      </c>
      <c r="H8" s="93">
        <v>0</v>
      </c>
      <c r="I8" s="88">
        <f t="shared" si="1"/>
        <v>0</v>
      </c>
      <c r="J8" s="98" t="s">
        <v>221</v>
      </c>
    </row>
    <row r="9" spans="1:10" x14ac:dyDescent="0.2">
      <c r="A9" s="95"/>
      <c r="B9" s="96"/>
      <c r="C9" s="96"/>
      <c r="D9" s="96"/>
      <c r="E9" s="97"/>
      <c r="F9" s="97"/>
      <c r="G9" s="96"/>
      <c r="H9" s="96"/>
      <c r="I9" s="88"/>
      <c r="J9" s="98"/>
    </row>
    <row r="10" spans="1:10" x14ac:dyDescent="0.2">
      <c r="A10" s="98" t="s">
        <v>42</v>
      </c>
      <c r="B10" s="93">
        <v>8.0000000000000004E-4</v>
      </c>
      <c r="C10" s="93">
        <v>0.01</v>
      </c>
      <c r="D10" s="93">
        <v>0.01</v>
      </c>
      <c r="E10" s="94">
        <v>6.1999999999999998E-3</v>
      </c>
      <c r="F10" s="94">
        <v>1.4800000000000001E-2</v>
      </c>
      <c r="G10" s="93">
        <v>0.01</v>
      </c>
      <c r="H10" s="93">
        <v>5.0000000000000001E-3</v>
      </c>
      <c r="I10" s="88">
        <f t="shared" si="1"/>
        <v>8.0999999999999996E-3</v>
      </c>
      <c r="J10" s="98"/>
    </row>
    <row r="11" spans="1:10" x14ac:dyDescent="0.2">
      <c r="A11" s="98" t="s">
        <v>45</v>
      </c>
      <c r="B11" s="93">
        <v>5.0000000000000001E-4</v>
      </c>
      <c r="C11" s="93">
        <v>9.4999999999999998E-3</v>
      </c>
      <c r="D11" s="93">
        <v>8.6E-3</v>
      </c>
      <c r="E11" s="94">
        <v>6.1000000000000004E-3</v>
      </c>
      <c r="F11" s="94">
        <v>0.01</v>
      </c>
      <c r="G11" s="93">
        <v>1.32E-2</v>
      </c>
      <c r="H11" s="93">
        <v>5.0000000000000001E-3</v>
      </c>
      <c r="I11" s="88">
        <f t="shared" si="1"/>
        <v>7.6E-3</v>
      </c>
      <c r="J11" s="98"/>
    </row>
    <row r="12" spans="1:10" x14ac:dyDescent="0.2">
      <c r="A12" s="95"/>
      <c r="B12" s="95"/>
      <c r="C12" s="95"/>
      <c r="D12" s="95"/>
      <c r="E12" s="95"/>
      <c r="F12" s="95"/>
      <c r="I12" s="9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3"/>
  <sheetViews>
    <sheetView zoomScale="70" zoomScaleNormal="70" workbookViewId="0">
      <selection activeCell="K16" sqref="K16"/>
    </sheetView>
  </sheetViews>
  <sheetFormatPr defaultRowHeight="15" x14ac:dyDescent="0.25"/>
  <cols>
    <col min="1" max="1" width="34.42578125" style="81" bestFit="1" customWidth="1"/>
    <col min="2" max="2" width="10.5703125" style="81" customWidth="1"/>
    <col min="3" max="3" width="6.85546875" style="81" bestFit="1" customWidth="1"/>
    <col min="4" max="4" width="14.5703125" style="81" bestFit="1" customWidth="1"/>
    <col min="5" max="5" width="14.5703125" style="81" customWidth="1"/>
    <col min="6" max="6" width="14.5703125" style="81" bestFit="1" customWidth="1"/>
    <col min="7" max="7" width="17.42578125" style="81" bestFit="1" customWidth="1"/>
    <col min="8" max="8" width="17.85546875" style="81" bestFit="1" customWidth="1"/>
    <col min="9" max="9" width="17.85546875" style="115" bestFit="1" customWidth="1"/>
    <col min="10" max="10" width="16" style="115" bestFit="1" customWidth="1"/>
    <col min="11" max="11" width="11.7109375" style="81" bestFit="1" customWidth="1"/>
    <col min="12" max="12" width="11.5703125" style="81" bestFit="1" customWidth="1"/>
    <col min="13" max="13" width="11.7109375" style="81" bestFit="1" customWidth="1"/>
    <col min="14" max="14" width="15.5703125" style="81" bestFit="1" customWidth="1"/>
    <col min="15" max="15" width="10" style="80" bestFit="1" customWidth="1"/>
    <col min="16" max="17" width="9.140625" style="80"/>
    <col min="18" max="18" width="10" style="80" bestFit="1" customWidth="1"/>
    <col min="19" max="16384" width="9.140625" style="80"/>
  </cols>
  <sheetData>
    <row r="1" spans="1:18" ht="21" x14ac:dyDescent="0.3">
      <c r="A1" s="228" t="s">
        <v>199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101"/>
    </row>
    <row r="2" spans="1:18" ht="21" x14ac:dyDescent="0.3">
      <c r="A2" s="152"/>
      <c r="B2" s="152"/>
      <c r="C2" s="152"/>
      <c r="D2" s="230" t="s">
        <v>200</v>
      </c>
      <c r="E2" s="231"/>
      <c r="F2" s="231"/>
      <c r="G2" s="231"/>
      <c r="H2" s="231"/>
      <c r="I2" s="231"/>
      <c r="J2" s="232"/>
      <c r="K2" s="152"/>
      <c r="L2" s="152"/>
      <c r="M2" s="152"/>
      <c r="N2" s="101"/>
    </row>
    <row r="3" spans="1:18" ht="63" x14ac:dyDescent="0.25">
      <c r="A3" s="227" t="s">
        <v>131</v>
      </c>
      <c r="B3" s="227" t="s">
        <v>185</v>
      </c>
      <c r="C3" s="227" t="s">
        <v>133</v>
      </c>
      <c r="D3" s="140" t="s">
        <v>182</v>
      </c>
      <c r="E3" s="140" t="s">
        <v>183</v>
      </c>
      <c r="F3" s="140" t="s">
        <v>184</v>
      </c>
      <c r="G3" s="140" t="s">
        <v>187</v>
      </c>
      <c r="H3" s="140" t="s">
        <v>188</v>
      </c>
      <c r="I3" s="141" t="s">
        <v>189</v>
      </c>
      <c r="J3" s="141" t="s">
        <v>191</v>
      </c>
      <c r="K3" s="229" t="s">
        <v>143</v>
      </c>
      <c r="L3" s="229" t="s">
        <v>133</v>
      </c>
      <c r="M3" s="229" t="s">
        <v>137</v>
      </c>
      <c r="N3" s="220"/>
    </row>
    <row r="4" spans="1:18" ht="31.5" x14ac:dyDescent="0.25">
      <c r="A4" s="227"/>
      <c r="B4" s="227"/>
      <c r="C4" s="227"/>
      <c r="D4" s="140" t="s">
        <v>132</v>
      </c>
      <c r="E4" s="140" t="s">
        <v>132</v>
      </c>
      <c r="F4" s="140" t="s">
        <v>132</v>
      </c>
      <c r="G4" s="140" t="s">
        <v>132</v>
      </c>
      <c r="H4" s="140" t="s">
        <v>132</v>
      </c>
      <c r="I4" s="141" t="s">
        <v>132</v>
      </c>
      <c r="J4" s="141" t="s">
        <v>132</v>
      </c>
      <c r="K4" s="229"/>
      <c r="L4" s="229"/>
      <c r="M4" s="229"/>
      <c r="N4" s="220"/>
    </row>
    <row r="5" spans="1:18" ht="15.75" x14ac:dyDescent="0.25">
      <c r="A5" s="111" t="s">
        <v>148</v>
      </c>
      <c r="B5" s="112">
        <v>2</v>
      </c>
      <c r="C5" s="82">
        <f>B5*2</f>
        <v>4</v>
      </c>
      <c r="D5" s="109">
        <v>15</v>
      </c>
      <c r="E5" s="113">
        <v>20</v>
      </c>
      <c r="F5" s="113">
        <v>29.9</v>
      </c>
      <c r="G5" s="113">
        <v>22</v>
      </c>
      <c r="H5" s="113">
        <v>16</v>
      </c>
      <c r="I5" s="114">
        <v>20</v>
      </c>
      <c r="J5" s="114">
        <v>20.21</v>
      </c>
      <c r="K5" s="142">
        <f t="shared" ref="K5:K10" si="0">AVERAGE(D5:E5,F5:G5,H5:J5)</f>
        <v>20.440000000000001</v>
      </c>
      <c r="L5" s="143">
        <f t="shared" ref="L5:L10" si="1">C5</f>
        <v>4</v>
      </c>
      <c r="M5" s="144">
        <f t="shared" ref="M5:M10" si="2">K5*L5</f>
        <v>81.760000000000005</v>
      </c>
      <c r="N5" s="102"/>
    </row>
    <row r="6" spans="1:18" ht="15.75" x14ac:dyDescent="0.25">
      <c r="A6" s="111" t="s">
        <v>149</v>
      </c>
      <c r="B6" s="112">
        <v>2</v>
      </c>
      <c r="C6" s="82">
        <f>B6*2</f>
        <v>4</v>
      </c>
      <c r="D6" s="109">
        <v>85</v>
      </c>
      <c r="E6" s="113">
        <v>45</v>
      </c>
      <c r="F6" s="113">
        <v>39.9</v>
      </c>
      <c r="G6" s="113">
        <v>69.900000000000006</v>
      </c>
      <c r="H6" s="113">
        <v>83.84</v>
      </c>
      <c r="I6" s="114">
        <v>40</v>
      </c>
      <c r="J6" s="114">
        <v>43.48</v>
      </c>
      <c r="K6" s="142">
        <f t="shared" si="0"/>
        <v>58.16</v>
      </c>
      <c r="L6" s="143">
        <f t="shared" si="1"/>
        <v>4</v>
      </c>
      <c r="M6" s="144">
        <f t="shared" si="2"/>
        <v>232.64</v>
      </c>
      <c r="N6" s="102"/>
    </row>
    <row r="7" spans="1:18" ht="15.75" x14ac:dyDescent="0.25">
      <c r="A7" s="111" t="s">
        <v>150</v>
      </c>
      <c r="B7" s="112">
        <v>2</v>
      </c>
      <c r="C7" s="82">
        <f>B7*2</f>
        <v>4</v>
      </c>
      <c r="D7" s="109">
        <v>85</v>
      </c>
      <c r="E7" s="113">
        <v>50</v>
      </c>
      <c r="F7" s="113">
        <v>119.9</v>
      </c>
      <c r="G7" s="113" t="s">
        <v>142</v>
      </c>
      <c r="H7" s="113">
        <v>83.84</v>
      </c>
      <c r="I7" s="114">
        <v>60</v>
      </c>
      <c r="J7" s="114">
        <v>55.9</v>
      </c>
      <c r="K7" s="142">
        <f t="shared" si="0"/>
        <v>75.77</v>
      </c>
      <c r="L7" s="143">
        <f t="shared" si="1"/>
        <v>4</v>
      </c>
      <c r="M7" s="144">
        <f t="shared" si="2"/>
        <v>303.08</v>
      </c>
      <c r="N7" s="102"/>
    </row>
    <row r="8" spans="1:18" ht="15.75" x14ac:dyDescent="0.25">
      <c r="A8" s="111" t="s">
        <v>151</v>
      </c>
      <c r="B8" s="112">
        <v>1</v>
      </c>
      <c r="C8" s="82">
        <v>1</v>
      </c>
      <c r="D8" s="109">
        <v>79.989999999999995</v>
      </c>
      <c r="E8" s="113">
        <v>89</v>
      </c>
      <c r="F8" s="113">
        <v>199</v>
      </c>
      <c r="G8" s="113">
        <v>245</v>
      </c>
      <c r="H8" s="113">
        <v>45</v>
      </c>
      <c r="I8" s="114">
        <v>400</v>
      </c>
      <c r="J8" s="114">
        <v>180.59</v>
      </c>
      <c r="K8" s="142">
        <f t="shared" si="0"/>
        <v>176.94</v>
      </c>
      <c r="L8" s="143">
        <f t="shared" si="1"/>
        <v>1</v>
      </c>
      <c r="M8" s="144">
        <f t="shared" si="2"/>
        <v>176.94</v>
      </c>
      <c r="N8" s="102"/>
    </row>
    <row r="9" spans="1:18" ht="15.75" x14ac:dyDescent="0.25">
      <c r="A9" s="111" t="s">
        <v>152</v>
      </c>
      <c r="B9" s="112">
        <v>2</v>
      </c>
      <c r="C9" s="82">
        <v>4</v>
      </c>
      <c r="D9" s="109">
        <v>5.97</v>
      </c>
      <c r="E9" s="113">
        <v>2.5</v>
      </c>
      <c r="F9" s="113">
        <v>7.9</v>
      </c>
      <c r="G9" s="113">
        <v>8.3000000000000007</v>
      </c>
      <c r="H9" s="113">
        <v>4</v>
      </c>
      <c r="I9" s="114">
        <v>10</v>
      </c>
      <c r="J9" s="114">
        <v>7.54</v>
      </c>
      <c r="K9" s="142">
        <f t="shared" si="0"/>
        <v>6.6</v>
      </c>
      <c r="L9" s="143">
        <f t="shared" si="1"/>
        <v>4</v>
      </c>
      <c r="M9" s="144">
        <f t="shared" si="2"/>
        <v>26.4</v>
      </c>
      <c r="N9" s="102"/>
    </row>
    <row r="10" spans="1:18" ht="15.75" x14ac:dyDescent="0.25">
      <c r="A10" s="111" t="s">
        <v>153</v>
      </c>
      <c r="B10" s="112">
        <v>1</v>
      </c>
      <c r="C10" s="82">
        <v>1</v>
      </c>
      <c r="D10" s="109" t="s">
        <v>142</v>
      </c>
      <c r="E10" s="113">
        <v>10</v>
      </c>
      <c r="F10" s="113">
        <v>15</v>
      </c>
      <c r="G10" s="113" t="s">
        <v>142</v>
      </c>
      <c r="H10" s="113">
        <v>5</v>
      </c>
      <c r="I10" s="114">
        <v>20</v>
      </c>
      <c r="J10" s="114">
        <v>10.26</v>
      </c>
      <c r="K10" s="142">
        <f t="shared" si="0"/>
        <v>12.05</v>
      </c>
      <c r="L10" s="143">
        <f t="shared" si="1"/>
        <v>1</v>
      </c>
      <c r="M10" s="144">
        <f t="shared" si="2"/>
        <v>12.05</v>
      </c>
      <c r="N10" s="102"/>
    </row>
    <row r="11" spans="1:18" ht="15" customHeight="1" x14ac:dyDescent="0.25">
      <c r="A11" s="145"/>
      <c r="B11" s="145"/>
      <c r="C11" s="145"/>
      <c r="D11" s="145"/>
      <c r="E11" s="145"/>
      <c r="F11" s="145"/>
      <c r="G11" s="145"/>
      <c r="H11" s="221" t="s">
        <v>145</v>
      </c>
      <c r="I11" s="222"/>
      <c r="J11" s="222"/>
      <c r="K11" s="222"/>
      <c r="L11" s="223"/>
      <c r="M11" s="144">
        <f>SUM(M5:M10)</f>
        <v>832.87</v>
      </c>
      <c r="N11" s="102"/>
    </row>
    <row r="12" spans="1:18" ht="15.75" x14ac:dyDescent="0.25">
      <c r="A12" s="145"/>
      <c r="B12" s="145"/>
      <c r="C12" s="145"/>
      <c r="D12" s="145"/>
      <c r="E12" s="145"/>
      <c r="F12" s="145"/>
      <c r="G12" s="145"/>
      <c r="H12" s="224" t="s">
        <v>210</v>
      </c>
      <c r="I12" s="225"/>
      <c r="J12" s="225"/>
      <c r="K12" s="225"/>
      <c r="L12" s="226"/>
      <c r="M12" s="146">
        <f>M11/12</f>
        <v>69.41</v>
      </c>
      <c r="N12" s="103"/>
    </row>
    <row r="16" spans="1:18" ht="72" customHeight="1" x14ac:dyDescent="0.25">
      <c r="O16" s="104"/>
      <c r="P16" s="104"/>
      <c r="R16" s="104"/>
    </row>
    <row r="17" spans="15:19" x14ac:dyDescent="0.25">
      <c r="P17" s="104"/>
      <c r="R17" s="104"/>
      <c r="S17" s="104"/>
    </row>
    <row r="18" spans="15:19" x14ac:dyDescent="0.25">
      <c r="O18" s="104"/>
      <c r="P18" s="104"/>
    </row>
    <row r="20" spans="15:19" x14ac:dyDescent="0.25">
      <c r="P20" s="104"/>
    </row>
    <row r="22" spans="15:19" ht="59.25" customHeight="1" x14ac:dyDescent="0.25"/>
    <row r="23" spans="15:19" ht="69" customHeight="1" x14ac:dyDescent="0.25"/>
    <row r="24" spans="15:19" s="105" customFormat="1" ht="81.75" customHeight="1" x14ac:dyDescent="0.25"/>
    <row r="31" spans="15:19" ht="62.25" customHeight="1" x14ac:dyDescent="0.25"/>
    <row r="39" ht="220.5" customHeight="1" x14ac:dyDescent="0.25"/>
    <row r="41" ht="107.25" customHeight="1" x14ac:dyDescent="0.25"/>
    <row r="43" ht="45" customHeight="1" x14ac:dyDescent="0.25"/>
  </sheetData>
  <mergeCells count="11">
    <mergeCell ref="N3:N4"/>
    <mergeCell ref="H11:L11"/>
    <mergeCell ref="H12:L12"/>
    <mergeCell ref="A3:A4"/>
    <mergeCell ref="A1:M1"/>
    <mergeCell ref="L3:L4"/>
    <mergeCell ref="K3:K4"/>
    <mergeCell ref="M3:M4"/>
    <mergeCell ref="B3:B4"/>
    <mergeCell ref="C3:C4"/>
    <mergeCell ref="D2:J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ABDC-1D09-4D92-87CC-169F74672E1B}">
  <dimension ref="A1:P27"/>
  <sheetViews>
    <sheetView topLeftCell="A7" zoomScale="90" zoomScaleNormal="90" workbookViewId="0">
      <selection activeCell="C24" sqref="C24"/>
    </sheetView>
  </sheetViews>
  <sheetFormatPr defaultRowHeight="12.75" x14ac:dyDescent="0.2"/>
  <cols>
    <col min="1" max="1" width="9.140625" style="84"/>
    <col min="2" max="2" width="44.140625" style="84" customWidth="1"/>
    <col min="3" max="3" width="9.28515625" style="84" bestFit="1" customWidth="1"/>
    <col min="4" max="5" width="10.85546875" style="84" bestFit="1" customWidth="1"/>
    <col min="6" max="6" width="11.7109375" style="84" bestFit="1" customWidth="1"/>
    <col min="7" max="7" width="10.85546875" style="84" bestFit="1" customWidth="1"/>
    <col min="8" max="9" width="11.7109375" style="84" bestFit="1" customWidth="1"/>
    <col min="10" max="10" width="9.85546875" style="84" bestFit="1" customWidth="1"/>
    <col min="11" max="11" width="9.85546875" style="84" customWidth="1"/>
    <col min="12" max="12" width="11.7109375" style="84" bestFit="1" customWidth="1"/>
    <col min="13" max="14" width="9.28515625" style="84" bestFit="1" customWidth="1"/>
    <col min="15" max="15" width="12.28515625" style="84" bestFit="1" customWidth="1"/>
    <col min="16" max="16384" width="9.140625" style="84"/>
  </cols>
  <sheetData>
    <row r="1" spans="1:16" ht="15" customHeight="1" x14ac:dyDescent="0.25">
      <c r="A1" s="233" t="s">
        <v>198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5"/>
    </row>
    <row r="2" spans="1:16" ht="15" customHeight="1" x14ac:dyDescent="0.25">
      <c r="A2" s="149"/>
      <c r="B2" s="150"/>
      <c r="C2" s="150"/>
      <c r="D2" s="239" t="s">
        <v>200</v>
      </c>
      <c r="E2" s="240"/>
      <c r="F2" s="240"/>
      <c r="G2" s="240"/>
      <c r="H2" s="240"/>
      <c r="I2" s="240"/>
      <c r="J2" s="240"/>
      <c r="K2" s="147"/>
      <c r="L2" s="148"/>
      <c r="M2" s="151"/>
      <c r="N2" s="150"/>
      <c r="O2" s="150"/>
    </row>
    <row r="3" spans="1:16" ht="15" customHeight="1" x14ac:dyDescent="0.25">
      <c r="A3" s="149"/>
      <c r="B3" s="150"/>
      <c r="C3" s="150"/>
      <c r="D3" s="239" t="s">
        <v>201</v>
      </c>
      <c r="E3" s="240"/>
      <c r="F3" s="240"/>
      <c r="G3" s="240"/>
      <c r="H3" s="240"/>
      <c r="I3" s="240"/>
      <c r="J3" s="240"/>
      <c r="K3" s="147"/>
      <c r="L3" s="148"/>
      <c r="M3" s="151"/>
      <c r="N3" s="150"/>
      <c r="O3" s="150"/>
    </row>
    <row r="4" spans="1:16" ht="63.75" x14ac:dyDescent="0.2">
      <c r="A4" s="238" t="s">
        <v>195</v>
      </c>
      <c r="B4" s="243" t="s">
        <v>131</v>
      </c>
      <c r="C4" s="243" t="s">
        <v>186</v>
      </c>
      <c r="D4" s="124" t="s">
        <v>183</v>
      </c>
      <c r="E4" s="124" t="s">
        <v>184</v>
      </c>
      <c r="F4" s="124" t="s">
        <v>187</v>
      </c>
      <c r="G4" s="124" t="s">
        <v>188</v>
      </c>
      <c r="H4" s="89" t="s">
        <v>189</v>
      </c>
      <c r="I4" s="89" t="s">
        <v>191</v>
      </c>
      <c r="J4" s="124" t="s">
        <v>147</v>
      </c>
      <c r="K4" s="124" t="s">
        <v>193</v>
      </c>
      <c r="L4" s="125" t="s">
        <v>143</v>
      </c>
      <c r="M4" s="241" t="s">
        <v>133</v>
      </c>
      <c r="N4" s="241" t="s">
        <v>144</v>
      </c>
      <c r="O4" s="241" t="s">
        <v>137</v>
      </c>
      <c r="P4" s="98">
        <v>12</v>
      </c>
    </row>
    <row r="5" spans="1:16" ht="25.5" x14ac:dyDescent="0.2">
      <c r="A5" s="238"/>
      <c r="B5" s="244"/>
      <c r="C5" s="244"/>
      <c r="D5" s="124" t="s">
        <v>132</v>
      </c>
      <c r="E5" s="124" t="s">
        <v>132</v>
      </c>
      <c r="F5" s="126" t="s">
        <v>132</v>
      </c>
      <c r="G5" s="126" t="s">
        <v>132</v>
      </c>
      <c r="H5" s="126" t="s">
        <v>132</v>
      </c>
      <c r="I5" s="126" t="s">
        <v>132</v>
      </c>
      <c r="J5" s="126" t="s">
        <v>132</v>
      </c>
      <c r="K5" s="135"/>
      <c r="L5" s="127" t="s">
        <v>132</v>
      </c>
      <c r="M5" s="242"/>
      <c r="N5" s="242"/>
      <c r="O5" s="242"/>
    </row>
    <row r="6" spans="1:16" x14ac:dyDescent="0.2">
      <c r="A6" s="98">
        <v>1</v>
      </c>
      <c r="B6" s="133" t="s">
        <v>154</v>
      </c>
      <c r="C6" s="132">
        <v>5</v>
      </c>
      <c r="D6" s="128" t="s">
        <v>142</v>
      </c>
      <c r="E6" s="128" t="s">
        <v>142</v>
      </c>
      <c r="F6" s="128">
        <v>3.4</v>
      </c>
      <c r="G6" s="128" t="s">
        <v>142</v>
      </c>
      <c r="H6" s="129" t="s">
        <v>142</v>
      </c>
      <c r="I6" s="129">
        <v>7.73</v>
      </c>
      <c r="J6" s="128">
        <v>3.27</v>
      </c>
      <c r="K6" s="128"/>
      <c r="L6" s="130">
        <f>AVERAGE(D6:E6,F6:K6)</f>
        <v>4.8</v>
      </c>
      <c r="M6" s="125">
        <f>C6</f>
        <v>5</v>
      </c>
      <c r="N6" s="139">
        <v>12</v>
      </c>
      <c r="O6" s="131">
        <f>(L6*M6)*($P$4/N6)</f>
        <v>24</v>
      </c>
    </row>
    <row r="7" spans="1:16" ht="45" customHeight="1" x14ac:dyDescent="0.2">
      <c r="A7" s="98">
        <v>2</v>
      </c>
      <c r="B7" s="133" t="s">
        <v>155</v>
      </c>
      <c r="C7" s="132">
        <v>6</v>
      </c>
      <c r="D7" s="128" t="s">
        <v>142</v>
      </c>
      <c r="E7" s="128">
        <v>5.33</v>
      </c>
      <c r="F7" s="128">
        <v>3</v>
      </c>
      <c r="G7" s="128" t="s">
        <v>142</v>
      </c>
      <c r="H7" s="129" t="s">
        <v>142</v>
      </c>
      <c r="I7" s="129">
        <v>2.74</v>
      </c>
      <c r="J7" s="128" t="s">
        <v>142</v>
      </c>
      <c r="K7" s="128"/>
      <c r="L7" s="130">
        <f t="shared" ref="L7:L24" si="0">AVERAGE(D7:E7,F7:K7)</f>
        <v>3.69</v>
      </c>
      <c r="M7" s="125">
        <f t="shared" ref="M7:M24" si="1">C7</f>
        <v>6</v>
      </c>
      <c r="N7" s="139">
        <v>12</v>
      </c>
      <c r="O7" s="131">
        <f>(L7*M7)*($P$4/N7)</f>
        <v>22.14</v>
      </c>
    </row>
    <row r="8" spans="1:16" ht="38.25" x14ac:dyDescent="0.2">
      <c r="A8" s="98">
        <v>3</v>
      </c>
      <c r="B8" s="133" t="s">
        <v>156</v>
      </c>
      <c r="C8" s="132">
        <v>2</v>
      </c>
      <c r="D8" s="128" t="s">
        <v>142</v>
      </c>
      <c r="E8" s="128" t="s">
        <v>142</v>
      </c>
      <c r="F8" s="128">
        <v>8</v>
      </c>
      <c r="G8" s="128" t="s">
        <v>142</v>
      </c>
      <c r="H8" s="129" t="s">
        <v>142</v>
      </c>
      <c r="I8" s="129" t="s">
        <v>142</v>
      </c>
      <c r="J8" s="128">
        <v>11.95</v>
      </c>
      <c r="K8" s="128"/>
      <c r="L8" s="130">
        <f t="shared" si="0"/>
        <v>9.98</v>
      </c>
      <c r="M8" s="125">
        <f t="shared" si="1"/>
        <v>2</v>
      </c>
      <c r="N8" s="139">
        <v>12</v>
      </c>
      <c r="O8" s="131">
        <f>(L8*M8)*($P$4/N8)</f>
        <v>19.96</v>
      </c>
    </row>
    <row r="9" spans="1:16" ht="38.25" x14ac:dyDescent="0.2">
      <c r="A9" s="98">
        <v>4</v>
      </c>
      <c r="B9" s="133" t="s">
        <v>157</v>
      </c>
      <c r="C9" s="132">
        <v>1</v>
      </c>
      <c r="D9" s="128" t="s">
        <v>142</v>
      </c>
      <c r="E9" s="128" t="s">
        <v>142</v>
      </c>
      <c r="F9" s="128">
        <v>75</v>
      </c>
      <c r="G9" s="128" t="s">
        <v>142</v>
      </c>
      <c r="H9" s="129">
        <v>64.489999999999995</v>
      </c>
      <c r="I9" s="129">
        <v>124.95</v>
      </c>
      <c r="J9" s="128" t="s">
        <v>142</v>
      </c>
      <c r="K9" s="128"/>
      <c r="L9" s="130">
        <f t="shared" si="0"/>
        <v>88.15</v>
      </c>
      <c r="M9" s="125">
        <f t="shared" si="1"/>
        <v>1</v>
      </c>
      <c r="N9" s="139">
        <v>60</v>
      </c>
      <c r="O9" s="131">
        <f>(L9*M9)*($P$4/N9)</f>
        <v>17.63</v>
      </c>
    </row>
    <row r="10" spans="1:16" ht="31.5" customHeight="1" x14ac:dyDescent="0.2">
      <c r="A10" s="98">
        <v>5</v>
      </c>
      <c r="B10" s="133" t="s">
        <v>158</v>
      </c>
      <c r="C10" s="132">
        <v>5</v>
      </c>
      <c r="D10" s="128">
        <v>1.95</v>
      </c>
      <c r="E10" s="128">
        <v>2.63</v>
      </c>
      <c r="F10" s="128">
        <v>0.6</v>
      </c>
      <c r="G10" s="128">
        <v>4.4000000000000004</v>
      </c>
      <c r="H10" s="129" t="s">
        <v>142</v>
      </c>
      <c r="I10" s="129" t="s">
        <v>142</v>
      </c>
      <c r="J10" s="128" t="s">
        <v>142</v>
      </c>
      <c r="K10" s="128"/>
      <c r="L10" s="130">
        <f t="shared" si="0"/>
        <v>2.4</v>
      </c>
      <c r="M10" s="125">
        <f t="shared" si="1"/>
        <v>5</v>
      </c>
      <c r="N10" s="139">
        <v>12</v>
      </c>
      <c r="O10" s="131">
        <f t="shared" ref="O10:O23" si="2">(L10*M10)*($P$4/N10)</f>
        <v>12</v>
      </c>
    </row>
    <row r="11" spans="1:16" ht="38.25" x14ac:dyDescent="0.2">
      <c r="A11" s="98">
        <v>6</v>
      </c>
      <c r="B11" s="133" t="s">
        <v>159</v>
      </c>
      <c r="C11" s="132">
        <v>3</v>
      </c>
      <c r="D11" s="128">
        <v>39</v>
      </c>
      <c r="E11" s="128">
        <v>45</v>
      </c>
      <c r="F11" s="128">
        <v>21</v>
      </c>
      <c r="G11" s="128">
        <v>10</v>
      </c>
      <c r="H11" s="129">
        <v>89.97</v>
      </c>
      <c r="I11" s="129">
        <v>53.69</v>
      </c>
      <c r="J11" s="128" t="s">
        <v>142</v>
      </c>
      <c r="K11" s="128"/>
      <c r="L11" s="130">
        <f t="shared" si="0"/>
        <v>43.11</v>
      </c>
      <c r="M11" s="125">
        <f t="shared" si="1"/>
        <v>3</v>
      </c>
      <c r="N11" s="139">
        <v>60</v>
      </c>
      <c r="O11" s="131">
        <f t="shared" si="2"/>
        <v>25.87</v>
      </c>
    </row>
    <row r="12" spans="1:16" ht="38.25" x14ac:dyDescent="0.2">
      <c r="A12" s="98">
        <v>7</v>
      </c>
      <c r="B12" s="133" t="s">
        <v>160</v>
      </c>
      <c r="C12" s="132">
        <v>50</v>
      </c>
      <c r="D12" s="128">
        <v>0.65</v>
      </c>
      <c r="E12" s="128">
        <v>2.59</v>
      </c>
      <c r="F12" s="128">
        <v>0.4</v>
      </c>
      <c r="G12" s="128">
        <v>0.3</v>
      </c>
      <c r="H12" s="129">
        <v>0.85</v>
      </c>
      <c r="I12" s="129">
        <v>0.7</v>
      </c>
      <c r="J12" s="128"/>
      <c r="K12" s="128"/>
      <c r="L12" s="130">
        <f t="shared" si="0"/>
        <v>0.92</v>
      </c>
      <c r="M12" s="125">
        <f t="shared" si="1"/>
        <v>50</v>
      </c>
      <c r="N12" s="139">
        <v>12</v>
      </c>
      <c r="O12" s="131">
        <f t="shared" si="2"/>
        <v>46</v>
      </c>
    </row>
    <row r="13" spans="1:16" ht="38.25" x14ac:dyDescent="0.2">
      <c r="A13" s="98">
        <v>8</v>
      </c>
      <c r="B13" s="134" t="s">
        <v>194</v>
      </c>
      <c r="C13" s="132">
        <v>50</v>
      </c>
      <c r="D13" s="128">
        <v>1.95</v>
      </c>
      <c r="E13" s="128">
        <v>2.63</v>
      </c>
      <c r="F13" s="128" t="s">
        <v>142</v>
      </c>
      <c r="G13" s="128" t="s">
        <v>142</v>
      </c>
      <c r="H13" s="129">
        <v>4.7</v>
      </c>
      <c r="I13" s="129">
        <v>2.5</v>
      </c>
      <c r="J13" s="128" t="s">
        <v>142</v>
      </c>
      <c r="K13" s="128"/>
      <c r="L13" s="130">
        <f t="shared" si="0"/>
        <v>2.95</v>
      </c>
      <c r="M13" s="125">
        <f t="shared" si="1"/>
        <v>50</v>
      </c>
      <c r="N13" s="139">
        <v>12</v>
      </c>
      <c r="O13" s="131">
        <f t="shared" si="2"/>
        <v>147.5</v>
      </c>
    </row>
    <row r="14" spans="1:16" ht="25.5" x14ac:dyDescent="0.2">
      <c r="A14" s="98">
        <v>9</v>
      </c>
      <c r="B14" s="133" t="s">
        <v>161</v>
      </c>
      <c r="C14" s="132">
        <v>1</v>
      </c>
      <c r="D14" s="128" t="s">
        <v>142</v>
      </c>
      <c r="E14" s="128" t="s">
        <v>142</v>
      </c>
      <c r="F14" s="128">
        <v>5100</v>
      </c>
      <c r="G14" s="128" t="s">
        <v>142</v>
      </c>
      <c r="H14" s="129">
        <v>6707.16</v>
      </c>
      <c r="I14" s="129">
        <v>5070.22</v>
      </c>
      <c r="J14" s="128" t="s">
        <v>142</v>
      </c>
      <c r="K14" s="128"/>
      <c r="L14" s="130">
        <f t="shared" si="0"/>
        <v>5625.79</v>
      </c>
      <c r="M14" s="125">
        <f t="shared" si="1"/>
        <v>1</v>
      </c>
      <c r="N14" s="139">
        <v>60</v>
      </c>
      <c r="O14" s="131">
        <f t="shared" si="2"/>
        <v>1125.1600000000001</v>
      </c>
    </row>
    <row r="15" spans="1:16" ht="21.75" customHeight="1" x14ac:dyDescent="0.2">
      <c r="A15" s="98">
        <v>10</v>
      </c>
      <c r="B15" s="133" t="s">
        <v>192</v>
      </c>
      <c r="C15" s="132">
        <v>4</v>
      </c>
      <c r="D15" s="128">
        <v>5.2</v>
      </c>
      <c r="E15" s="128" t="s">
        <v>142</v>
      </c>
      <c r="F15" s="128">
        <v>5</v>
      </c>
      <c r="G15" s="128" t="s">
        <v>142</v>
      </c>
      <c r="H15" s="129" t="s">
        <v>142</v>
      </c>
      <c r="I15" s="129">
        <v>5.65</v>
      </c>
      <c r="J15" s="128" t="s">
        <v>142</v>
      </c>
      <c r="K15" s="128"/>
      <c r="L15" s="130">
        <f t="shared" si="0"/>
        <v>5.28</v>
      </c>
      <c r="M15" s="125">
        <f t="shared" si="1"/>
        <v>4</v>
      </c>
      <c r="N15" s="139">
        <v>12</v>
      </c>
      <c r="O15" s="131">
        <f t="shared" si="2"/>
        <v>21.12</v>
      </c>
    </row>
    <row r="16" spans="1:16" ht="97.5" customHeight="1" x14ac:dyDescent="0.2">
      <c r="A16" s="98">
        <v>11</v>
      </c>
      <c r="B16" s="133" t="s">
        <v>162</v>
      </c>
      <c r="C16" s="132">
        <v>4</v>
      </c>
      <c r="D16" s="128">
        <v>45.5</v>
      </c>
      <c r="E16" s="128">
        <v>18.75</v>
      </c>
      <c r="F16" s="128">
        <v>11.5</v>
      </c>
      <c r="G16" s="128">
        <v>17.28</v>
      </c>
      <c r="H16" s="129">
        <v>23.2</v>
      </c>
      <c r="I16" s="129">
        <v>16.399999999999999</v>
      </c>
      <c r="J16" s="128" t="s">
        <v>142</v>
      </c>
      <c r="K16" s="128"/>
      <c r="L16" s="130">
        <f t="shared" si="0"/>
        <v>22.11</v>
      </c>
      <c r="M16" s="125">
        <f t="shared" si="1"/>
        <v>4</v>
      </c>
      <c r="N16" s="139">
        <v>60</v>
      </c>
      <c r="O16" s="131">
        <f t="shared" si="2"/>
        <v>17.690000000000001</v>
      </c>
    </row>
    <row r="17" spans="1:15" ht="38.25" x14ac:dyDescent="0.2">
      <c r="A17" s="98">
        <v>12</v>
      </c>
      <c r="B17" s="133" t="s">
        <v>163</v>
      </c>
      <c r="C17" s="132">
        <v>5</v>
      </c>
      <c r="D17" s="128">
        <v>24.7</v>
      </c>
      <c r="E17" s="128">
        <v>26.25</v>
      </c>
      <c r="F17" s="128">
        <v>11.8</v>
      </c>
      <c r="G17" s="128">
        <v>18</v>
      </c>
      <c r="H17" s="129">
        <v>30</v>
      </c>
      <c r="I17" s="129">
        <v>15.78</v>
      </c>
      <c r="J17" s="128" t="s">
        <v>142</v>
      </c>
      <c r="K17" s="128"/>
      <c r="L17" s="130">
        <f t="shared" si="0"/>
        <v>21.09</v>
      </c>
      <c r="M17" s="125">
        <f t="shared" si="1"/>
        <v>5</v>
      </c>
      <c r="N17" s="139">
        <v>12</v>
      </c>
      <c r="O17" s="131">
        <f t="shared" si="2"/>
        <v>105.45</v>
      </c>
    </row>
    <row r="18" spans="1:15" ht="25.5" x14ac:dyDescent="0.2">
      <c r="A18" s="98">
        <v>13</v>
      </c>
      <c r="B18" s="133" t="s">
        <v>164</v>
      </c>
      <c r="C18" s="132">
        <v>1</v>
      </c>
      <c r="D18" s="128" t="s">
        <v>142</v>
      </c>
      <c r="E18" s="128">
        <v>26.25</v>
      </c>
      <c r="F18" s="128">
        <v>6</v>
      </c>
      <c r="G18" s="128" t="s">
        <v>142</v>
      </c>
      <c r="H18" s="129">
        <v>40</v>
      </c>
      <c r="I18" s="129">
        <v>6.05</v>
      </c>
      <c r="J18" s="128" t="s">
        <v>142</v>
      </c>
      <c r="K18" s="128"/>
      <c r="L18" s="130">
        <f t="shared" si="0"/>
        <v>19.579999999999998</v>
      </c>
      <c r="M18" s="125">
        <f t="shared" si="1"/>
        <v>1</v>
      </c>
      <c r="N18" s="139">
        <v>12</v>
      </c>
      <c r="O18" s="131">
        <f t="shared" si="2"/>
        <v>19.579999999999998</v>
      </c>
    </row>
    <row r="19" spans="1:15" ht="25.5" x14ac:dyDescent="0.2">
      <c r="A19" s="98">
        <v>14</v>
      </c>
      <c r="B19" s="134" t="s">
        <v>165</v>
      </c>
      <c r="C19" s="132">
        <v>5</v>
      </c>
      <c r="D19" s="128" t="s">
        <v>142</v>
      </c>
      <c r="E19" s="128" t="s">
        <v>142</v>
      </c>
      <c r="F19" s="128" t="s">
        <v>142</v>
      </c>
      <c r="G19" s="128" t="s">
        <v>142</v>
      </c>
      <c r="H19" s="129" t="s">
        <v>142</v>
      </c>
      <c r="I19" s="129" t="s">
        <v>142</v>
      </c>
      <c r="J19" s="128" t="s">
        <v>142</v>
      </c>
      <c r="K19" s="128">
        <v>9.31</v>
      </c>
      <c r="L19" s="130">
        <f t="shared" si="0"/>
        <v>9.31</v>
      </c>
      <c r="M19" s="125">
        <f t="shared" si="1"/>
        <v>5</v>
      </c>
      <c r="N19" s="139">
        <v>12</v>
      </c>
      <c r="O19" s="131">
        <f t="shared" si="2"/>
        <v>46.55</v>
      </c>
    </row>
    <row r="20" spans="1:15" ht="104.25" customHeight="1" x14ac:dyDescent="0.2">
      <c r="A20" s="98">
        <v>15</v>
      </c>
      <c r="B20" s="133" t="s">
        <v>166</v>
      </c>
      <c r="C20" s="132">
        <v>1</v>
      </c>
      <c r="D20" s="128">
        <v>325</v>
      </c>
      <c r="E20" s="128">
        <v>285</v>
      </c>
      <c r="F20" s="128">
        <v>340</v>
      </c>
      <c r="G20" s="128">
        <v>180</v>
      </c>
      <c r="H20" s="129">
        <v>499</v>
      </c>
      <c r="I20" s="129">
        <v>337.84</v>
      </c>
      <c r="J20" s="128" t="s">
        <v>142</v>
      </c>
      <c r="K20" s="128"/>
      <c r="L20" s="130">
        <f t="shared" si="0"/>
        <v>327.81</v>
      </c>
      <c r="M20" s="125">
        <f t="shared" si="1"/>
        <v>1</v>
      </c>
      <c r="N20" s="139">
        <v>60</v>
      </c>
      <c r="O20" s="131">
        <f t="shared" si="2"/>
        <v>65.56</v>
      </c>
    </row>
    <row r="21" spans="1:15" ht="45" customHeight="1" x14ac:dyDescent="0.2">
      <c r="A21" s="98">
        <v>16</v>
      </c>
      <c r="B21" s="133" t="s">
        <v>167</v>
      </c>
      <c r="C21" s="132">
        <v>1</v>
      </c>
      <c r="D21" s="128">
        <v>195</v>
      </c>
      <c r="E21" s="128">
        <v>123.75</v>
      </c>
      <c r="F21" s="128" t="s">
        <v>142</v>
      </c>
      <c r="G21" s="128">
        <v>90</v>
      </c>
      <c r="H21" s="129">
        <v>120</v>
      </c>
      <c r="I21" s="129">
        <v>192.79</v>
      </c>
      <c r="J21" s="128" t="s">
        <v>142</v>
      </c>
      <c r="K21" s="128"/>
      <c r="L21" s="130">
        <f t="shared" si="0"/>
        <v>144.31</v>
      </c>
      <c r="M21" s="125">
        <f t="shared" si="1"/>
        <v>1</v>
      </c>
      <c r="N21" s="139">
        <v>60</v>
      </c>
      <c r="O21" s="131">
        <f t="shared" si="2"/>
        <v>28.86</v>
      </c>
    </row>
    <row r="22" spans="1:15" ht="25.5" x14ac:dyDescent="0.2">
      <c r="A22" s="98">
        <v>17</v>
      </c>
      <c r="B22" s="133" t="s">
        <v>168</v>
      </c>
      <c r="C22" s="132">
        <v>10</v>
      </c>
      <c r="D22" s="128">
        <v>3.25</v>
      </c>
      <c r="E22" s="128">
        <v>3.9</v>
      </c>
      <c r="F22" s="128">
        <v>2.19</v>
      </c>
      <c r="G22" s="128" t="s">
        <v>142</v>
      </c>
      <c r="H22" s="129">
        <v>6.46</v>
      </c>
      <c r="I22" s="129">
        <v>6.22</v>
      </c>
      <c r="J22" s="128" t="s">
        <v>142</v>
      </c>
      <c r="K22" s="128"/>
      <c r="L22" s="130">
        <f t="shared" si="0"/>
        <v>4.4000000000000004</v>
      </c>
      <c r="M22" s="125">
        <f t="shared" si="1"/>
        <v>10</v>
      </c>
      <c r="N22" s="139">
        <v>12</v>
      </c>
      <c r="O22" s="131">
        <f t="shared" si="2"/>
        <v>44</v>
      </c>
    </row>
    <row r="23" spans="1:15" ht="25.5" x14ac:dyDescent="0.2">
      <c r="A23" s="98">
        <v>18</v>
      </c>
      <c r="B23" s="133" t="s">
        <v>169</v>
      </c>
      <c r="C23" s="132">
        <v>2</v>
      </c>
      <c r="D23" s="128" t="s">
        <v>142</v>
      </c>
      <c r="E23" s="128">
        <v>93.75</v>
      </c>
      <c r="F23" s="128">
        <v>15</v>
      </c>
      <c r="G23" s="128" t="s">
        <v>142</v>
      </c>
      <c r="H23" s="129">
        <v>14.9</v>
      </c>
      <c r="I23" s="129">
        <v>17.3</v>
      </c>
      <c r="J23" s="128" t="s">
        <v>142</v>
      </c>
      <c r="K23" s="128"/>
      <c r="L23" s="130">
        <f t="shared" si="0"/>
        <v>35.24</v>
      </c>
      <c r="M23" s="125">
        <f t="shared" si="1"/>
        <v>2</v>
      </c>
      <c r="N23" s="139">
        <v>60</v>
      </c>
      <c r="O23" s="131">
        <f t="shared" si="2"/>
        <v>14.1</v>
      </c>
    </row>
    <row r="24" spans="1:15" ht="25.5" x14ac:dyDescent="0.2">
      <c r="A24" s="98">
        <v>19</v>
      </c>
      <c r="B24" s="133" t="s">
        <v>170</v>
      </c>
      <c r="C24" s="132">
        <v>2</v>
      </c>
      <c r="D24" s="128">
        <v>26</v>
      </c>
      <c r="E24" s="128">
        <v>22.5</v>
      </c>
      <c r="F24" s="128">
        <v>29.7</v>
      </c>
      <c r="G24" s="128" t="s">
        <v>142</v>
      </c>
      <c r="H24" s="129">
        <v>25.47</v>
      </c>
      <c r="I24" s="129">
        <v>24.23</v>
      </c>
      <c r="J24" s="128" t="s">
        <v>142</v>
      </c>
      <c r="K24" s="128"/>
      <c r="L24" s="130">
        <f t="shared" si="0"/>
        <v>25.58</v>
      </c>
      <c r="M24" s="125">
        <f t="shared" si="1"/>
        <v>2</v>
      </c>
      <c r="N24" s="139">
        <v>60</v>
      </c>
      <c r="O24" s="131">
        <f>(L24*M24)*($P$4/N24)</f>
        <v>10.23</v>
      </c>
    </row>
    <row r="25" spans="1:15" x14ac:dyDescent="0.2">
      <c r="L25" s="236" t="s">
        <v>202</v>
      </c>
      <c r="M25" s="236"/>
      <c r="N25" s="236"/>
      <c r="O25" s="158">
        <f>SUM(O6:O24)</f>
        <v>1813.4</v>
      </c>
    </row>
    <row r="26" spans="1:15" x14ac:dyDescent="0.2">
      <c r="L26" s="236" t="s">
        <v>203</v>
      </c>
      <c r="M26" s="236"/>
      <c r="N26" s="236"/>
      <c r="O26" s="159">
        <f>O25/12</f>
        <v>151.12</v>
      </c>
    </row>
    <row r="27" spans="1:15" x14ac:dyDescent="0.2">
      <c r="L27" s="237" t="s">
        <v>204</v>
      </c>
      <c r="M27" s="237"/>
      <c r="N27" s="237"/>
      <c r="O27" s="160">
        <f>O26/12</f>
        <v>12.59</v>
      </c>
    </row>
  </sheetData>
  <mergeCells count="12">
    <mergeCell ref="A1:O1"/>
    <mergeCell ref="L25:N25"/>
    <mergeCell ref="L26:N26"/>
    <mergeCell ref="L27:N27"/>
    <mergeCell ref="A4:A5"/>
    <mergeCell ref="D3:J3"/>
    <mergeCell ref="D2:J2"/>
    <mergeCell ref="M4:M5"/>
    <mergeCell ref="O4:O5"/>
    <mergeCell ref="N4:N5"/>
    <mergeCell ref="C4:C5"/>
    <mergeCell ref="B4:B5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F140-132D-4BC6-88CC-2D1D94A749CC}">
  <dimension ref="A2:P21"/>
  <sheetViews>
    <sheetView tabSelected="1" topLeftCell="A12" zoomScale="90" zoomScaleNormal="90" workbookViewId="0">
      <selection activeCell="M29" sqref="M29"/>
    </sheetView>
  </sheetViews>
  <sheetFormatPr defaultRowHeight="12.75" x14ac:dyDescent="0.2"/>
  <cols>
    <col min="1" max="1" width="3" style="84" bestFit="1" customWidth="1"/>
    <col min="2" max="2" width="44.140625" style="84" customWidth="1"/>
    <col min="3" max="3" width="9.28515625" style="84" bestFit="1" customWidth="1"/>
    <col min="4" max="5" width="10.85546875" style="84" bestFit="1" customWidth="1"/>
    <col min="6" max="6" width="11.7109375" style="84" bestFit="1" customWidth="1"/>
    <col min="7" max="7" width="10.85546875" style="84" bestFit="1" customWidth="1"/>
    <col min="8" max="9" width="11.7109375" style="84" bestFit="1" customWidth="1"/>
    <col min="10" max="10" width="9.85546875" style="84" bestFit="1" customWidth="1"/>
    <col min="11" max="11" width="9.28515625" style="84" bestFit="1" customWidth="1"/>
    <col min="12" max="12" width="11.7109375" style="84" bestFit="1" customWidth="1"/>
    <col min="13" max="14" width="9.28515625" style="84" bestFit="1" customWidth="1"/>
    <col min="15" max="15" width="12.28515625" style="84" bestFit="1" customWidth="1"/>
    <col min="16" max="16384" width="9.140625" style="84"/>
  </cols>
  <sheetData>
    <row r="2" spans="1:16" ht="15" customHeight="1" x14ac:dyDescent="0.25">
      <c r="A2" s="233" t="s">
        <v>197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5"/>
    </row>
    <row r="3" spans="1:16" ht="15" customHeight="1" x14ac:dyDescent="0.25">
      <c r="A3" s="148"/>
      <c r="B3" s="148"/>
      <c r="C3" s="148"/>
      <c r="D3" s="239" t="s">
        <v>200</v>
      </c>
      <c r="E3" s="240"/>
      <c r="F3" s="240"/>
      <c r="G3" s="240"/>
      <c r="H3" s="240"/>
      <c r="I3" s="240"/>
      <c r="J3" s="240"/>
      <c r="K3" s="247"/>
      <c r="L3" s="148"/>
      <c r="M3" s="148"/>
      <c r="N3" s="148"/>
      <c r="O3" s="148"/>
    </row>
    <row r="4" spans="1:16" ht="15" customHeight="1" x14ac:dyDescent="0.25">
      <c r="A4" s="148"/>
      <c r="B4" s="148"/>
      <c r="C4" s="148"/>
      <c r="D4" s="246" t="s">
        <v>201</v>
      </c>
      <c r="E4" s="246"/>
      <c r="F4" s="246"/>
      <c r="G4" s="246"/>
      <c r="H4" s="246"/>
      <c r="I4" s="246"/>
      <c r="J4" s="246"/>
      <c r="K4" s="148" t="s">
        <v>193</v>
      </c>
      <c r="L4" s="148"/>
      <c r="M4" s="148"/>
      <c r="N4" s="148"/>
      <c r="O4" s="148"/>
    </row>
    <row r="5" spans="1:16" ht="63.75" x14ac:dyDescent="0.2">
      <c r="A5" s="245" t="s">
        <v>196</v>
      </c>
      <c r="B5" s="248" t="s">
        <v>131</v>
      </c>
      <c r="C5" s="248" t="s">
        <v>186</v>
      </c>
      <c r="D5" s="136" t="s">
        <v>183</v>
      </c>
      <c r="E5" s="136" t="s">
        <v>184</v>
      </c>
      <c r="F5" s="136" t="s">
        <v>187</v>
      </c>
      <c r="G5" s="136" t="s">
        <v>188</v>
      </c>
      <c r="H5" s="137" t="s">
        <v>189</v>
      </c>
      <c r="I5" s="137" t="s">
        <v>191</v>
      </c>
      <c r="J5" s="136" t="s">
        <v>147</v>
      </c>
      <c r="K5" s="136" t="s">
        <v>193</v>
      </c>
      <c r="L5" s="138" t="s">
        <v>143</v>
      </c>
      <c r="M5" s="242" t="s">
        <v>133</v>
      </c>
      <c r="N5" s="242" t="s">
        <v>144</v>
      </c>
      <c r="O5" s="242" t="s">
        <v>137</v>
      </c>
      <c r="P5" s="84">
        <v>12</v>
      </c>
    </row>
    <row r="6" spans="1:16" ht="25.5" x14ac:dyDescent="0.2">
      <c r="A6" s="245"/>
      <c r="B6" s="244"/>
      <c r="C6" s="244"/>
      <c r="D6" s="124" t="s">
        <v>132</v>
      </c>
      <c r="E6" s="124" t="s">
        <v>132</v>
      </c>
      <c r="F6" s="126" t="s">
        <v>132</v>
      </c>
      <c r="G6" s="126" t="s">
        <v>132</v>
      </c>
      <c r="H6" s="126" t="s">
        <v>132</v>
      </c>
      <c r="I6" s="126" t="s">
        <v>132</v>
      </c>
      <c r="J6" s="126" t="s">
        <v>132</v>
      </c>
      <c r="K6" s="126" t="s">
        <v>132</v>
      </c>
      <c r="L6" s="127" t="s">
        <v>132</v>
      </c>
      <c r="M6" s="242"/>
      <c r="N6" s="242"/>
      <c r="O6" s="242"/>
    </row>
    <row r="7" spans="1:16" ht="78" customHeight="1" x14ac:dyDescent="0.2">
      <c r="A7" s="98">
        <v>1</v>
      </c>
      <c r="B7" s="133" t="s">
        <v>171</v>
      </c>
      <c r="C7" s="161">
        <v>4</v>
      </c>
      <c r="D7" s="128">
        <v>585</v>
      </c>
      <c r="E7" s="95" t="s">
        <v>142</v>
      </c>
      <c r="F7" s="128">
        <v>675</v>
      </c>
      <c r="G7" s="128">
        <v>163</v>
      </c>
      <c r="H7" s="129" t="s">
        <v>142</v>
      </c>
      <c r="I7" s="129" t="s">
        <v>142</v>
      </c>
      <c r="J7" s="128" t="s">
        <v>142</v>
      </c>
      <c r="K7" s="128" t="s">
        <v>142</v>
      </c>
      <c r="L7" s="130">
        <f>AVERAGE(D7:F7,F7:K7)</f>
        <v>524.5</v>
      </c>
      <c r="M7" s="125">
        <f>C7</f>
        <v>4</v>
      </c>
      <c r="N7" s="139">
        <v>60</v>
      </c>
      <c r="O7" s="131">
        <f>(L7*M7)*($P$5/N7)</f>
        <v>419.6</v>
      </c>
    </row>
    <row r="8" spans="1:16" ht="102" x14ac:dyDescent="0.2">
      <c r="A8" s="98">
        <v>2</v>
      </c>
      <c r="B8" s="133" t="s">
        <v>172</v>
      </c>
      <c r="C8" s="161">
        <v>6</v>
      </c>
      <c r="D8" s="128">
        <v>117</v>
      </c>
      <c r="E8" s="128">
        <v>120</v>
      </c>
      <c r="F8" s="128">
        <v>120</v>
      </c>
      <c r="G8" s="128" t="s">
        <v>142</v>
      </c>
      <c r="H8" s="129">
        <v>91</v>
      </c>
      <c r="I8" s="129">
        <v>118.3</v>
      </c>
      <c r="J8" s="128" t="s">
        <v>142</v>
      </c>
      <c r="K8" s="128" t="s">
        <v>142</v>
      </c>
      <c r="L8" s="130">
        <f t="shared" ref="L8:L17" si="0">AVERAGE(D8:E8,F8:K8)</f>
        <v>113.26</v>
      </c>
      <c r="M8" s="125">
        <f t="shared" ref="M8:M17" si="1">C8</f>
        <v>6</v>
      </c>
      <c r="N8" s="139">
        <v>60</v>
      </c>
      <c r="O8" s="131">
        <f t="shared" ref="O8:O17" si="2">(L8*M8)*($P$5/N8)</f>
        <v>135.91</v>
      </c>
    </row>
    <row r="9" spans="1:16" ht="52.5" customHeight="1" x14ac:dyDescent="0.2">
      <c r="A9" s="98">
        <v>3</v>
      </c>
      <c r="B9" s="133" t="s">
        <v>173</v>
      </c>
      <c r="C9" s="132">
        <v>6</v>
      </c>
      <c r="D9" s="128">
        <v>117</v>
      </c>
      <c r="E9" s="128" t="s">
        <v>142</v>
      </c>
      <c r="F9" s="128">
        <v>52</v>
      </c>
      <c r="G9" s="128">
        <v>10</v>
      </c>
      <c r="H9" s="129">
        <v>79</v>
      </c>
      <c r="I9" s="129" t="s">
        <v>142</v>
      </c>
      <c r="J9" s="128" t="s">
        <v>142</v>
      </c>
      <c r="K9" s="128" t="s">
        <v>142</v>
      </c>
      <c r="L9" s="130">
        <f t="shared" si="0"/>
        <v>64.5</v>
      </c>
      <c r="M9" s="125">
        <f t="shared" si="1"/>
        <v>6</v>
      </c>
      <c r="N9" s="139">
        <v>60</v>
      </c>
      <c r="O9" s="131">
        <f t="shared" si="2"/>
        <v>77.400000000000006</v>
      </c>
    </row>
    <row r="10" spans="1:16" ht="57" customHeight="1" x14ac:dyDescent="0.2">
      <c r="A10" s="98">
        <v>4</v>
      </c>
      <c r="B10" s="133" t="s">
        <v>174</v>
      </c>
      <c r="C10" s="132">
        <v>6</v>
      </c>
      <c r="D10" s="128" t="s">
        <v>142</v>
      </c>
      <c r="E10" s="128" t="s">
        <v>142</v>
      </c>
      <c r="F10" s="128" t="s">
        <v>142</v>
      </c>
      <c r="G10" s="128" t="s">
        <v>142</v>
      </c>
      <c r="H10" s="129" t="s">
        <v>142</v>
      </c>
      <c r="I10" s="129" t="s">
        <v>142</v>
      </c>
      <c r="J10" s="128">
        <v>180.6</v>
      </c>
      <c r="K10" s="128" t="s">
        <v>142</v>
      </c>
      <c r="L10" s="130">
        <f t="shared" si="0"/>
        <v>180.6</v>
      </c>
      <c r="M10" s="125">
        <f t="shared" si="1"/>
        <v>6</v>
      </c>
      <c r="N10" s="139">
        <v>60</v>
      </c>
      <c r="O10" s="131">
        <f t="shared" si="2"/>
        <v>216.72</v>
      </c>
    </row>
    <row r="11" spans="1:16" ht="32.25" customHeight="1" x14ac:dyDescent="0.2">
      <c r="A11" s="98">
        <v>5</v>
      </c>
      <c r="B11" s="133" t="s">
        <v>175</v>
      </c>
      <c r="C11" s="132">
        <v>12</v>
      </c>
      <c r="D11" s="128">
        <v>10</v>
      </c>
      <c r="E11" s="128">
        <v>22.5</v>
      </c>
      <c r="F11" s="128">
        <v>25</v>
      </c>
      <c r="G11" s="128" t="s">
        <v>142</v>
      </c>
      <c r="H11" s="129">
        <v>21.9</v>
      </c>
      <c r="I11" s="129">
        <v>12.27</v>
      </c>
      <c r="J11" s="128" t="s">
        <v>142</v>
      </c>
      <c r="K11" s="128" t="s">
        <v>142</v>
      </c>
      <c r="L11" s="130">
        <f t="shared" si="0"/>
        <v>18.329999999999998</v>
      </c>
      <c r="M11" s="125">
        <f t="shared" si="1"/>
        <v>12</v>
      </c>
      <c r="N11" s="139">
        <v>60</v>
      </c>
      <c r="O11" s="131">
        <f t="shared" si="2"/>
        <v>43.99</v>
      </c>
    </row>
    <row r="12" spans="1:16" ht="26.25" customHeight="1" x14ac:dyDescent="0.2">
      <c r="A12" s="98">
        <v>6</v>
      </c>
      <c r="B12" s="133" t="s">
        <v>176</v>
      </c>
      <c r="C12" s="132">
        <v>1</v>
      </c>
      <c r="D12" s="128" t="s">
        <v>142</v>
      </c>
      <c r="E12" s="128">
        <v>127.5</v>
      </c>
      <c r="F12" s="128" t="s">
        <v>142</v>
      </c>
      <c r="G12" s="128" t="s">
        <v>142</v>
      </c>
      <c r="H12" s="129">
        <v>132.16999999999999</v>
      </c>
      <c r="I12" s="129" t="s">
        <v>142</v>
      </c>
      <c r="J12" s="128">
        <v>94.44</v>
      </c>
      <c r="K12" s="128" t="s">
        <v>142</v>
      </c>
      <c r="L12" s="130">
        <f t="shared" si="0"/>
        <v>118.04</v>
      </c>
      <c r="M12" s="125">
        <f t="shared" si="1"/>
        <v>1</v>
      </c>
      <c r="N12" s="139">
        <v>60</v>
      </c>
      <c r="O12" s="131">
        <f t="shared" si="2"/>
        <v>23.61</v>
      </c>
    </row>
    <row r="13" spans="1:16" ht="66" customHeight="1" x14ac:dyDescent="0.2">
      <c r="A13" s="98">
        <v>7</v>
      </c>
      <c r="B13" s="133" t="s">
        <v>177</v>
      </c>
      <c r="C13" s="132">
        <v>12</v>
      </c>
      <c r="D13" s="128">
        <v>6.5</v>
      </c>
      <c r="E13" s="128">
        <v>22.5</v>
      </c>
      <c r="F13" s="128">
        <v>12</v>
      </c>
      <c r="G13" s="128" t="s">
        <v>142</v>
      </c>
      <c r="H13" s="129" t="s">
        <v>142</v>
      </c>
      <c r="I13" s="129">
        <v>5.26</v>
      </c>
      <c r="J13" s="128" t="s">
        <v>142</v>
      </c>
      <c r="K13" s="128" t="s">
        <v>142</v>
      </c>
      <c r="L13" s="130">
        <f t="shared" si="0"/>
        <v>11.57</v>
      </c>
      <c r="M13" s="125">
        <f t="shared" si="1"/>
        <v>12</v>
      </c>
      <c r="N13" s="139">
        <v>60</v>
      </c>
      <c r="O13" s="131">
        <f t="shared" si="2"/>
        <v>27.77</v>
      </c>
    </row>
    <row r="14" spans="1:16" ht="42" customHeight="1" x14ac:dyDescent="0.2">
      <c r="A14" s="98">
        <v>8</v>
      </c>
      <c r="B14" s="133" t="s">
        <v>178</v>
      </c>
      <c r="C14" s="132">
        <v>1</v>
      </c>
      <c r="D14" s="128" t="s">
        <v>142</v>
      </c>
      <c r="E14" s="128" t="s">
        <v>142</v>
      </c>
      <c r="F14" s="128" t="s">
        <v>142</v>
      </c>
      <c r="G14" s="128" t="s">
        <v>142</v>
      </c>
      <c r="H14" s="129" t="s">
        <v>142</v>
      </c>
      <c r="I14" s="129" t="s">
        <v>142</v>
      </c>
      <c r="J14" s="128">
        <v>381.26</v>
      </c>
      <c r="K14" s="128" t="s">
        <v>142</v>
      </c>
      <c r="L14" s="130">
        <f t="shared" si="0"/>
        <v>381.26</v>
      </c>
      <c r="M14" s="125">
        <f t="shared" si="1"/>
        <v>1</v>
      </c>
      <c r="N14" s="139">
        <v>60</v>
      </c>
      <c r="O14" s="131">
        <f t="shared" si="2"/>
        <v>76.25</v>
      </c>
    </row>
    <row r="15" spans="1:16" x14ac:dyDescent="0.2">
      <c r="A15" s="98">
        <v>9</v>
      </c>
      <c r="B15" s="133" t="s">
        <v>179</v>
      </c>
      <c r="C15" s="132">
        <v>1</v>
      </c>
      <c r="D15" s="128" t="s">
        <v>142</v>
      </c>
      <c r="E15" s="128" t="s">
        <v>142</v>
      </c>
      <c r="F15" s="128" t="s">
        <v>142</v>
      </c>
      <c r="G15" s="128" t="s">
        <v>142</v>
      </c>
      <c r="H15" s="129" t="s">
        <v>142</v>
      </c>
      <c r="I15" s="129" t="s">
        <v>142</v>
      </c>
      <c r="J15" s="128">
        <v>46.7</v>
      </c>
      <c r="K15" s="128">
        <v>80.5</v>
      </c>
      <c r="L15" s="130">
        <f t="shared" si="0"/>
        <v>63.6</v>
      </c>
      <c r="M15" s="125">
        <f t="shared" si="1"/>
        <v>1</v>
      </c>
      <c r="N15" s="139">
        <v>60</v>
      </c>
      <c r="O15" s="131">
        <f t="shared" si="2"/>
        <v>12.72</v>
      </c>
    </row>
    <row r="16" spans="1:16" x14ac:dyDescent="0.2">
      <c r="A16" s="98">
        <v>10</v>
      </c>
      <c r="B16" s="133" t="s">
        <v>180</v>
      </c>
      <c r="C16" s="132">
        <v>5</v>
      </c>
      <c r="D16" s="128">
        <v>6.5</v>
      </c>
      <c r="E16" s="128" t="s">
        <v>142</v>
      </c>
      <c r="F16" s="128" t="s">
        <v>142</v>
      </c>
      <c r="G16" s="128" t="s">
        <v>142</v>
      </c>
      <c r="H16" s="129">
        <v>9.0299999999999994</v>
      </c>
      <c r="I16" s="129" t="s">
        <v>142</v>
      </c>
      <c r="J16" s="128" t="s">
        <v>142</v>
      </c>
      <c r="K16" s="128" t="s">
        <v>142</v>
      </c>
      <c r="L16" s="130">
        <f t="shared" si="0"/>
        <v>7.77</v>
      </c>
      <c r="M16" s="125">
        <f t="shared" si="1"/>
        <v>5</v>
      </c>
      <c r="N16" s="139">
        <v>12</v>
      </c>
      <c r="O16" s="131">
        <f t="shared" si="2"/>
        <v>38.85</v>
      </c>
    </row>
    <row r="17" spans="1:15" x14ac:dyDescent="0.2">
      <c r="A17" s="98">
        <v>11</v>
      </c>
      <c r="B17" s="133" t="s">
        <v>181</v>
      </c>
      <c r="C17" s="132">
        <v>2</v>
      </c>
      <c r="D17" s="128" t="s">
        <v>142</v>
      </c>
      <c r="E17" s="128" t="s">
        <v>142</v>
      </c>
      <c r="F17" s="128" t="s">
        <v>142</v>
      </c>
      <c r="G17" s="128" t="s">
        <v>142</v>
      </c>
      <c r="H17" s="129" t="s">
        <v>142</v>
      </c>
      <c r="I17" s="129" t="s">
        <v>142</v>
      </c>
      <c r="J17" s="128">
        <v>12.38</v>
      </c>
      <c r="K17" s="128" t="s">
        <v>142</v>
      </c>
      <c r="L17" s="130">
        <f t="shared" si="0"/>
        <v>12.38</v>
      </c>
      <c r="M17" s="125">
        <f t="shared" si="1"/>
        <v>2</v>
      </c>
      <c r="N17" s="139">
        <v>12</v>
      </c>
      <c r="O17" s="131">
        <f t="shared" si="2"/>
        <v>24.76</v>
      </c>
    </row>
    <row r="18" spans="1:15" x14ac:dyDescent="0.2">
      <c r="L18" s="236" t="s">
        <v>202</v>
      </c>
      <c r="M18" s="236"/>
      <c r="N18" s="236"/>
      <c r="O18" s="158">
        <f>SUM(O7:O17)</f>
        <v>1097.58</v>
      </c>
    </row>
    <row r="19" spans="1:15" x14ac:dyDescent="0.2">
      <c r="L19" s="236" t="s">
        <v>203</v>
      </c>
      <c r="M19" s="236"/>
      <c r="N19" s="236"/>
      <c r="O19" s="159">
        <f>O18/12</f>
        <v>91.47</v>
      </c>
    </row>
    <row r="20" spans="1:15" x14ac:dyDescent="0.2">
      <c r="L20" s="237" t="s">
        <v>211</v>
      </c>
      <c r="M20" s="237"/>
      <c r="N20" s="237"/>
      <c r="O20" s="160">
        <f>O19/12</f>
        <v>7.62</v>
      </c>
    </row>
    <row r="21" spans="1:15" x14ac:dyDescent="0.2">
      <c r="L21" s="92"/>
      <c r="M21" s="92"/>
      <c r="N21" s="92"/>
      <c r="O21" s="92"/>
    </row>
  </sheetData>
  <mergeCells count="12">
    <mergeCell ref="L19:N19"/>
    <mergeCell ref="L20:N20"/>
    <mergeCell ref="A5:A6"/>
    <mergeCell ref="A2:O2"/>
    <mergeCell ref="D4:J4"/>
    <mergeCell ref="D3:K3"/>
    <mergeCell ref="L18:N18"/>
    <mergeCell ref="M5:M6"/>
    <mergeCell ref="O5:O6"/>
    <mergeCell ref="N5:N6"/>
    <mergeCell ref="B5:B6"/>
    <mergeCell ref="C5:C6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3</vt:i4>
      </vt:variant>
    </vt:vector>
  </HeadingPairs>
  <TitlesOfParts>
    <vt:vector size="11" baseType="lpstr">
      <vt:lpstr>RESUMO</vt:lpstr>
      <vt:lpstr>Brigadista Diurno 12x36</vt:lpstr>
      <vt:lpstr>Brigadista Noturno 12x36</vt:lpstr>
      <vt:lpstr>Brigadista Diurno Líder 12x36</vt:lpstr>
      <vt:lpstr>Custos Variáveis</vt:lpstr>
      <vt:lpstr>Uniforme</vt:lpstr>
      <vt:lpstr>Equipamentos - PS</vt:lpstr>
      <vt:lpstr>Equipamentos - Auxiliares</vt:lpstr>
      <vt:lpstr>'Brigadista Diurno 12x36'!Area_de_impressao</vt:lpstr>
      <vt:lpstr>'Brigadista Diurno Líder 12x36'!Area_de_impressao</vt:lpstr>
      <vt:lpstr>'Brigadista Noturno 12x36'!Area_de_impressao</vt:lpstr>
    </vt:vector>
  </TitlesOfParts>
  <Company>Controladoria-Geral da União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Ferreira de Macedo</dc:creator>
  <cp:lastModifiedBy>victor hugo martins dos santos</cp:lastModifiedBy>
  <cp:lastPrinted>2019-10-23T19:54:27Z</cp:lastPrinted>
  <dcterms:created xsi:type="dcterms:W3CDTF">2013-07-25T13:44:18Z</dcterms:created>
  <dcterms:modified xsi:type="dcterms:W3CDTF">2020-11-19T19:46:47Z</dcterms:modified>
</cp:coreProperties>
</file>