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Usuários\jair.correa\Documents\"/>
    </mc:Choice>
  </mc:AlternateContent>
  <xr:revisionPtr revIDLastSave="0" documentId="13_ncr:9_{9179B29F-1DB3-4B78-82B4-C021C35D151C}" xr6:coauthVersionLast="47" xr6:coauthVersionMax="47" xr10:uidLastSave="{00000000-0000-0000-0000-000000000000}"/>
  <bookViews>
    <workbookView xWindow="-120" yWindow="-120" windowWidth="29040" windowHeight="15720" tabRatio="551" activeTab="1" xr2:uid="{D6B54703-C7BC-4CD0-B57B-31ED4CD67E38}"/>
  </bookViews>
  <sheets>
    <sheet name="RECEITAS 2024" sheetId="35544" r:id="rId1"/>
    <sheet name="RECEITAS 2023" sheetId="35545" r:id="rId2"/>
    <sheet name="RECEITAS 2022" sheetId="35540" r:id="rId3"/>
    <sheet name="RECEITAS 2021" sheetId="35541" r:id="rId4"/>
  </sheets>
  <externalReferences>
    <externalReference r:id="rId5"/>
  </externalReferences>
  <definedNames>
    <definedName name="_xlnm.Print_Area">#REF!</definedName>
  </definedNames>
  <calcPr calcId="191029" concurrentCalc="0"/>
</workbook>
</file>

<file path=xl/calcChain.xml><?xml version="1.0" encoding="utf-8"?>
<calcChain xmlns="http://schemas.openxmlformats.org/spreadsheetml/2006/main">
  <c r="P17" i="35544" l="1"/>
  <c r="P13" i="35544"/>
  <c r="P9" i="35544"/>
  <c r="P5" i="35544"/>
  <c r="P17" i="35540"/>
  <c r="P13" i="35540"/>
  <c r="P9" i="35540"/>
  <c r="P5" i="35540"/>
  <c r="P17" i="35541"/>
  <c r="P13" i="35541"/>
  <c r="P9" i="35541"/>
  <c r="P5" i="35541"/>
  <c r="C32" i="35540"/>
  <c r="D32" i="35540"/>
  <c r="E32" i="35540"/>
  <c r="F32" i="35540"/>
  <c r="G32" i="35540"/>
  <c r="H32" i="35540"/>
  <c r="I32" i="35540"/>
  <c r="J32" i="35540"/>
  <c r="K32" i="35540"/>
  <c r="L32" i="35540"/>
  <c r="M32" i="35540"/>
  <c r="N32" i="35540"/>
  <c r="O32" i="35540"/>
  <c r="C36" i="35540"/>
  <c r="C41" i="35540"/>
  <c r="C35" i="35540"/>
  <c r="D36" i="35540"/>
  <c r="D35" i="35540"/>
  <c r="E36" i="35540"/>
  <c r="E41" i="35540"/>
  <c r="E48" i="35540"/>
  <c r="E35" i="35540"/>
  <c r="F36" i="35540"/>
  <c r="F41" i="35540"/>
  <c r="F35" i="35540"/>
  <c r="G36" i="35540"/>
  <c r="G41" i="35540"/>
  <c r="G35" i="35540"/>
  <c r="H36" i="35540"/>
  <c r="H41" i="35540"/>
  <c r="H35" i="35540"/>
  <c r="I36" i="35540"/>
  <c r="I41" i="35540"/>
  <c r="I35" i="35540"/>
  <c r="J36" i="35540"/>
  <c r="J41" i="35540"/>
  <c r="J35" i="35540"/>
  <c r="K36" i="35540"/>
  <c r="K41" i="35540"/>
  <c r="K35" i="35540"/>
  <c r="L36" i="35540"/>
  <c r="L41" i="35540"/>
  <c r="L35" i="35540"/>
  <c r="M36" i="35540"/>
  <c r="M41" i="35540"/>
  <c r="M35" i="35540"/>
  <c r="N36" i="35540"/>
  <c r="N41" i="35540"/>
  <c r="N35" i="35540"/>
  <c r="O35" i="35540"/>
  <c r="P35" i="35540"/>
  <c r="Q36" i="35540"/>
  <c r="Q37" i="35540"/>
  <c r="Q38" i="35540"/>
  <c r="Q39" i="35540"/>
  <c r="Q40" i="35540"/>
  <c r="Q41" i="35540"/>
  <c r="Q42" i="35540"/>
  <c r="Q43" i="35540"/>
  <c r="Q44" i="35540"/>
  <c r="Q45" i="35540"/>
  <c r="Q46" i="35540"/>
  <c r="Q47" i="35540"/>
  <c r="Q50" i="35540"/>
  <c r="Q51" i="35540"/>
  <c r="O52" i="35540"/>
  <c r="Q52" i="35540"/>
  <c r="O55" i="35540"/>
  <c r="Q55" i="35540"/>
  <c r="O56" i="35540"/>
  <c r="Q56" i="35540"/>
  <c r="O57" i="35540"/>
  <c r="Q57" i="35540"/>
  <c r="O58" i="35540"/>
  <c r="Q58" i="35540"/>
  <c r="O60" i="35540"/>
  <c r="Q60" i="35540"/>
  <c r="O61" i="35540"/>
  <c r="Q61" i="35540"/>
  <c r="O62" i="35540"/>
  <c r="Q62" i="35540"/>
  <c r="O63" i="35540"/>
  <c r="Q63" i="35540"/>
  <c r="O64" i="35540"/>
  <c r="Q64" i="35540"/>
  <c r="Q65" i="35540"/>
  <c r="O66" i="35540"/>
  <c r="Q66" i="35540"/>
  <c r="O67" i="35540"/>
  <c r="Q67" i="35540"/>
  <c r="O68" i="35540"/>
  <c r="Q68" i="35540"/>
  <c r="O69" i="35540"/>
  <c r="Q69" i="35540"/>
  <c r="O70" i="35540"/>
  <c r="Q70" i="35540"/>
  <c r="O71" i="35540"/>
  <c r="Q71" i="35540"/>
  <c r="O72" i="35540"/>
  <c r="Q72" i="35540"/>
  <c r="O73" i="35540"/>
  <c r="Q73" i="35540"/>
  <c r="O74" i="35540"/>
  <c r="Q74" i="35540"/>
  <c r="O75" i="35540"/>
  <c r="Q75" i="35540"/>
  <c r="O76" i="35540"/>
  <c r="Q76" i="35540"/>
  <c r="O77" i="35540"/>
  <c r="Q77" i="35540"/>
  <c r="O78" i="35540"/>
  <c r="Q78" i="35540"/>
  <c r="O79" i="35540"/>
  <c r="Q79" i="35540"/>
  <c r="Q35" i="35540"/>
  <c r="O80" i="35540"/>
  <c r="Q80" i="35540"/>
  <c r="D17" i="35545"/>
  <c r="C17" i="35545"/>
  <c r="E17" i="35545"/>
  <c r="F17" i="35545"/>
  <c r="G17" i="35545"/>
  <c r="H17" i="35545"/>
  <c r="I17" i="35545"/>
  <c r="J17" i="35545"/>
  <c r="K17" i="35545"/>
  <c r="L17" i="35545"/>
  <c r="M17" i="35545"/>
  <c r="N17" i="35545"/>
  <c r="O17" i="35545"/>
  <c r="D18" i="35545"/>
  <c r="P17" i="35545"/>
  <c r="D19" i="35545"/>
  <c r="E18" i="35545"/>
  <c r="E19" i="35545"/>
  <c r="F18" i="35545"/>
  <c r="F19" i="35545"/>
  <c r="G18" i="35545"/>
  <c r="G19" i="35545"/>
  <c r="H18" i="35545"/>
  <c r="H19" i="35545"/>
  <c r="I18" i="35545"/>
  <c r="I19" i="35545"/>
  <c r="J18" i="35545"/>
  <c r="J19" i="35545"/>
  <c r="K18" i="35545"/>
  <c r="K19" i="35545"/>
  <c r="L18" i="35545"/>
  <c r="L19" i="35545"/>
  <c r="M18" i="35545"/>
  <c r="M19" i="35545"/>
  <c r="N18" i="35545"/>
  <c r="N19" i="35545"/>
  <c r="C18" i="35545"/>
  <c r="C19" i="35545"/>
  <c r="C13" i="35545"/>
  <c r="D13" i="35545"/>
  <c r="E13" i="35545"/>
  <c r="F13" i="35545"/>
  <c r="G13" i="35545"/>
  <c r="H13" i="35545"/>
  <c r="I13" i="35545"/>
  <c r="J13" i="35545"/>
  <c r="K13" i="35545"/>
  <c r="L13" i="35545"/>
  <c r="M13" i="35545"/>
  <c r="N13" i="35545"/>
  <c r="O13" i="35545"/>
  <c r="D14" i="35545"/>
  <c r="P13" i="35545"/>
  <c r="D15" i="35545"/>
  <c r="E14" i="35545"/>
  <c r="E15" i="35545"/>
  <c r="F14" i="35545"/>
  <c r="F15" i="35545"/>
  <c r="G14" i="35545"/>
  <c r="G15" i="35545"/>
  <c r="H14" i="35545"/>
  <c r="H15" i="35545"/>
  <c r="I14" i="35545"/>
  <c r="I15" i="35545"/>
  <c r="J14" i="35545"/>
  <c r="J15" i="35545"/>
  <c r="K14" i="35545"/>
  <c r="K15" i="35545"/>
  <c r="L14" i="35545"/>
  <c r="L15" i="35545"/>
  <c r="M14" i="35545"/>
  <c r="M15" i="35545"/>
  <c r="N14" i="35545"/>
  <c r="N15" i="35545"/>
  <c r="C14" i="35545"/>
  <c r="C15" i="35545"/>
  <c r="C9" i="35545"/>
  <c r="D9" i="35545"/>
  <c r="E9" i="35545"/>
  <c r="F9" i="35545"/>
  <c r="G9" i="35545"/>
  <c r="H9" i="35545"/>
  <c r="I9" i="35545"/>
  <c r="J9" i="35545"/>
  <c r="K9" i="35545"/>
  <c r="L9" i="35545"/>
  <c r="M9" i="35545"/>
  <c r="N9" i="35545"/>
  <c r="O9" i="35545"/>
  <c r="D10" i="35545"/>
  <c r="E10" i="35545"/>
  <c r="F10" i="35545"/>
  <c r="G10" i="35545"/>
  <c r="H10" i="35545"/>
  <c r="I10" i="35545"/>
  <c r="J10" i="35545"/>
  <c r="K10" i="35545"/>
  <c r="L10" i="35545"/>
  <c r="M10" i="35545"/>
  <c r="N10" i="35545"/>
  <c r="C10" i="35545"/>
  <c r="D11" i="35545"/>
  <c r="E11" i="35545"/>
  <c r="F11" i="35545"/>
  <c r="G11" i="35545"/>
  <c r="H11" i="35545"/>
  <c r="I11" i="35545"/>
  <c r="J11" i="35545"/>
  <c r="K11" i="35545"/>
  <c r="L11" i="35545"/>
  <c r="M11" i="35545"/>
  <c r="N11" i="35545"/>
  <c r="C11" i="35545"/>
  <c r="C5" i="35545"/>
  <c r="D5" i="35545"/>
  <c r="E5" i="35545"/>
  <c r="F5" i="35545"/>
  <c r="G5" i="35545"/>
  <c r="H5" i="35545"/>
  <c r="I5" i="35545"/>
  <c r="J5" i="35545"/>
  <c r="K5" i="35545"/>
  <c r="L5" i="35545"/>
  <c r="M5" i="35545"/>
  <c r="N5" i="35545"/>
  <c r="O5" i="35545"/>
  <c r="D6" i="35545"/>
  <c r="D7" i="35545"/>
  <c r="E6" i="35545"/>
  <c r="E7" i="35545"/>
  <c r="F6" i="35545"/>
  <c r="F7" i="35545"/>
  <c r="G6" i="35545"/>
  <c r="G7" i="35545"/>
  <c r="H6" i="35545"/>
  <c r="H7" i="35545"/>
  <c r="I6" i="35545"/>
  <c r="I7" i="35545"/>
  <c r="J6" i="35545"/>
  <c r="J7" i="35545"/>
  <c r="K6" i="35545"/>
  <c r="K7" i="35545"/>
  <c r="L6" i="35545"/>
  <c r="L7" i="35545"/>
  <c r="M6" i="35545"/>
  <c r="M7" i="35545"/>
  <c r="N6" i="35545"/>
  <c r="N7" i="35545"/>
  <c r="C6" i="35545"/>
  <c r="C7" i="35545"/>
  <c r="O80" i="35545"/>
  <c r="Q80" i="35545"/>
  <c r="O79" i="35545"/>
  <c r="Q79" i="35545"/>
  <c r="O78" i="35545"/>
  <c r="Q78" i="35545"/>
  <c r="O77" i="35545"/>
  <c r="Q77" i="35545"/>
  <c r="O76" i="35545"/>
  <c r="Q76" i="35545"/>
  <c r="O75" i="35545"/>
  <c r="Q75" i="35545"/>
  <c r="O74" i="35545"/>
  <c r="Q74" i="35545"/>
  <c r="O73" i="35545"/>
  <c r="Q73" i="35545"/>
  <c r="O72" i="35545"/>
  <c r="Q72" i="35545"/>
  <c r="O71" i="35545"/>
  <c r="Q71" i="35545"/>
  <c r="O70" i="35545"/>
  <c r="Q70" i="35545"/>
  <c r="O69" i="35545"/>
  <c r="Q69" i="35545"/>
  <c r="O68" i="35545"/>
  <c r="Q68" i="35545"/>
  <c r="O67" i="35545"/>
  <c r="Q67" i="35545"/>
  <c r="O66" i="35545"/>
  <c r="Q66" i="35545"/>
  <c r="Q65" i="35545"/>
  <c r="O64" i="35545"/>
  <c r="Q64" i="35545"/>
  <c r="O63" i="35545"/>
  <c r="Q63" i="35545"/>
  <c r="O62" i="35545"/>
  <c r="Q62" i="35545"/>
  <c r="O61" i="35545"/>
  <c r="Q61" i="35545"/>
  <c r="O60" i="35545"/>
  <c r="Q60" i="35545"/>
  <c r="O58" i="35545"/>
  <c r="Q58" i="35545"/>
  <c r="O57" i="35545"/>
  <c r="Q57" i="35545"/>
  <c r="O56" i="35545"/>
  <c r="Q56" i="35545"/>
  <c r="O55" i="35545"/>
  <c r="Q55" i="35545"/>
  <c r="Q52" i="35545"/>
  <c r="Q51" i="35545"/>
  <c r="Q50" i="35545"/>
  <c r="Q47" i="35545"/>
  <c r="Q46" i="35545"/>
  <c r="Q45" i="35545"/>
  <c r="Q44" i="35545"/>
  <c r="Q43" i="35545"/>
  <c r="Q42" i="35545"/>
  <c r="Q41" i="35545"/>
  <c r="Q40" i="35545"/>
  <c r="Q39" i="35545"/>
  <c r="Q38" i="35545"/>
  <c r="Q37" i="35545"/>
  <c r="Q36" i="35545"/>
  <c r="P35" i="35545"/>
  <c r="N35" i="35545"/>
  <c r="M35" i="35545"/>
  <c r="L35" i="35545"/>
  <c r="K35" i="35545"/>
  <c r="J35" i="35545"/>
  <c r="I35" i="35545"/>
  <c r="H35" i="35545"/>
  <c r="G35" i="35545"/>
  <c r="F35" i="35545"/>
  <c r="E35" i="35545"/>
  <c r="D35" i="35545"/>
  <c r="C35" i="35545"/>
  <c r="O35" i="35545"/>
  <c r="N32" i="35545"/>
  <c r="M32" i="35545"/>
  <c r="L32" i="35545"/>
  <c r="K32" i="35545"/>
  <c r="J32" i="35545"/>
  <c r="I32" i="35545"/>
  <c r="H32" i="35545"/>
  <c r="G32" i="35545"/>
  <c r="F32" i="35545"/>
  <c r="E32" i="35545"/>
  <c r="D32" i="35545"/>
  <c r="C32" i="35545"/>
  <c r="O32" i="35545"/>
  <c r="P30" i="35545"/>
  <c r="N24" i="35545"/>
  <c r="M24" i="35545"/>
  <c r="L24" i="35545"/>
  <c r="K24" i="35545"/>
  <c r="J24" i="35545"/>
  <c r="I24" i="35545"/>
  <c r="H24" i="35545"/>
  <c r="G24" i="35545"/>
  <c r="F24" i="35545"/>
  <c r="E24" i="35545"/>
  <c r="D24" i="35545"/>
  <c r="C24" i="35545"/>
  <c r="O24" i="35545"/>
  <c r="Q17" i="35545"/>
  <c r="P21" i="35545"/>
  <c r="M21" i="35545"/>
  <c r="I21" i="35545"/>
  <c r="E21" i="35545"/>
  <c r="Q9" i="35545"/>
  <c r="N30" i="35545"/>
  <c r="M30" i="35545"/>
  <c r="L21" i="35545"/>
  <c r="K21" i="35545"/>
  <c r="J30" i="35545"/>
  <c r="I30" i="35545"/>
  <c r="H21" i="35545"/>
  <c r="G21" i="35545"/>
  <c r="F30" i="35545"/>
  <c r="E30" i="35545"/>
  <c r="D21" i="35545"/>
  <c r="C21" i="35545"/>
  <c r="O80" i="35544"/>
  <c r="Q80" i="35544"/>
  <c r="O79" i="35544"/>
  <c r="Q79" i="35544"/>
  <c r="O78" i="35544"/>
  <c r="Q78" i="35544"/>
  <c r="O77" i="35544"/>
  <c r="Q77" i="35544"/>
  <c r="O76" i="35544"/>
  <c r="Q76" i="35544"/>
  <c r="O75" i="35544"/>
  <c r="Q75" i="35544"/>
  <c r="O74" i="35544"/>
  <c r="Q74" i="35544"/>
  <c r="O73" i="35544"/>
  <c r="Q73" i="35544"/>
  <c r="O72" i="35544"/>
  <c r="Q72" i="35544"/>
  <c r="O71" i="35544"/>
  <c r="Q71" i="35544"/>
  <c r="O70" i="35544"/>
  <c r="Q70" i="35544"/>
  <c r="O69" i="35544"/>
  <c r="Q69" i="35544"/>
  <c r="O68" i="35544"/>
  <c r="Q68" i="35544"/>
  <c r="O67" i="35544"/>
  <c r="Q67" i="35544"/>
  <c r="O66" i="35544"/>
  <c r="Q66" i="35544"/>
  <c r="Q65" i="35544"/>
  <c r="O64" i="35544"/>
  <c r="Q64" i="35544"/>
  <c r="O63" i="35544"/>
  <c r="Q63" i="35544"/>
  <c r="O62" i="35544"/>
  <c r="Q62" i="35544"/>
  <c r="O61" i="35544"/>
  <c r="Q61" i="35544"/>
  <c r="O60" i="35544"/>
  <c r="Q60" i="35544"/>
  <c r="O58" i="35544"/>
  <c r="Q58" i="35544"/>
  <c r="O57" i="35544"/>
  <c r="Q57" i="35544"/>
  <c r="O56" i="35544"/>
  <c r="Q56" i="35544"/>
  <c r="O55" i="35544"/>
  <c r="Q55" i="35544"/>
  <c r="Q52" i="35544"/>
  <c r="Q51" i="35544"/>
  <c r="Q50" i="35544"/>
  <c r="Q47" i="35544"/>
  <c r="Q46" i="35544"/>
  <c r="Q45" i="35544"/>
  <c r="Q44" i="35544"/>
  <c r="Q43" i="35544"/>
  <c r="Q42" i="35544"/>
  <c r="Q41" i="35544"/>
  <c r="Q40" i="35544"/>
  <c r="Q39" i="35544"/>
  <c r="Q38" i="35544"/>
  <c r="Q37" i="35544"/>
  <c r="Q36" i="35544"/>
  <c r="P35" i="35544"/>
  <c r="N35" i="35544"/>
  <c r="M35" i="35544"/>
  <c r="L35" i="35544"/>
  <c r="K35" i="35544"/>
  <c r="J35" i="35544"/>
  <c r="I35" i="35544"/>
  <c r="H35" i="35544"/>
  <c r="G35" i="35544"/>
  <c r="F35" i="35544"/>
  <c r="E35" i="35544"/>
  <c r="D35" i="35544"/>
  <c r="C35" i="35544"/>
  <c r="N32" i="35544"/>
  <c r="M32" i="35544"/>
  <c r="L32" i="35544"/>
  <c r="K32" i="35544"/>
  <c r="J32" i="35544"/>
  <c r="I32" i="35544"/>
  <c r="H32" i="35544"/>
  <c r="G32" i="35544"/>
  <c r="F32" i="35544"/>
  <c r="E32" i="35544"/>
  <c r="C32" i="35544"/>
  <c r="D32" i="35544"/>
  <c r="O32" i="35544"/>
  <c r="P30" i="35544"/>
  <c r="N24" i="35544"/>
  <c r="N5" i="35544"/>
  <c r="N30" i="35544"/>
  <c r="M24" i="35544"/>
  <c r="L24" i="35544"/>
  <c r="K24" i="35544"/>
  <c r="J24" i="35544"/>
  <c r="J5" i="35544"/>
  <c r="J30" i="35544"/>
  <c r="I24" i="35544"/>
  <c r="H24" i="35544"/>
  <c r="G24" i="35544"/>
  <c r="F24" i="35544"/>
  <c r="E24" i="35544"/>
  <c r="D24" i="35544"/>
  <c r="C24" i="35544"/>
  <c r="O24" i="35544"/>
  <c r="N17" i="35544"/>
  <c r="M17" i="35544"/>
  <c r="L17" i="35544"/>
  <c r="K17" i="35544"/>
  <c r="J17" i="35544"/>
  <c r="I17" i="35544"/>
  <c r="H17" i="35544"/>
  <c r="G17" i="35544"/>
  <c r="F17" i="35544"/>
  <c r="E17" i="35544"/>
  <c r="D17" i="35544"/>
  <c r="C17" i="35544"/>
  <c r="P21" i="35544"/>
  <c r="P26" i="35544"/>
  <c r="N13" i="35544"/>
  <c r="M13" i="35544"/>
  <c r="L13" i="35544"/>
  <c r="K13" i="35544"/>
  <c r="J13" i="35544"/>
  <c r="I13" i="35544"/>
  <c r="H13" i="35544"/>
  <c r="G13" i="35544"/>
  <c r="F13" i="35544"/>
  <c r="E13" i="35544"/>
  <c r="D13" i="35544"/>
  <c r="C13" i="35544"/>
  <c r="N9" i="35544"/>
  <c r="M9" i="35544"/>
  <c r="L9" i="35544"/>
  <c r="K9" i="35544"/>
  <c r="J9" i="35544"/>
  <c r="I9" i="35544"/>
  <c r="H9" i="35544"/>
  <c r="G9" i="35544"/>
  <c r="F9" i="35544"/>
  <c r="E9" i="35544"/>
  <c r="D9" i="35544"/>
  <c r="C9" i="35544"/>
  <c r="N21" i="35544"/>
  <c r="M5" i="35544"/>
  <c r="M30" i="35544"/>
  <c r="L5" i="35544"/>
  <c r="L21" i="35544"/>
  <c r="K5" i="35544"/>
  <c r="I5" i="35544"/>
  <c r="I30" i="35544"/>
  <c r="H5" i="35544"/>
  <c r="H21" i="35544"/>
  <c r="G5" i="35544"/>
  <c r="G30" i="35544"/>
  <c r="F5" i="35544"/>
  <c r="F30" i="35544"/>
  <c r="E5" i="35544"/>
  <c r="E30" i="35544"/>
  <c r="D5" i="35544"/>
  <c r="C5" i="35544"/>
  <c r="G9" i="35540"/>
  <c r="F17" i="35540"/>
  <c r="E5" i="35540"/>
  <c r="E24" i="35540"/>
  <c r="E30" i="35540"/>
  <c r="P30" i="35540"/>
  <c r="C5" i="35540"/>
  <c r="P96" i="35541"/>
  <c r="O94" i="35541"/>
  <c r="N93" i="35541"/>
  <c r="M40" i="35541"/>
  <c r="M93" i="35541"/>
  <c r="L93" i="35541"/>
  <c r="K93" i="35541"/>
  <c r="J93" i="35541"/>
  <c r="I93" i="35541"/>
  <c r="H93" i="35541"/>
  <c r="G93" i="35541"/>
  <c r="F93" i="35541"/>
  <c r="E93" i="35541"/>
  <c r="D93" i="35541"/>
  <c r="C93" i="35541"/>
  <c r="O93" i="35541"/>
  <c r="Q93" i="35541"/>
  <c r="O91" i="35541"/>
  <c r="L36" i="35541"/>
  <c r="L90" i="35541"/>
  <c r="K36" i="35541"/>
  <c r="K90" i="35541"/>
  <c r="H36" i="35541"/>
  <c r="H90" i="35541"/>
  <c r="G36" i="35541"/>
  <c r="G90" i="35541"/>
  <c r="D36" i="35541"/>
  <c r="D90" i="35541"/>
  <c r="C36" i="35541"/>
  <c r="C90" i="35541"/>
  <c r="O88" i="35541"/>
  <c r="N87" i="35541"/>
  <c r="M87" i="35541"/>
  <c r="L87" i="35541"/>
  <c r="K87" i="35541"/>
  <c r="J87" i="35541"/>
  <c r="I87" i="35541"/>
  <c r="H87" i="35541"/>
  <c r="G87" i="35541"/>
  <c r="F87" i="35541"/>
  <c r="E87" i="35541"/>
  <c r="D87" i="35541"/>
  <c r="C87" i="35541"/>
  <c r="O85" i="35541"/>
  <c r="N84" i="35541"/>
  <c r="M84" i="35541"/>
  <c r="L84" i="35541"/>
  <c r="L96" i="35541"/>
  <c r="K84" i="35541"/>
  <c r="K96" i="35541"/>
  <c r="J84" i="35541"/>
  <c r="I84" i="35541"/>
  <c r="H84" i="35541"/>
  <c r="H96" i="35541"/>
  <c r="G84" i="35541"/>
  <c r="G96" i="35541"/>
  <c r="F84" i="35541"/>
  <c r="E84" i="35541"/>
  <c r="D84" i="35541"/>
  <c r="D96" i="35541"/>
  <c r="C84" i="35541"/>
  <c r="C96" i="35541"/>
  <c r="C97" i="35541"/>
  <c r="D97" i="35541"/>
  <c r="O78" i="35541"/>
  <c r="Q78" i="35541"/>
  <c r="O77" i="35541"/>
  <c r="Q77" i="35541"/>
  <c r="O76" i="35541"/>
  <c r="Q76" i="35541"/>
  <c r="O75" i="35541"/>
  <c r="Q75" i="35541"/>
  <c r="O74" i="35541"/>
  <c r="Q74" i="35541"/>
  <c r="O73" i="35541"/>
  <c r="Q73" i="35541"/>
  <c r="O72" i="35541"/>
  <c r="Q72" i="35541"/>
  <c r="O71" i="35541"/>
  <c r="Q71" i="35541"/>
  <c r="O70" i="35541"/>
  <c r="Q70" i="35541"/>
  <c r="O69" i="35541"/>
  <c r="Q69" i="35541"/>
  <c r="O68" i="35541"/>
  <c r="Q68" i="35541"/>
  <c r="O67" i="35541"/>
  <c r="Q67" i="35541"/>
  <c r="O66" i="35541"/>
  <c r="Q66" i="35541"/>
  <c r="O65" i="35541"/>
  <c r="Q65" i="35541"/>
  <c r="O64" i="35541"/>
  <c r="Q64" i="35541"/>
  <c r="Q63" i="35541"/>
  <c r="O62" i="35541"/>
  <c r="Q62" i="35541"/>
  <c r="O61" i="35541"/>
  <c r="Q61" i="35541"/>
  <c r="O60" i="35541"/>
  <c r="Q60" i="35541"/>
  <c r="O59" i="35541"/>
  <c r="Q59" i="35541"/>
  <c r="O58" i="35541"/>
  <c r="Q58" i="35541"/>
  <c r="O56" i="35541"/>
  <c r="Q56" i="35541"/>
  <c r="O55" i="35541"/>
  <c r="Q55" i="35541"/>
  <c r="O54" i="35541"/>
  <c r="Q54" i="35541"/>
  <c r="O53" i="35541"/>
  <c r="Q53" i="35541"/>
  <c r="O52" i="35541"/>
  <c r="Q52" i="35541"/>
  <c r="O51" i="35541"/>
  <c r="Q51" i="35541"/>
  <c r="O50" i="35541"/>
  <c r="Q50" i="35541"/>
  <c r="O47" i="35541"/>
  <c r="Q47" i="35541"/>
  <c r="O46" i="35541"/>
  <c r="Q46" i="35541"/>
  <c r="O45" i="35541"/>
  <c r="Q45" i="35541"/>
  <c r="O44" i="35541"/>
  <c r="Q44" i="35541"/>
  <c r="O43" i="35541"/>
  <c r="Q43" i="35541"/>
  <c r="O42" i="35541"/>
  <c r="Q42" i="35541"/>
  <c r="O41" i="35541"/>
  <c r="Q41" i="35541"/>
  <c r="O40" i="35541"/>
  <c r="Q40" i="35541"/>
  <c r="O39" i="35541"/>
  <c r="Q39" i="35541"/>
  <c r="O38" i="35541"/>
  <c r="Q38" i="35541"/>
  <c r="O37" i="35541"/>
  <c r="Q37" i="35541"/>
  <c r="N36" i="35541"/>
  <c r="N90" i="35541"/>
  <c r="M36" i="35541"/>
  <c r="M35" i="35541"/>
  <c r="K35" i="35541"/>
  <c r="J36" i="35541"/>
  <c r="J90" i="35541"/>
  <c r="I36" i="35541"/>
  <c r="I90" i="35541"/>
  <c r="G35" i="35541"/>
  <c r="F36" i="35541"/>
  <c r="F90" i="35541"/>
  <c r="E36" i="35541"/>
  <c r="E35" i="35541"/>
  <c r="C35" i="35541"/>
  <c r="P35" i="35541"/>
  <c r="L35" i="35541"/>
  <c r="H35" i="35541"/>
  <c r="D35" i="35541"/>
  <c r="N32" i="35541"/>
  <c r="M32" i="35541"/>
  <c r="L32" i="35541"/>
  <c r="K32" i="35541"/>
  <c r="J32" i="35541"/>
  <c r="I32" i="35541"/>
  <c r="H32" i="35541"/>
  <c r="G32" i="35541"/>
  <c r="F32" i="35541"/>
  <c r="E32" i="35541"/>
  <c r="D32" i="35541"/>
  <c r="C32" i="35541"/>
  <c r="O32" i="35541"/>
  <c r="P30" i="35541"/>
  <c r="N24" i="35541"/>
  <c r="M24" i="35541"/>
  <c r="M5" i="35541"/>
  <c r="M30" i="35541"/>
  <c r="L24" i="35541"/>
  <c r="L5" i="35541"/>
  <c r="L30" i="35541"/>
  <c r="K24" i="35541"/>
  <c r="J24" i="35541"/>
  <c r="I24" i="35541"/>
  <c r="I5" i="35541"/>
  <c r="I30" i="35541"/>
  <c r="H24" i="35541"/>
  <c r="H5" i="35541"/>
  <c r="H30" i="35541"/>
  <c r="G24" i="35541"/>
  <c r="F24" i="35541"/>
  <c r="E24" i="35541"/>
  <c r="E5" i="35541"/>
  <c r="E30" i="35541"/>
  <c r="D24" i="35541"/>
  <c r="D5" i="35541"/>
  <c r="D30" i="35541"/>
  <c r="C24" i="35541"/>
  <c r="O24" i="35541"/>
  <c r="P21" i="35541"/>
  <c r="N17" i="35541"/>
  <c r="M17" i="35541"/>
  <c r="L17" i="35541"/>
  <c r="K17" i="35541"/>
  <c r="J17" i="35541"/>
  <c r="I17" i="35541"/>
  <c r="H17" i="35541"/>
  <c r="G17" i="35541"/>
  <c r="F17" i="35541"/>
  <c r="E17" i="35541"/>
  <c r="D17" i="35541"/>
  <c r="C17" i="35541"/>
  <c r="N13" i="35541"/>
  <c r="M13" i="35541"/>
  <c r="L13" i="35541"/>
  <c r="K13" i="35541"/>
  <c r="J13" i="35541"/>
  <c r="I13" i="35541"/>
  <c r="H13" i="35541"/>
  <c r="G13" i="35541"/>
  <c r="F13" i="35541"/>
  <c r="E13" i="35541"/>
  <c r="D13" i="35541"/>
  <c r="C13" i="35541"/>
  <c r="O13" i="35541"/>
  <c r="Q13" i="35541"/>
  <c r="N9" i="35541"/>
  <c r="M9" i="35541"/>
  <c r="L9" i="35541"/>
  <c r="K9" i="35541"/>
  <c r="J9" i="35541"/>
  <c r="I9" i="35541"/>
  <c r="H9" i="35541"/>
  <c r="G9" i="35541"/>
  <c r="F9" i="35541"/>
  <c r="E9" i="35541"/>
  <c r="D9" i="35541"/>
  <c r="C9" i="35541"/>
  <c r="O9" i="35541"/>
  <c r="Q9" i="35541"/>
  <c r="N5" i="35541"/>
  <c r="M21" i="35541"/>
  <c r="L21" i="35541"/>
  <c r="K5" i="35541"/>
  <c r="K30" i="35541"/>
  <c r="J5" i="35541"/>
  <c r="I21" i="35541"/>
  <c r="H21" i="35541"/>
  <c r="G5" i="35541"/>
  <c r="G30" i="35541"/>
  <c r="F5" i="35541"/>
  <c r="E21" i="35541"/>
  <c r="D21" i="35541"/>
  <c r="C5" i="35541"/>
  <c r="C30" i="35541"/>
  <c r="N24" i="35540"/>
  <c r="M24" i="35540"/>
  <c r="L24" i="35540"/>
  <c r="K24" i="35540"/>
  <c r="J24" i="35540"/>
  <c r="I24" i="35540"/>
  <c r="H24" i="35540"/>
  <c r="G24" i="35540"/>
  <c r="F24" i="35540"/>
  <c r="D24" i="35540"/>
  <c r="C24" i="35540"/>
  <c r="P21" i="35540"/>
  <c r="P26" i="35540"/>
  <c r="N17" i="35540"/>
  <c r="M17" i="35540"/>
  <c r="L17" i="35540"/>
  <c r="K17" i="35540"/>
  <c r="J17" i="35540"/>
  <c r="I17" i="35540"/>
  <c r="H17" i="35540"/>
  <c r="G17" i="35540"/>
  <c r="E17" i="35540"/>
  <c r="D17" i="35540"/>
  <c r="C17" i="35540"/>
  <c r="O17" i="35540"/>
  <c r="Q17" i="35540"/>
  <c r="N13" i="35540"/>
  <c r="M13" i="35540"/>
  <c r="L13" i="35540"/>
  <c r="K13" i="35540"/>
  <c r="I13" i="35540"/>
  <c r="G13" i="35540"/>
  <c r="F13" i="35540"/>
  <c r="N9" i="35540"/>
  <c r="M9" i="35540"/>
  <c r="L9" i="35540"/>
  <c r="K9" i="35540"/>
  <c r="J9" i="35540"/>
  <c r="I9" i="35540"/>
  <c r="H9" i="35540"/>
  <c r="F9" i="35540"/>
  <c r="E9" i="35540"/>
  <c r="D9" i="35540"/>
  <c r="C9" i="35540"/>
  <c r="O9" i="35540"/>
  <c r="Q9" i="35540"/>
  <c r="N5" i="35540"/>
  <c r="N30" i="35540"/>
  <c r="M5" i="35540"/>
  <c r="M30" i="35540"/>
  <c r="L5" i="35540"/>
  <c r="K5" i="35540"/>
  <c r="J5" i="35540"/>
  <c r="I5" i="35540"/>
  <c r="I30" i="35540"/>
  <c r="H5" i="35540"/>
  <c r="G5" i="35540"/>
  <c r="F5" i="35540"/>
  <c r="D5" i="35540"/>
  <c r="C13" i="35540"/>
  <c r="D13" i="35540"/>
  <c r="E13" i="35540"/>
  <c r="H13" i="35540"/>
  <c r="J13" i="35540"/>
  <c r="O13" i="35540"/>
  <c r="Q13" i="35540"/>
  <c r="D21" i="35540"/>
  <c r="J96" i="35541"/>
  <c r="D26" i="35541"/>
  <c r="H26" i="35541"/>
  <c r="L26" i="35541"/>
  <c r="O17" i="35541"/>
  <c r="Q17" i="35541"/>
  <c r="E26" i="35541"/>
  <c r="I26" i="35541"/>
  <c r="M26" i="35541"/>
  <c r="C21" i="35541"/>
  <c r="O87" i="35541"/>
  <c r="Q87" i="35541"/>
  <c r="O5" i="35541"/>
  <c r="K21" i="35541"/>
  <c r="F96" i="35541"/>
  <c r="F21" i="35541"/>
  <c r="J21" i="35541"/>
  <c r="N21" i="35541"/>
  <c r="G21" i="35541"/>
  <c r="I96" i="35541"/>
  <c r="P26" i="35541"/>
  <c r="I35" i="35541"/>
  <c r="F30" i="35541"/>
  <c r="J30" i="35541"/>
  <c r="N30" i="35541"/>
  <c r="O30" i="35541"/>
  <c r="Q30" i="35541"/>
  <c r="F35" i="35541"/>
  <c r="J35" i="35541"/>
  <c r="N35" i="35541"/>
  <c r="O35" i="35541"/>
  <c r="O36" i="35541"/>
  <c r="Q36" i="35541"/>
  <c r="Q35" i="35541"/>
  <c r="O84" i="35541"/>
  <c r="E90" i="35541"/>
  <c r="E96" i="35541"/>
  <c r="E97" i="35541"/>
  <c r="F97" i="35541"/>
  <c r="G97" i="35541"/>
  <c r="H97" i="35541"/>
  <c r="I97" i="35541"/>
  <c r="J97" i="35541"/>
  <c r="K97" i="35541"/>
  <c r="L97" i="35541"/>
  <c r="M90" i="35541"/>
  <c r="M96" i="35541"/>
  <c r="M97" i="35541"/>
  <c r="N97" i="35541"/>
  <c r="G26" i="35541"/>
  <c r="Q84" i="35541"/>
  <c r="N26" i="35541"/>
  <c r="J26" i="35541"/>
  <c r="K26" i="35541"/>
  <c r="C22" i="35541"/>
  <c r="D22" i="35541"/>
  <c r="E22" i="35541"/>
  <c r="F22" i="35541"/>
  <c r="G22" i="35541"/>
  <c r="H22" i="35541"/>
  <c r="I22" i="35541"/>
  <c r="J22" i="35541"/>
  <c r="K22" i="35541"/>
  <c r="L22" i="35541"/>
  <c r="M22" i="35541"/>
  <c r="N22" i="35541"/>
  <c r="C26" i="35541"/>
  <c r="C25" i="35541"/>
  <c r="D25" i="35541"/>
  <c r="E25" i="35541"/>
  <c r="O90" i="35541"/>
  <c r="Q90" i="35541"/>
  <c r="F26" i="35541"/>
  <c r="F25" i="35541"/>
  <c r="G25" i="35541"/>
  <c r="H25" i="35541"/>
  <c r="I25" i="35541"/>
  <c r="J25" i="35541"/>
  <c r="K25" i="35541"/>
  <c r="L25" i="35541"/>
  <c r="M25" i="35541"/>
  <c r="N25" i="35541"/>
  <c r="Q5" i="35541"/>
  <c r="O21" i="35541"/>
  <c r="Q21" i="35541"/>
  <c r="O96" i="35541"/>
  <c r="Q96" i="35541"/>
  <c r="C28" i="35541"/>
  <c r="D28" i="35541"/>
  <c r="E28" i="35541"/>
  <c r="F28" i="35541"/>
  <c r="O26" i="35541"/>
  <c r="Q26" i="35541"/>
  <c r="G28" i="35541"/>
  <c r="H28" i="35541"/>
  <c r="I28" i="35541"/>
  <c r="J28" i="35541"/>
  <c r="K28" i="35541"/>
  <c r="L28" i="35541"/>
  <c r="M28" i="35541"/>
  <c r="N28" i="35541"/>
  <c r="L30" i="35540"/>
  <c r="J30" i="35540"/>
  <c r="C30" i="35540"/>
  <c r="D30" i="35540"/>
  <c r="F30" i="35540"/>
  <c r="G30" i="35540"/>
  <c r="H30" i="35540"/>
  <c r="K30" i="35540"/>
  <c r="O30" i="35540"/>
  <c r="Q30" i="35540"/>
  <c r="L21" i="35540"/>
  <c r="L26" i="35540"/>
  <c r="H21" i="35540"/>
  <c r="H26" i="35540"/>
  <c r="E21" i="35540"/>
  <c r="E26" i="35540"/>
  <c r="M21" i="35540"/>
  <c r="M26" i="35540"/>
  <c r="J21" i="35540"/>
  <c r="J26" i="35540"/>
  <c r="G21" i="35540"/>
  <c r="G26" i="35540"/>
  <c r="O24" i="35540"/>
  <c r="D26" i="35540"/>
  <c r="F21" i="35540"/>
  <c r="I21" i="35540"/>
  <c r="K21" i="35540"/>
  <c r="K26" i="35540"/>
  <c r="I26" i="35540"/>
  <c r="F26" i="35540"/>
  <c r="O5" i="35540"/>
  <c r="Q5" i="35540"/>
  <c r="N21" i="35540"/>
  <c r="N26" i="35540"/>
  <c r="O21" i="35540"/>
  <c r="Q21" i="35540"/>
  <c r="C21" i="35540"/>
  <c r="C22" i="35540"/>
  <c r="D22" i="35540"/>
  <c r="E22" i="35540"/>
  <c r="F22" i="35540"/>
  <c r="G22" i="35540"/>
  <c r="H22" i="35540"/>
  <c r="I22" i="35540"/>
  <c r="J22" i="35540"/>
  <c r="K22" i="35540"/>
  <c r="L22" i="35540"/>
  <c r="M22" i="35540"/>
  <c r="N22" i="35540"/>
  <c r="C26" i="35540"/>
  <c r="C25" i="35540"/>
  <c r="D25" i="35540"/>
  <c r="E25" i="35540"/>
  <c r="F25" i="35540"/>
  <c r="G25" i="35540"/>
  <c r="H25" i="35540"/>
  <c r="I25" i="35540"/>
  <c r="J25" i="35540"/>
  <c r="K25" i="35540"/>
  <c r="L25" i="35540"/>
  <c r="M25" i="35540"/>
  <c r="N25" i="35540"/>
  <c r="O26" i="35540"/>
  <c r="Q26" i="35540"/>
  <c r="C28" i="35540"/>
  <c r="D28" i="35540"/>
  <c r="E28" i="35540"/>
  <c r="F28" i="35540"/>
  <c r="G28" i="35540"/>
  <c r="H28" i="35540"/>
  <c r="I28" i="35540"/>
  <c r="J28" i="35540"/>
  <c r="K28" i="35540"/>
  <c r="L28" i="35540"/>
  <c r="M28" i="35540"/>
  <c r="N28" i="35540"/>
  <c r="J21" i="35544"/>
  <c r="C21" i="35544"/>
  <c r="C26" i="35544"/>
  <c r="K21" i="35544"/>
  <c r="I21" i="35544"/>
  <c r="M21" i="35544"/>
  <c r="H26" i="35544"/>
  <c r="L26" i="35544"/>
  <c r="J26" i="35544"/>
  <c r="N26" i="35544"/>
  <c r="K26" i="35544"/>
  <c r="I26" i="35544"/>
  <c r="M26" i="35544"/>
  <c r="Q35" i="35544"/>
  <c r="C30" i="35544"/>
  <c r="K30" i="35544"/>
  <c r="D30" i="35544"/>
  <c r="H30" i="35544"/>
  <c r="L30" i="35544"/>
  <c r="P26" i="35545"/>
  <c r="D26" i="35545"/>
  <c r="C25" i="35545"/>
  <c r="D25" i="35545"/>
  <c r="E25" i="35545"/>
  <c r="H26" i="35545"/>
  <c r="L26" i="35545"/>
  <c r="C26" i="35545"/>
  <c r="C22" i="35545"/>
  <c r="D22" i="35545"/>
  <c r="E22" i="35545"/>
  <c r="G26" i="35545"/>
  <c r="K26" i="35545"/>
  <c r="E26" i="35545"/>
  <c r="I26" i="35545"/>
  <c r="M26" i="35545"/>
  <c r="Q35" i="35545"/>
  <c r="F21" i="35545"/>
  <c r="J21" i="35545"/>
  <c r="N21" i="35545"/>
  <c r="C30" i="35545"/>
  <c r="G30" i="35545"/>
  <c r="K30" i="35545"/>
  <c r="Q13" i="35545"/>
  <c r="D30" i="35545"/>
  <c r="H30" i="35545"/>
  <c r="L30" i="35545"/>
  <c r="F22" i="35545"/>
  <c r="G22" i="35545"/>
  <c r="H22" i="35545"/>
  <c r="I22" i="35545"/>
  <c r="J22" i="35545"/>
  <c r="K22" i="35545"/>
  <c r="L22" i="35545"/>
  <c r="M22" i="35545"/>
  <c r="N22" i="35545"/>
  <c r="C28" i="35545"/>
  <c r="D28" i="35545"/>
  <c r="E28" i="35545"/>
  <c r="F26" i="35545"/>
  <c r="F25" i="35545"/>
  <c r="G25" i="35545"/>
  <c r="H25" i="35545"/>
  <c r="I25" i="35545"/>
  <c r="J26" i="35545"/>
  <c r="J25" i="35545"/>
  <c r="K25" i="35545"/>
  <c r="L25" i="35545"/>
  <c r="M25" i="35545"/>
  <c r="N25" i="35545"/>
  <c r="O30" i="35545"/>
  <c r="Q30" i="35545"/>
  <c r="O21" i="35545"/>
  <c r="Q21" i="35545"/>
  <c r="Q5" i="35545"/>
  <c r="N26" i="35545"/>
  <c r="O26" i="35545"/>
  <c r="Q26" i="35545"/>
  <c r="F28" i="35545"/>
  <c r="G28" i="35545"/>
  <c r="H28" i="35545"/>
  <c r="I28" i="35545"/>
  <c r="J28" i="35545"/>
  <c r="K28" i="35545"/>
  <c r="L28" i="35545"/>
  <c r="M28" i="35545"/>
  <c r="N28" i="35545"/>
  <c r="C22" i="35544"/>
  <c r="C25" i="35544"/>
  <c r="C28" i="35544"/>
  <c r="D21" i="35544"/>
  <c r="D26" i="35544"/>
  <c r="D25" i="35544"/>
  <c r="D22" i="35544"/>
  <c r="D28" i="35544"/>
  <c r="E21" i="35544"/>
  <c r="E25" i="35544"/>
  <c r="E22" i="35544"/>
  <c r="E26" i="35544"/>
  <c r="E28" i="35544"/>
  <c r="G21" i="35544"/>
  <c r="G26" i="35544"/>
  <c r="O9" i="35544"/>
  <c r="Q9" i="35544"/>
  <c r="O30" i="35544"/>
  <c r="Q30" i="35544"/>
  <c r="O35" i="35544"/>
  <c r="O13" i="35544"/>
  <c r="Q13" i="35544"/>
  <c r="O17" i="35544"/>
  <c r="Q17" i="35544"/>
  <c r="O5" i="35544"/>
  <c r="Q5" i="35544"/>
  <c r="F21" i="35544"/>
  <c r="F22" i="35544"/>
  <c r="G22" i="35544"/>
  <c r="H22" i="35544"/>
  <c r="I22" i="35544"/>
  <c r="J22" i="35544"/>
  <c r="K22" i="35544"/>
  <c r="L22" i="35544"/>
  <c r="M22" i="35544"/>
  <c r="N22" i="35544"/>
  <c r="O21" i="35544"/>
  <c r="Q21" i="35544"/>
  <c r="F26" i="35544"/>
  <c r="F25" i="35544"/>
  <c r="G25" i="35544"/>
  <c r="H25" i="35544"/>
  <c r="I25" i="35544"/>
  <c r="J25" i="35544"/>
  <c r="K25" i="35544"/>
  <c r="L25" i="35544"/>
  <c r="M25" i="35544"/>
  <c r="N25" i="35544"/>
  <c r="O22" i="35544"/>
  <c r="O26" i="35544"/>
  <c r="Q26" i="35544"/>
  <c r="F28" i="35544"/>
  <c r="G28" i="35544"/>
  <c r="H28" i="35544"/>
  <c r="I28" i="35544"/>
  <c r="J28" i="35544"/>
  <c r="K28" i="35544"/>
  <c r="L28" i="35544"/>
  <c r="M28" i="35544"/>
  <c r="N28" i="35544"/>
</calcChain>
</file>

<file path=xl/sharedStrings.xml><?xml version="1.0" encoding="utf-8"?>
<sst xmlns="http://schemas.openxmlformats.org/spreadsheetml/2006/main" count="597" uniqueCount="144">
  <si>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</si>
  <si>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</si>
  <si>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</si>
  <si>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</si>
  <si>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</si>
  <si>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</si>
  <si>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</si>
  <si>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</si>
  <si>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</si>
  <si>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</si>
  <si>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</si>
  <si>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</si>
  <si>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ORÇAMENTO APROVADO</t>
  </si>
  <si>
    <t xml:space="preserve">Receita Operacional   </t>
  </si>
  <si>
    <t xml:space="preserve">Receita Financeira     </t>
  </si>
  <si>
    <t xml:space="preserve">Receita Comercial  </t>
  </si>
  <si>
    <t xml:space="preserve">Outras Receitas          </t>
  </si>
  <si>
    <t xml:space="preserve">DEDUÇÕES DA RECEITA  </t>
  </si>
  <si>
    <t>RECEITA TRANSPORTE LÍQUIDA</t>
  </si>
  <si>
    <t>EXECUTADO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</si>
  <si>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</si>
  <si>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</si>
  <si>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</si>
  <si>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</si>
  <si>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</si>
  <si>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</si>
  <si>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</si>
  <si>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</si>
  <si>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</si>
  <si>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</si>
  <si>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</si>
  <si>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</si>
  <si>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Comercial</t>
  </si>
  <si>
    <t>Financeira</t>
  </si>
  <si>
    <t>Outras</t>
  </si>
  <si>
    <t>Operacional</t>
  </si>
  <si>
    <t>4.1.6.0.0.16.00 - Serv. Educacionais</t>
  </si>
  <si>
    <t>4.1.6.5.9.00.00 - Outros Serv. Reg. e Ativ. Adm.</t>
  </si>
  <si>
    <t>4.1.8.0.0.00.00 - Rec. Correntes a Classif.</t>
  </si>
  <si>
    <t>4.1.9.1.8.02.00 - Multas e juros de Mora de Arrendamentos</t>
  </si>
  <si>
    <t>4.1.9.1.9.99.00 - Outras Multas</t>
  </si>
  <si>
    <t>4.1.9.1.4.19.06 - Multas e Juros deOper.financ.</t>
  </si>
  <si>
    <t>4.1.9.1.4.20.00 - Multas e Juros de Mora admistrat.</t>
  </si>
  <si>
    <t>4.1.9.1.9.27.00 - Multas e Juros previstos em contrato</t>
  </si>
  <si>
    <t>4.1.9.2.1.06.00 - Indeniz.por Danos Causados ao Patrimonio</t>
  </si>
  <si>
    <t xml:space="preserve">4.1.9.2.2.00.00 - Restituições </t>
  </si>
  <si>
    <t>4.1.9.2.2.07.00 - Recup.de Desp. De Exerc.</t>
  </si>
  <si>
    <t>4.1.9.9.0.04.00 - Prod. Dep. Abandonado(dinh/obj./valor)</t>
  </si>
  <si>
    <t>4.1.9.9.0.05.03 - Saldos exerc. Ant. - Rec. Diret.</t>
  </si>
  <si>
    <t>4.1.9.9.0.05.99 - Saldos de exerc. Ant. (rec. Diversos)</t>
  </si>
  <si>
    <t>4.1.9.9.0.98.00 - Descontos obtidos</t>
  </si>
  <si>
    <t>4.1.9.9.0.97.00 - Recup. De Desp. De exerc.</t>
  </si>
  <si>
    <t>4.1.9.9.3.00.00 - Demais Receitas Correntes</t>
  </si>
  <si>
    <t>4.9.4.0.0.00.00    DEDUÇÕES DA RECEITA</t>
  </si>
  <si>
    <t>4.1.9.9.0.99.00 - Outras Receitas</t>
  </si>
  <si>
    <t>4.1.9.2.1.99.00 -  Outras indenizações</t>
  </si>
  <si>
    <t>4.1.9.1.8.99.00 OUTRAS MULTAS E JUROS DE MORA</t>
  </si>
  <si>
    <t>4.1.9.1.8.01.00 - Multas e juros de Mora de Aluguéis</t>
  </si>
  <si>
    <t>DÉFICIT/SALDO ORÇAMENTO</t>
  </si>
  <si>
    <t>TOTAL ANO    EXECUTADO</t>
  </si>
  <si>
    <t>4.1.9.9.0.98.00 - Outras Receitas</t>
  </si>
  <si>
    <t xml:space="preserve">RECEITA TOTAL LÍQUIDA  </t>
  </si>
  <si>
    <t>RECEITA APROVADA</t>
  </si>
  <si>
    <t>4.1.6.0.0.50.00 - Tar. Inscr. Concursos e Processos Se</t>
  </si>
  <si>
    <t>4.1.9.1.8.99.00 - Outras Multas e Juros de Mora</t>
  </si>
  <si>
    <t>4.1.9.1.8.00.00 - Multas e juros de Mora de Outras Receitas</t>
  </si>
  <si>
    <t>Rec. Oper. Projeção Área</t>
  </si>
  <si>
    <t>Rec. Coml. Projeção Área</t>
  </si>
  <si>
    <t>Rec. Financ. Projeção Área</t>
  </si>
  <si>
    <t>Projeção outras Rec.</t>
  </si>
  <si>
    <t>TOTAL RECEITA</t>
  </si>
  <si>
    <t>DÉFICIT/SALDO</t>
  </si>
  <si>
    <t>0250</t>
  </si>
  <si>
    <t>0280</t>
  </si>
  <si>
    <t>1310.01.11 - Aluguéis, Arrendamentos, Foros, Laudêmios, Tarifas de Ocupação</t>
  </si>
  <si>
    <t>1321.00.11 - Remuneração de Depósitos Bancários</t>
  </si>
  <si>
    <t>1310.01.12 - Multas e Juros de Aluguéis, Arrendamentos, Foros, Laudêmios, Tarifas de Ocupação</t>
  </si>
  <si>
    <t>1610.01.11 - Serviços Administrativos e Comerciais Gerais</t>
  </si>
  <si>
    <t>1690.99.11 - Outros Serviços</t>
  </si>
  <si>
    <t>1922.06.11 - Restituição de Despesas de Exercícios Anteriores</t>
  </si>
  <si>
    <t>1930.03.11 - Depósitos Abandonados (Dinheiro e/ou Objetos de Valor)</t>
  </si>
  <si>
    <t>1990.99.11 - Outras Receitas - Primárias</t>
  </si>
  <si>
    <t>1922.06.12 - RESTIT.DE DESPESAS EXERC.ANTERIORES-MUL.JUR.</t>
  </si>
  <si>
    <t>1990.99.12- Multas/juros outras receitas</t>
  </si>
  <si>
    <t>TOTAL ACUMULADO</t>
  </si>
  <si>
    <t>RECEITA TOTAL ACUMULADA</t>
  </si>
  <si>
    <t>TOTAL ARRECADADO</t>
  </si>
  <si>
    <t>1610.02.11 - Inscr. Em Concursos e Proc. Seletivos-Principal</t>
  </si>
  <si>
    <t>TOTAIS
CONTAS SIAFI 621200000 - 899910802</t>
  </si>
  <si>
    <t>UO: 53208 - EMPRESA TRENS URBANOS DE PORTO ALEGRE S/A</t>
  </si>
  <si>
    <r>
      <t xml:space="preserve"> R E C E I T A S    2021
</t>
    </r>
    <r>
      <rPr>
        <b/>
        <sz val="10"/>
        <rFont val="Calibri"/>
        <family val="2"/>
      </rPr>
      <t>1º ESTIMATIVA RECEITA - MAR/2020</t>
    </r>
  </si>
  <si>
    <t>REESTIMADO EM 08/06/2020</t>
  </si>
  <si>
    <t>1910.09.12 - Multas e Juros Previstos em Contratos - Mul.Jur</t>
  </si>
  <si>
    <t>1910.09.11 - Multas e Juros Previstos em Contratos - Principal</t>
  </si>
  <si>
    <t>1921.01..11 - Indenz.P/Danos Causados ao Patr. Público Principal</t>
  </si>
  <si>
    <t>0150</t>
  </si>
  <si>
    <t>0180</t>
  </si>
  <si>
    <t>1922..06.31 - Rest. Desp. Primaria EX Anteriores - Princioal</t>
  </si>
  <si>
    <t>1922..06.32 - Rest. Desp. Primaria EX Anteriores - Multa e Juros</t>
  </si>
  <si>
    <t>PROJEÇÃO ÁREAS - Reprojetada  - Junho/21</t>
  </si>
  <si>
    <t xml:space="preserve"> R E C E I T A S    2022</t>
  </si>
  <si>
    <t>UO: 53208 
 EMPRESA TRENS URBANOS DE PORTO ALEGRE S/A</t>
  </si>
  <si>
    <t>PROJEÇÃO ÁREAS - ACUMULADA</t>
  </si>
  <si>
    <t>RECEITA APROVADA
2022</t>
  </si>
  <si>
    <r>
      <rPr>
        <b/>
        <sz val="9"/>
        <rFont val="Times New Roman"/>
        <family val="1"/>
      </rPr>
      <t>13 110 111 - ALUGUEIS E ARRENDAMENTOS-PRINCIPAL</t>
    </r>
    <r>
      <rPr>
        <sz val="10"/>
        <rFont val="Times New Roman"/>
        <family val="1"/>
      </rPr>
      <t xml:space="preserve">
13 100 111 - Aluguéis, Arrendamentos, Foros, Laudêmios, Tarifas de Ocupação</t>
    </r>
  </si>
  <si>
    <r>
      <rPr>
        <b/>
        <sz val="9"/>
        <rFont val="Times New Roman"/>
        <family val="1"/>
      </rPr>
      <t>13 110 112 - ALUGUEIS E ARRENDAMENTOS-
MULTAS E JUROS</t>
    </r>
    <r>
      <rPr>
        <sz val="10"/>
        <rFont val="Times New Roman"/>
        <family val="1"/>
      </rPr>
      <t xml:space="preserve">
13 100 112 - Multas e Juros de Aluguéis, Arrendamentos, Foros, Laudêmios, Tarifas de Ocupação</t>
    </r>
  </si>
  <si>
    <r>
      <rPr>
        <b/>
        <sz val="9"/>
        <rFont val="Times New Roman"/>
        <family val="1"/>
      </rPr>
      <t>16 110 101 - SERV.ADMINISTRAT.E COMERCIAIS GERAIS-PRINC</t>
    </r>
    <r>
      <rPr>
        <sz val="10"/>
        <rFont val="Times New Roman"/>
        <family val="1"/>
      </rPr>
      <t xml:space="preserve">
16 100 111 - Serviços Administrativos e Comerciais Gerais</t>
    </r>
  </si>
  <si>
    <t>16 909 911 - Outros Serviços</t>
  </si>
  <si>
    <t>19 210 111 - Indenz.P/Danos Causados ao Patr. Público Principal</t>
  </si>
  <si>
    <t>19 220 611 - Restituição de Despesas de Exercícios Anteriores</t>
  </si>
  <si>
    <t>19 220 612 - RESTIT.DE DESPESAS EXERC.ANTERIORES-MUL.JUR.</t>
  </si>
  <si>
    <t>19 220 631 - Rest. Desp. Primaria EX Anteriores - Princioal</t>
  </si>
  <si>
    <t>19 220 632 - Rest. Desp. Primaria EX Anteriores - Multa e Juros</t>
  </si>
  <si>
    <t>19 300 311 - Depósitos Abandonados (Dinheiro e/ou Objetos de Valor)</t>
  </si>
  <si>
    <t>19 909 911 - Outras Receitas - Primárias</t>
  </si>
  <si>
    <t>19 909 912- Multas/juros outras receitas</t>
  </si>
  <si>
    <t>19 999 921 - Outras Rec .N.Arrec.N.Proj.RFB-Prim - PRINC</t>
  </si>
  <si>
    <r>
      <rPr>
        <b/>
        <sz val="9"/>
        <rFont val="Times New Roman"/>
        <family val="1"/>
      </rPr>
      <t>13 210 101 - REMUNERACAO DE DEPOSITOS BANCARIOS-PRINCIPAL</t>
    </r>
    <r>
      <rPr>
        <sz val="10"/>
        <rFont val="Times New Roman"/>
        <family val="1"/>
      </rPr>
      <t xml:space="preserve">
13 210 101 - Remuneração de Depósitos Bancários</t>
    </r>
  </si>
  <si>
    <t>16 200 211 - Serv.Transp.Ferroviário</t>
  </si>
  <si>
    <r>
      <rPr>
        <b/>
        <sz val="9"/>
        <rFont val="Times New Roman"/>
        <family val="1"/>
      </rPr>
      <t>16 210 201 - SERV.TRANSP.PASSAG.OU MERC.-PRINC.</t>
    </r>
    <r>
      <rPr>
        <sz val="10"/>
        <rFont val="Times New Roman"/>
        <family val="1"/>
      </rPr>
      <t xml:space="preserve">
16  200 211 - Serv.Transp.Ferroviário</t>
    </r>
  </si>
  <si>
    <r>
      <rPr>
        <b/>
        <sz val="9"/>
        <rFont val="Times New Roman"/>
        <family val="1"/>
      </rPr>
      <t>19 110 902 - MULTAS E JUROS PREVISTOS EM CONTRATOS-MUL.JUR</t>
    </r>
    <r>
      <rPr>
        <sz val="10"/>
        <rFont val="Times New Roman"/>
        <family val="1"/>
      </rPr>
      <t xml:space="preserve">
19 100 912 - Multas e Juros Previstos em Contratos - Mul.Jur</t>
    </r>
  </si>
  <si>
    <r>
      <rPr>
        <b/>
        <sz val="9"/>
        <rFont val="Times New Roman"/>
        <family val="1"/>
      </rPr>
      <t>19 110 901 -MULTAS E JUROS PREVISTOS EM CONTRATOS-PRINC.</t>
    </r>
    <r>
      <rPr>
        <sz val="10"/>
        <rFont val="Times New Roman"/>
        <family val="1"/>
      </rPr>
      <t xml:space="preserve">
19 100 911 - Multas e Juros Previstos em Contratos - Principal
</t>
    </r>
  </si>
  <si>
    <t xml:space="preserve"> R E C E I T A S    2021</t>
  </si>
  <si>
    <r>
      <t xml:space="preserve">16 100 211 - Inscr. Em Concursos e Proc. Seletivos-Principal
 </t>
    </r>
    <r>
      <rPr>
        <b/>
        <sz val="10"/>
        <rFont val="Times New Roman"/>
        <family val="1"/>
      </rPr>
      <t>16110201 -</t>
    </r>
  </si>
  <si>
    <t>19 999 922 - Outras Rec .N.Arrec.N.Proj.RFB-Prim - MUL.JUR.</t>
  </si>
  <si>
    <t xml:space="preserve"> R E C E I T A S    2024</t>
  </si>
  <si>
    <t xml:space="preserve"> R E C E I T A S    2023</t>
  </si>
  <si>
    <t>1050</t>
  </si>
  <si>
    <t>UO: 56201 
 EMPRESA TRENS URBANOS DE PORTO ALEGRE S/A</t>
  </si>
  <si>
    <t>Rec. Oper. Aprvada LOA 24</t>
  </si>
  <si>
    <t>Rec. Financ. Aprvada LOA 24</t>
  </si>
  <si>
    <t>Rec. Coml. Aprvada LOA 24</t>
  </si>
  <si>
    <t>Projeção outras Rec. Aprvada LOA 24</t>
  </si>
  <si>
    <t>DÉFICIT/
SUPERAVIT</t>
  </si>
  <si>
    <t>13 110 111 - ALUGUEIS E ARRENDAMENTOS-PRINCIPAL</t>
  </si>
  <si>
    <t>13 110 112 - ALUGUEIS E ARRENDAMENTOS-
MULTAS E JUROS</t>
  </si>
  <si>
    <t>13 210 101 - REMUNERACAO DE DEPOSITOS BANCARIOS-PRINCIPAL</t>
  </si>
  <si>
    <t>16 110 101 - SERV.ADMINISTRAT.E COMERCIAIS GERAIS-PRINC</t>
  </si>
  <si>
    <r>
      <rPr>
        <b/>
        <sz val="10"/>
        <rFont val="Times New Roman"/>
        <family val="1"/>
      </rPr>
      <t xml:space="preserve">16 110 201 </t>
    </r>
    <r>
      <rPr>
        <sz val="10"/>
        <rFont val="Times New Roman"/>
        <family val="1"/>
      </rPr>
      <t>- Inscr. Em Concursos e Proc. Seletivos-PrincipalINSC. EM CONCURSOS E PROC. SELETIVOS</t>
    </r>
  </si>
  <si>
    <t>16 210 201 - SERV.TRANSP.PASSAG.OU MERC.-PRINC.</t>
  </si>
  <si>
    <t>19 110 901 -MULTAS E JUROS PREVISTOS EM CONTRATOS-PRINC.</t>
  </si>
  <si>
    <t>19 110 902 - MULTAS E JUROS PREVISTOS EM CONTRATOS-MUL.JUR</t>
  </si>
  <si>
    <t>Percentual</t>
  </si>
  <si>
    <t>UO: 53208  EMPRESA TRENS URBANOS DE PORTO ALEGRE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</si>
</sst>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8" formatCode="_(&quot;R$&quot;* #,##0.00_);_(&quot;R$&quot;* \(#,##0.00\);_(&quot;R$&quot;* &quot;-&quot;??_);_(@_)"/>
    <numFmt numFmtId="207" formatCode="_-* #,##0.00_-;\-* #,##0.00_-;_-* &quot;-&quot;_-;_-@_-"/>
    <numFmt numFmtId="211" formatCode="_-* #,##0_-;\-* #,##0_-;_-* &quot;-&quot;??_-;_-@_-"/>
    <numFmt numFmtId="213" formatCode="_(&quot;R$&quot;* #,##0_);_(&quot;R$&quot;* \(#,##0\);_(&quot;R$&quot;* &quot;-&quot;??_);_(@_)"/>
    <numFmt numFmtId="216" formatCode="0.0%"/>
  </numFmts>
  <fonts count="22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7"/>
      <name val="Times New Roman"/>
      <family val="1"/>
    </font>
    <font>
      <sz val="12"/>
      <name val="Times New Roman"/>
      <family val="1"/>
    </font>
    <font>
      <b/>
      <sz val="7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Britannic Bold"/>
      <family val="2"/>
    </font>
    <font>
      <b/>
      <sz val="12"/>
      <name val="Times New Roman"/>
      <family val="1"/>
    </font>
    <font>
      <b/>
      <sz val="10"/>
      <name val="Calibri"/>
      <family val="2"/>
    </font>
    <font>
      <sz val="10"/>
      <color rgb="FF000000"/>
      <name val="Arial"/>
      <family val="2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FFC000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5F9F6"/>
        <bgColor indexed="64"/>
      </patternFill>
    </fill>
  </fills>
  <borders count="1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dotted">
        <color indexed="8"/>
      </left>
      <right/>
      <top style="medium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8"/>
      </left>
      <right style="dotted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64"/>
      </left>
      <right style="medium">
        <color indexed="8"/>
      </right>
      <top style="dotted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/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8"/>
      </left>
      <right/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dotted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</borders>
  <cellStyleXfs count="6">
    <xf numFmtId="0" fontId="0" fillId="0" borderId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" fillId="0" borderId="0"/>
    <xf numFmtId="0" fontId="14" fillId="0" borderId="0"/>
    <xf numFmtId="9" fontId="1" fillId="0" borderId="0" applyFont="0" applyFill="0" applyBorder="0" applyAlignment="0" applyProtection="0"/>
  </cellStyleXfs>
  <cellXfs count="359">
    <xf numFmtId="0" fontId="0" fillId="0" borderId="0" xfId="0"/>
    <xf numFmtId="0" fontId="7" fillId="4" borderId="76" xfId="0" applyNumberFormat="1" applyFont="1" applyFill="1" applyBorder="1" applyAlignment="1">
      <alignment vertical="center"/>
    </xf>
    <xf numFmtId="0" fontId="7" fillId="4" borderId="48" xfId="0" applyNumberFormat="1" applyFont="1" applyFill="1" applyBorder="1" applyAlignment="1">
      <alignment vertical="center"/>
    </xf>
    <xf numFmtId="0" fontId="8" fillId="4" borderId="49" xfId="0" applyNumberFormat="1" applyFont="1" applyFill="1" applyBorder="1" applyAlignment="1">
      <alignment horizontal="center" vertical="center"/>
    </xf>
    <xf numFmtId="0" fontId="8" fillId="4" borderId="31" xfId="0" applyNumberFormat="1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/>
    </xf>
    <xf numFmtId="0" fontId="8" fillId="4" borderId="33" xfId="0" applyNumberFormat="1" applyFont="1" applyFill="1" applyBorder="1" applyAlignment="1">
      <alignment horizontal="center" vertical="center" wrapText="1"/>
    </xf>
    <xf numFmtId="0" fontId="8" fillId="4" borderId="30" xfId="0" applyNumberFormat="1" applyFont="1" applyFill="1" applyBorder="1" applyAlignment="1">
      <alignment horizontal="center" vertical="center" wrapText="1"/>
    </xf>
    <xf numFmtId="0" fontId="7" fillId="0" borderId="52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3" fontId="8" fillId="3" borderId="72" xfId="0" applyNumberFormat="1" applyFont="1" applyFill="1" applyBorder="1" applyAlignment="1">
      <alignment vertical="center"/>
    </xf>
    <xf numFmtId="43" fontId="8" fillId="3" borderId="73" xfId="0" applyNumberFormat="1" applyFont="1" applyFill="1" applyBorder="1" applyAlignment="1">
      <alignment vertical="center"/>
    </xf>
    <xf numFmtId="41" fontId="8" fillId="3" borderId="61" xfId="0" applyNumberFormat="1" applyFont="1" applyFill="1" applyBorder="1" applyAlignment="1">
      <alignment horizontal="right" vertical="center"/>
    </xf>
    <xf numFmtId="41" fontId="5" fillId="3" borderId="67" xfId="0" applyNumberFormat="1" applyFont="1" applyFill="1" applyBorder="1" applyAlignment="1">
      <alignment horizontal="right" vertical="center"/>
    </xf>
    <xf numFmtId="0" fontId="6" fillId="3" borderId="4" xfId="0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>
      <alignment horizontal="right" vertical="center"/>
    </xf>
    <xf numFmtId="43" fontId="3" fillId="3" borderId="0" xfId="0" applyNumberFormat="1" applyFont="1" applyFill="1" applyBorder="1" applyAlignment="1">
      <alignment vertical="center"/>
    </xf>
    <xf numFmtId="41" fontId="5" fillId="3" borderId="0" xfId="0" applyNumberFormat="1" applyFont="1" applyFill="1" applyBorder="1" applyAlignment="1">
      <alignment horizontal="right" vertical="center"/>
    </xf>
    <xf numFmtId="41" fontId="6" fillId="3" borderId="0" xfId="0" applyNumberFormat="1" applyFont="1" applyFill="1" applyBorder="1" applyAlignment="1">
      <alignment horizontal="center" vertical="center"/>
    </xf>
    <xf numFmtId="41" fontId="6" fillId="3" borderId="5" xfId="0" applyNumberFormat="1" applyFont="1" applyFill="1" applyBorder="1" applyAlignment="1">
      <alignment horizontal="center" vertical="center"/>
    </xf>
    <xf numFmtId="43" fontId="8" fillId="3" borderId="44" xfId="0" applyNumberFormat="1" applyFont="1" applyFill="1" applyBorder="1" applyAlignment="1">
      <alignment vertical="center"/>
    </xf>
    <xf numFmtId="43" fontId="8" fillId="3" borderId="42" xfId="0" applyNumberFormat="1" applyFont="1" applyFill="1" applyBorder="1" applyAlignment="1">
      <alignment vertical="center"/>
    </xf>
    <xf numFmtId="41" fontId="8" fillId="3" borderId="43" xfId="0" applyNumberFormat="1" applyFont="1" applyFill="1" applyBorder="1" applyAlignment="1">
      <alignment horizontal="right" vertical="center"/>
    </xf>
    <xf numFmtId="43" fontId="3" fillId="3" borderId="68" xfId="0" applyNumberFormat="1" applyFont="1" applyFill="1" applyBorder="1" applyAlignment="1">
      <alignment vertical="center"/>
    </xf>
    <xf numFmtId="41" fontId="5" fillId="3" borderId="23" xfId="0" applyNumberFormat="1" applyFont="1" applyFill="1" applyBorder="1" applyAlignment="1">
      <alignment horizontal="right" vertical="center"/>
    </xf>
    <xf numFmtId="0" fontId="8" fillId="3" borderId="4" xfId="0" applyNumberFormat="1" applyFont="1" applyFill="1" applyBorder="1" applyAlignment="1">
      <alignment horizontal="right" vertical="center"/>
    </xf>
    <xf numFmtId="43" fontId="8" fillId="3" borderId="74" xfId="0" applyNumberFormat="1" applyFont="1" applyFill="1" applyBorder="1" applyAlignment="1">
      <alignment vertical="center"/>
    </xf>
    <xf numFmtId="43" fontId="3" fillId="3" borderId="69" xfId="0" applyNumberFormat="1" applyFont="1" applyFill="1" applyBorder="1" applyAlignment="1">
      <alignment vertical="center"/>
    </xf>
    <xf numFmtId="43" fontId="8" fillId="3" borderId="75" xfId="0" applyNumberFormat="1" applyFont="1" applyFill="1" applyBorder="1" applyAlignment="1">
      <alignment vertical="center"/>
    </xf>
    <xf numFmtId="43" fontId="3" fillId="3" borderId="70" xfId="0" applyNumberFormat="1" applyFont="1" applyFill="1" applyBorder="1" applyAlignment="1">
      <alignment vertical="center"/>
    </xf>
    <xf numFmtId="0" fontId="6" fillId="3" borderId="65" xfId="0" applyNumberFormat="1" applyFont="1" applyFill="1" applyBorder="1" applyAlignment="1">
      <alignment horizontal="right" vertical="center"/>
    </xf>
    <xf numFmtId="0" fontId="6" fillId="3" borderId="22" xfId="0" applyNumberFormat="1" applyFont="1" applyFill="1" applyBorder="1" applyAlignment="1">
      <alignment horizontal="right" vertical="center"/>
    </xf>
    <xf numFmtId="43" fontId="3" fillId="3" borderId="22" xfId="0" applyNumberFormat="1" applyFont="1" applyFill="1" applyBorder="1" applyAlignment="1">
      <alignment vertical="center"/>
    </xf>
    <xf numFmtId="41" fontId="5" fillId="3" borderId="22" xfId="0" applyNumberFormat="1" applyFont="1" applyFill="1" applyBorder="1" applyAlignment="1">
      <alignment horizontal="right" vertical="center"/>
    </xf>
    <xf numFmtId="41" fontId="6" fillId="3" borderId="22" xfId="0" applyNumberFormat="1" applyFont="1" applyFill="1" applyBorder="1" applyAlignment="1">
      <alignment horizontal="center" vertical="center"/>
    </xf>
    <xf numFmtId="41" fontId="6" fillId="3" borderId="66" xfId="0" applyNumberFormat="1" applyFont="1" applyFill="1" applyBorder="1" applyAlignment="1">
      <alignment horizontal="center" vertical="center"/>
    </xf>
    <xf numFmtId="43" fontId="8" fillId="3" borderId="45" xfId="0" applyNumberFormat="1" applyFont="1" applyFill="1" applyBorder="1" applyAlignment="1">
      <alignment vertical="center"/>
    </xf>
    <xf numFmtId="43" fontId="8" fillId="3" borderId="46" xfId="0" applyNumberFormat="1" applyFont="1" applyFill="1" applyBorder="1" applyAlignment="1">
      <alignment vertical="center"/>
    </xf>
    <xf numFmtId="43" fontId="8" fillId="3" borderId="35" xfId="0" applyNumberFormat="1" applyFont="1" applyFill="1" applyBorder="1" applyAlignment="1">
      <alignment vertical="center"/>
    </xf>
    <xf numFmtId="41" fontId="8" fillId="3" borderId="35" xfId="0" applyNumberFormat="1" applyFont="1" applyFill="1" applyBorder="1" applyAlignment="1">
      <alignment vertical="center"/>
    </xf>
    <xf numFmtId="41" fontId="8" fillId="3" borderId="17" xfId="0" applyNumberFormat="1" applyFont="1" applyFill="1" applyBorder="1" applyAlignment="1">
      <alignment vertical="center"/>
    </xf>
    <xf numFmtId="43" fontId="8" fillId="3" borderId="50" xfId="0" applyNumberFormat="1" applyFont="1" applyFill="1" applyBorder="1" applyAlignment="1">
      <alignment vertical="center"/>
    </xf>
    <xf numFmtId="43" fontId="5" fillId="3" borderId="18" xfId="0" applyNumberFormat="1" applyFont="1" applyFill="1" applyBorder="1" applyAlignment="1">
      <alignment vertical="center"/>
    </xf>
    <xf numFmtId="0" fontId="8" fillId="0" borderId="18" xfId="0" applyNumberFormat="1" applyFont="1" applyBorder="1" applyAlignment="1">
      <alignment horizontal="center" vertical="center"/>
    </xf>
    <xf numFmtId="43" fontId="5" fillId="0" borderId="0" xfId="0" applyNumberFormat="1" applyFont="1" applyBorder="1" applyAlignment="1">
      <alignment vertical="center"/>
    </xf>
    <xf numFmtId="43" fontId="5" fillId="3" borderId="0" xfId="0" applyNumberFormat="1" applyFont="1" applyFill="1" applyBorder="1" applyAlignment="1">
      <alignment vertical="center"/>
    </xf>
    <xf numFmtId="43" fontId="5" fillId="4" borderId="45" xfId="0" applyNumberFormat="1" applyFont="1" applyFill="1" applyBorder="1" applyAlignment="1">
      <alignment vertical="center"/>
    </xf>
    <xf numFmtId="43" fontId="5" fillId="4" borderId="46" xfId="0" applyNumberFormat="1" applyFont="1" applyFill="1" applyBorder="1" applyAlignment="1">
      <alignment vertical="center"/>
    </xf>
    <xf numFmtId="43" fontId="5" fillId="4" borderId="51" xfId="0" applyNumberFormat="1" applyFont="1" applyFill="1" applyBorder="1" applyAlignment="1">
      <alignment vertical="center"/>
    </xf>
    <xf numFmtId="0" fontId="8" fillId="0" borderId="18" xfId="0" applyNumberFormat="1" applyFont="1" applyBorder="1" applyAlignment="1">
      <alignment horizontal="center" vertical="center" wrapText="1"/>
    </xf>
    <xf numFmtId="43" fontId="5" fillId="0" borderId="18" xfId="0" applyNumberFormat="1" applyFont="1" applyBorder="1" applyAlignment="1">
      <alignment vertical="center"/>
    </xf>
    <xf numFmtId="41" fontId="5" fillId="4" borderId="35" xfId="0" applyNumberFormat="1" applyFont="1" applyFill="1" applyBorder="1" applyAlignment="1">
      <alignment vertical="center"/>
    </xf>
    <xf numFmtId="41" fontId="5" fillId="4" borderId="50" xfId="0" applyNumberFormat="1" applyFont="1" applyFill="1" applyBorder="1" applyAlignment="1">
      <alignment vertical="center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Border="1" applyAlignment="1">
      <alignment horizontal="center" vertical="center" wrapText="1"/>
    </xf>
    <xf numFmtId="41" fontId="5" fillId="3" borderId="0" xfId="0" applyNumberFormat="1" applyFont="1" applyFill="1" applyBorder="1" applyAlignment="1">
      <alignment vertical="center"/>
    </xf>
    <xf numFmtId="41" fontId="5" fillId="3" borderId="20" xfId="0" applyNumberFormat="1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horizontal="left" vertical="center"/>
    </xf>
    <xf numFmtId="0" fontId="6" fillId="2" borderId="22" xfId="0" applyNumberFormat="1" applyFont="1" applyFill="1" applyBorder="1" applyAlignment="1">
      <alignment horizontal="center" vertical="center"/>
    </xf>
    <xf numFmtId="41" fontId="5" fillId="3" borderId="22" xfId="0" applyNumberFormat="1" applyFont="1" applyFill="1" applyBorder="1" applyAlignment="1">
      <alignment vertical="center"/>
    </xf>
    <xf numFmtId="0" fontId="8" fillId="4" borderId="15" xfId="0" applyNumberFormat="1" applyFont="1" applyFill="1" applyBorder="1" applyAlignment="1">
      <alignment horizontal="left" vertical="center"/>
    </xf>
    <xf numFmtId="0" fontId="6" fillId="4" borderId="8" xfId="0" applyNumberFormat="1" applyFont="1" applyFill="1" applyBorder="1" applyAlignment="1">
      <alignment horizontal="center" vertical="center"/>
    </xf>
    <xf numFmtId="43" fontId="5" fillId="4" borderId="13" xfId="0" applyNumberFormat="1" applyFont="1" applyFill="1" applyBorder="1" applyAlignment="1">
      <alignment vertical="center"/>
    </xf>
    <xf numFmtId="43" fontId="5" fillId="4" borderId="35" xfId="0" applyNumberFormat="1" applyFont="1" applyFill="1" applyBorder="1" applyAlignment="1">
      <alignment vertical="center"/>
    </xf>
    <xf numFmtId="0" fontId="8" fillId="3" borderId="0" xfId="0" applyNumberFormat="1" applyFont="1" applyFill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43" fontId="5" fillId="5" borderId="13" xfId="0" applyNumberFormat="1" applyFont="1" applyFill="1" applyBorder="1" applyAlignment="1">
      <alignment vertical="center"/>
    </xf>
    <xf numFmtId="43" fontId="5" fillId="5" borderId="41" xfId="0" applyNumberFormat="1" applyFont="1" applyFill="1" applyBorder="1" applyAlignment="1">
      <alignment vertical="center"/>
    </xf>
    <xf numFmtId="43" fontId="5" fillId="5" borderId="45" xfId="0" applyNumberFormat="1" applyFont="1" applyFill="1" applyBorder="1" applyAlignment="1">
      <alignment vertical="center"/>
    </xf>
    <xf numFmtId="41" fontId="5" fillId="3" borderId="18" xfId="0" applyNumberFormat="1" applyFont="1" applyFill="1" applyBorder="1" applyAlignment="1">
      <alignment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4" borderId="11" xfId="0" applyNumberFormat="1" applyFont="1" applyFill="1" applyBorder="1" applyAlignment="1">
      <alignment horizontal="center" vertical="center"/>
    </xf>
    <xf numFmtId="41" fontId="5" fillId="4" borderId="29" xfId="0" applyNumberFormat="1" applyFont="1" applyFill="1" applyBorder="1" applyAlignment="1">
      <alignment horizontal="center" vertical="center" wrapText="1"/>
    </xf>
    <xf numFmtId="41" fontId="5" fillId="4" borderId="53" xfId="0" applyNumberFormat="1" applyFont="1" applyFill="1" applyBorder="1" applyAlignment="1">
      <alignment horizontal="center" vertical="center" wrapText="1"/>
    </xf>
    <xf numFmtId="41" fontId="5" fillId="4" borderId="19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/>
    </xf>
    <xf numFmtId="207" fontId="3" fillId="2" borderId="11" xfId="0" applyNumberFormat="1" applyFont="1" applyFill="1" applyBorder="1" applyAlignment="1">
      <alignment horizontal="center" vertical="center"/>
    </xf>
    <xf numFmtId="41" fontId="3" fillId="2" borderId="54" xfId="0" applyNumberFormat="1" applyFont="1" applyFill="1" applyBorder="1" applyAlignment="1">
      <alignment horizontal="right" vertical="center"/>
    </xf>
    <xf numFmtId="41" fontId="3" fillId="2" borderId="25" xfId="0" applyNumberFormat="1" applyFont="1" applyFill="1" applyBorder="1" applyAlignment="1">
      <alignment horizontal="right" vertical="center"/>
    </xf>
    <xf numFmtId="0" fontId="9" fillId="3" borderId="1" xfId="0" applyNumberFormat="1" applyFont="1" applyFill="1" applyBorder="1" applyAlignment="1">
      <alignment vertical="center" wrapText="1"/>
    </xf>
    <xf numFmtId="0" fontId="9" fillId="3" borderId="56" xfId="0" applyNumberFormat="1" applyFont="1" applyFill="1" applyBorder="1" applyAlignment="1">
      <alignment vertical="center" wrapText="1"/>
    </xf>
    <xf numFmtId="0" fontId="9" fillId="3" borderId="26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>
      <alignment vertical="center"/>
    </xf>
    <xf numFmtId="0" fontId="4" fillId="3" borderId="0" xfId="0" applyNumberFormat="1" applyFont="1" applyFill="1" applyAlignment="1">
      <alignment vertical="center"/>
    </xf>
    <xf numFmtId="43" fontId="3" fillId="3" borderId="18" xfId="0" applyNumberFormat="1" applyFont="1" applyFill="1" applyBorder="1" applyAlignment="1">
      <alignment vertical="center"/>
    </xf>
    <xf numFmtId="43" fontId="5" fillId="4" borderId="41" xfId="0" applyNumberFormat="1" applyFont="1" applyFill="1" applyBorder="1" applyAlignment="1">
      <alignment vertical="center"/>
    </xf>
    <xf numFmtId="43" fontId="5" fillId="4" borderId="59" xfId="0" applyNumberFormat="1" applyFont="1" applyFill="1" applyBorder="1" applyAlignment="1">
      <alignment vertical="center"/>
    </xf>
    <xf numFmtId="0" fontId="15" fillId="2" borderId="2" xfId="0" applyNumberFormat="1" applyFont="1" applyFill="1" applyBorder="1" applyAlignment="1">
      <alignment vertical="center"/>
    </xf>
    <xf numFmtId="0" fontId="15" fillId="2" borderId="60" xfId="0" applyNumberFormat="1" applyFont="1" applyFill="1" applyBorder="1" applyAlignment="1">
      <alignment vertical="center"/>
    </xf>
    <xf numFmtId="0" fontId="16" fillId="2" borderId="12" xfId="0" applyNumberFormat="1" applyFont="1" applyFill="1" applyBorder="1" applyAlignment="1">
      <alignment vertical="center"/>
    </xf>
    <xf numFmtId="41" fontId="3" fillId="0" borderId="55" xfId="0" applyNumberFormat="1" applyFont="1" applyFill="1" applyBorder="1" applyAlignment="1">
      <alignment horizontal="right" vertical="center"/>
    </xf>
    <xf numFmtId="41" fontId="3" fillId="0" borderId="27" xfId="0" applyNumberFormat="1" applyFont="1" applyFill="1" applyBorder="1" applyAlignment="1">
      <alignment horizontal="right" vertical="center"/>
    </xf>
    <xf numFmtId="0" fontId="17" fillId="2" borderId="12" xfId="0" applyNumberFormat="1" applyFont="1" applyFill="1" applyBorder="1" applyAlignment="1">
      <alignment vertical="center"/>
    </xf>
    <xf numFmtId="0" fontId="18" fillId="2" borderId="12" xfId="0" applyNumberFormat="1" applyFont="1" applyFill="1" applyBorder="1" applyAlignment="1">
      <alignment vertical="center"/>
    </xf>
    <xf numFmtId="0" fontId="15" fillId="2" borderId="12" xfId="0" applyNumberFormat="1" applyFont="1" applyFill="1" applyBorder="1" applyAlignment="1">
      <alignment vertical="center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36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41" fontId="3" fillId="0" borderId="24" xfId="0" applyNumberFormat="1" applyFont="1" applyFill="1" applyBorder="1" applyAlignment="1">
      <alignment horizontal="right" vertical="center"/>
    </xf>
    <xf numFmtId="0" fontId="18" fillId="3" borderId="12" xfId="0" applyNumberFormat="1" applyFont="1" applyFill="1" applyBorder="1" applyAlignment="1">
      <alignment vertical="center"/>
    </xf>
    <xf numFmtId="0" fontId="10" fillId="2" borderId="12" xfId="0" applyNumberFormat="1" applyFont="1" applyFill="1" applyBorder="1" applyAlignment="1">
      <alignment vertical="center"/>
    </xf>
    <xf numFmtId="4" fontId="3" fillId="3" borderId="7" xfId="0" applyNumberFormat="1" applyFont="1" applyFill="1" applyBorder="1" applyAlignment="1">
      <alignment horizontal="right" vertical="center"/>
    </xf>
    <xf numFmtId="41" fontId="3" fillId="3" borderId="24" xfId="0" applyNumberFormat="1" applyFont="1" applyFill="1" applyBorder="1" applyAlignment="1">
      <alignment horizontal="right" vertical="center"/>
    </xf>
    <xf numFmtId="41" fontId="3" fillId="3" borderId="55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0" fontId="16" fillId="3" borderId="12" xfId="0" applyNumberFormat="1" applyFont="1" applyFill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4" fontId="3" fillId="3" borderId="36" xfId="0" applyNumberFormat="1" applyFont="1" applyFill="1" applyBorder="1" applyAlignment="1">
      <alignment horizontal="right" vertical="center"/>
    </xf>
    <xf numFmtId="41" fontId="3" fillId="3" borderId="38" xfId="0" applyNumberFormat="1" applyFont="1" applyFill="1" applyBorder="1" applyAlignment="1">
      <alignment horizontal="right" vertical="center"/>
    </xf>
    <xf numFmtId="3" fontId="3" fillId="4" borderId="14" xfId="0" applyNumberFormat="1" applyFont="1" applyFill="1" applyBorder="1" applyAlignment="1">
      <alignment horizontal="right" vertical="center"/>
    </xf>
    <xf numFmtId="4" fontId="3" fillId="4" borderId="14" xfId="0" applyNumberFormat="1" applyFont="1" applyFill="1" applyBorder="1" applyAlignment="1">
      <alignment horizontal="right" vertical="center"/>
    </xf>
    <xf numFmtId="41" fontId="3" fillId="4" borderId="21" xfId="0" applyNumberFormat="1" applyFon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4" borderId="28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vertical="center"/>
    </xf>
    <xf numFmtId="43" fontId="5" fillId="5" borderId="15" xfId="0" applyNumberFormat="1" applyFont="1" applyFill="1" applyBorder="1" applyAlignment="1">
      <alignment vertical="center"/>
    </xf>
    <xf numFmtId="41" fontId="5" fillId="5" borderId="51" xfId="0" applyNumberFormat="1" applyFont="1" applyFill="1" applyBorder="1" applyAlignment="1">
      <alignment vertical="center"/>
    </xf>
    <xf numFmtId="43" fontId="3" fillId="2" borderId="1" xfId="0" applyNumberFormat="1" applyFont="1" applyFill="1" applyBorder="1" applyAlignment="1">
      <alignment vertical="center"/>
    </xf>
    <xf numFmtId="178" fontId="3" fillId="3" borderId="6" xfId="1" applyFont="1" applyFill="1" applyBorder="1" applyAlignment="1">
      <alignment horizontal="center" vertical="center"/>
    </xf>
    <xf numFmtId="178" fontId="3" fillId="3" borderId="37" xfId="1" applyFont="1" applyFill="1" applyBorder="1" applyAlignment="1">
      <alignment horizontal="center" vertical="center"/>
    </xf>
    <xf numFmtId="178" fontId="3" fillId="3" borderId="7" xfId="1" applyFont="1" applyFill="1" applyBorder="1" applyAlignment="1">
      <alignment horizontal="center" vertical="center"/>
    </xf>
    <xf numFmtId="178" fontId="3" fillId="3" borderId="36" xfId="1" applyFont="1" applyFill="1" applyBorder="1" applyAlignment="1">
      <alignment horizontal="center" vertical="center"/>
    </xf>
    <xf numFmtId="213" fontId="3" fillId="3" borderId="7" xfId="1" applyNumberFormat="1" applyFont="1" applyFill="1" applyBorder="1" applyAlignment="1">
      <alignment horizontal="center" vertical="center"/>
    </xf>
    <xf numFmtId="178" fontId="3" fillId="3" borderId="39" xfId="1" applyFont="1" applyFill="1" applyBorder="1" applyAlignment="1">
      <alignment horizontal="center" vertical="center"/>
    </xf>
    <xf numFmtId="178" fontId="3" fillId="3" borderId="7" xfId="1" applyFont="1" applyFill="1" applyBorder="1" applyAlignment="1">
      <alignment vertical="center"/>
    </xf>
    <xf numFmtId="178" fontId="3" fillId="3" borderId="36" xfId="1" applyFont="1" applyFill="1" applyBorder="1" applyAlignment="1">
      <alignment vertical="center"/>
    </xf>
    <xf numFmtId="213" fontId="3" fillId="3" borderId="6" xfId="1" applyNumberFormat="1" applyFont="1" applyFill="1" applyBorder="1" applyAlignment="1">
      <alignment horizontal="center" vertical="center"/>
    </xf>
    <xf numFmtId="213" fontId="3" fillId="0" borderId="39" xfId="1" applyNumberFormat="1" applyFont="1" applyFill="1" applyBorder="1" applyAlignment="1">
      <alignment horizontal="center" vertical="center"/>
    </xf>
    <xf numFmtId="213" fontId="3" fillId="0" borderId="62" xfId="1" applyNumberFormat="1" applyFont="1" applyFill="1" applyBorder="1" applyAlignment="1">
      <alignment horizontal="right" vertical="center"/>
    </xf>
    <xf numFmtId="213" fontId="3" fillId="0" borderId="63" xfId="1" applyNumberFormat="1" applyFont="1" applyFill="1" applyBorder="1" applyAlignment="1">
      <alignment horizontal="right" vertical="center"/>
    </xf>
    <xf numFmtId="213" fontId="3" fillId="3" borderId="36" xfId="1" applyNumberFormat="1" applyFont="1" applyFill="1" applyBorder="1" applyAlignment="1">
      <alignment horizontal="center" vertical="center"/>
    </xf>
    <xf numFmtId="213" fontId="3" fillId="0" borderId="36" xfId="1" applyNumberFormat="1" applyFont="1" applyFill="1" applyBorder="1" applyAlignment="1">
      <alignment horizontal="center" vertical="center"/>
    </xf>
    <xf numFmtId="213" fontId="3" fillId="0" borderId="38" xfId="1" applyNumberFormat="1" applyFont="1" applyFill="1" applyBorder="1" applyAlignment="1">
      <alignment horizontal="right" vertical="center"/>
    </xf>
    <xf numFmtId="213" fontId="3" fillId="0" borderId="64" xfId="1" applyNumberFormat="1" applyFont="1" applyFill="1" applyBorder="1" applyAlignment="1">
      <alignment horizontal="right" vertical="center"/>
    </xf>
    <xf numFmtId="213" fontId="3" fillId="0" borderId="55" xfId="1" applyNumberFormat="1" applyFont="1" applyFill="1" applyBorder="1" applyAlignment="1">
      <alignment horizontal="right" vertical="center"/>
    </xf>
    <xf numFmtId="213" fontId="3" fillId="0" borderId="27" xfId="1" applyNumberFormat="1" applyFont="1" applyFill="1" applyBorder="1" applyAlignment="1">
      <alignment horizontal="right" vertical="center"/>
    </xf>
    <xf numFmtId="213" fontId="3" fillId="3" borderId="24" xfId="1" applyNumberFormat="1" applyFont="1" applyFill="1" applyBorder="1" applyAlignment="1">
      <alignment horizontal="center" vertical="center"/>
    </xf>
    <xf numFmtId="41" fontId="5" fillId="4" borderId="78" xfId="0" applyNumberFormat="1" applyFont="1" applyFill="1" applyBorder="1" applyAlignment="1">
      <alignment vertical="center"/>
    </xf>
    <xf numFmtId="178" fontId="4" fillId="3" borderId="0" xfId="0" applyNumberFormat="1" applyFont="1" applyFill="1" applyAlignment="1">
      <alignment vertical="center"/>
    </xf>
    <xf numFmtId="178" fontId="4" fillId="3" borderId="0" xfId="0" applyNumberFormat="1" applyFont="1" applyFill="1" applyBorder="1" applyAlignment="1">
      <alignment vertical="center"/>
    </xf>
    <xf numFmtId="213" fontId="6" fillId="3" borderId="6" xfId="1" applyNumberFormat="1" applyFont="1" applyFill="1" applyBorder="1" applyAlignment="1">
      <alignment horizontal="center" vertical="center"/>
    </xf>
    <xf numFmtId="213" fontId="6" fillId="3" borderId="39" xfId="1" applyNumberFormat="1" applyFont="1" applyFill="1" applyBorder="1" applyAlignment="1">
      <alignment horizontal="center" vertical="center"/>
    </xf>
    <xf numFmtId="213" fontId="6" fillId="0" borderId="39" xfId="1" applyNumberFormat="1" applyFont="1" applyFill="1" applyBorder="1" applyAlignment="1">
      <alignment horizontal="center" vertical="center"/>
    </xf>
    <xf numFmtId="213" fontId="6" fillId="0" borderId="62" xfId="1" applyNumberFormat="1" applyFont="1" applyFill="1" applyBorder="1" applyAlignment="1">
      <alignment horizontal="right" vertical="center"/>
    </xf>
    <xf numFmtId="213" fontId="6" fillId="3" borderId="37" xfId="1" applyNumberFormat="1" applyFont="1" applyFill="1" applyBorder="1" applyAlignment="1">
      <alignment horizontal="center" vertical="center"/>
    </xf>
    <xf numFmtId="213" fontId="6" fillId="3" borderId="36" xfId="1" applyNumberFormat="1" applyFont="1" applyFill="1" applyBorder="1" applyAlignment="1">
      <alignment horizontal="center" vertical="center"/>
    </xf>
    <xf numFmtId="213" fontId="6" fillId="0" borderId="36" xfId="1" applyNumberFormat="1" applyFont="1" applyFill="1" applyBorder="1" applyAlignment="1">
      <alignment horizontal="center" vertical="center"/>
    </xf>
    <xf numFmtId="213" fontId="6" fillId="0" borderId="38" xfId="1" applyNumberFormat="1" applyFont="1" applyFill="1" applyBorder="1" applyAlignment="1">
      <alignment horizontal="right" vertical="center"/>
    </xf>
    <xf numFmtId="213" fontId="6" fillId="3" borderId="7" xfId="1" applyNumberFormat="1" applyFont="1" applyFill="1" applyBorder="1" applyAlignment="1">
      <alignment horizontal="center" vertical="center"/>
    </xf>
    <xf numFmtId="213" fontId="6" fillId="0" borderId="55" xfId="1" applyNumberFormat="1" applyFont="1" applyFill="1" applyBorder="1" applyAlignment="1">
      <alignment horizontal="right" vertical="center"/>
    </xf>
    <xf numFmtId="213" fontId="6" fillId="3" borderId="7" xfId="1" applyNumberFormat="1" applyFont="1" applyFill="1" applyBorder="1" applyAlignment="1">
      <alignment vertical="center"/>
    </xf>
    <xf numFmtId="213" fontId="6" fillId="3" borderId="36" xfId="1" applyNumberFormat="1" applyFont="1" applyFill="1" applyBorder="1" applyAlignment="1">
      <alignment vertical="center"/>
    </xf>
    <xf numFmtId="213" fontId="6" fillId="3" borderId="24" xfId="1" applyNumberFormat="1" applyFont="1" applyFill="1" applyBorder="1" applyAlignment="1">
      <alignment horizontal="center" vertical="center"/>
    </xf>
    <xf numFmtId="213" fontId="6" fillId="2" borderId="7" xfId="0" applyNumberFormat="1" applyFont="1" applyFill="1" applyBorder="1" applyAlignment="1">
      <alignment horizontal="right" vertical="center"/>
    </xf>
    <xf numFmtId="213" fontId="6" fillId="2" borderId="36" xfId="0" applyNumberFormat="1" applyFont="1" applyFill="1" applyBorder="1" applyAlignment="1">
      <alignment horizontal="right" vertical="center"/>
    </xf>
    <xf numFmtId="213" fontId="6" fillId="0" borderId="7" xfId="0" applyNumberFormat="1" applyFont="1" applyFill="1" applyBorder="1" applyAlignment="1">
      <alignment horizontal="right" vertical="center"/>
    </xf>
    <xf numFmtId="213" fontId="6" fillId="0" borderId="24" xfId="0" applyNumberFormat="1" applyFont="1" applyFill="1" applyBorder="1" applyAlignment="1">
      <alignment horizontal="right" vertical="center"/>
    </xf>
    <xf numFmtId="213" fontId="6" fillId="0" borderId="55" xfId="0" applyNumberFormat="1" applyFont="1" applyFill="1" applyBorder="1" applyAlignment="1">
      <alignment horizontal="right" vertical="center"/>
    </xf>
    <xf numFmtId="213" fontId="3" fillId="0" borderId="27" xfId="0" applyNumberFormat="1" applyFont="1" applyFill="1" applyBorder="1" applyAlignment="1">
      <alignment horizontal="right" vertical="center"/>
    </xf>
    <xf numFmtId="213" fontId="6" fillId="3" borderId="7" xfId="0" applyNumberFormat="1" applyFont="1" applyFill="1" applyBorder="1" applyAlignment="1">
      <alignment horizontal="right" vertical="center"/>
    </xf>
    <xf numFmtId="213" fontId="6" fillId="3" borderId="24" xfId="0" applyNumberFormat="1" applyFont="1" applyFill="1" applyBorder="1" applyAlignment="1">
      <alignment horizontal="right" vertical="center"/>
    </xf>
    <xf numFmtId="213" fontId="6" fillId="3" borderId="55" xfId="0" applyNumberFormat="1" applyFont="1" applyFill="1" applyBorder="1" applyAlignment="1">
      <alignment horizontal="right" vertical="center"/>
    </xf>
    <xf numFmtId="213" fontId="3" fillId="3" borderId="27" xfId="0" applyNumberFormat="1" applyFont="1" applyFill="1" applyBorder="1" applyAlignment="1">
      <alignment horizontal="right" vertical="center"/>
    </xf>
    <xf numFmtId="213" fontId="6" fillId="0" borderId="7" xfId="0" applyNumberFormat="1" applyFont="1" applyBorder="1" applyAlignment="1">
      <alignment horizontal="right" vertical="center"/>
    </xf>
    <xf numFmtId="213" fontId="6" fillId="3" borderId="36" xfId="0" applyNumberFormat="1" applyFont="1" applyFill="1" applyBorder="1" applyAlignment="1">
      <alignment horizontal="right" vertical="center"/>
    </xf>
    <xf numFmtId="213" fontId="6" fillId="3" borderId="38" xfId="0" applyNumberFormat="1" applyFont="1" applyFill="1" applyBorder="1" applyAlignment="1">
      <alignment horizontal="right" vertical="center"/>
    </xf>
    <xf numFmtId="213" fontId="6" fillId="4" borderId="14" xfId="0" applyNumberFormat="1" applyFont="1" applyFill="1" applyBorder="1" applyAlignment="1">
      <alignment horizontal="right" vertical="center"/>
    </xf>
    <xf numFmtId="213" fontId="6" fillId="4" borderId="21" xfId="0" applyNumberFormat="1" applyFont="1" applyFill="1" applyBorder="1" applyAlignment="1">
      <alignment horizontal="right" vertical="center"/>
    </xf>
    <xf numFmtId="213" fontId="3" fillId="4" borderId="28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43" fontId="9" fillId="3" borderId="0" xfId="0" applyNumberFormat="1" applyFont="1" applyFill="1" applyAlignment="1">
      <alignment vertical="center"/>
    </xf>
    <xf numFmtId="41" fontId="5" fillId="3" borderId="0" xfId="0" applyNumberFormat="1" applyFont="1" applyFill="1" applyAlignment="1">
      <alignment horizontal="right" vertical="center"/>
    </xf>
    <xf numFmtId="0" fontId="6" fillId="3" borderId="65" xfId="0" applyFont="1" applyFill="1" applyBorder="1" applyAlignment="1">
      <alignment horizontal="right" vertical="center"/>
    </xf>
    <xf numFmtId="0" fontId="6" fillId="3" borderId="22" xfId="0" applyFont="1" applyFill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43" fontId="5" fillId="3" borderId="0" xfId="0" applyNumberFormat="1" applyFont="1" applyFill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1" fontId="5" fillId="3" borderId="0" xfId="0" applyNumberFormat="1" applyFont="1" applyFill="1" applyAlignment="1">
      <alignment vertical="center"/>
    </xf>
    <xf numFmtId="0" fontId="8" fillId="2" borderId="20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/>
    </xf>
    <xf numFmtId="0" fontId="9" fillId="3" borderId="56" xfId="0" applyFont="1" applyFill="1" applyBorder="1" applyAlignment="1">
      <alignment vertical="center" wrapText="1"/>
    </xf>
    <xf numFmtId="0" fontId="15" fillId="2" borderId="60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0" xfId="0" applyNumberFormat="1" applyFont="1" applyFill="1" applyAlignment="1">
      <alignment vertical="center"/>
    </xf>
    <xf numFmtId="213" fontId="6" fillId="0" borderId="24" xfId="0" applyNumberFormat="1" applyFont="1" applyBorder="1" applyAlignment="1">
      <alignment horizontal="right" vertical="center"/>
    </xf>
    <xf numFmtId="213" fontId="6" fillId="0" borderId="55" xfId="0" applyNumberFormat="1" applyFont="1" applyBorder="1" applyAlignment="1">
      <alignment horizontal="right" vertical="center"/>
    </xf>
    <xf numFmtId="213" fontId="3" fillId="0" borderId="27" xfId="0" applyNumberFormat="1" applyFont="1" applyBorder="1" applyAlignment="1">
      <alignment horizontal="right" vertical="center"/>
    </xf>
    <xf numFmtId="0" fontId="18" fillId="3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211" fontId="5" fillId="6" borderId="15" xfId="0" applyNumberFormat="1" applyFont="1" applyFill="1" applyBorder="1" applyAlignment="1">
      <alignment vertical="center"/>
    </xf>
    <xf numFmtId="211" fontId="5" fillId="6" borderId="41" xfId="0" applyNumberFormat="1" applyFont="1" applyFill="1" applyBorder="1" applyAlignment="1">
      <alignment vertical="center"/>
    </xf>
    <xf numFmtId="211" fontId="5" fillId="6" borderId="45" xfId="0" applyNumberFormat="1" applyFont="1" applyFill="1" applyBorder="1" applyAlignment="1">
      <alignment vertical="center"/>
    </xf>
    <xf numFmtId="211" fontId="5" fillId="6" borderId="13" xfId="0" applyNumberFormat="1" applyFont="1" applyFill="1" applyBorder="1" applyAlignment="1">
      <alignment vertical="center"/>
    </xf>
    <xf numFmtId="211" fontId="5" fillId="6" borderId="5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7" fillId="3" borderId="56" xfId="0" applyNumberFormat="1" applyFont="1" applyFill="1" applyBorder="1" applyAlignment="1">
      <alignment vertical="center" wrapText="1"/>
    </xf>
    <xf numFmtId="0" fontId="7" fillId="3" borderId="26" xfId="0" applyNumberFormat="1" applyFont="1" applyFill="1" applyBorder="1" applyAlignment="1">
      <alignment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45" xfId="0" applyNumberFormat="1" applyFont="1" applyFill="1" applyBorder="1" applyAlignment="1">
      <alignment horizontal="center" vertical="center" wrapText="1"/>
    </xf>
    <xf numFmtId="0" fontId="8" fillId="6" borderId="15" xfId="0" applyNumberFormat="1" applyFont="1" applyFill="1" applyBorder="1" applyAlignment="1">
      <alignment horizontal="center" vertical="center"/>
    </xf>
    <xf numFmtId="0" fontId="8" fillId="6" borderId="9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83" xfId="0" applyNumberFormat="1" applyFont="1" applyFill="1" applyBorder="1" applyAlignment="1">
      <alignment horizontal="center" vertical="center"/>
    </xf>
    <xf numFmtId="0" fontId="4" fillId="2" borderId="77" xfId="0" applyNumberFormat="1" applyFont="1" applyFill="1" applyBorder="1" applyAlignment="1">
      <alignment horizontal="center" vertical="center"/>
    </xf>
    <xf numFmtId="0" fontId="9" fillId="4" borderId="15" xfId="0" applyNumberFormat="1" applyFont="1" applyFill="1" applyBorder="1" applyAlignment="1">
      <alignment horizontal="left" vertical="center" wrapText="1"/>
    </xf>
    <xf numFmtId="0" fontId="9" fillId="4" borderId="87" xfId="0" applyNumberFormat="1" applyFont="1" applyFill="1" applyBorder="1" applyAlignment="1">
      <alignment horizontal="left" vertical="center" wrapText="1"/>
    </xf>
    <xf numFmtId="41" fontId="8" fillId="3" borderId="85" xfId="0" applyNumberFormat="1" applyFont="1" applyFill="1" applyBorder="1" applyAlignment="1">
      <alignment horizontal="center" vertical="center"/>
    </xf>
    <xf numFmtId="41" fontId="8" fillId="3" borderId="86" xfId="0" applyNumberFormat="1" applyFont="1" applyFill="1" applyBorder="1" applyAlignment="1">
      <alignment horizontal="center" vertical="center"/>
    </xf>
    <xf numFmtId="0" fontId="8" fillId="0" borderId="16" xfId="0" applyNumberFormat="1" applyFont="1" applyBorder="1" applyAlignment="1">
      <alignment horizontal="center" vertical="center"/>
    </xf>
    <xf numFmtId="0" fontId="8" fillId="0" borderId="45" xfId="0" applyNumberFormat="1" applyFont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 wrapText="1"/>
    </xf>
    <xf numFmtId="0" fontId="9" fillId="4" borderId="87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82" xfId="0" applyFont="1" applyBorder="1" applyAlignment="1">
      <alignment vertical="center"/>
    </xf>
    <xf numFmtId="0" fontId="12" fillId="0" borderId="83" xfId="0" applyFont="1" applyBorder="1" applyAlignment="1">
      <alignment vertical="center"/>
    </xf>
    <xf numFmtId="0" fontId="12" fillId="0" borderId="71" xfId="0" applyFont="1" applyBorder="1" applyAlignment="1">
      <alignment vertical="center"/>
    </xf>
    <xf numFmtId="0" fontId="8" fillId="5" borderId="15" xfId="0" applyNumberFormat="1" applyFont="1" applyFill="1" applyBorder="1" applyAlignment="1">
      <alignment horizontal="center" vertical="center"/>
    </xf>
    <xf numFmtId="0" fontId="8" fillId="5" borderId="9" xfId="0" applyNumberFormat="1" applyFont="1" applyFill="1" applyBorder="1" applyAlignment="1">
      <alignment horizontal="center" vertical="center"/>
    </xf>
    <xf numFmtId="0" fontId="8" fillId="4" borderId="81" xfId="0" applyNumberFormat="1" applyFont="1" applyFill="1" applyBorder="1" applyAlignment="1">
      <alignment horizontal="center" vertical="center" wrapText="1"/>
    </xf>
    <xf numFmtId="0" fontId="7" fillId="4" borderId="84" xfId="0" applyNumberFormat="1" applyFont="1" applyFill="1" applyBorder="1" applyAlignment="1">
      <alignment horizontal="center" vertical="center"/>
    </xf>
    <xf numFmtId="0" fontId="7" fillId="4" borderId="76" xfId="0" applyNumberFormat="1" applyFont="1" applyFill="1" applyBorder="1" applyAlignment="1">
      <alignment horizontal="center" vertical="center"/>
    </xf>
    <xf numFmtId="41" fontId="8" fillId="3" borderId="29" xfId="0" applyNumberFormat="1" applyFont="1" applyFill="1" applyBorder="1" applyAlignment="1">
      <alignment horizontal="center" vertical="center"/>
    </xf>
    <xf numFmtId="41" fontId="8" fillId="3" borderId="32" xfId="0" applyNumberFormat="1" applyFont="1" applyFill="1" applyBorder="1" applyAlignment="1">
      <alignment horizontal="center" vertical="center"/>
    </xf>
    <xf numFmtId="0" fontId="6" fillId="3" borderId="79" xfId="0" applyNumberFormat="1" applyFont="1" applyFill="1" applyBorder="1" applyAlignment="1">
      <alignment horizontal="right" vertical="center"/>
    </xf>
    <xf numFmtId="0" fontId="6" fillId="3" borderId="80" xfId="0" applyNumberFormat="1" applyFont="1" applyFill="1" applyBorder="1" applyAlignment="1">
      <alignment horizontal="right" vertical="center"/>
    </xf>
    <xf numFmtId="0" fontId="6" fillId="3" borderId="83" xfId="0" applyNumberFormat="1" applyFont="1" applyFill="1" applyBorder="1" applyAlignment="1">
      <alignment horizontal="right" vertical="center"/>
    </xf>
    <xf numFmtId="0" fontId="6" fillId="3" borderId="71" xfId="0" applyNumberFormat="1" applyFont="1" applyFill="1" applyBorder="1" applyAlignment="1">
      <alignment horizontal="right" vertical="center"/>
    </xf>
    <xf numFmtId="0" fontId="6" fillId="3" borderId="68" xfId="0" applyNumberFormat="1" applyFont="1" applyFill="1" applyBorder="1" applyAlignment="1">
      <alignment horizontal="right" vertical="center"/>
    </xf>
    <xf numFmtId="0" fontId="11" fillId="3" borderId="0" xfId="0" applyNumberFormat="1" applyFont="1" applyFill="1" applyBorder="1" applyAlignment="1">
      <alignment horizontal="center" vertical="center" wrapText="1"/>
    </xf>
    <xf numFmtId="41" fontId="10" fillId="3" borderId="0" xfId="0" applyNumberFormat="1" applyFont="1" applyFill="1" applyAlignment="1">
      <alignment horizontal="right" vertical="center"/>
    </xf>
    <xf numFmtId="41" fontId="9" fillId="3" borderId="5" xfId="0" applyNumberFormat="1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21" fillId="3" borderId="4" xfId="0" applyFont="1" applyFill="1" applyBorder="1" applyAlignment="1">
      <alignment horizontal="right" vertical="center"/>
    </xf>
    <xf numFmtId="41" fontId="9" fillId="3" borderId="0" xfId="0" applyNumberFormat="1" applyFont="1" applyFill="1" applyAlignment="1">
      <alignment horizontal="center" vertical="center"/>
    </xf>
    <xf numFmtId="43" fontId="9" fillId="3" borderId="94" xfId="0" applyNumberFormat="1" applyFont="1" applyFill="1" applyBorder="1" applyAlignment="1">
      <alignment vertical="center"/>
    </xf>
    <xf numFmtId="43" fontId="9" fillId="3" borderId="95" xfId="0" applyNumberFormat="1" applyFont="1" applyFill="1" applyBorder="1" applyAlignment="1">
      <alignment vertical="center"/>
    </xf>
    <xf numFmtId="41" fontId="10" fillId="3" borderId="96" xfId="0" applyNumberFormat="1" applyFont="1" applyFill="1" applyBorder="1" applyAlignment="1">
      <alignment horizontal="right" vertical="center"/>
    </xf>
    <xf numFmtId="0" fontId="8" fillId="3" borderId="100" xfId="0" applyFont="1" applyFill="1" applyBorder="1" applyAlignment="1">
      <alignment horizontal="center" vertical="center" wrapText="1"/>
    </xf>
    <xf numFmtId="0" fontId="12" fillId="3" borderId="101" xfId="0" applyFont="1" applyFill="1" applyBorder="1" applyAlignment="1">
      <alignment vertical="center"/>
    </xf>
    <xf numFmtId="0" fontId="12" fillId="3" borderId="103" xfId="0" applyFont="1" applyFill="1" applyBorder="1" applyAlignment="1">
      <alignment vertical="center"/>
    </xf>
    <xf numFmtId="0" fontId="12" fillId="3" borderId="104" xfId="0" applyFont="1" applyFill="1" applyBorder="1" applyAlignment="1">
      <alignment vertical="center"/>
    </xf>
    <xf numFmtId="211" fontId="8" fillId="3" borderId="45" xfId="0" applyNumberFormat="1" applyFont="1" applyFill="1" applyBorder="1" applyAlignment="1">
      <alignment vertical="center"/>
    </xf>
    <xf numFmtId="211" fontId="8" fillId="3" borderId="46" xfId="0" applyNumberFormat="1" applyFont="1" applyFill="1" applyBorder="1" applyAlignment="1">
      <alignment vertical="center"/>
    </xf>
    <xf numFmtId="211" fontId="8" fillId="3" borderId="35" xfId="0" applyNumberFormat="1" applyFont="1" applyFill="1" applyBorder="1" applyAlignment="1">
      <alignment vertical="center"/>
    </xf>
    <xf numFmtId="211" fontId="8" fillId="3" borderId="50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83" xfId="0" applyNumberFormat="1" applyFont="1" applyFill="1" applyBorder="1" applyAlignment="1">
      <alignment horizontal="center" vertical="center" wrapText="1"/>
    </xf>
    <xf numFmtId="0" fontId="4" fillId="2" borderId="77" xfId="0" applyNumberFormat="1" applyFont="1" applyFill="1" applyBorder="1" applyAlignment="1">
      <alignment horizontal="center" vertical="center" wrapText="1"/>
    </xf>
    <xf numFmtId="0" fontId="8" fillId="3" borderId="104" xfId="0" applyFont="1" applyFill="1" applyBorder="1" applyAlignment="1">
      <alignment horizontal="center" vertical="center" wrapText="1"/>
    </xf>
    <xf numFmtId="211" fontId="5" fillId="3" borderId="18" xfId="0" applyNumberFormat="1" applyFont="1" applyFill="1" applyBorder="1" applyAlignment="1">
      <alignment vertical="center"/>
    </xf>
    <xf numFmtId="0" fontId="20" fillId="3" borderId="112" xfId="0" applyFont="1" applyFill="1" applyBorder="1" applyAlignment="1">
      <alignment horizontal="center" vertical="center"/>
    </xf>
    <xf numFmtId="41" fontId="10" fillId="3" borderId="116" xfId="0" applyNumberFormat="1" applyFont="1" applyFill="1" applyBorder="1" applyAlignment="1">
      <alignment vertical="center"/>
    </xf>
    <xf numFmtId="211" fontId="8" fillId="3" borderId="58" xfId="0" applyNumberFormat="1" applyFont="1" applyFill="1" applyBorder="1" applyAlignment="1">
      <alignment vertical="center"/>
    </xf>
    <xf numFmtId="211" fontId="8" fillId="3" borderId="51" xfId="0" applyNumberFormat="1" applyFont="1" applyFill="1" applyBorder="1" applyAlignment="1">
      <alignment vertical="center"/>
    </xf>
    <xf numFmtId="0" fontId="12" fillId="3" borderId="117" xfId="0" applyFont="1" applyFill="1" applyBorder="1" applyAlignment="1">
      <alignment vertical="center"/>
    </xf>
    <xf numFmtId="0" fontId="12" fillId="3" borderId="118" xfId="0" applyFont="1" applyFill="1" applyBorder="1" applyAlignment="1">
      <alignment vertical="center"/>
    </xf>
    <xf numFmtId="0" fontId="8" fillId="3" borderId="12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horizontal="right" vertical="center"/>
    </xf>
    <xf numFmtId="43" fontId="9" fillId="3" borderId="13" xfId="0" applyNumberFormat="1" applyFont="1" applyFill="1" applyBorder="1" applyAlignment="1">
      <alignment vertical="center"/>
    </xf>
    <xf numFmtId="41" fontId="10" fillId="3" borderId="13" xfId="0" applyNumberFormat="1" applyFont="1" applyFill="1" applyBorder="1" applyAlignment="1">
      <alignment horizontal="right" vertical="center"/>
    </xf>
    <xf numFmtId="41" fontId="9" fillId="3" borderId="13" xfId="0" applyNumberFormat="1" applyFont="1" applyFill="1" applyBorder="1" applyAlignment="1">
      <alignment horizontal="center" vertical="center"/>
    </xf>
    <xf numFmtId="41" fontId="10" fillId="3" borderId="121" xfId="0" applyNumberFormat="1" applyFont="1" applyFill="1" applyBorder="1" applyAlignment="1">
      <alignment horizontal="center" vertical="center"/>
    </xf>
    <xf numFmtId="41" fontId="10" fillId="3" borderId="122" xfId="0" applyNumberFormat="1" applyFont="1" applyFill="1" applyBorder="1" applyAlignment="1">
      <alignment horizontal="center" vertical="center"/>
    </xf>
    <xf numFmtId="41" fontId="10" fillId="3" borderId="123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vertical="center"/>
    </xf>
    <xf numFmtId="0" fontId="7" fillId="3" borderId="102" xfId="0" applyFont="1" applyFill="1" applyBorder="1" applyAlignment="1">
      <alignment vertical="center"/>
    </xf>
    <xf numFmtId="0" fontId="7" fillId="3" borderId="119" xfId="0" applyFont="1" applyFill="1" applyBorder="1" applyAlignment="1">
      <alignment horizontal="center" vertical="center"/>
    </xf>
    <xf numFmtId="0" fontId="7" fillId="3" borderId="102" xfId="0" applyFont="1" applyFill="1" applyBorder="1" applyAlignment="1">
      <alignment horizontal="center" vertical="center"/>
    </xf>
    <xf numFmtId="0" fontId="8" fillId="3" borderId="103" xfId="0" applyFont="1" applyFill="1" applyBorder="1" applyAlignment="1">
      <alignment horizontal="center" vertical="center"/>
    </xf>
    <xf numFmtId="0" fontId="8" fillId="3" borderId="104" xfId="0" applyFont="1" applyFill="1" applyBorder="1" applyAlignment="1">
      <alignment horizontal="center" vertical="center"/>
    </xf>
    <xf numFmtId="0" fontId="8" fillId="3" borderId="105" xfId="0" applyFont="1" applyFill="1" applyBorder="1" applyAlignment="1">
      <alignment horizontal="center" vertical="center"/>
    </xf>
    <xf numFmtId="0" fontId="8" fillId="3" borderId="105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/>
    </xf>
    <xf numFmtId="49" fontId="21" fillId="3" borderId="99" xfId="0" applyNumberFormat="1" applyFont="1" applyFill="1" applyBorder="1" applyAlignment="1">
      <alignment horizontal="center" vertical="center"/>
    </xf>
    <xf numFmtId="211" fontId="10" fillId="3" borderId="113" xfId="0" applyNumberFormat="1" applyFont="1" applyFill="1" applyBorder="1" applyAlignment="1">
      <alignment vertical="center"/>
    </xf>
    <xf numFmtId="211" fontId="10" fillId="3" borderId="98" xfId="0" applyNumberFormat="1" applyFont="1" applyFill="1" applyBorder="1" applyAlignment="1">
      <alignment vertical="center"/>
    </xf>
    <xf numFmtId="211" fontId="10" fillId="3" borderId="106" xfId="0" applyNumberFormat="1" applyFont="1" applyFill="1" applyBorder="1" applyAlignment="1">
      <alignment vertical="center"/>
    </xf>
    <xf numFmtId="41" fontId="10" fillId="3" borderId="98" xfId="0" applyNumberFormat="1" applyFont="1" applyFill="1" applyBorder="1" applyAlignment="1">
      <alignment horizontal="center" vertical="center"/>
    </xf>
    <xf numFmtId="41" fontId="10" fillId="3" borderId="106" xfId="0" applyNumberFormat="1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49" fontId="10" fillId="3" borderId="84" xfId="0" applyNumberFormat="1" applyFont="1" applyFill="1" applyBorder="1" applyAlignment="1">
      <alignment horizontal="center" vertical="center"/>
    </xf>
    <xf numFmtId="216" fontId="9" fillId="3" borderId="114" xfId="5" applyNumberFormat="1" applyFont="1" applyFill="1" applyBorder="1" applyAlignment="1">
      <alignment horizontal="right" vertical="center"/>
    </xf>
    <xf numFmtId="216" fontId="9" fillId="3" borderId="91" xfId="5" applyNumberFormat="1" applyFont="1" applyFill="1" applyBorder="1" applyAlignment="1">
      <alignment horizontal="right" vertical="center"/>
    </xf>
    <xf numFmtId="216" fontId="9" fillId="3" borderId="107" xfId="5" applyNumberFormat="1" applyFont="1" applyFill="1" applyBorder="1" applyAlignment="1">
      <alignment horizontal="right" vertical="center"/>
    </xf>
    <xf numFmtId="41" fontId="10" fillId="3" borderId="91" xfId="0" applyNumberFormat="1" applyFont="1" applyFill="1" applyBorder="1" applyAlignment="1">
      <alignment horizontal="center" vertical="center"/>
    </xf>
    <xf numFmtId="41" fontId="10" fillId="3" borderId="107" xfId="0" applyNumberFormat="1" applyFont="1" applyFill="1" applyBorder="1" applyAlignment="1">
      <alignment horizontal="center" vertical="center"/>
    </xf>
    <xf numFmtId="211" fontId="10" fillId="3" borderId="115" xfId="0" applyNumberFormat="1" applyFont="1" applyFill="1" applyBorder="1" applyAlignment="1">
      <alignment vertical="center"/>
    </xf>
    <xf numFmtId="211" fontId="10" fillId="3" borderId="93" xfId="0" applyNumberFormat="1" applyFont="1" applyFill="1" applyBorder="1" applyAlignment="1">
      <alignment vertical="center"/>
    </xf>
    <xf numFmtId="211" fontId="10" fillId="3" borderId="108" xfId="0" applyNumberFormat="1" applyFont="1" applyFill="1" applyBorder="1" applyAlignment="1">
      <alignment vertical="center"/>
    </xf>
    <xf numFmtId="41" fontId="10" fillId="3" borderId="93" xfId="0" applyNumberFormat="1" applyFont="1" applyFill="1" applyBorder="1" applyAlignment="1">
      <alignment horizontal="center" vertical="center"/>
    </xf>
    <xf numFmtId="41" fontId="10" fillId="3" borderId="108" xfId="0" applyNumberFormat="1" applyFont="1" applyFill="1" applyBorder="1" applyAlignment="1">
      <alignment horizontal="center" vertical="center"/>
    </xf>
    <xf numFmtId="0" fontId="10" fillId="3" borderId="111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211" fontId="10" fillId="3" borderId="58" xfId="0" applyNumberFormat="1" applyFont="1" applyFill="1" applyBorder="1" applyAlignment="1">
      <alignment vertical="center"/>
    </xf>
    <xf numFmtId="211" fontId="10" fillId="3" borderId="41" xfId="0" applyNumberFormat="1" applyFont="1" applyFill="1" applyBorder="1" applyAlignment="1">
      <alignment vertical="center"/>
    </xf>
    <xf numFmtId="211" fontId="10" fillId="3" borderId="59" xfId="0" applyNumberFormat="1" applyFont="1" applyFill="1" applyBorder="1" applyAlignment="1">
      <alignment vertical="center"/>
    </xf>
    <xf numFmtId="41" fontId="10" fillId="3" borderId="109" xfId="0" applyNumberFormat="1" applyFont="1" applyFill="1" applyBorder="1" applyAlignment="1">
      <alignment vertical="center"/>
    </xf>
    <xf numFmtId="41" fontId="10" fillId="3" borderId="110" xfId="0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49" fontId="21" fillId="3" borderId="89" xfId="0" applyNumberFormat="1" applyFont="1" applyFill="1" applyBorder="1" applyAlignment="1">
      <alignment horizontal="center" vertical="center"/>
    </xf>
    <xf numFmtId="211" fontId="10" fillId="3" borderId="97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horizontal="center" vertical="center"/>
    </xf>
    <xf numFmtId="49" fontId="10" fillId="3" borderId="47" xfId="0" applyNumberFormat="1" applyFont="1" applyFill="1" applyBorder="1" applyAlignment="1">
      <alignment horizontal="center" vertical="center"/>
    </xf>
    <xf numFmtId="216" fontId="9" fillId="3" borderId="90" xfId="5" applyNumberFormat="1" applyFont="1" applyFill="1" applyBorder="1" applyAlignment="1">
      <alignment horizontal="right" vertical="center"/>
    </xf>
    <xf numFmtId="211" fontId="10" fillId="3" borderId="92" xfId="0" applyNumberFormat="1" applyFont="1" applyFill="1" applyBorder="1" applyAlignment="1">
      <alignment vertical="center"/>
    </xf>
    <xf numFmtId="0" fontId="10" fillId="3" borderId="16" xfId="0" applyNumberFormat="1" applyFont="1" applyFill="1" applyBorder="1" applyAlignment="1">
      <alignment horizontal="center" vertical="center"/>
    </xf>
    <xf numFmtId="0" fontId="10" fillId="3" borderId="45" xfId="0" applyNumberFormat="1" applyFont="1" applyFill="1" applyBorder="1" applyAlignment="1">
      <alignment horizontal="center" vertical="center"/>
    </xf>
    <xf numFmtId="211" fontId="10" fillId="3" borderId="45" xfId="0" applyNumberFormat="1" applyFont="1" applyFill="1" applyBorder="1" applyAlignment="1">
      <alignment vertical="center"/>
    </xf>
    <xf numFmtId="211" fontId="10" fillId="3" borderId="46" xfId="0" applyNumberFormat="1" applyFont="1" applyFill="1" applyBorder="1" applyAlignment="1">
      <alignment vertical="center"/>
    </xf>
    <xf numFmtId="211" fontId="10" fillId="3" borderId="35" xfId="0" applyNumberFormat="1" applyFont="1" applyFill="1" applyBorder="1" applyAlignment="1">
      <alignment vertical="center"/>
    </xf>
    <xf numFmtId="41" fontId="19" fillId="3" borderId="17" xfId="0" applyNumberFormat="1" applyFont="1" applyFill="1" applyBorder="1" applyAlignment="1">
      <alignment vertical="center"/>
    </xf>
    <xf numFmtId="0" fontId="8" fillId="3" borderId="16" xfId="0" applyNumberFormat="1" applyFont="1" applyFill="1" applyBorder="1" applyAlignment="1">
      <alignment horizontal="center" vertical="center"/>
    </xf>
    <xf numFmtId="0" fontId="8" fillId="3" borderId="45" xfId="0" applyNumberFormat="1" applyFont="1" applyFill="1" applyBorder="1" applyAlignment="1">
      <alignment horizontal="center" vertical="center"/>
    </xf>
    <xf numFmtId="41" fontId="10" fillId="3" borderId="124" xfId="0" applyNumberFormat="1" applyFont="1" applyFill="1" applyBorder="1" applyAlignment="1">
      <alignment horizontal="center" vertical="center"/>
    </xf>
    <xf numFmtId="41" fontId="10" fillId="3" borderId="125" xfId="0" applyNumberFormat="1" applyFont="1" applyFill="1" applyBorder="1" applyAlignment="1">
      <alignment horizontal="center" vertical="center"/>
    </xf>
    <xf numFmtId="41" fontId="10" fillId="3" borderId="126" xfId="0" applyNumberFormat="1" applyFont="1" applyFill="1" applyBorder="1" applyAlignment="1">
      <alignment horizontal="center" vertical="center"/>
    </xf>
  </cellXfs>
  <cellStyles count="6">
    <cellStyle name="Moeda" xfId="1" builtinId="4"/>
    <cellStyle name="Moeda 2" xfId="2" xr:uid="{C2D49443-D6EB-4B33-B5AD-336C9D7FBD9A}"/>
    <cellStyle name="Normal" xfId="0" builtinId="0"/>
    <cellStyle name="Normal 2" xfId="3" xr:uid="{3ACC5B9F-1E71-41D8-A48B-6BBEAF51A118}"/>
    <cellStyle name="Normal 3" xfId="4" xr:uid="{B064854A-6ABF-4F27-8C57-A19AD5C5B3C7}"/>
    <cellStyle name="Porcentagem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2033083\seorc\Documents%20and%20Settings\ssantos\Meus%20documentos\SEORC\orc2006\Receitas\exec%20%20receita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S 2003"/>
      <sheetName val="RECEITAS 2004"/>
      <sheetName val="RECEITAS 2005"/>
      <sheetName val="RECEITAS 2006"/>
      <sheetName val="TOTAIS"/>
      <sheetName val="RECEITAS 2006 até abr"/>
      <sheetName val="Gráficos"/>
    </sheetNames>
    <sheetDataSet>
      <sheetData sheetId="0"/>
      <sheetData sheetId="1">
        <row r="17">
          <cell r="C17">
            <v>277.58</v>
          </cell>
          <cell r="D17">
            <v>1355.44</v>
          </cell>
          <cell r="E17">
            <v>-819.01</v>
          </cell>
          <cell r="F17">
            <v>265.39</v>
          </cell>
          <cell r="G17">
            <v>443.38</v>
          </cell>
          <cell r="H17">
            <v>288.53999999999996</v>
          </cell>
          <cell r="I17">
            <v>353.29999999999995</v>
          </cell>
          <cell r="J17">
            <v>258.94</v>
          </cell>
          <cell r="K17">
            <v>403.95</v>
          </cell>
          <cell r="L17">
            <v>250.41000000000003</v>
          </cell>
          <cell r="M17">
            <v>234.75</v>
          </cell>
          <cell r="N17">
            <v>270.08</v>
          </cell>
        </row>
        <row r="19">
          <cell r="F19">
            <v>47580</v>
          </cell>
          <cell r="G19">
            <v>47580</v>
          </cell>
          <cell r="H19">
            <v>47580</v>
          </cell>
          <cell r="I19">
            <v>47580</v>
          </cell>
          <cell r="J19">
            <v>47580</v>
          </cell>
          <cell r="K19">
            <v>47580</v>
          </cell>
          <cell r="L19">
            <v>47580</v>
          </cell>
          <cell r="M19">
            <v>47580</v>
          </cell>
          <cell r="N19">
            <v>12354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68B7-990E-4685-A224-87995F57E7B0}">
  <dimension ref="A1:X90"/>
  <sheetViews>
    <sheetView showGridLines="0" workbookViewId="0">
      <selection activeCell="E7" sqref="E7"/>
    </sheetView>
  </sheetViews>
  <sheetFormatPr defaultRowHeight="15.75" x14ac:dyDescent="0.2"/>
  <cols>
    <col min="1" max="1" width="36.44140625" style="85" customWidth="1"/>
    <col min="2" max="2" width="9.44140625" style="85" hidden="1" customWidth="1"/>
    <col min="3" max="3" width="10.5546875" style="85" customWidth="1"/>
    <col min="4" max="16" width="10.21875" style="85" customWidth="1"/>
    <col min="17" max="17" width="10.44140625" style="118" customWidth="1"/>
    <col min="18" max="16384" width="8.88671875" style="85"/>
  </cols>
  <sheetData>
    <row r="1" spans="1:17" ht="44.25" customHeight="1" thickBot="1" x14ac:dyDescent="0.25">
      <c r="A1" s="230" t="s">
        <v>125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7" ht="30" customHeight="1" x14ac:dyDescent="0.2">
      <c r="A2" s="273" t="s">
        <v>128</v>
      </c>
      <c r="B2" s="274"/>
      <c r="C2" s="305" t="s">
        <v>19</v>
      </c>
      <c r="D2" s="305"/>
      <c r="E2" s="305"/>
      <c r="F2" s="305"/>
      <c r="G2" s="305"/>
      <c r="H2" s="305"/>
      <c r="I2" s="305"/>
      <c r="J2" s="305"/>
      <c r="K2" s="305"/>
      <c r="L2" s="305"/>
      <c r="M2" s="306"/>
      <c r="N2" s="306"/>
      <c r="O2" s="305"/>
      <c r="P2" s="305"/>
      <c r="Q2" s="309"/>
    </row>
    <row r="3" spans="1:17" ht="30" customHeight="1" thickBot="1" x14ac:dyDescent="0.25">
      <c r="A3" s="275"/>
      <c r="B3" s="276"/>
      <c r="C3" s="311" t="s">
        <v>0</v>
      </c>
      <c r="D3" s="311" t="s">
        <v>1</v>
      </c>
      <c r="E3" s="311" t="s">
        <v>2</v>
      </c>
      <c r="F3" s="311" t="s">
        <v>3</v>
      </c>
      <c r="G3" s="311" t="s">
        <v>4</v>
      </c>
      <c r="H3" s="311" t="s">
        <v>5</v>
      </c>
      <c r="I3" s="311" t="s">
        <v>6</v>
      </c>
      <c r="J3" s="311" t="s">
        <v>7</v>
      </c>
      <c r="K3" s="311" t="s">
        <v>8</v>
      </c>
      <c r="L3" s="311" t="s">
        <v>9</v>
      </c>
      <c r="M3" s="311" t="s">
        <v>10</v>
      </c>
      <c r="N3" s="311" t="s">
        <v>11</v>
      </c>
      <c r="O3" s="284" t="s">
        <v>86</v>
      </c>
      <c r="P3" s="284" t="s">
        <v>62</v>
      </c>
      <c r="Q3" s="313" t="s">
        <v>133</v>
      </c>
    </row>
    <row r="4" spans="1:17" ht="12" customHeight="1" thickBot="1" x14ac:dyDescent="0.25">
      <c r="A4" s="293"/>
      <c r="B4" s="293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4"/>
      <c r="P4" s="294"/>
      <c r="Q4" s="294"/>
    </row>
    <row r="5" spans="1:17" ht="30" customHeight="1" x14ac:dyDescent="0.2">
      <c r="A5" s="314" t="s">
        <v>13</v>
      </c>
      <c r="B5" s="342" t="s">
        <v>127</v>
      </c>
      <c r="C5" s="343">
        <f t="shared" ref="C5:N5" si="0">SUMIF($B$36:$B$79,"Operacional",C$36:C$79)</f>
        <v>9612342.25</v>
      </c>
      <c r="D5" s="317">
        <f t="shared" si="0"/>
        <v>9013302.6999999993</v>
      </c>
      <c r="E5" s="317">
        <f t="shared" si="0"/>
        <v>10395862.550000001</v>
      </c>
      <c r="F5" s="317">
        <f t="shared" si="0"/>
        <v>10446074.75</v>
      </c>
      <c r="G5" s="317">
        <f t="shared" si="0"/>
        <v>0</v>
      </c>
      <c r="H5" s="317">
        <f t="shared" si="0"/>
        <v>0</v>
      </c>
      <c r="I5" s="317">
        <f t="shared" si="0"/>
        <v>0</v>
      </c>
      <c r="J5" s="317">
        <f t="shared" si="0"/>
        <v>0</v>
      </c>
      <c r="K5" s="317">
        <f t="shared" si="0"/>
        <v>0</v>
      </c>
      <c r="L5" s="317">
        <f t="shared" si="0"/>
        <v>0</v>
      </c>
      <c r="M5" s="317">
        <f t="shared" si="0"/>
        <v>0</v>
      </c>
      <c r="N5" s="317">
        <f t="shared" si="0"/>
        <v>0</v>
      </c>
      <c r="O5" s="356">
        <f>SUM(C5:N5)</f>
        <v>39467582.25</v>
      </c>
      <c r="P5" s="319">
        <f>SUM(C7:N7)</f>
        <v>144517210</v>
      </c>
      <c r="Q5" s="320">
        <f>-P5+O5</f>
        <v>-105049627.75</v>
      </c>
    </row>
    <row r="6" spans="1:17" ht="30" hidden="1" customHeight="1" x14ac:dyDescent="0.2">
      <c r="A6" s="344"/>
      <c r="B6" s="345"/>
      <c r="C6" s="346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57"/>
      <c r="P6" s="326"/>
      <c r="Q6" s="327"/>
    </row>
    <row r="7" spans="1:17" ht="30" customHeight="1" thickBot="1" x14ac:dyDescent="0.25">
      <c r="A7" s="264" t="s">
        <v>129</v>
      </c>
      <c r="B7" s="265"/>
      <c r="C7" s="347">
        <v>12043101</v>
      </c>
      <c r="D7" s="329">
        <v>12043101</v>
      </c>
      <c r="E7" s="329">
        <v>12043101</v>
      </c>
      <c r="F7" s="329">
        <v>12043101</v>
      </c>
      <c r="G7" s="329">
        <v>12043101</v>
      </c>
      <c r="H7" s="329">
        <v>12043101</v>
      </c>
      <c r="I7" s="329">
        <v>12043101</v>
      </c>
      <c r="J7" s="329">
        <v>12043101</v>
      </c>
      <c r="K7" s="329">
        <v>12043101</v>
      </c>
      <c r="L7" s="329">
        <v>12043101</v>
      </c>
      <c r="M7" s="329">
        <v>12043101</v>
      </c>
      <c r="N7" s="329">
        <v>12043099</v>
      </c>
      <c r="O7" s="358"/>
      <c r="P7" s="331"/>
      <c r="Q7" s="332"/>
    </row>
    <row r="8" spans="1:17" ht="12" customHeight="1" thickBot="1" x14ac:dyDescent="0.25">
      <c r="A8" s="293"/>
      <c r="B8" s="293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4"/>
      <c r="P8" s="294"/>
      <c r="Q8" s="294"/>
    </row>
    <row r="9" spans="1:17" ht="30" customHeight="1" x14ac:dyDescent="0.2">
      <c r="A9" s="314" t="s">
        <v>14</v>
      </c>
      <c r="B9" s="342" t="s">
        <v>127</v>
      </c>
      <c r="C9" s="343">
        <f t="shared" ref="C9:N9" si="1">SUMIF($B$36:$B$79,"Financeira",C$36:C$79)</f>
        <v>1197991.3700000001</v>
      </c>
      <c r="D9" s="317">
        <f t="shared" si="1"/>
        <v>1148130.83</v>
      </c>
      <c r="E9" s="317">
        <f t="shared" si="1"/>
        <v>1402760.65</v>
      </c>
      <c r="F9" s="317">
        <f t="shared" si="1"/>
        <v>1088407.27</v>
      </c>
      <c r="G9" s="317">
        <f>SUMIF($B$36:$B$79,"Financeira",G$36:G$79)</f>
        <v>1157298.3</v>
      </c>
      <c r="H9" s="317">
        <f t="shared" si="1"/>
        <v>0</v>
      </c>
      <c r="I9" s="317">
        <f t="shared" si="1"/>
        <v>0</v>
      </c>
      <c r="J9" s="317">
        <f t="shared" si="1"/>
        <v>0</v>
      </c>
      <c r="K9" s="317">
        <f t="shared" si="1"/>
        <v>0</v>
      </c>
      <c r="L9" s="317">
        <f t="shared" si="1"/>
        <v>0</v>
      </c>
      <c r="M9" s="317">
        <f t="shared" si="1"/>
        <v>0</v>
      </c>
      <c r="N9" s="317">
        <f t="shared" si="1"/>
        <v>0</v>
      </c>
      <c r="O9" s="356">
        <f>SUM(C9:N9)</f>
        <v>5994588.4199999999</v>
      </c>
      <c r="P9" s="319">
        <f>SUM(C11:N11)</f>
        <v>12615276</v>
      </c>
      <c r="Q9" s="320">
        <f>-P9+O9</f>
        <v>-6620687.5800000001</v>
      </c>
    </row>
    <row r="10" spans="1:17" ht="30" hidden="1" customHeight="1" x14ac:dyDescent="0.2">
      <c r="A10" s="344"/>
      <c r="B10" s="345"/>
      <c r="C10" s="346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57"/>
      <c r="P10" s="326"/>
      <c r="Q10" s="327"/>
    </row>
    <row r="11" spans="1:17" ht="30" customHeight="1" thickBot="1" x14ac:dyDescent="0.25">
      <c r="A11" s="264" t="s">
        <v>130</v>
      </c>
      <c r="B11" s="265"/>
      <c r="C11" s="347">
        <v>1051273</v>
      </c>
      <c r="D11" s="329">
        <v>1051273</v>
      </c>
      <c r="E11" s="329">
        <v>1051273</v>
      </c>
      <c r="F11" s="329">
        <v>1051273</v>
      </c>
      <c r="G11" s="329">
        <v>1051273</v>
      </c>
      <c r="H11" s="329">
        <v>1051273</v>
      </c>
      <c r="I11" s="329">
        <v>1051273</v>
      </c>
      <c r="J11" s="329">
        <v>1051273</v>
      </c>
      <c r="K11" s="329">
        <v>1051273</v>
      </c>
      <c r="L11" s="329">
        <v>1051273</v>
      </c>
      <c r="M11" s="329">
        <v>1051273</v>
      </c>
      <c r="N11" s="329">
        <v>1051273</v>
      </c>
      <c r="O11" s="358"/>
      <c r="P11" s="331"/>
      <c r="Q11" s="332"/>
    </row>
    <row r="12" spans="1:17" ht="12" customHeight="1" thickBot="1" x14ac:dyDescent="0.25">
      <c r="A12" s="293"/>
      <c r="B12" s="293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4"/>
      <c r="P12" s="294"/>
      <c r="Q12" s="294"/>
    </row>
    <row r="13" spans="1:17" ht="30" customHeight="1" x14ac:dyDescent="0.2">
      <c r="A13" s="314" t="s">
        <v>15</v>
      </c>
      <c r="B13" s="342" t="s">
        <v>127</v>
      </c>
      <c r="C13" s="343">
        <f t="shared" ref="C13:N13" si="2">SUMIF($B$36:$B$79,"Comercial",C$36:C$79)</f>
        <v>317878.34999999998</v>
      </c>
      <c r="D13" s="317">
        <f t="shared" si="2"/>
        <v>402601.4</v>
      </c>
      <c r="E13" s="317">
        <f t="shared" si="2"/>
        <v>340780.94</v>
      </c>
      <c r="F13" s="317">
        <f t="shared" si="2"/>
        <v>385266.43</v>
      </c>
      <c r="G13" s="317">
        <f t="shared" si="2"/>
        <v>88038.37</v>
      </c>
      <c r="H13" s="317">
        <f t="shared" si="2"/>
        <v>0</v>
      </c>
      <c r="I13" s="317">
        <f t="shared" si="2"/>
        <v>0</v>
      </c>
      <c r="J13" s="317">
        <f t="shared" si="2"/>
        <v>0</v>
      </c>
      <c r="K13" s="317">
        <f t="shared" si="2"/>
        <v>0</v>
      </c>
      <c r="L13" s="317">
        <f t="shared" si="2"/>
        <v>0</v>
      </c>
      <c r="M13" s="317">
        <f t="shared" si="2"/>
        <v>0</v>
      </c>
      <c r="N13" s="317">
        <f t="shared" si="2"/>
        <v>0</v>
      </c>
      <c r="O13" s="356">
        <f>SUM(C13:N13)</f>
        <v>1534565.4899999998</v>
      </c>
      <c r="P13" s="319">
        <f>SUM(C15:N15)</f>
        <v>3399910</v>
      </c>
      <c r="Q13" s="320">
        <f>-P13+O13</f>
        <v>-1865344.5100000002</v>
      </c>
    </row>
    <row r="14" spans="1:17" ht="30" hidden="1" customHeight="1" x14ac:dyDescent="0.2">
      <c r="A14" s="344"/>
      <c r="B14" s="345"/>
      <c r="C14" s="346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57"/>
      <c r="P14" s="326"/>
      <c r="Q14" s="327"/>
    </row>
    <row r="15" spans="1:17" ht="30" customHeight="1" thickBot="1" x14ac:dyDescent="0.25">
      <c r="A15" s="264" t="s">
        <v>131</v>
      </c>
      <c r="B15" s="265"/>
      <c r="C15" s="347">
        <v>283326</v>
      </c>
      <c r="D15" s="329">
        <v>283326</v>
      </c>
      <c r="E15" s="329">
        <v>283326</v>
      </c>
      <c r="F15" s="329">
        <v>283326</v>
      </c>
      <c r="G15" s="329">
        <v>283326</v>
      </c>
      <c r="H15" s="329">
        <v>283326</v>
      </c>
      <c r="I15" s="329">
        <v>283326</v>
      </c>
      <c r="J15" s="329">
        <v>283326</v>
      </c>
      <c r="K15" s="329">
        <v>283326</v>
      </c>
      <c r="L15" s="329">
        <v>283326</v>
      </c>
      <c r="M15" s="329">
        <v>283326</v>
      </c>
      <c r="N15" s="329">
        <v>283324</v>
      </c>
      <c r="O15" s="358"/>
      <c r="P15" s="331"/>
      <c r="Q15" s="332"/>
    </row>
    <row r="16" spans="1:17" ht="12" customHeight="1" thickBot="1" x14ac:dyDescent="0.25">
      <c r="A16" s="293"/>
      <c r="B16" s="293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4"/>
      <c r="P16" s="294"/>
      <c r="Q16" s="294"/>
    </row>
    <row r="17" spans="1:17" ht="30" customHeight="1" x14ac:dyDescent="0.2">
      <c r="A17" s="314" t="s">
        <v>16</v>
      </c>
      <c r="B17" s="342" t="s">
        <v>127</v>
      </c>
      <c r="C17" s="343">
        <f t="shared" ref="C17:N17" si="3">SUMIF($B$36:$B$79,"Outras",C$36:C$79)</f>
        <v>230196.62000000002</v>
      </c>
      <c r="D17" s="317">
        <f t="shared" si="3"/>
        <v>156866.38</v>
      </c>
      <c r="E17" s="317">
        <f t="shared" si="3"/>
        <v>644171.54</v>
      </c>
      <c r="F17" s="317">
        <f>SUMIF($B$36:$B$79,"Outras",F$36:F$79)</f>
        <v>213525.12</v>
      </c>
      <c r="G17" s="317">
        <f t="shared" si="3"/>
        <v>99690.17</v>
      </c>
      <c r="H17" s="317">
        <f t="shared" si="3"/>
        <v>0</v>
      </c>
      <c r="I17" s="317">
        <f t="shared" si="3"/>
        <v>0</v>
      </c>
      <c r="J17" s="317">
        <f t="shared" si="3"/>
        <v>0</v>
      </c>
      <c r="K17" s="317">
        <f t="shared" si="3"/>
        <v>0</v>
      </c>
      <c r="L17" s="317">
        <f t="shared" si="3"/>
        <v>0</v>
      </c>
      <c r="M17" s="317">
        <f t="shared" si="3"/>
        <v>0</v>
      </c>
      <c r="N17" s="317">
        <f t="shared" si="3"/>
        <v>0</v>
      </c>
      <c r="O17" s="356">
        <f>SUM(C17:N17)</f>
        <v>1344449.83</v>
      </c>
      <c r="P17" s="319">
        <f>SUM(C19:O19)</f>
        <v>256236</v>
      </c>
      <c r="Q17" s="320">
        <f>-P17+O17</f>
        <v>1088213.83</v>
      </c>
    </row>
    <row r="18" spans="1:17" ht="30" hidden="1" customHeight="1" x14ac:dyDescent="0.2">
      <c r="A18" s="344"/>
      <c r="B18" s="345"/>
      <c r="C18" s="346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57"/>
      <c r="P18" s="326"/>
      <c r="Q18" s="327"/>
    </row>
    <row r="19" spans="1:17" ht="30" customHeight="1" thickBot="1" x14ac:dyDescent="0.25">
      <c r="A19" s="264" t="s">
        <v>132</v>
      </c>
      <c r="B19" s="265"/>
      <c r="C19" s="347">
        <v>21353</v>
      </c>
      <c r="D19" s="329">
        <v>21353</v>
      </c>
      <c r="E19" s="329">
        <v>21353</v>
      </c>
      <c r="F19" s="329">
        <v>21353</v>
      </c>
      <c r="G19" s="329">
        <v>21353</v>
      </c>
      <c r="H19" s="329">
        <v>21353</v>
      </c>
      <c r="I19" s="329">
        <v>21353</v>
      </c>
      <c r="J19" s="329">
        <v>21353</v>
      </c>
      <c r="K19" s="329">
        <v>21353</v>
      </c>
      <c r="L19" s="329">
        <v>21353</v>
      </c>
      <c r="M19" s="329">
        <v>21353</v>
      </c>
      <c r="N19" s="329">
        <v>21353</v>
      </c>
      <c r="O19" s="358"/>
      <c r="P19" s="331"/>
      <c r="Q19" s="332"/>
    </row>
    <row r="20" spans="1:17" ht="12" customHeight="1" thickBot="1" x14ac:dyDescent="0.25">
      <c r="A20" s="293"/>
      <c r="B20" s="293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4"/>
      <c r="P20" s="294"/>
      <c r="Q20" s="294"/>
    </row>
    <row r="21" spans="1:17" ht="30" customHeight="1" thickBot="1" x14ac:dyDescent="0.25">
      <c r="A21" s="348" t="s">
        <v>70</v>
      </c>
      <c r="B21" s="349"/>
      <c r="C21" s="350">
        <f t="shared" ref="C21:N21" si="4">SUM(C5,C9,C13,C17)</f>
        <v>11358408.59</v>
      </c>
      <c r="D21" s="351">
        <f t="shared" si="4"/>
        <v>10720901.310000001</v>
      </c>
      <c r="E21" s="352">
        <f t="shared" si="4"/>
        <v>12783575.68</v>
      </c>
      <c r="F21" s="352">
        <f t="shared" si="4"/>
        <v>12133273.569999998</v>
      </c>
      <c r="G21" s="352">
        <f>SUM(G5,G9,G13,G17)</f>
        <v>1345026.8399999999</v>
      </c>
      <c r="H21" s="352">
        <f t="shared" si="4"/>
        <v>0</v>
      </c>
      <c r="I21" s="352">
        <f t="shared" si="4"/>
        <v>0</v>
      </c>
      <c r="J21" s="352">
        <f t="shared" si="4"/>
        <v>0</v>
      </c>
      <c r="K21" s="352">
        <f t="shared" si="4"/>
        <v>0</v>
      </c>
      <c r="L21" s="352">
        <f t="shared" si="4"/>
        <v>0</v>
      </c>
      <c r="M21" s="352">
        <f t="shared" si="4"/>
        <v>0</v>
      </c>
      <c r="N21" s="352">
        <f t="shared" si="4"/>
        <v>0</v>
      </c>
      <c r="O21" s="352">
        <f>O5+O9+O13+O17</f>
        <v>48341185.990000002</v>
      </c>
      <c r="P21" s="352">
        <f>P5+P9+P13+P17</f>
        <v>160788632</v>
      </c>
      <c r="Q21" s="353">
        <f>-P21+O21</f>
        <v>-112447446.00999999</v>
      </c>
    </row>
    <row r="22" spans="1:17" ht="30" customHeight="1" thickBot="1" x14ac:dyDescent="0.25">
      <c r="A22" s="354" t="s">
        <v>84</v>
      </c>
      <c r="B22" s="355"/>
      <c r="C22" s="277">
        <f>C21</f>
        <v>11358408.59</v>
      </c>
      <c r="D22" s="278">
        <f t="shared" ref="D22:L22" si="5">C22+D21</f>
        <v>22079309.899999999</v>
      </c>
      <c r="E22" s="279">
        <f t="shared" si="5"/>
        <v>34862885.579999998</v>
      </c>
      <c r="F22" s="279">
        <f t="shared" si="5"/>
        <v>46996159.149999999</v>
      </c>
      <c r="G22" s="279">
        <f t="shared" si="5"/>
        <v>48341185.989999995</v>
      </c>
      <c r="H22" s="279">
        <f>G22+H21</f>
        <v>48341185.989999995</v>
      </c>
      <c r="I22" s="279">
        <f t="shared" si="5"/>
        <v>48341185.989999995</v>
      </c>
      <c r="J22" s="279">
        <f t="shared" si="5"/>
        <v>48341185.989999995</v>
      </c>
      <c r="K22" s="279">
        <f t="shared" si="5"/>
        <v>48341185.989999995</v>
      </c>
      <c r="L22" s="279">
        <f t="shared" si="5"/>
        <v>48341185.989999995</v>
      </c>
      <c r="M22" s="279">
        <f>L22+M21</f>
        <v>48341185.989999995</v>
      </c>
      <c r="N22" s="280">
        <f>M22+N21</f>
        <v>48341185.989999995</v>
      </c>
      <c r="O22" s="280">
        <f>N22+O21</f>
        <v>96682371.979999989</v>
      </c>
      <c r="P22" s="285"/>
    </row>
    <row r="23" spans="1:17" ht="30" hidden="1" customHeight="1" thickBot="1" x14ac:dyDescent="0.25">
      <c r="A23" s="43"/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4"/>
      <c r="P23" s="45"/>
      <c r="Q23" s="44"/>
    </row>
    <row r="24" spans="1:17" ht="30" hidden="1" customHeight="1" thickBot="1" x14ac:dyDescent="0.25">
      <c r="A24" s="216" t="s">
        <v>17</v>
      </c>
      <c r="B24" s="217"/>
      <c r="C24" s="46">
        <f t="shared" ref="C24:N24" si="6">C80</f>
        <v>0</v>
      </c>
      <c r="D24" s="47">
        <f t="shared" si="6"/>
        <v>0</v>
      </c>
      <c r="E24" s="47">
        <f t="shared" si="6"/>
        <v>0</v>
      </c>
      <c r="F24" s="47">
        <f>F80</f>
        <v>0</v>
      </c>
      <c r="G24" s="47">
        <f t="shared" si="6"/>
        <v>0</v>
      </c>
      <c r="H24" s="47">
        <f t="shared" si="6"/>
        <v>0</v>
      </c>
      <c r="I24" s="47">
        <f t="shared" si="6"/>
        <v>0</v>
      </c>
      <c r="J24" s="47">
        <f t="shared" si="6"/>
        <v>0</v>
      </c>
      <c r="K24" s="47">
        <f t="shared" si="6"/>
        <v>0</v>
      </c>
      <c r="L24" s="47">
        <f t="shared" si="6"/>
        <v>0</v>
      </c>
      <c r="M24" s="47">
        <f t="shared" si="6"/>
        <v>0</v>
      </c>
      <c r="N24" s="47">
        <f t="shared" si="6"/>
        <v>0</v>
      </c>
      <c r="O24" s="48">
        <f>SUM(C24:N24)</f>
        <v>0</v>
      </c>
      <c r="P24" s="45"/>
      <c r="Q24" s="45"/>
    </row>
    <row r="25" spans="1:17" ht="30" hidden="1" customHeight="1" thickBot="1" x14ac:dyDescent="0.25">
      <c r="A25" s="49"/>
      <c r="B25" s="49"/>
      <c r="C25" s="86">
        <f>C21</f>
        <v>11358408.59</v>
      </c>
      <c r="D25" s="86">
        <f>D21+C25</f>
        <v>22079309.899999999</v>
      </c>
      <c r="E25" s="86">
        <f t="shared" ref="E25:N25" si="7">E21+D25</f>
        <v>34862885.579999998</v>
      </c>
      <c r="F25" s="86">
        <f t="shared" si="7"/>
        <v>46996159.149999999</v>
      </c>
      <c r="G25" s="86">
        <f t="shared" si="7"/>
        <v>48341185.989999995</v>
      </c>
      <c r="H25" s="86">
        <f t="shared" si="7"/>
        <v>48341185.989999995</v>
      </c>
      <c r="I25" s="86">
        <f t="shared" si="7"/>
        <v>48341185.989999995</v>
      </c>
      <c r="J25" s="86">
        <f t="shared" si="7"/>
        <v>48341185.989999995</v>
      </c>
      <c r="K25" s="86">
        <f t="shared" si="7"/>
        <v>48341185.989999995</v>
      </c>
      <c r="L25" s="86">
        <f t="shared" si="7"/>
        <v>48341185.989999995</v>
      </c>
      <c r="M25" s="86">
        <f t="shared" si="7"/>
        <v>48341185.989999995</v>
      </c>
      <c r="N25" s="86">
        <f t="shared" si="7"/>
        <v>48341185.989999995</v>
      </c>
      <c r="O25" s="50"/>
      <c r="P25" s="45"/>
      <c r="Q25" s="44"/>
    </row>
    <row r="26" spans="1:17" ht="30" hidden="1" customHeight="1" thickBot="1" x14ac:dyDescent="0.25">
      <c r="A26" s="216" t="s">
        <v>61</v>
      </c>
      <c r="B26" s="217"/>
      <c r="C26" s="46">
        <f>C21-C24</f>
        <v>11358408.59</v>
      </c>
      <c r="D26" s="47">
        <f>D21-D24</f>
        <v>10720901.310000001</v>
      </c>
      <c r="E26" s="47">
        <f t="shared" ref="E26:N26" si="8">E21-E24</f>
        <v>12783575.68</v>
      </c>
      <c r="F26" s="47">
        <f t="shared" si="8"/>
        <v>12133273.569999998</v>
      </c>
      <c r="G26" s="47">
        <f t="shared" si="8"/>
        <v>1345026.8399999999</v>
      </c>
      <c r="H26" s="47">
        <f t="shared" si="8"/>
        <v>0</v>
      </c>
      <c r="I26" s="47">
        <f t="shared" si="8"/>
        <v>0</v>
      </c>
      <c r="J26" s="47">
        <f t="shared" si="8"/>
        <v>0</v>
      </c>
      <c r="K26" s="47">
        <f t="shared" si="8"/>
        <v>0</v>
      </c>
      <c r="L26" s="47">
        <f t="shared" si="8"/>
        <v>0</v>
      </c>
      <c r="M26" s="47">
        <f t="shared" si="8"/>
        <v>0</v>
      </c>
      <c r="N26" s="47">
        <f t="shared" si="8"/>
        <v>0</v>
      </c>
      <c r="O26" s="51">
        <f>SUM(C26:N26)</f>
        <v>48341185.989999995</v>
      </c>
      <c r="P26" s="51">
        <f>P21-P24</f>
        <v>160788632</v>
      </c>
      <c r="Q26" s="52">
        <f>P26-O26</f>
        <v>112447446.01000001</v>
      </c>
    </row>
    <row r="27" spans="1:17" ht="30" hidden="1" customHeight="1" thickBot="1" x14ac:dyDescent="0.25">
      <c r="A27" s="53"/>
      <c r="B27" s="5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55"/>
      <c r="P27" s="55"/>
      <c r="Q27" s="55"/>
    </row>
    <row r="28" spans="1:17" ht="30" hidden="1" customHeight="1" thickBot="1" x14ac:dyDescent="0.25">
      <c r="A28" s="216" t="s">
        <v>85</v>
      </c>
      <c r="B28" s="217"/>
      <c r="C28" s="87">
        <f>C26</f>
        <v>11358408.59</v>
      </c>
      <c r="D28" s="87">
        <f t="shared" ref="D28:N28" si="9">D26+C28</f>
        <v>22079309.899999999</v>
      </c>
      <c r="E28" s="87">
        <f t="shared" si="9"/>
        <v>34862885.579999998</v>
      </c>
      <c r="F28" s="87">
        <f t="shared" si="9"/>
        <v>46996159.149999999</v>
      </c>
      <c r="G28" s="87">
        <f t="shared" si="9"/>
        <v>48341185.989999995</v>
      </c>
      <c r="H28" s="87">
        <f t="shared" si="9"/>
        <v>48341185.989999995</v>
      </c>
      <c r="I28" s="87">
        <f t="shared" si="9"/>
        <v>48341185.989999995</v>
      </c>
      <c r="J28" s="87">
        <f t="shared" si="9"/>
        <v>48341185.989999995</v>
      </c>
      <c r="K28" s="87">
        <f t="shared" si="9"/>
        <v>48341185.989999995</v>
      </c>
      <c r="L28" s="87">
        <f t="shared" si="9"/>
        <v>48341185.989999995</v>
      </c>
      <c r="M28" s="87">
        <f t="shared" si="9"/>
        <v>48341185.989999995</v>
      </c>
      <c r="N28" s="88">
        <f t="shared" si="9"/>
        <v>48341185.989999995</v>
      </c>
      <c r="O28" s="56"/>
      <c r="P28" s="55"/>
      <c r="Q28" s="17"/>
    </row>
    <row r="29" spans="1:17" ht="30" hidden="1" customHeight="1" thickBot="1" x14ac:dyDescent="0.25">
      <c r="A29" s="57"/>
      <c r="B29" s="58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59"/>
      <c r="P29" s="55"/>
      <c r="Q29" s="17"/>
    </row>
    <row r="30" spans="1:17" ht="30" hidden="1" customHeight="1" thickBot="1" x14ac:dyDescent="0.25">
      <c r="A30" s="60" t="s">
        <v>18</v>
      </c>
      <c r="B30" s="61"/>
      <c r="C30" s="62">
        <f t="shared" ref="C30:N30" si="10">C5-C24</f>
        <v>9612342.25</v>
      </c>
      <c r="D30" s="63">
        <f t="shared" si="10"/>
        <v>9013302.6999999993</v>
      </c>
      <c r="E30" s="63">
        <f t="shared" si="10"/>
        <v>10395862.550000001</v>
      </c>
      <c r="F30" s="63">
        <f t="shared" si="10"/>
        <v>10446074.75</v>
      </c>
      <c r="G30" s="63">
        <f t="shared" si="10"/>
        <v>0</v>
      </c>
      <c r="H30" s="63">
        <f t="shared" si="10"/>
        <v>0</v>
      </c>
      <c r="I30" s="63">
        <f t="shared" si="10"/>
        <v>0</v>
      </c>
      <c r="J30" s="63">
        <f t="shared" si="10"/>
        <v>0</v>
      </c>
      <c r="K30" s="63">
        <f t="shared" si="10"/>
        <v>0</v>
      </c>
      <c r="L30" s="63">
        <f t="shared" si="10"/>
        <v>0</v>
      </c>
      <c r="M30" s="63">
        <f t="shared" si="10"/>
        <v>0</v>
      </c>
      <c r="N30" s="63">
        <f t="shared" si="10"/>
        <v>0</v>
      </c>
      <c r="O30" s="51">
        <f>SUM(C30:N30)</f>
        <v>39467582.25</v>
      </c>
      <c r="P30" s="51">
        <f>P5</f>
        <v>144517210</v>
      </c>
      <c r="Q30" s="141">
        <f>P30-O30</f>
        <v>105049627.75</v>
      </c>
    </row>
    <row r="31" spans="1:17" ht="30" hidden="1" customHeight="1" thickBot="1" x14ac:dyDescent="0.25">
      <c r="A31" s="64"/>
      <c r="B31" s="65"/>
      <c r="C31" s="45"/>
      <c r="D31" s="45"/>
      <c r="E31" s="45"/>
      <c r="F31" s="66"/>
      <c r="G31" s="66"/>
      <c r="H31" s="66"/>
      <c r="I31" s="66"/>
      <c r="J31" s="66"/>
      <c r="K31" s="66"/>
      <c r="L31" s="66"/>
      <c r="M31" s="66"/>
      <c r="N31" s="45"/>
      <c r="O31" s="55"/>
      <c r="P31" s="55"/>
      <c r="Q31" s="45"/>
    </row>
    <row r="32" spans="1:17" ht="30" hidden="1" customHeight="1" thickBot="1" x14ac:dyDescent="0.25">
      <c r="A32" s="218" t="s">
        <v>102</v>
      </c>
      <c r="B32" s="219"/>
      <c r="C32" s="208">
        <f t="shared" ref="C32:N32" si="11">SUM(C7,C11,C15,C19)</f>
        <v>13399053</v>
      </c>
      <c r="D32" s="209">
        <f t="shared" si="11"/>
        <v>13399053</v>
      </c>
      <c r="E32" s="209">
        <f t="shared" si="11"/>
        <v>13399053</v>
      </c>
      <c r="F32" s="209">
        <f t="shared" si="11"/>
        <v>13399053</v>
      </c>
      <c r="G32" s="209">
        <f t="shared" si="11"/>
        <v>13399053</v>
      </c>
      <c r="H32" s="209">
        <f t="shared" si="11"/>
        <v>13399053</v>
      </c>
      <c r="I32" s="209">
        <f t="shared" si="11"/>
        <v>13399053</v>
      </c>
      <c r="J32" s="209">
        <f t="shared" si="11"/>
        <v>13399053</v>
      </c>
      <c r="K32" s="209">
        <f t="shared" si="11"/>
        <v>13399053</v>
      </c>
      <c r="L32" s="209">
        <f t="shared" si="11"/>
        <v>13399053</v>
      </c>
      <c r="M32" s="210">
        <f t="shared" si="11"/>
        <v>13399053</v>
      </c>
      <c r="N32" s="211">
        <f t="shared" si="11"/>
        <v>13399049</v>
      </c>
      <c r="O32" s="212">
        <f>SUM(C32:N32)-1</f>
        <v>160788631</v>
      </c>
      <c r="P32" s="55"/>
      <c r="Q32" s="55"/>
    </row>
    <row r="33" spans="1:24" ht="30" hidden="1" customHeight="1" thickBot="1" x14ac:dyDescent="0.25">
      <c r="A33" s="64"/>
      <c r="B33" s="65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70"/>
      <c r="P33" s="55"/>
      <c r="Q33" s="55"/>
    </row>
    <row r="34" spans="1:24" ht="30" hidden="1" customHeight="1" thickBot="1" x14ac:dyDescent="0.25">
      <c r="A34" s="220" t="s">
        <v>88</v>
      </c>
      <c r="B34" s="221"/>
      <c r="C34" s="71" t="s">
        <v>20</v>
      </c>
      <c r="D34" s="72" t="s">
        <v>21</v>
      </c>
      <c r="E34" s="72" t="s">
        <v>22</v>
      </c>
      <c r="F34" s="72" t="s">
        <v>23</v>
      </c>
      <c r="G34" s="72" t="s">
        <v>24</v>
      </c>
      <c r="H34" s="72" t="s">
        <v>25</v>
      </c>
      <c r="I34" s="72" t="s">
        <v>26</v>
      </c>
      <c r="J34" s="72" t="s">
        <v>27</v>
      </c>
      <c r="K34" s="72" t="s">
        <v>28</v>
      </c>
      <c r="L34" s="72" t="s">
        <v>29</v>
      </c>
      <c r="M34" s="72" t="s">
        <v>30</v>
      </c>
      <c r="N34" s="72" t="s">
        <v>31</v>
      </c>
      <c r="O34" s="73" t="s">
        <v>59</v>
      </c>
      <c r="P34" s="74" t="s">
        <v>12</v>
      </c>
      <c r="Q34" s="75" t="s">
        <v>58</v>
      </c>
    </row>
    <row r="35" spans="1:24" ht="30" hidden="1" customHeight="1" thickBot="1" x14ac:dyDescent="0.25">
      <c r="A35" s="222"/>
      <c r="B35" s="223"/>
      <c r="C35" s="76">
        <f t="shared" ref="C35:N35" si="12">SUM(C36:C79)-C80</f>
        <v>11358408.59</v>
      </c>
      <c r="D35" s="76">
        <f t="shared" si="12"/>
        <v>10720901.309999999</v>
      </c>
      <c r="E35" s="121">
        <f t="shared" si="12"/>
        <v>12783575.68</v>
      </c>
      <c r="F35" s="76">
        <f t="shared" si="12"/>
        <v>12133273.569999998</v>
      </c>
      <c r="G35" s="76">
        <f t="shared" si="12"/>
        <v>1345026.8399999999</v>
      </c>
      <c r="H35" s="76">
        <f t="shared" si="12"/>
        <v>0</v>
      </c>
      <c r="I35" s="76">
        <f t="shared" si="12"/>
        <v>0</v>
      </c>
      <c r="J35" s="76">
        <f t="shared" si="12"/>
        <v>0</v>
      </c>
      <c r="K35" s="76">
        <f t="shared" si="12"/>
        <v>0</v>
      </c>
      <c r="L35" s="76">
        <f t="shared" si="12"/>
        <v>0</v>
      </c>
      <c r="M35" s="76">
        <f t="shared" si="12"/>
        <v>0</v>
      </c>
      <c r="N35" s="76">
        <f t="shared" si="12"/>
        <v>0</v>
      </c>
      <c r="O35" s="77">
        <f>SUM(C35:N35)</f>
        <v>48341185.989999995</v>
      </c>
      <c r="P35" s="78">
        <f>SUM(P36:P79)</f>
        <v>0</v>
      </c>
      <c r="Q35" s="79">
        <f>SUM(Q36:Q79)</f>
        <v>0</v>
      </c>
    </row>
    <row r="36" spans="1:24" ht="30" hidden="1" customHeight="1" x14ac:dyDescent="0.2">
      <c r="A36" s="213" t="s">
        <v>134</v>
      </c>
      <c r="B36" s="89" t="s">
        <v>32</v>
      </c>
      <c r="C36" s="144">
        <v>317588.23</v>
      </c>
      <c r="D36" s="144">
        <v>401659.9</v>
      </c>
      <c r="E36" s="144">
        <v>339849.53</v>
      </c>
      <c r="F36" s="144">
        <v>383949.76</v>
      </c>
      <c r="G36" s="144">
        <v>88038.37</v>
      </c>
      <c r="H36" s="145"/>
      <c r="I36" s="144"/>
      <c r="J36" s="144"/>
      <c r="K36" s="144"/>
      <c r="L36" s="144"/>
      <c r="M36" s="144"/>
      <c r="N36" s="144"/>
      <c r="O36" s="146"/>
      <c r="P36" s="147"/>
      <c r="Q36" s="133">
        <f t="shared" ref="Q36:Q66" si="13">P36-O36</f>
        <v>0</v>
      </c>
    </row>
    <row r="37" spans="1:24" ht="30" hidden="1" customHeight="1" x14ac:dyDescent="0.2">
      <c r="A37" s="214" t="s">
        <v>135</v>
      </c>
      <c r="B37" s="90" t="s">
        <v>32</v>
      </c>
      <c r="C37" s="148">
        <v>290.12</v>
      </c>
      <c r="D37" s="148">
        <v>941.5</v>
      </c>
      <c r="E37" s="148">
        <v>931.41</v>
      </c>
      <c r="F37" s="148">
        <v>1316.67</v>
      </c>
      <c r="G37" s="148">
        <v>0</v>
      </c>
      <c r="H37" s="149"/>
      <c r="I37" s="149"/>
      <c r="J37" s="149"/>
      <c r="K37" s="149"/>
      <c r="L37" s="149"/>
      <c r="M37" s="149"/>
      <c r="N37" s="149"/>
      <c r="O37" s="150"/>
      <c r="P37" s="151"/>
      <c r="Q37" s="137">
        <f t="shared" si="13"/>
        <v>0</v>
      </c>
    </row>
    <row r="38" spans="1:24" ht="30" hidden="1" customHeight="1" x14ac:dyDescent="0.2">
      <c r="A38" s="215" t="s">
        <v>136</v>
      </c>
      <c r="B38" s="91" t="s">
        <v>33</v>
      </c>
      <c r="C38" s="148">
        <v>1197991.3700000001</v>
      </c>
      <c r="D38" s="148">
        <v>1148130.83</v>
      </c>
      <c r="E38" s="152">
        <v>1402760.65</v>
      </c>
      <c r="F38" s="148">
        <v>1088407.27</v>
      </c>
      <c r="G38" s="152">
        <v>1157298.3</v>
      </c>
      <c r="H38" s="149"/>
      <c r="I38" s="152"/>
      <c r="J38" s="152"/>
      <c r="K38" s="152"/>
      <c r="L38" s="149"/>
      <c r="M38" s="152"/>
      <c r="N38" s="152"/>
      <c r="O38" s="149"/>
      <c r="P38" s="153"/>
      <c r="Q38" s="139">
        <f t="shared" si="13"/>
        <v>0</v>
      </c>
    </row>
    <row r="39" spans="1:24" ht="30" hidden="1" customHeight="1" x14ac:dyDescent="0.2">
      <c r="A39" s="215" t="s">
        <v>137</v>
      </c>
      <c r="B39" s="94" t="s">
        <v>35</v>
      </c>
      <c r="C39" s="152">
        <v>0</v>
      </c>
      <c r="D39" s="152">
        <v>0</v>
      </c>
      <c r="E39" s="152">
        <v>0</v>
      </c>
      <c r="F39" s="152">
        <v>0</v>
      </c>
      <c r="G39" s="152">
        <v>0</v>
      </c>
      <c r="H39" s="149"/>
      <c r="I39" s="149"/>
      <c r="J39" s="149"/>
      <c r="K39" s="149"/>
      <c r="L39" s="149"/>
      <c r="M39" s="149"/>
      <c r="N39" s="149"/>
      <c r="O39" s="150"/>
      <c r="P39" s="153"/>
      <c r="Q39" s="139">
        <f t="shared" si="13"/>
        <v>0</v>
      </c>
    </row>
    <row r="40" spans="1:24" ht="30" hidden="1" customHeight="1" x14ac:dyDescent="0.2">
      <c r="A40" s="82" t="s">
        <v>138</v>
      </c>
      <c r="B40" s="95" t="s">
        <v>34</v>
      </c>
      <c r="C40" s="152">
        <v>0</v>
      </c>
      <c r="D40" s="152">
        <v>0</v>
      </c>
      <c r="E40" s="152">
        <v>0</v>
      </c>
      <c r="F40" s="152">
        <v>0</v>
      </c>
      <c r="G40" s="152">
        <v>0</v>
      </c>
      <c r="H40" s="149"/>
      <c r="I40" s="149"/>
      <c r="J40" s="149"/>
      <c r="K40" s="149"/>
      <c r="L40" s="149"/>
      <c r="M40" s="149"/>
      <c r="N40" s="149"/>
      <c r="O40" s="149"/>
      <c r="P40" s="153"/>
      <c r="Q40" s="139">
        <f t="shared" si="13"/>
        <v>0</v>
      </c>
    </row>
    <row r="41" spans="1:24" ht="30" hidden="1" customHeight="1" x14ac:dyDescent="0.2">
      <c r="A41" s="215" t="s">
        <v>139</v>
      </c>
      <c r="B41" s="94" t="s">
        <v>35</v>
      </c>
      <c r="C41" s="152">
        <v>9612342.25</v>
      </c>
      <c r="D41" s="152">
        <v>9013302.6999999993</v>
      </c>
      <c r="E41" s="152">
        <v>10395862.550000001</v>
      </c>
      <c r="F41" s="152">
        <v>10446074.75</v>
      </c>
      <c r="G41" s="152">
        <v>0</v>
      </c>
      <c r="H41" s="149"/>
      <c r="I41" s="149"/>
      <c r="J41" s="149"/>
      <c r="K41" s="149"/>
      <c r="L41" s="149"/>
      <c r="M41" s="149"/>
      <c r="N41" s="149"/>
      <c r="O41" s="150"/>
      <c r="P41" s="153"/>
      <c r="Q41" s="139">
        <f t="shared" si="13"/>
        <v>0</v>
      </c>
    </row>
    <row r="42" spans="1:24" ht="30" hidden="1" customHeight="1" x14ac:dyDescent="0.2">
      <c r="A42" s="82" t="s">
        <v>107</v>
      </c>
      <c r="B42" s="95" t="s">
        <v>34</v>
      </c>
      <c r="C42" s="152">
        <v>0</v>
      </c>
      <c r="D42" s="152">
        <v>0</v>
      </c>
      <c r="E42" s="152">
        <v>0</v>
      </c>
      <c r="F42" s="152">
        <v>0</v>
      </c>
      <c r="G42" s="152">
        <v>0</v>
      </c>
      <c r="H42" s="149"/>
      <c r="I42" s="152"/>
      <c r="J42" s="152"/>
      <c r="K42" s="152"/>
      <c r="L42" s="152"/>
      <c r="M42" s="152"/>
      <c r="N42" s="152"/>
      <c r="O42" s="149"/>
      <c r="P42" s="153"/>
      <c r="Q42" s="139">
        <f t="shared" si="13"/>
        <v>0</v>
      </c>
    </row>
    <row r="43" spans="1:24" ht="30" hidden="1" customHeight="1" x14ac:dyDescent="0.2">
      <c r="A43" s="215" t="s">
        <v>140</v>
      </c>
      <c r="B43" s="95" t="s">
        <v>34</v>
      </c>
      <c r="C43" s="152">
        <v>773.79</v>
      </c>
      <c r="D43" s="152">
        <v>1592.1</v>
      </c>
      <c r="E43" s="152">
        <v>45.83</v>
      </c>
      <c r="F43" s="152">
        <v>104.18</v>
      </c>
      <c r="G43" s="152">
        <v>750</v>
      </c>
      <c r="H43" s="149"/>
      <c r="I43" s="149"/>
      <c r="J43" s="149"/>
      <c r="K43" s="149"/>
      <c r="L43" s="149"/>
      <c r="M43" s="149"/>
      <c r="N43" s="149"/>
      <c r="O43" s="150"/>
      <c r="P43" s="153"/>
      <c r="Q43" s="139">
        <f t="shared" si="13"/>
        <v>0</v>
      </c>
    </row>
    <row r="44" spans="1:24" ht="30" hidden="1" customHeight="1" x14ac:dyDescent="0.2">
      <c r="A44" s="215" t="s">
        <v>141</v>
      </c>
      <c r="B44" s="95" t="s">
        <v>34</v>
      </c>
      <c r="C44" s="152">
        <v>0</v>
      </c>
      <c r="D44" s="152">
        <v>0</v>
      </c>
      <c r="E44" s="152">
        <v>114.82</v>
      </c>
      <c r="F44" s="152">
        <v>39.54</v>
      </c>
      <c r="G44" s="152">
        <v>0</v>
      </c>
      <c r="H44" s="149"/>
      <c r="I44" s="149"/>
      <c r="J44" s="149"/>
      <c r="K44" s="149"/>
      <c r="L44" s="149"/>
      <c r="M44" s="149"/>
      <c r="N44" s="149"/>
      <c r="O44" s="150"/>
      <c r="P44" s="153"/>
      <c r="Q44" s="139">
        <f t="shared" si="13"/>
        <v>0</v>
      </c>
    </row>
    <row r="45" spans="1:24" ht="30" hidden="1" customHeight="1" x14ac:dyDescent="0.2">
      <c r="A45" s="82" t="s">
        <v>108</v>
      </c>
      <c r="B45" s="95" t="s">
        <v>34</v>
      </c>
      <c r="C45" s="152">
        <v>0</v>
      </c>
      <c r="D45" s="152">
        <v>0</v>
      </c>
      <c r="E45" s="152">
        <v>0</v>
      </c>
      <c r="F45" s="152"/>
      <c r="G45" s="152">
        <v>0</v>
      </c>
      <c r="H45" s="149"/>
      <c r="I45" s="149"/>
      <c r="J45" s="149"/>
      <c r="K45" s="149"/>
      <c r="L45" s="149"/>
      <c r="M45" s="149"/>
      <c r="N45" s="149"/>
      <c r="O45" s="150"/>
      <c r="P45" s="153"/>
      <c r="Q45" s="139">
        <f t="shared" si="13"/>
        <v>0</v>
      </c>
    </row>
    <row r="46" spans="1:24" ht="30" hidden="1" customHeight="1" x14ac:dyDescent="0.2">
      <c r="A46" s="82" t="s">
        <v>109</v>
      </c>
      <c r="B46" s="95" t="s">
        <v>34</v>
      </c>
      <c r="C46" s="152">
        <v>0</v>
      </c>
      <c r="D46" s="152">
        <v>0</v>
      </c>
      <c r="E46" s="152">
        <v>0</v>
      </c>
      <c r="F46" s="152"/>
      <c r="G46" s="152">
        <v>0</v>
      </c>
      <c r="H46" s="149"/>
      <c r="I46" s="149"/>
      <c r="J46" s="149"/>
      <c r="K46" s="149"/>
      <c r="L46" s="149"/>
      <c r="M46" s="149"/>
      <c r="N46" s="149"/>
      <c r="O46" s="149"/>
      <c r="P46" s="153"/>
      <c r="Q46" s="139">
        <f t="shared" si="13"/>
        <v>0</v>
      </c>
      <c r="S46" s="97"/>
      <c r="T46" s="97"/>
      <c r="U46" s="97"/>
      <c r="V46" s="97"/>
      <c r="W46" s="97"/>
      <c r="X46" s="97"/>
    </row>
    <row r="47" spans="1:24" ht="30" hidden="1" customHeight="1" x14ac:dyDescent="0.2">
      <c r="A47" s="82" t="s">
        <v>110</v>
      </c>
      <c r="B47" s="95" t="s">
        <v>34</v>
      </c>
      <c r="C47" s="152">
        <v>0</v>
      </c>
      <c r="D47" s="149">
        <v>0</v>
      </c>
      <c r="E47" s="149">
        <v>0</v>
      </c>
      <c r="F47" s="149"/>
      <c r="G47" s="149">
        <v>0</v>
      </c>
      <c r="H47" s="149"/>
      <c r="I47" s="149"/>
      <c r="J47" s="149"/>
      <c r="K47" s="149"/>
      <c r="L47" s="149"/>
      <c r="M47" s="149"/>
      <c r="N47" s="149"/>
      <c r="O47" s="150"/>
      <c r="P47" s="153"/>
      <c r="Q47" s="139">
        <f t="shared" si="13"/>
        <v>0</v>
      </c>
      <c r="S47" s="97"/>
      <c r="T47" s="97"/>
      <c r="U47" s="97"/>
      <c r="V47" s="97"/>
      <c r="W47" s="97"/>
      <c r="X47" s="97"/>
    </row>
    <row r="48" spans="1:24" ht="30" hidden="1" customHeight="1" x14ac:dyDescent="0.2">
      <c r="A48" s="82" t="s">
        <v>111</v>
      </c>
      <c r="B48" s="95" t="s">
        <v>34</v>
      </c>
      <c r="C48" s="152">
        <v>219262.82</v>
      </c>
      <c r="D48" s="152">
        <v>150685.41</v>
      </c>
      <c r="E48" s="152">
        <v>627767.62</v>
      </c>
      <c r="F48" s="152">
        <v>170369.81</v>
      </c>
      <c r="G48" s="152">
        <v>98940.17</v>
      </c>
      <c r="H48" s="149"/>
      <c r="I48" s="149"/>
      <c r="J48" s="149"/>
      <c r="K48" s="149"/>
      <c r="L48" s="149"/>
      <c r="M48" s="149"/>
      <c r="N48" s="149"/>
      <c r="O48" s="150"/>
      <c r="P48" s="153"/>
      <c r="Q48" s="139"/>
      <c r="S48" s="97"/>
      <c r="T48" s="97"/>
      <c r="U48" s="97"/>
      <c r="V48" s="97"/>
      <c r="W48" s="97"/>
      <c r="X48" s="97"/>
    </row>
    <row r="49" spans="1:24" ht="30" hidden="1" customHeight="1" x14ac:dyDescent="0.2">
      <c r="A49" s="82" t="s">
        <v>112</v>
      </c>
      <c r="B49" s="95" t="s">
        <v>34</v>
      </c>
      <c r="C49" s="152">
        <v>0</v>
      </c>
      <c r="D49" s="152">
        <v>0</v>
      </c>
      <c r="E49" s="152">
        <v>0</v>
      </c>
      <c r="F49" s="152"/>
      <c r="G49" s="152">
        <v>0</v>
      </c>
      <c r="H49" s="152"/>
      <c r="I49" s="154"/>
      <c r="J49" s="152"/>
      <c r="K49" s="152"/>
      <c r="L49" s="152"/>
      <c r="M49" s="152"/>
      <c r="N49" s="152"/>
      <c r="O49" s="152"/>
      <c r="P49" s="152"/>
      <c r="Q49" s="139"/>
      <c r="S49" s="97"/>
      <c r="T49" s="97"/>
      <c r="U49" s="97"/>
      <c r="V49" s="97"/>
      <c r="W49" s="97"/>
      <c r="X49" s="97"/>
    </row>
    <row r="50" spans="1:24" ht="30" hidden="1" customHeight="1" x14ac:dyDescent="0.2">
      <c r="A50" s="82" t="s">
        <v>113</v>
      </c>
      <c r="B50" s="95" t="s">
        <v>34</v>
      </c>
      <c r="C50" s="152">
        <v>0</v>
      </c>
      <c r="D50" s="152">
        <v>0</v>
      </c>
      <c r="E50" s="152">
        <v>0</v>
      </c>
      <c r="F50" s="152"/>
      <c r="G50" s="152">
        <v>0</v>
      </c>
      <c r="H50" s="149"/>
      <c r="I50" s="155"/>
      <c r="J50" s="149"/>
      <c r="K50" s="149"/>
      <c r="L50" s="149"/>
      <c r="M50" s="149"/>
      <c r="N50" s="149"/>
      <c r="O50" s="149"/>
      <c r="P50" s="153"/>
      <c r="Q50" s="139">
        <f t="shared" si="13"/>
        <v>0</v>
      </c>
      <c r="S50" s="97"/>
      <c r="T50" s="97"/>
      <c r="U50" s="97"/>
      <c r="V50" s="97"/>
      <c r="W50" s="97"/>
      <c r="X50" s="97"/>
    </row>
    <row r="51" spans="1:24" ht="30" hidden="1" customHeight="1" x14ac:dyDescent="0.2">
      <c r="A51" s="82" t="s">
        <v>114</v>
      </c>
      <c r="B51" s="95" t="s">
        <v>34</v>
      </c>
      <c r="C51" s="152">
        <v>0</v>
      </c>
      <c r="D51" s="152">
        <v>0</v>
      </c>
      <c r="E51" s="152">
        <v>0</v>
      </c>
      <c r="F51" s="152"/>
      <c r="G51" s="152">
        <v>0</v>
      </c>
      <c r="H51" s="149"/>
      <c r="I51" s="155"/>
      <c r="J51" s="149"/>
      <c r="K51" s="149"/>
      <c r="L51" s="149"/>
      <c r="M51" s="149"/>
      <c r="N51" s="149"/>
      <c r="O51" s="150"/>
      <c r="P51" s="153"/>
      <c r="Q51" s="139">
        <f t="shared" si="13"/>
        <v>0</v>
      </c>
      <c r="S51" s="97"/>
      <c r="T51" s="97"/>
      <c r="U51" s="97"/>
      <c r="V51" s="97"/>
      <c r="W51" s="97"/>
      <c r="X51" s="97"/>
    </row>
    <row r="52" spans="1:24" ht="30" hidden="1" customHeight="1" x14ac:dyDescent="0.2">
      <c r="A52" s="82" t="s">
        <v>115</v>
      </c>
      <c r="B52" s="94" t="s">
        <v>35</v>
      </c>
      <c r="C52" s="152">
        <v>0</v>
      </c>
      <c r="D52" s="152">
        <v>0</v>
      </c>
      <c r="E52" s="152">
        <v>0</v>
      </c>
      <c r="F52" s="152"/>
      <c r="G52" s="152">
        <v>0</v>
      </c>
      <c r="H52" s="149"/>
      <c r="I52" s="154"/>
      <c r="J52" s="152"/>
      <c r="K52" s="152"/>
      <c r="L52" s="149"/>
      <c r="M52" s="152"/>
      <c r="N52" s="152"/>
      <c r="O52" s="156"/>
      <c r="P52" s="153"/>
      <c r="Q52" s="139">
        <f t="shared" si="13"/>
        <v>0</v>
      </c>
      <c r="S52" s="98"/>
      <c r="T52" s="98"/>
      <c r="U52" s="98"/>
      <c r="V52" s="97"/>
      <c r="W52" s="98"/>
      <c r="X52" s="98"/>
    </row>
    <row r="53" spans="1:24" ht="30" hidden="1" customHeight="1" x14ac:dyDescent="0.2">
      <c r="A53" s="82" t="s">
        <v>116</v>
      </c>
      <c r="B53" s="95" t="s">
        <v>34</v>
      </c>
      <c r="C53" s="152">
        <v>10160.01</v>
      </c>
      <c r="D53" s="152">
        <v>4588.87</v>
      </c>
      <c r="E53" s="152">
        <v>16243.27</v>
      </c>
      <c r="F53" s="152">
        <v>43011.59</v>
      </c>
      <c r="G53" s="152">
        <v>0</v>
      </c>
      <c r="H53" s="149"/>
      <c r="I53" s="154"/>
      <c r="J53" s="152"/>
      <c r="K53" s="152"/>
      <c r="L53" s="149"/>
      <c r="M53" s="152"/>
      <c r="N53" s="152"/>
      <c r="O53" s="156"/>
      <c r="P53" s="153"/>
      <c r="Q53" s="139"/>
      <c r="S53" s="98"/>
      <c r="T53" s="98"/>
      <c r="U53" s="98"/>
      <c r="V53" s="97"/>
      <c r="W53" s="98"/>
      <c r="X53" s="98"/>
    </row>
    <row r="54" spans="1:24" ht="30" hidden="1" customHeight="1" x14ac:dyDescent="0.2">
      <c r="A54" s="81" t="s">
        <v>124</v>
      </c>
      <c r="B54" s="95" t="s">
        <v>34</v>
      </c>
      <c r="C54" s="152">
        <v>0</v>
      </c>
      <c r="D54" s="152">
        <v>0</v>
      </c>
      <c r="E54" s="152">
        <v>0</v>
      </c>
      <c r="F54" s="152"/>
      <c r="G54" s="152">
        <v>0</v>
      </c>
      <c r="H54" s="149"/>
      <c r="I54" s="154"/>
      <c r="J54" s="152"/>
      <c r="K54" s="152"/>
      <c r="L54" s="149"/>
      <c r="M54" s="152"/>
      <c r="N54" s="152"/>
      <c r="O54" s="156"/>
      <c r="P54" s="153"/>
      <c r="Q54" s="139"/>
      <c r="S54" s="98"/>
      <c r="T54" s="98"/>
      <c r="U54" s="98"/>
      <c r="V54" s="97"/>
      <c r="W54" s="98"/>
      <c r="X54" s="98"/>
    </row>
    <row r="55" spans="1:24" ht="30" hidden="1" customHeight="1" x14ac:dyDescent="0.2">
      <c r="A55" s="82" t="s">
        <v>36</v>
      </c>
      <c r="B55" s="95" t="s">
        <v>34</v>
      </c>
      <c r="C55" s="157"/>
      <c r="D55" s="157"/>
      <c r="E55" s="157"/>
      <c r="F55" s="157"/>
      <c r="G55" s="157"/>
      <c r="H55" s="158"/>
      <c r="I55" s="157"/>
      <c r="J55" s="157"/>
      <c r="K55" s="157"/>
      <c r="L55" s="158"/>
      <c r="M55" s="157"/>
      <c r="N55" s="159"/>
      <c r="O55" s="160">
        <f t="shared" ref="O55:O78" si="14">SUM(C55:N55)</f>
        <v>0</v>
      </c>
      <c r="P55" s="161"/>
      <c r="Q55" s="162">
        <f t="shared" si="13"/>
        <v>0</v>
      </c>
      <c r="S55" s="98"/>
      <c r="T55" s="98"/>
      <c r="U55" s="98"/>
      <c r="V55" s="97"/>
      <c r="W55" s="98"/>
      <c r="X55" s="98"/>
    </row>
    <row r="56" spans="1:24" ht="30" hidden="1" customHeight="1" x14ac:dyDescent="0.2">
      <c r="A56" s="82" t="s">
        <v>63</v>
      </c>
      <c r="B56" s="103" t="s">
        <v>34</v>
      </c>
      <c r="C56" s="157"/>
      <c r="D56" s="157"/>
      <c r="E56" s="157"/>
      <c r="F56" s="157"/>
      <c r="G56" s="157"/>
      <c r="H56" s="158"/>
      <c r="I56" s="157"/>
      <c r="J56" s="157"/>
      <c r="K56" s="157"/>
      <c r="L56" s="158"/>
      <c r="M56" s="157"/>
      <c r="N56" s="159"/>
      <c r="O56" s="160">
        <f>SUM(C56:N56)</f>
        <v>0</v>
      </c>
      <c r="P56" s="161"/>
      <c r="Q56" s="162">
        <f t="shared" si="13"/>
        <v>0</v>
      </c>
      <c r="S56" s="98"/>
      <c r="T56" s="98"/>
      <c r="U56" s="98"/>
      <c r="V56" s="98"/>
      <c r="W56" s="98"/>
      <c r="X56" s="98"/>
    </row>
    <row r="57" spans="1:24" ht="30" hidden="1" customHeight="1" x14ac:dyDescent="0.2">
      <c r="A57" s="82" t="s">
        <v>37</v>
      </c>
      <c r="B57" s="94" t="s">
        <v>35</v>
      </c>
      <c r="C57" s="157"/>
      <c r="D57" s="157"/>
      <c r="E57" s="157"/>
      <c r="F57" s="157"/>
      <c r="G57" s="157"/>
      <c r="H57" s="158"/>
      <c r="I57" s="157"/>
      <c r="J57" s="157"/>
      <c r="K57" s="157"/>
      <c r="L57" s="158"/>
      <c r="M57" s="157"/>
      <c r="N57" s="159"/>
      <c r="O57" s="160">
        <f t="shared" si="14"/>
        <v>0</v>
      </c>
      <c r="P57" s="161"/>
      <c r="Q57" s="162">
        <f t="shared" si="13"/>
        <v>0</v>
      </c>
      <c r="S57" s="98"/>
      <c r="T57" s="98"/>
      <c r="U57" s="98"/>
      <c r="V57" s="98"/>
      <c r="W57" s="98"/>
      <c r="X57" s="98"/>
    </row>
    <row r="58" spans="1:24" ht="30" hidden="1" customHeight="1" x14ac:dyDescent="0.2">
      <c r="A58" s="82" t="s">
        <v>38</v>
      </c>
      <c r="B58" s="96" t="s">
        <v>32</v>
      </c>
      <c r="C58" s="157"/>
      <c r="D58" s="157"/>
      <c r="E58" s="157"/>
      <c r="F58" s="157"/>
      <c r="G58" s="157"/>
      <c r="H58" s="158"/>
      <c r="I58" s="157"/>
      <c r="J58" s="157"/>
      <c r="K58" s="157"/>
      <c r="L58" s="158"/>
      <c r="M58" s="157"/>
      <c r="N58" s="159"/>
      <c r="O58" s="160">
        <f t="shared" si="14"/>
        <v>0</v>
      </c>
      <c r="P58" s="161"/>
      <c r="Q58" s="162">
        <f t="shared" si="13"/>
        <v>0</v>
      </c>
      <c r="S58" s="98"/>
      <c r="T58" s="98"/>
      <c r="U58" s="98"/>
      <c r="V58" s="97"/>
      <c r="W58" s="98"/>
      <c r="X58" s="98"/>
    </row>
    <row r="59" spans="1:24" ht="30" hidden="1" customHeight="1" x14ac:dyDescent="0.2">
      <c r="A59" s="82" t="s">
        <v>65</v>
      </c>
      <c r="B59" s="104"/>
      <c r="C59" s="157"/>
      <c r="D59" s="157"/>
      <c r="E59" s="157"/>
      <c r="F59" s="157"/>
      <c r="G59" s="157"/>
      <c r="H59" s="158"/>
      <c r="I59" s="157"/>
      <c r="J59" s="157"/>
      <c r="K59" s="157"/>
      <c r="L59" s="158"/>
      <c r="M59" s="157"/>
      <c r="N59" s="159"/>
      <c r="O59" s="160"/>
      <c r="P59" s="161"/>
      <c r="Q59" s="162"/>
      <c r="S59" s="98"/>
      <c r="T59" s="98"/>
      <c r="U59" s="98"/>
      <c r="V59" s="98"/>
      <c r="W59" s="98"/>
      <c r="X59" s="98"/>
    </row>
    <row r="60" spans="1:24" ht="30" hidden="1" customHeight="1" x14ac:dyDescent="0.2">
      <c r="A60" s="82" t="s">
        <v>57</v>
      </c>
      <c r="B60" s="96" t="s">
        <v>32</v>
      </c>
      <c r="C60" s="157"/>
      <c r="D60" s="157"/>
      <c r="E60" s="157"/>
      <c r="F60" s="157"/>
      <c r="G60" s="157"/>
      <c r="H60" s="158"/>
      <c r="I60" s="157"/>
      <c r="J60" s="157"/>
      <c r="K60" s="157"/>
      <c r="L60" s="158"/>
      <c r="M60" s="157"/>
      <c r="N60" s="159"/>
      <c r="O60" s="160">
        <f t="shared" si="14"/>
        <v>0</v>
      </c>
      <c r="P60" s="161"/>
      <c r="Q60" s="162">
        <f t="shared" si="13"/>
        <v>0</v>
      </c>
      <c r="S60" s="98"/>
      <c r="T60" s="98"/>
      <c r="U60" s="98"/>
      <c r="V60" s="98"/>
      <c r="W60" s="98"/>
      <c r="X60" s="98"/>
    </row>
    <row r="61" spans="1:24" ht="30" hidden="1" customHeight="1" x14ac:dyDescent="0.2">
      <c r="A61" s="82" t="s">
        <v>39</v>
      </c>
      <c r="B61" s="103" t="s">
        <v>34</v>
      </c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4">
        <f t="shared" si="14"/>
        <v>0</v>
      </c>
      <c r="P61" s="165"/>
      <c r="Q61" s="166">
        <f t="shared" si="13"/>
        <v>0</v>
      </c>
    </row>
    <row r="62" spans="1:24" ht="30" hidden="1" customHeight="1" x14ac:dyDescent="0.2">
      <c r="A62" s="82" t="s">
        <v>64</v>
      </c>
      <c r="B62" s="96" t="s">
        <v>32</v>
      </c>
      <c r="C62" s="157"/>
      <c r="D62" s="157"/>
      <c r="E62" s="157"/>
      <c r="F62" s="157"/>
      <c r="G62" s="157"/>
      <c r="H62" s="158"/>
      <c r="I62" s="157"/>
      <c r="J62" s="157"/>
      <c r="K62" s="157"/>
      <c r="L62" s="158"/>
      <c r="M62" s="157"/>
      <c r="N62" s="159"/>
      <c r="O62" s="160">
        <f t="shared" si="14"/>
        <v>0</v>
      </c>
      <c r="P62" s="161"/>
      <c r="Q62" s="162">
        <f t="shared" si="13"/>
        <v>0</v>
      </c>
    </row>
    <row r="63" spans="1:24" ht="30" hidden="1" customHeight="1" x14ac:dyDescent="0.2">
      <c r="A63" s="82" t="s">
        <v>40</v>
      </c>
      <c r="B63" s="103" t="s">
        <v>34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4">
        <f t="shared" si="14"/>
        <v>0</v>
      </c>
      <c r="P63" s="165"/>
      <c r="Q63" s="166">
        <f t="shared" si="13"/>
        <v>0</v>
      </c>
    </row>
    <row r="64" spans="1:24" ht="30" hidden="1" customHeight="1" x14ac:dyDescent="0.2">
      <c r="A64" s="82" t="s">
        <v>41</v>
      </c>
      <c r="B64" s="109" t="s">
        <v>33</v>
      </c>
      <c r="C64" s="167"/>
      <c r="D64" s="167"/>
      <c r="E64" s="167"/>
      <c r="F64" s="167"/>
      <c r="G64" s="167"/>
      <c r="H64" s="158"/>
      <c r="I64" s="157"/>
      <c r="J64" s="157"/>
      <c r="K64" s="157"/>
      <c r="L64" s="158"/>
      <c r="M64" s="157"/>
      <c r="N64" s="159"/>
      <c r="O64" s="160">
        <f t="shared" si="14"/>
        <v>0</v>
      </c>
      <c r="P64" s="161"/>
      <c r="Q64" s="162">
        <f t="shared" si="13"/>
        <v>0</v>
      </c>
    </row>
    <row r="65" spans="1:17" ht="30" hidden="1" customHeight="1" x14ac:dyDescent="0.2">
      <c r="A65" s="82" t="s">
        <v>42</v>
      </c>
      <c r="B65" s="95" t="s">
        <v>34</v>
      </c>
      <c r="C65" s="157"/>
      <c r="D65" s="157"/>
      <c r="E65" s="157"/>
      <c r="F65" s="157"/>
      <c r="G65" s="157"/>
      <c r="H65" s="158"/>
      <c r="I65" s="157"/>
      <c r="J65" s="157"/>
      <c r="K65" s="157"/>
      <c r="L65" s="158"/>
      <c r="M65" s="157"/>
      <c r="N65" s="159"/>
      <c r="O65" s="160"/>
      <c r="P65" s="161"/>
      <c r="Q65" s="162">
        <f t="shared" si="13"/>
        <v>0</v>
      </c>
    </row>
    <row r="66" spans="1:17" ht="30" hidden="1" customHeight="1" x14ac:dyDescent="0.2">
      <c r="A66" s="82" t="s">
        <v>56</v>
      </c>
      <c r="B66" s="95" t="s">
        <v>34</v>
      </c>
      <c r="C66" s="157"/>
      <c r="D66" s="157"/>
      <c r="E66" s="157"/>
      <c r="F66" s="157"/>
      <c r="G66" s="157"/>
      <c r="H66" s="158"/>
      <c r="I66" s="157"/>
      <c r="J66" s="157"/>
      <c r="K66" s="157"/>
      <c r="L66" s="158"/>
      <c r="M66" s="157"/>
      <c r="N66" s="159"/>
      <c r="O66" s="160">
        <f t="shared" si="14"/>
        <v>0</v>
      </c>
      <c r="P66" s="161"/>
      <c r="Q66" s="162">
        <f t="shared" si="13"/>
        <v>0</v>
      </c>
    </row>
    <row r="67" spans="1:17" ht="30" hidden="1" customHeight="1" x14ac:dyDescent="0.2">
      <c r="A67" s="82" t="s">
        <v>43</v>
      </c>
      <c r="B67" s="103" t="s">
        <v>34</v>
      </c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>
        <f t="shared" si="14"/>
        <v>0</v>
      </c>
      <c r="P67" s="165"/>
      <c r="Q67" s="166">
        <f>P67-O67</f>
        <v>0</v>
      </c>
    </row>
    <row r="68" spans="1:17" ht="30" hidden="1" customHeight="1" x14ac:dyDescent="0.2">
      <c r="A68" s="82" t="s">
        <v>44</v>
      </c>
      <c r="B68" s="95" t="s">
        <v>34</v>
      </c>
      <c r="C68" s="157"/>
      <c r="D68" s="157"/>
      <c r="E68" s="157"/>
      <c r="F68" s="157"/>
      <c r="G68" s="157"/>
      <c r="H68" s="158"/>
      <c r="I68" s="157"/>
      <c r="J68" s="157"/>
      <c r="K68" s="157"/>
      <c r="L68" s="158"/>
      <c r="M68" s="157"/>
      <c r="N68" s="159"/>
      <c r="O68" s="160">
        <f t="shared" si="14"/>
        <v>0</v>
      </c>
      <c r="P68" s="161"/>
      <c r="Q68" s="162">
        <f>P68-O68</f>
        <v>0</v>
      </c>
    </row>
    <row r="69" spans="1:17" ht="30" hidden="1" customHeight="1" x14ac:dyDescent="0.2">
      <c r="A69" s="82" t="s">
        <v>55</v>
      </c>
      <c r="B69" s="95" t="s">
        <v>34</v>
      </c>
      <c r="C69" s="157"/>
      <c r="D69" s="157"/>
      <c r="E69" s="157"/>
      <c r="F69" s="157"/>
      <c r="G69" s="157"/>
      <c r="H69" s="158"/>
      <c r="I69" s="157"/>
      <c r="J69" s="157"/>
      <c r="K69" s="157"/>
      <c r="L69" s="158"/>
      <c r="M69" s="157"/>
      <c r="N69" s="159"/>
      <c r="O69" s="160">
        <f t="shared" si="14"/>
        <v>0</v>
      </c>
      <c r="P69" s="161"/>
      <c r="Q69" s="162">
        <f>P69-O69</f>
        <v>0</v>
      </c>
    </row>
    <row r="70" spans="1:17" ht="30" hidden="1" customHeight="1" x14ac:dyDescent="0.2">
      <c r="A70" s="82" t="s">
        <v>45</v>
      </c>
      <c r="B70" s="95" t="s">
        <v>34</v>
      </c>
      <c r="C70" s="157"/>
      <c r="D70" s="157"/>
      <c r="E70" s="157"/>
      <c r="F70" s="157"/>
      <c r="G70" s="157"/>
      <c r="H70" s="158"/>
      <c r="I70" s="157"/>
      <c r="J70" s="159"/>
      <c r="K70" s="157"/>
      <c r="L70" s="158"/>
      <c r="M70" s="157"/>
      <c r="N70" s="159"/>
      <c r="O70" s="160">
        <f t="shared" si="14"/>
        <v>0</v>
      </c>
      <c r="P70" s="161"/>
      <c r="Q70" s="162">
        <f t="shared" ref="Q70:Q80" si="15">P70-O70</f>
        <v>0</v>
      </c>
    </row>
    <row r="71" spans="1:17" ht="30" hidden="1" customHeight="1" x14ac:dyDescent="0.2">
      <c r="A71" s="82" t="s">
        <v>46</v>
      </c>
      <c r="B71" s="103" t="s">
        <v>34</v>
      </c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4">
        <f t="shared" si="14"/>
        <v>0</v>
      </c>
      <c r="P71" s="165"/>
      <c r="Q71" s="166">
        <f t="shared" si="15"/>
        <v>0</v>
      </c>
    </row>
    <row r="72" spans="1:17" ht="30" hidden="1" customHeight="1" x14ac:dyDescent="0.2">
      <c r="A72" s="82" t="s">
        <v>47</v>
      </c>
      <c r="B72" s="103" t="s">
        <v>34</v>
      </c>
      <c r="C72" s="163"/>
      <c r="D72" s="163"/>
      <c r="E72" s="163"/>
      <c r="F72" s="163"/>
      <c r="G72" s="163"/>
      <c r="H72" s="168"/>
      <c r="I72" s="163"/>
      <c r="J72" s="163"/>
      <c r="K72" s="163"/>
      <c r="L72" s="168"/>
      <c r="M72" s="163"/>
      <c r="N72" s="163"/>
      <c r="O72" s="164">
        <f t="shared" si="14"/>
        <v>0</v>
      </c>
      <c r="P72" s="169"/>
      <c r="Q72" s="166">
        <f t="shared" si="15"/>
        <v>0</v>
      </c>
    </row>
    <row r="73" spans="1:17" ht="30" hidden="1" customHeight="1" x14ac:dyDescent="0.2">
      <c r="A73" s="82" t="s">
        <v>48</v>
      </c>
      <c r="B73" s="94" t="s">
        <v>35</v>
      </c>
      <c r="C73" s="167"/>
      <c r="D73" s="157"/>
      <c r="E73" s="157"/>
      <c r="F73" s="157"/>
      <c r="G73" s="157"/>
      <c r="H73" s="158"/>
      <c r="I73" s="157"/>
      <c r="J73" s="157"/>
      <c r="K73" s="157"/>
      <c r="L73" s="158"/>
      <c r="M73" s="157"/>
      <c r="N73" s="159"/>
      <c r="O73" s="160">
        <f t="shared" si="14"/>
        <v>0</v>
      </c>
      <c r="P73" s="161"/>
      <c r="Q73" s="162">
        <f t="shared" si="15"/>
        <v>0</v>
      </c>
    </row>
    <row r="74" spans="1:17" ht="30" hidden="1" customHeight="1" x14ac:dyDescent="0.2">
      <c r="A74" s="82" t="s">
        <v>49</v>
      </c>
      <c r="B74" s="95" t="s">
        <v>34</v>
      </c>
      <c r="C74" s="167"/>
      <c r="D74" s="157"/>
      <c r="E74" s="157"/>
      <c r="F74" s="157"/>
      <c r="G74" s="157"/>
      <c r="H74" s="158"/>
      <c r="I74" s="157"/>
      <c r="J74" s="157"/>
      <c r="K74" s="157"/>
      <c r="L74" s="158"/>
      <c r="M74" s="157"/>
      <c r="N74" s="159"/>
      <c r="O74" s="160">
        <f t="shared" si="14"/>
        <v>0</v>
      </c>
      <c r="P74" s="161"/>
      <c r="Q74" s="162">
        <f t="shared" si="15"/>
        <v>0</v>
      </c>
    </row>
    <row r="75" spans="1:17" ht="30" hidden="1" customHeight="1" x14ac:dyDescent="0.2">
      <c r="A75" s="82" t="s">
        <v>50</v>
      </c>
      <c r="B75" s="95" t="s">
        <v>34</v>
      </c>
      <c r="C75" s="167"/>
      <c r="D75" s="157"/>
      <c r="E75" s="157"/>
      <c r="F75" s="157"/>
      <c r="G75" s="157"/>
      <c r="H75" s="158"/>
      <c r="I75" s="157"/>
      <c r="J75" s="157"/>
      <c r="K75" s="157"/>
      <c r="L75" s="158"/>
      <c r="M75" s="157"/>
      <c r="N75" s="159"/>
      <c r="O75" s="160">
        <f t="shared" si="14"/>
        <v>0</v>
      </c>
      <c r="P75" s="161"/>
      <c r="Q75" s="162">
        <f t="shared" si="15"/>
        <v>0</v>
      </c>
    </row>
    <row r="76" spans="1:17" ht="30" hidden="1" customHeight="1" x14ac:dyDescent="0.2">
      <c r="A76" s="82" t="s">
        <v>51</v>
      </c>
      <c r="B76" s="95" t="s">
        <v>34</v>
      </c>
      <c r="C76" s="167"/>
      <c r="D76" s="157"/>
      <c r="E76" s="157"/>
      <c r="F76" s="157"/>
      <c r="G76" s="157"/>
      <c r="H76" s="158"/>
      <c r="I76" s="157"/>
      <c r="J76" s="157"/>
      <c r="K76" s="157"/>
      <c r="L76" s="158"/>
      <c r="M76" s="157"/>
      <c r="N76" s="159"/>
      <c r="O76" s="160">
        <f t="shared" si="14"/>
        <v>0</v>
      </c>
      <c r="P76" s="161"/>
      <c r="Q76" s="162">
        <f t="shared" si="15"/>
        <v>0</v>
      </c>
    </row>
    <row r="77" spans="1:17" ht="30" hidden="1" customHeight="1" x14ac:dyDescent="0.2">
      <c r="A77" s="82" t="s">
        <v>52</v>
      </c>
      <c r="B77" s="95" t="s">
        <v>34</v>
      </c>
      <c r="C77" s="157"/>
      <c r="D77" s="157"/>
      <c r="E77" s="157"/>
      <c r="F77" s="167"/>
      <c r="G77" s="157"/>
      <c r="H77" s="158"/>
      <c r="I77" s="157"/>
      <c r="J77" s="157"/>
      <c r="K77" s="157"/>
      <c r="L77" s="158"/>
      <c r="M77" s="157"/>
      <c r="N77" s="159"/>
      <c r="O77" s="160">
        <f t="shared" si="14"/>
        <v>0</v>
      </c>
      <c r="P77" s="161"/>
      <c r="Q77" s="162">
        <f t="shared" si="15"/>
        <v>0</v>
      </c>
    </row>
    <row r="78" spans="1:17" ht="30" hidden="1" customHeight="1" x14ac:dyDescent="0.2">
      <c r="A78" s="82" t="s">
        <v>60</v>
      </c>
      <c r="B78" s="95" t="s">
        <v>34</v>
      </c>
      <c r="C78" s="157"/>
      <c r="D78" s="157"/>
      <c r="E78" s="157"/>
      <c r="F78" s="167"/>
      <c r="G78" s="157"/>
      <c r="H78" s="158"/>
      <c r="I78" s="157"/>
      <c r="J78" s="157"/>
      <c r="K78" s="157"/>
      <c r="L78" s="158"/>
      <c r="M78" s="157"/>
      <c r="N78" s="159"/>
      <c r="O78" s="160">
        <f t="shared" si="14"/>
        <v>0</v>
      </c>
      <c r="P78" s="161"/>
      <c r="Q78" s="162">
        <f>P78-O78</f>
        <v>0</v>
      </c>
    </row>
    <row r="79" spans="1:17" ht="30" hidden="1" customHeight="1" thickBot="1" x14ac:dyDescent="0.25">
      <c r="A79" s="82" t="s">
        <v>54</v>
      </c>
      <c r="B79" s="103" t="s">
        <v>34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4">
        <f>SUM(C79:N79)</f>
        <v>0</v>
      </c>
      <c r="P79" s="165"/>
      <c r="Q79" s="166">
        <f t="shared" si="15"/>
        <v>0</v>
      </c>
    </row>
    <row r="80" spans="1:17" ht="30" hidden="1" customHeight="1" thickBot="1" x14ac:dyDescent="0.25">
      <c r="A80" s="224" t="s">
        <v>53</v>
      </c>
      <c r="B80" s="225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1">
        <f>SUM(C80:N80)</f>
        <v>0</v>
      </c>
      <c r="P80" s="170"/>
      <c r="Q80" s="172">
        <f t="shared" si="15"/>
        <v>0</v>
      </c>
    </row>
    <row r="81" spans="5:17" ht="30" hidden="1" customHeight="1" x14ac:dyDescent="0.2"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3"/>
    </row>
    <row r="82" spans="5:17" ht="30" hidden="1" customHeight="1" x14ac:dyDescent="0.2"/>
    <row r="83" spans="5:17" ht="30" hidden="1" customHeight="1" x14ac:dyDescent="0.2"/>
    <row r="84" spans="5:17" ht="30" hidden="1" customHeight="1" x14ac:dyDescent="0.2"/>
    <row r="85" spans="5:17" hidden="1" x14ac:dyDescent="0.2"/>
    <row r="86" spans="5:17" hidden="1" x14ac:dyDescent="0.2"/>
    <row r="87" spans="5:17" hidden="1" x14ac:dyDescent="0.2"/>
    <row r="88" spans="5:17" hidden="1" x14ac:dyDescent="0.2"/>
    <row r="89" spans="5:17" hidden="1" x14ac:dyDescent="0.2"/>
    <row r="90" spans="5:17" hidden="1" x14ac:dyDescent="0.2"/>
  </sheetData>
  <mergeCells count="28">
    <mergeCell ref="A7:B7"/>
    <mergeCell ref="O5:O7"/>
    <mergeCell ref="O9:O11"/>
    <mergeCell ref="O13:O15"/>
    <mergeCell ref="O17:O19"/>
    <mergeCell ref="A15:B15"/>
    <mergeCell ref="A1:Q1"/>
    <mergeCell ref="A2:B3"/>
    <mergeCell ref="C2:L2"/>
    <mergeCell ref="O2:Q2"/>
    <mergeCell ref="P5:P7"/>
    <mergeCell ref="Q5:Q7"/>
    <mergeCell ref="Q17:Q19"/>
    <mergeCell ref="A19:B19"/>
    <mergeCell ref="A21:B21"/>
    <mergeCell ref="A22:B22"/>
    <mergeCell ref="A24:B24"/>
    <mergeCell ref="P9:P11"/>
    <mergeCell ref="Q9:Q11"/>
    <mergeCell ref="A11:B11"/>
    <mergeCell ref="P13:P15"/>
    <mergeCell ref="Q13:Q15"/>
    <mergeCell ref="A26:B26"/>
    <mergeCell ref="A28:B28"/>
    <mergeCell ref="A32:B32"/>
    <mergeCell ref="A34:B35"/>
    <mergeCell ref="A80:B80"/>
    <mergeCell ref="P17:P19"/>
  </mergeCells>
  <pageMargins left="0.11811023622047245" right="0.11811023622047245" top="0.19685039370078741" bottom="0.19685039370078741" header="0.31496062992125984" footer="0.31496062992125984"/>
  <pageSetup paperSize="9" orientation="portrait" r:id="rId1"/>
  <ignoredErrors>
    <ignoredError sqref="A5:B5 A9:B9 B7 A13:B13 B11 A17:B17 B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AC4B-4B6B-47DA-93A3-2F341EA39E2F}">
  <dimension ref="A1:X83"/>
  <sheetViews>
    <sheetView showGridLines="0" tabSelected="1" workbookViewId="0">
      <selection activeCell="E3" sqref="E3"/>
    </sheetView>
  </sheetViews>
  <sheetFormatPr defaultRowHeight="15.75" x14ac:dyDescent="0.2"/>
  <cols>
    <col min="1" max="1" width="22.33203125" style="173" customWidth="1"/>
    <col min="2" max="2" width="9.44140625" style="173" hidden="1" customWidth="1"/>
    <col min="3" max="3" width="10.5546875" style="173" customWidth="1"/>
    <col min="4" max="16" width="10.21875" style="173" customWidth="1"/>
    <col min="17" max="17" width="10.44140625" style="173" customWidth="1"/>
    <col min="18" max="16384" width="8.88671875" style="173"/>
  </cols>
  <sheetData>
    <row r="1" spans="1:17" ht="44.25" customHeight="1" thickBot="1" x14ac:dyDescent="0.25">
      <c r="A1" s="243" t="s">
        <v>126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5"/>
    </row>
    <row r="2" spans="1:17" ht="30" customHeight="1" x14ac:dyDescent="0.2">
      <c r="A2" s="273" t="s">
        <v>143</v>
      </c>
      <c r="B2" s="290"/>
      <c r="C2" s="304" t="s">
        <v>19</v>
      </c>
      <c r="D2" s="305"/>
      <c r="E2" s="305"/>
      <c r="F2" s="305"/>
      <c r="G2" s="305"/>
      <c r="H2" s="305"/>
      <c r="I2" s="305"/>
      <c r="J2" s="305"/>
      <c r="K2" s="305"/>
      <c r="L2" s="305"/>
      <c r="M2" s="306"/>
      <c r="N2" s="307"/>
      <c r="O2" s="308"/>
      <c r="P2" s="305"/>
      <c r="Q2" s="309"/>
    </row>
    <row r="3" spans="1:17" ht="30" customHeight="1" thickBot="1" x14ac:dyDescent="0.25">
      <c r="A3" s="275"/>
      <c r="B3" s="291"/>
      <c r="C3" s="310" t="s">
        <v>0</v>
      </c>
      <c r="D3" s="311" t="s">
        <v>1</v>
      </c>
      <c r="E3" s="311" t="s">
        <v>2</v>
      </c>
      <c r="F3" s="311" t="s">
        <v>3</v>
      </c>
      <c r="G3" s="311" t="s">
        <v>4</v>
      </c>
      <c r="H3" s="311" t="s">
        <v>5</v>
      </c>
      <c r="I3" s="311" t="s">
        <v>6</v>
      </c>
      <c r="J3" s="311" t="s">
        <v>7</v>
      </c>
      <c r="K3" s="311" t="s">
        <v>8</v>
      </c>
      <c r="L3" s="311" t="s">
        <v>9</v>
      </c>
      <c r="M3" s="311" t="s">
        <v>10</v>
      </c>
      <c r="N3" s="312" t="s">
        <v>11</v>
      </c>
      <c r="O3" s="292" t="s">
        <v>86</v>
      </c>
      <c r="P3" s="284" t="s">
        <v>62</v>
      </c>
      <c r="Q3" s="313" t="s">
        <v>71</v>
      </c>
    </row>
    <row r="4" spans="1:17" ht="12" customHeight="1" thickBot="1" x14ac:dyDescent="0.25">
      <c r="A4" s="268"/>
      <c r="B4" s="267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262"/>
      <c r="P4" s="269"/>
      <c r="Q4" s="263"/>
    </row>
    <row r="5" spans="1:17" ht="30" customHeight="1" x14ac:dyDescent="0.2">
      <c r="A5" s="314" t="s">
        <v>13</v>
      </c>
      <c r="B5" s="315" t="s">
        <v>95</v>
      </c>
      <c r="C5" s="316">
        <f>SUMIF($B$36:$B$79,"Operacional",C$36:C$79)</f>
        <v>9936020.1500000004</v>
      </c>
      <c r="D5" s="317">
        <f>SUMIF($B$36:$B$79,"Operacional",D$36:D$79)</f>
        <v>8759858.0800000001</v>
      </c>
      <c r="E5" s="317">
        <f>SUMIF($B$36:$B$79,"Operacional",E$36:E$79)</f>
        <v>11144204.41</v>
      </c>
      <c r="F5" s="317">
        <f>SUMIF($B$36:$B$79,"Operacional",F$36:F$79)</f>
        <v>9223312.5700000003</v>
      </c>
      <c r="G5" s="317">
        <f>SUMIF($B$36:$B$79,"Operacional",G$36:G$79)</f>
        <v>12755204.01</v>
      </c>
      <c r="H5" s="317">
        <f>SUMIF($B$36:$B$79,"Operacional",H$36:H$79)</f>
        <v>10608097.4</v>
      </c>
      <c r="I5" s="317">
        <f>SUMIF($B$36:$B$79,"Operacional",I$36:I$79)</f>
        <v>10388941.050000001</v>
      </c>
      <c r="J5" s="317">
        <f>SUMIF($B$36:$B$79,"Operacional",J$36:J$79)</f>
        <v>12667160.699999999</v>
      </c>
      <c r="K5" s="317">
        <f>SUMIF($B$36:$B$79,"Operacional",K$36:K$79)</f>
        <v>10153170.5</v>
      </c>
      <c r="L5" s="317">
        <f>SUMIF($B$36:$B$79,"Operacional",L$36:L$79)</f>
        <v>9713312.5999999996</v>
      </c>
      <c r="M5" s="317">
        <f>SUMIF($B$36:$B$79,"Operacional",M$36:M$79)</f>
        <v>10522136.25</v>
      </c>
      <c r="N5" s="318">
        <f>SUMIF($B$36:$B$79,"Operacional",N$36:N$79)</f>
        <v>11345203.34</v>
      </c>
      <c r="O5" s="301">
        <f>SUM(C5:N5)</f>
        <v>127216621.06</v>
      </c>
      <c r="P5" s="319">
        <v>144161134</v>
      </c>
      <c r="Q5" s="320">
        <f>-P5+O5</f>
        <v>-16944512.939999998</v>
      </c>
    </row>
    <row r="6" spans="1:17" ht="30" hidden="1" customHeight="1" x14ac:dyDescent="0.2">
      <c r="A6" s="321" t="s">
        <v>142</v>
      </c>
      <c r="B6" s="322"/>
      <c r="C6" s="323">
        <f>C5/$O$5</f>
        <v>7.8103160319859546E-2</v>
      </c>
      <c r="D6" s="324">
        <f>D5/$O$5</f>
        <v>6.8857811243615188E-2</v>
      </c>
      <c r="E6" s="324">
        <f t="shared" ref="E6:N6" si="0">E5/$O$5</f>
        <v>8.7600223281704567E-2</v>
      </c>
      <c r="F6" s="324">
        <f t="shared" si="0"/>
        <v>7.2500845354554339E-2</v>
      </c>
      <c r="G6" s="324">
        <f t="shared" si="0"/>
        <v>0.10026365976175534</v>
      </c>
      <c r="H6" s="324">
        <f t="shared" si="0"/>
        <v>8.3386096184686703E-2</v>
      </c>
      <c r="I6" s="324">
        <f t="shared" si="0"/>
        <v>8.1663394008084811E-2</v>
      </c>
      <c r="J6" s="324">
        <f t="shared" si="0"/>
        <v>9.9571585807374213E-2</v>
      </c>
      <c r="K6" s="324">
        <f t="shared" si="0"/>
        <v>7.9810094116643721E-2</v>
      </c>
      <c r="L6" s="324">
        <f t="shared" si="0"/>
        <v>7.6352543551827606E-2</v>
      </c>
      <c r="M6" s="324">
        <f t="shared" si="0"/>
        <v>8.2710389274035012E-2</v>
      </c>
      <c r="N6" s="325">
        <f t="shared" si="0"/>
        <v>8.9180197095858948E-2</v>
      </c>
      <c r="O6" s="302"/>
      <c r="P6" s="326"/>
      <c r="Q6" s="327"/>
    </row>
    <row r="7" spans="1:17" ht="30" customHeight="1" thickBot="1" x14ac:dyDescent="0.25">
      <c r="A7" s="264" t="s">
        <v>66</v>
      </c>
      <c r="B7" s="286"/>
      <c r="C7" s="328">
        <f>C6*$P$5</f>
        <v>11259440.160694756</v>
      </c>
      <c r="D7" s="329">
        <f t="shared" ref="D7:N7" si="1">D6*$P$5</f>
        <v>9926620.1536375154</v>
      </c>
      <c r="E7" s="329">
        <f t="shared" si="1"/>
        <v>12628547.526943732</v>
      </c>
      <c r="F7" s="329">
        <f t="shared" si="1"/>
        <v>10451804.082271185</v>
      </c>
      <c r="G7" s="329">
        <f t="shared" si="1"/>
        <v>14454122.890244821</v>
      </c>
      <c r="H7" s="329">
        <f t="shared" si="1"/>
        <v>12021034.185817508</v>
      </c>
      <c r="I7" s="329">
        <f t="shared" si="1"/>
        <v>11772687.486494312</v>
      </c>
      <c r="J7" s="329">
        <f t="shared" si="1"/>
        <v>14354352.724169372</v>
      </c>
      <c r="K7" s="329">
        <f t="shared" si="1"/>
        <v>11505513.672502087</v>
      </c>
      <c r="L7" s="329">
        <f t="shared" si="1"/>
        <v>11007069.262215855</v>
      </c>
      <c r="M7" s="329">
        <f t="shared" si="1"/>
        <v>11923623.511326324</v>
      </c>
      <c r="N7" s="330">
        <f t="shared" si="1"/>
        <v>12856318.343682533</v>
      </c>
      <c r="O7" s="303"/>
      <c r="P7" s="331"/>
      <c r="Q7" s="332"/>
    </row>
    <row r="8" spans="1:17" ht="12" customHeight="1" thickBot="1" x14ac:dyDescent="0.25">
      <c r="A8" s="266"/>
      <c r="B8" s="267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262"/>
      <c r="P8" s="269"/>
      <c r="Q8" s="263"/>
    </row>
    <row r="9" spans="1:17" ht="30" customHeight="1" x14ac:dyDescent="0.2">
      <c r="A9" s="314" t="s">
        <v>14</v>
      </c>
      <c r="B9" s="315" t="s">
        <v>96</v>
      </c>
      <c r="C9" s="316">
        <f>SUMIF($B$36:$B$79,"Financeira",C$36:C$79)</f>
        <v>1356699.58</v>
      </c>
      <c r="D9" s="317">
        <f>SUMIF($B$36:$B$79,"Financeira",D$36:D$79)</f>
        <v>1240199.17</v>
      </c>
      <c r="E9" s="317">
        <f>SUMIF($B$36:$B$79,"Financeira",E$36:E$79)</f>
        <v>1407812.31</v>
      </c>
      <c r="F9" s="317">
        <f>SUMIF($B$36:$B$79,"Financeira",F$36:F$79)</f>
        <v>1540187.9</v>
      </c>
      <c r="G9" s="317">
        <f>SUMIF($B$36:$B$79,"Financeira",G$36:G$79)</f>
        <v>1361248.47</v>
      </c>
      <c r="H9" s="317">
        <f>SUMIF($B$36:$B$79,"Financeira",H$36:H$79)</f>
        <v>1310388.33</v>
      </c>
      <c r="I9" s="317">
        <f>SUMIF($B$36:$B$79,"Financeira",I$36:I$79)</f>
        <v>1238480.6100000001</v>
      </c>
      <c r="J9" s="317">
        <f>SUMIF($B$36:$B$79,"Financeira",J$36:J$79)</f>
        <v>1310744.93</v>
      </c>
      <c r="K9" s="317">
        <f>SUMIF($B$36:$B$79,"Financeira",K$36:K$79)</f>
        <v>1415264.8</v>
      </c>
      <c r="L9" s="317">
        <f>SUMIF($B$36:$B$79,"Financeira",L$36:L$79)</f>
        <v>1321547.8600000001</v>
      </c>
      <c r="M9" s="317">
        <f>SUMIF($B$36:$B$79,"Financeira",M$36:M$79)</f>
        <v>1112661.33</v>
      </c>
      <c r="N9" s="318">
        <f>SUMIF($B$36:$B$79,"Financeira",N$36:N$79)</f>
        <v>1175421.5</v>
      </c>
      <c r="O9" s="301">
        <f>SUM(C9:N9)</f>
        <v>15790656.789999999</v>
      </c>
      <c r="P9" s="319">
        <v>12126806</v>
      </c>
      <c r="Q9" s="320">
        <f>-P9+O9</f>
        <v>3663850.7899999991</v>
      </c>
    </row>
    <row r="10" spans="1:17" ht="30" hidden="1" customHeight="1" x14ac:dyDescent="0.2">
      <c r="A10" s="321" t="s">
        <v>142</v>
      </c>
      <c r="B10" s="322"/>
      <c r="C10" s="323">
        <f>C9/$O$9</f>
        <v>8.59178689045524E-2</v>
      </c>
      <c r="D10" s="324">
        <f t="shared" ref="D10:N10" si="2">D9/$O$9</f>
        <v>7.8540062423837917E-2</v>
      </c>
      <c r="E10" s="324">
        <f t="shared" si="2"/>
        <v>8.9154765930417018E-2</v>
      </c>
      <c r="F10" s="324">
        <f t="shared" si="2"/>
        <v>9.7537925146684162E-2</v>
      </c>
      <c r="G10" s="324">
        <f t="shared" si="2"/>
        <v>8.6205943685766104E-2</v>
      </c>
      <c r="H10" s="324">
        <f t="shared" si="2"/>
        <v>8.2985042827974739E-2</v>
      </c>
      <c r="I10" s="324">
        <f t="shared" si="2"/>
        <v>7.843122844543822E-2</v>
      </c>
      <c r="J10" s="324">
        <f t="shared" si="2"/>
        <v>8.3007625802498361E-2</v>
      </c>
      <c r="K10" s="324">
        <f t="shared" si="2"/>
        <v>8.9626721600096285E-2</v>
      </c>
      <c r="L10" s="324">
        <f t="shared" si="2"/>
        <v>8.3691760106958807E-2</v>
      </c>
      <c r="M10" s="324">
        <f t="shared" si="2"/>
        <v>7.0463271084748855E-2</v>
      </c>
      <c r="N10" s="325">
        <f t="shared" si="2"/>
        <v>7.4437784041027216E-2</v>
      </c>
      <c r="O10" s="302"/>
      <c r="P10" s="326"/>
      <c r="Q10" s="327"/>
    </row>
    <row r="11" spans="1:17" ht="30" customHeight="1" thickBot="1" x14ac:dyDescent="0.25">
      <c r="A11" s="264" t="s">
        <v>68</v>
      </c>
      <c r="B11" s="286"/>
      <c r="C11" s="328">
        <f>C10*$P$9</f>
        <v>1041909.3281389395</v>
      </c>
      <c r="D11" s="329">
        <f>D10*$P$9</f>
        <v>952440.10024177225</v>
      </c>
      <c r="E11" s="329">
        <f>E10*$P$9</f>
        <v>1081162.5504135767</v>
      </c>
      <c r="F11" s="329">
        <f>F10*$P$9</f>
        <v>1182823.4958963604</v>
      </c>
      <c r="G11" s="329">
        <f>G10*$P$9</f>
        <v>1045402.7551242105</v>
      </c>
      <c r="H11" s="329">
        <f>H10*$P$9</f>
        <v>1006343.515276541</v>
      </c>
      <c r="I11" s="329">
        <f>I10*$P$9</f>
        <v>951120.29169951088</v>
      </c>
      <c r="J11" s="329">
        <f>J10*$P$9</f>
        <v>1006617.3746274919</v>
      </c>
      <c r="K11" s="329">
        <f>K10*$P$9</f>
        <v>1086885.8652603773</v>
      </c>
      <c r="L11" s="329">
        <f>L10*$P$9</f>
        <v>1014913.7386156287</v>
      </c>
      <c r="M11" s="329">
        <f>M10*$P$9</f>
        <v>854494.41857015889</v>
      </c>
      <c r="N11" s="330">
        <f>N10*$P$9</f>
        <v>902692.56613543304</v>
      </c>
      <c r="O11" s="303"/>
      <c r="P11" s="331"/>
      <c r="Q11" s="332"/>
    </row>
    <row r="12" spans="1:17" ht="12" customHeight="1" thickBot="1" x14ac:dyDescent="0.25">
      <c r="A12" s="268"/>
      <c r="B12" s="267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262"/>
      <c r="P12" s="269"/>
      <c r="Q12" s="263"/>
    </row>
    <row r="13" spans="1:17" ht="29.25" customHeight="1" x14ac:dyDescent="0.2">
      <c r="A13" s="314" t="s">
        <v>15</v>
      </c>
      <c r="B13" s="315" t="s">
        <v>95</v>
      </c>
      <c r="C13" s="316">
        <f>SUMIF($B$36:$B$79,"Comercial",C$36:C$79)</f>
        <v>233101.76</v>
      </c>
      <c r="D13" s="317">
        <f>SUMIF($B$36:$B$79,"Comercial",D$36:D$79)</f>
        <v>204582.91</v>
      </c>
      <c r="E13" s="317">
        <f>SUMIF($B$36:$B$79,"Comercial",E$36:E$79)</f>
        <v>290470.39</v>
      </c>
      <c r="F13" s="317">
        <f>SUMIF($B$36:$B$79,"Comercial",F$36:F$79)</f>
        <v>190191.40999999997</v>
      </c>
      <c r="G13" s="317">
        <f>SUMIF($B$36:$B$79,"Comercial",G$36:G$79)</f>
        <v>254980.28</v>
      </c>
      <c r="H13" s="317">
        <f>SUMIF($B$36:$B$79,"Comercial",H$36:H$79)</f>
        <v>300722.24</v>
      </c>
      <c r="I13" s="317">
        <f>SUMIF($B$36:$B$79,"Comercial",I$36:I$79)</f>
        <v>313562.39</v>
      </c>
      <c r="J13" s="317">
        <f>SUMIF($B$36:$B$79,"Comercial",J$36:J$79)</f>
        <v>336558.01</v>
      </c>
      <c r="K13" s="317">
        <f>SUMIF($B$36:$B$79,"Comercial",K$36:K$79)</f>
        <v>289860.56</v>
      </c>
      <c r="L13" s="317">
        <f>SUMIF($B$36:$B$79,"Comercial",L$36:L$79)</f>
        <v>297128.33999999997</v>
      </c>
      <c r="M13" s="317">
        <f>SUMIF($B$36:$B$79,"Comercial",M$36:M$79)</f>
        <v>339532.41000000003</v>
      </c>
      <c r="N13" s="318">
        <f>SUMIF($B$36:$B$79,"Comercial",N$36:N$79)</f>
        <v>389608.72</v>
      </c>
      <c r="O13" s="301">
        <f>SUM(C13:N13)</f>
        <v>3440299.42</v>
      </c>
      <c r="P13" s="319">
        <f>4280774+29800</f>
        <v>4310574</v>
      </c>
      <c r="Q13" s="320">
        <f>-P13+O13</f>
        <v>-870274.58000000007</v>
      </c>
    </row>
    <row r="14" spans="1:17" ht="29.25" hidden="1" customHeight="1" x14ac:dyDescent="0.2">
      <c r="A14" s="321" t="s">
        <v>142</v>
      </c>
      <c r="B14" s="322"/>
      <c r="C14" s="323">
        <f>C13/$O$13</f>
        <v>6.7756241984309615E-2</v>
      </c>
      <c r="D14" s="324">
        <f t="shared" ref="D14:N14" si="3">D13/$O$13</f>
        <v>5.9466600148425454E-2</v>
      </c>
      <c r="E14" s="324">
        <f t="shared" si="3"/>
        <v>8.4431717864836317E-2</v>
      </c>
      <c r="F14" s="324">
        <f t="shared" si="3"/>
        <v>5.5283388676675121E-2</v>
      </c>
      <c r="G14" s="324">
        <f t="shared" si="3"/>
        <v>7.4115723334336983E-2</v>
      </c>
      <c r="H14" s="324">
        <f t="shared" si="3"/>
        <v>8.7411647443175158E-2</v>
      </c>
      <c r="I14" s="324">
        <f t="shared" si="3"/>
        <v>9.1143924327377307E-2</v>
      </c>
      <c r="J14" s="324">
        <f t="shared" si="3"/>
        <v>9.7828115786503259E-2</v>
      </c>
      <c r="K14" s="324">
        <f t="shared" si="3"/>
        <v>8.4254457130943566E-2</v>
      </c>
      <c r="L14" s="324">
        <f t="shared" si="3"/>
        <v>8.636699999792459E-2</v>
      </c>
      <c r="M14" s="324">
        <f t="shared" si="3"/>
        <v>9.8692691696003615E-2</v>
      </c>
      <c r="N14" s="325">
        <f t="shared" si="3"/>
        <v>0.11324849160948904</v>
      </c>
      <c r="O14" s="302"/>
      <c r="P14" s="326"/>
      <c r="Q14" s="327"/>
    </row>
    <row r="15" spans="1:17" ht="29.25" customHeight="1" thickBot="1" x14ac:dyDescent="0.25">
      <c r="A15" s="264" t="s">
        <v>67</v>
      </c>
      <c r="B15" s="286"/>
      <c r="C15" s="328">
        <f>C14*$P$13</f>
        <v>292068.29503527342</v>
      </c>
      <c r="D15" s="329">
        <f t="shared" ref="D15:N15" si="4">D14*$P$13</f>
        <v>256335.1804681989</v>
      </c>
      <c r="E15" s="329">
        <f t="shared" si="4"/>
        <v>363949.16780349892</v>
      </c>
      <c r="F15" s="329">
        <f t="shared" si="4"/>
        <v>238303.1378615702</v>
      </c>
      <c r="G15" s="329">
        <f t="shared" si="4"/>
        <v>319481.30999618629</v>
      </c>
      <c r="H15" s="329">
        <f t="shared" si="4"/>
        <v>376794.37476571731</v>
      </c>
      <c r="I15" s="329">
        <f t="shared" si="4"/>
        <v>392882.63046356011</v>
      </c>
      <c r="J15" s="329">
        <f t="shared" si="4"/>
        <v>421695.33237829048</v>
      </c>
      <c r="K15" s="329">
        <f t="shared" si="4"/>
        <v>363185.07229275996</v>
      </c>
      <c r="L15" s="329">
        <f t="shared" si="4"/>
        <v>372291.34464905382</v>
      </c>
      <c r="M15" s="329">
        <f t="shared" si="4"/>
        <v>425422.15081480908</v>
      </c>
      <c r="N15" s="330">
        <f t="shared" si="4"/>
        <v>488166.00347108161</v>
      </c>
      <c r="O15" s="303"/>
      <c r="P15" s="331"/>
      <c r="Q15" s="332"/>
    </row>
    <row r="16" spans="1:17" ht="12" customHeight="1" thickBot="1" x14ac:dyDescent="0.25">
      <c r="A16" s="266"/>
      <c r="B16" s="267"/>
      <c r="C16" s="270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2"/>
      <c r="P16" s="269"/>
      <c r="Q16" s="263"/>
    </row>
    <row r="17" spans="1:17" ht="30" customHeight="1" x14ac:dyDescent="0.2">
      <c r="A17" s="314" t="s">
        <v>16</v>
      </c>
      <c r="B17" s="315" t="s">
        <v>95</v>
      </c>
      <c r="C17" s="316">
        <f>SUMIF($B$36:$B$79,"Outras",C$36:C$79)</f>
        <v>355550.65</v>
      </c>
      <c r="D17" s="317">
        <f>SUMIF($B$36:$B$79,"Outras",D$36:D$79)</f>
        <v>161475.82</v>
      </c>
      <c r="E17" s="317">
        <f>SUMIF($B$36:$B$79,"Outras",E$36:E$79)</f>
        <v>380165.32</v>
      </c>
      <c r="F17" s="317">
        <f>SUMIF($B$36:$B$79,"Outras",F$36:F$79)</f>
        <v>173973.78</v>
      </c>
      <c r="G17" s="317">
        <f>SUMIF($B$36:$B$79,"Outras",G$36:G$79)</f>
        <v>64494.630000000005</v>
      </c>
      <c r="H17" s="317">
        <f>SUMIF($B$36:$B$79,"Outras",H$36:H$79)</f>
        <v>114632.42</v>
      </c>
      <c r="I17" s="317">
        <f>SUMIF($B$36:$B$79,"Outras",I$36:I$79)</f>
        <v>223340.5</v>
      </c>
      <c r="J17" s="317">
        <f>SUMIF($B$36:$B$79,"Outras",J$36:J$79)</f>
        <v>276861.01999999996</v>
      </c>
      <c r="K17" s="317">
        <f>SUMIF($B$36:$B$79,"Outras",K$36:K$79)</f>
        <v>1427159.76</v>
      </c>
      <c r="L17" s="317">
        <f>SUMIF($B$36:$B$79,"Outras",L$36:L$79)</f>
        <v>166237.15999999997</v>
      </c>
      <c r="M17" s="317">
        <f>SUMIF($B$36:$B$79,"Outras",M$36:M$79)</f>
        <v>247214.92</v>
      </c>
      <c r="N17" s="318">
        <f>SUMIF($B$36:$B$79,"Outras",N$36:N$79)</f>
        <v>132560.97</v>
      </c>
      <c r="O17" s="301">
        <f>SUM(C17:N17)</f>
        <v>3723666.9500000007</v>
      </c>
      <c r="P17" s="319">
        <f>2652+310145+474578</f>
        <v>787375</v>
      </c>
      <c r="Q17" s="320">
        <f>-P17+O17</f>
        <v>2936291.9500000007</v>
      </c>
    </row>
    <row r="18" spans="1:17" ht="30" hidden="1" customHeight="1" x14ac:dyDescent="0.2">
      <c r="A18" s="321" t="s">
        <v>142</v>
      </c>
      <c r="B18" s="322"/>
      <c r="C18" s="323">
        <f>C17/$O$17</f>
        <v>9.5484009384888727E-2</v>
      </c>
      <c r="D18" s="324">
        <f t="shared" ref="D18:N18" si="5">D17/$O$17</f>
        <v>4.3364732176168437E-2</v>
      </c>
      <c r="E18" s="324">
        <f t="shared" si="5"/>
        <v>0.10209434009666196</v>
      </c>
      <c r="F18" s="324">
        <f t="shared" si="5"/>
        <v>4.6721090348856242E-2</v>
      </c>
      <c r="G18" s="324">
        <f t="shared" si="5"/>
        <v>1.7320192935085129E-2</v>
      </c>
      <c r="H18" s="324">
        <f t="shared" si="5"/>
        <v>3.078482086052298E-2</v>
      </c>
      <c r="I18" s="324">
        <f t="shared" si="5"/>
        <v>5.9978645512322189E-2</v>
      </c>
      <c r="J18" s="324">
        <f t="shared" si="5"/>
        <v>7.4351713973775213E-2</v>
      </c>
      <c r="K18" s="324">
        <f t="shared" si="5"/>
        <v>0.38326729515914409</v>
      </c>
      <c r="L18" s="324">
        <f t="shared" si="5"/>
        <v>4.4643401848814636E-2</v>
      </c>
      <c r="M18" s="324">
        <f t="shared" si="5"/>
        <v>6.6390180249605829E-2</v>
      </c>
      <c r="N18" s="325">
        <f t="shared" si="5"/>
        <v>3.559957745415443E-2</v>
      </c>
      <c r="O18" s="302"/>
      <c r="P18" s="326"/>
      <c r="Q18" s="327"/>
    </row>
    <row r="19" spans="1:17" ht="30" customHeight="1" thickBot="1" x14ac:dyDescent="0.25">
      <c r="A19" s="264" t="s">
        <v>69</v>
      </c>
      <c r="B19" s="286"/>
      <c r="C19" s="328">
        <f>C18*$P$17</f>
        <v>75181.721889426757</v>
      </c>
      <c r="D19" s="329">
        <f t="shared" ref="D19:N19" si="6">D18*$P$17</f>
        <v>34144.30599721062</v>
      </c>
      <c r="E19" s="329">
        <f t="shared" si="6"/>
        <v>80386.531033609208</v>
      </c>
      <c r="F19" s="329">
        <f t="shared" si="6"/>
        <v>36787.018513430681</v>
      </c>
      <c r="G19" s="329">
        <f t="shared" si="6"/>
        <v>13637.486912262653</v>
      </c>
      <c r="H19" s="329">
        <f t="shared" si="6"/>
        <v>24239.19832505428</v>
      </c>
      <c r="I19" s="329">
        <f t="shared" si="6"/>
        <v>47225.686010264682</v>
      </c>
      <c r="J19" s="329">
        <f t="shared" si="6"/>
        <v>58542.680790101258</v>
      </c>
      <c r="K19" s="329">
        <f t="shared" si="6"/>
        <v>301775.08652593108</v>
      </c>
      <c r="L19" s="329">
        <f t="shared" si="6"/>
        <v>35151.098530710427</v>
      </c>
      <c r="M19" s="329">
        <f t="shared" si="6"/>
        <v>52273.968174033391</v>
      </c>
      <c r="N19" s="330">
        <f t="shared" si="6"/>
        <v>28030.217297964846</v>
      </c>
      <c r="O19" s="303"/>
      <c r="P19" s="331"/>
      <c r="Q19" s="332"/>
    </row>
    <row r="20" spans="1:17" ht="12" customHeight="1" thickBot="1" x14ac:dyDescent="0.25">
      <c r="A20" s="176"/>
      <c r="B20" s="177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34"/>
      <c r="Q20" s="35"/>
    </row>
    <row r="21" spans="1:17" ht="26.25" customHeight="1" thickBot="1" x14ac:dyDescent="0.25">
      <c r="A21" s="333" t="s">
        <v>70</v>
      </c>
      <c r="B21" s="334"/>
      <c r="C21" s="335">
        <f t="shared" ref="C21:N21" si="7">SUM(C5,C9,C13,C17)</f>
        <v>11881372.140000001</v>
      </c>
      <c r="D21" s="336">
        <f t="shared" si="7"/>
        <v>10366115.98</v>
      </c>
      <c r="E21" s="336">
        <f t="shared" si="7"/>
        <v>13222652.430000002</v>
      </c>
      <c r="F21" s="336">
        <f t="shared" si="7"/>
        <v>11127665.66</v>
      </c>
      <c r="G21" s="336">
        <f>SUM(G5,G9,G13,G17)</f>
        <v>14435927.390000001</v>
      </c>
      <c r="H21" s="336">
        <f t="shared" si="7"/>
        <v>12333840.390000001</v>
      </c>
      <c r="I21" s="336">
        <f t="shared" si="7"/>
        <v>12164324.550000001</v>
      </c>
      <c r="J21" s="336">
        <f t="shared" si="7"/>
        <v>14591324.659999998</v>
      </c>
      <c r="K21" s="336">
        <f t="shared" si="7"/>
        <v>13285455.620000001</v>
      </c>
      <c r="L21" s="336">
        <f t="shared" si="7"/>
        <v>11498225.959999999</v>
      </c>
      <c r="M21" s="336">
        <f t="shared" si="7"/>
        <v>12221544.91</v>
      </c>
      <c r="N21" s="337">
        <f t="shared" si="7"/>
        <v>13042794.530000001</v>
      </c>
      <c r="O21" s="287">
        <f>O5+O9+O13+O17</f>
        <v>150171244.21999997</v>
      </c>
      <c r="P21" s="338">
        <f>P5+P9+P13+P17</f>
        <v>161385889</v>
      </c>
      <c r="Q21" s="339">
        <f>-P21+O21</f>
        <v>-11214644.780000031</v>
      </c>
    </row>
    <row r="22" spans="1:17" ht="26.25" customHeight="1" thickBot="1" x14ac:dyDescent="0.25">
      <c r="A22" s="340" t="s">
        <v>84</v>
      </c>
      <c r="B22" s="341"/>
      <c r="C22" s="288">
        <f>C21</f>
        <v>11881372.140000001</v>
      </c>
      <c r="D22" s="278">
        <f t="shared" ref="D22:L22" si="8">C22+D21</f>
        <v>22247488.120000001</v>
      </c>
      <c r="E22" s="279">
        <f t="shared" si="8"/>
        <v>35470140.550000004</v>
      </c>
      <c r="F22" s="279">
        <f t="shared" si="8"/>
        <v>46597806.210000008</v>
      </c>
      <c r="G22" s="279">
        <f t="shared" si="8"/>
        <v>61033733.600000009</v>
      </c>
      <c r="H22" s="279">
        <f>G22+H21</f>
        <v>73367573.99000001</v>
      </c>
      <c r="I22" s="279">
        <f t="shared" si="8"/>
        <v>85531898.540000007</v>
      </c>
      <c r="J22" s="279">
        <f t="shared" si="8"/>
        <v>100123223.2</v>
      </c>
      <c r="K22" s="279">
        <f t="shared" si="8"/>
        <v>113408678.82000001</v>
      </c>
      <c r="L22" s="279">
        <f t="shared" si="8"/>
        <v>124906904.78</v>
      </c>
      <c r="M22" s="279">
        <f>L22+M21</f>
        <v>137128449.69</v>
      </c>
      <c r="N22" s="289">
        <f>M22+N21</f>
        <v>150171244.22</v>
      </c>
      <c r="O22" s="42"/>
      <c r="P22" s="42"/>
    </row>
    <row r="23" spans="1:17" ht="9" hidden="1" customHeight="1" thickBot="1" x14ac:dyDescent="0.25">
      <c r="A23" s="178"/>
      <c r="B23" s="178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179"/>
      <c r="P23" s="180"/>
      <c r="Q23" s="179"/>
    </row>
    <row r="24" spans="1:17" ht="18" hidden="1" customHeight="1" thickBot="1" x14ac:dyDescent="0.25">
      <c r="A24" s="233" t="s">
        <v>17</v>
      </c>
      <c r="B24" s="234"/>
      <c r="C24" s="46">
        <f t="shared" ref="C24:N24" si="9">C80</f>
        <v>0</v>
      </c>
      <c r="D24" s="47">
        <f t="shared" si="9"/>
        <v>0</v>
      </c>
      <c r="E24" s="47">
        <f t="shared" si="9"/>
        <v>0</v>
      </c>
      <c r="F24" s="47">
        <f>F80</f>
        <v>0</v>
      </c>
      <c r="G24" s="47">
        <f t="shared" si="9"/>
        <v>0</v>
      </c>
      <c r="H24" s="47">
        <f t="shared" si="9"/>
        <v>0</v>
      </c>
      <c r="I24" s="47">
        <f t="shared" si="9"/>
        <v>0</v>
      </c>
      <c r="J24" s="47">
        <f t="shared" si="9"/>
        <v>0</v>
      </c>
      <c r="K24" s="47">
        <f t="shared" si="9"/>
        <v>0</v>
      </c>
      <c r="L24" s="47">
        <f t="shared" si="9"/>
        <v>0</v>
      </c>
      <c r="M24" s="47">
        <f t="shared" si="9"/>
        <v>0</v>
      </c>
      <c r="N24" s="47">
        <f t="shared" si="9"/>
        <v>0</v>
      </c>
      <c r="O24" s="48">
        <f>SUM(C24:N24)</f>
        <v>0</v>
      </c>
      <c r="P24" s="180"/>
      <c r="Q24" s="180"/>
    </row>
    <row r="25" spans="1:17" ht="8.25" hidden="1" customHeight="1" thickBot="1" x14ac:dyDescent="0.25">
      <c r="A25" s="181"/>
      <c r="B25" s="181"/>
      <c r="C25" s="86">
        <f>C21</f>
        <v>11881372.140000001</v>
      </c>
      <c r="D25" s="86">
        <f>D21+C25</f>
        <v>22247488.120000001</v>
      </c>
      <c r="E25" s="86">
        <f t="shared" ref="E25:N25" si="10">E21+D25</f>
        <v>35470140.550000004</v>
      </c>
      <c r="F25" s="86">
        <f t="shared" si="10"/>
        <v>46597806.210000008</v>
      </c>
      <c r="G25" s="86">
        <f t="shared" si="10"/>
        <v>61033733.600000009</v>
      </c>
      <c r="H25" s="86">
        <f t="shared" si="10"/>
        <v>73367573.99000001</v>
      </c>
      <c r="I25" s="86">
        <f t="shared" si="10"/>
        <v>85531898.540000007</v>
      </c>
      <c r="J25" s="86">
        <f t="shared" si="10"/>
        <v>100123223.2</v>
      </c>
      <c r="K25" s="86">
        <f t="shared" si="10"/>
        <v>113408678.82000001</v>
      </c>
      <c r="L25" s="86">
        <f t="shared" si="10"/>
        <v>124906904.78</v>
      </c>
      <c r="M25" s="86">
        <f t="shared" si="10"/>
        <v>137128449.69</v>
      </c>
      <c r="N25" s="86">
        <f t="shared" si="10"/>
        <v>150171244.22</v>
      </c>
      <c r="O25" s="50"/>
      <c r="P25" s="180"/>
      <c r="Q25" s="179"/>
    </row>
    <row r="26" spans="1:17" ht="12" hidden="1" customHeight="1" thickBot="1" x14ac:dyDescent="0.25">
      <c r="A26" s="233" t="s">
        <v>61</v>
      </c>
      <c r="B26" s="234"/>
      <c r="C26" s="46">
        <f>C21-C24</f>
        <v>11881372.140000001</v>
      </c>
      <c r="D26" s="47">
        <f>D21-D24</f>
        <v>10366115.98</v>
      </c>
      <c r="E26" s="47">
        <f t="shared" ref="E26:N26" si="11">E21-E24</f>
        <v>13222652.430000002</v>
      </c>
      <c r="F26" s="47">
        <f t="shared" si="11"/>
        <v>11127665.66</v>
      </c>
      <c r="G26" s="47">
        <f t="shared" si="11"/>
        <v>14435927.390000001</v>
      </c>
      <c r="H26" s="47">
        <f t="shared" si="11"/>
        <v>12333840.390000001</v>
      </c>
      <c r="I26" s="47">
        <f t="shared" si="11"/>
        <v>12164324.550000001</v>
      </c>
      <c r="J26" s="47">
        <f t="shared" si="11"/>
        <v>14591324.659999998</v>
      </c>
      <c r="K26" s="47">
        <f t="shared" si="11"/>
        <v>13285455.620000001</v>
      </c>
      <c r="L26" s="47">
        <f t="shared" si="11"/>
        <v>11498225.959999999</v>
      </c>
      <c r="M26" s="47">
        <f t="shared" si="11"/>
        <v>12221544.91</v>
      </c>
      <c r="N26" s="47">
        <f t="shared" si="11"/>
        <v>13042794.530000001</v>
      </c>
      <c r="O26" s="51">
        <f>SUM(C26:N26)</f>
        <v>150171244.22</v>
      </c>
      <c r="P26" s="51">
        <f>P21-P24</f>
        <v>161385889</v>
      </c>
      <c r="Q26" s="52">
        <f>P26-O26</f>
        <v>11214644.780000001</v>
      </c>
    </row>
    <row r="27" spans="1:17" ht="12" hidden="1" customHeight="1" thickBot="1" x14ac:dyDescent="0.25">
      <c r="A27" s="182"/>
      <c r="B27" s="183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4"/>
      <c r="P27" s="184"/>
      <c r="Q27" s="184"/>
    </row>
    <row r="28" spans="1:17" ht="12.75" hidden="1" customHeight="1" thickBot="1" x14ac:dyDescent="0.25">
      <c r="A28" s="233" t="s">
        <v>85</v>
      </c>
      <c r="B28" s="234"/>
      <c r="C28" s="87">
        <f>C26</f>
        <v>11881372.140000001</v>
      </c>
      <c r="D28" s="87">
        <f t="shared" ref="D28:N28" si="12">D26+C28</f>
        <v>22247488.120000001</v>
      </c>
      <c r="E28" s="87">
        <f t="shared" si="12"/>
        <v>35470140.550000004</v>
      </c>
      <c r="F28" s="87">
        <f t="shared" si="12"/>
        <v>46597806.210000008</v>
      </c>
      <c r="G28" s="87">
        <f t="shared" si="12"/>
        <v>61033733.600000009</v>
      </c>
      <c r="H28" s="87">
        <f t="shared" si="12"/>
        <v>73367573.99000001</v>
      </c>
      <c r="I28" s="87">
        <f t="shared" si="12"/>
        <v>85531898.540000007</v>
      </c>
      <c r="J28" s="87">
        <f t="shared" si="12"/>
        <v>100123223.2</v>
      </c>
      <c r="K28" s="87">
        <f t="shared" si="12"/>
        <v>113408678.82000001</v>
      </c>
      <c r="L28" s="87">
        <f t="shared" si="12"/>
        <v>124906904.78</v>
      </c>
      <c r="M28" s="87">
        <f t="shared" si="12"/>
        <v>137128449.69</v>
      </c>
      <c r="N28" s="88">
        <f t="shared" si="12"/>
        <v>150171244.22</v>
      </c>
      <c r="O28" s="56"/>
      <c r="P28" s="184"/>
      <c r="Q28" s="175"/>
    </row>
    <row r="29" spans="1:17" ht="8.25" hidden="1" customHeight="1" thickBot="1" x14ac:dyDescent="0.25">
      <c r="A29" s="185"/>
      <c r="B29" s="186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59"/>
      <c r="P29" s="184"/>
      <c r="Q29" s="175"/>
    </row>
    <row r="30" spans="1:17" ht="15" hidden="1" customHeight="1" thickBot="1" x14ac:dyDescent="0.25">
      <c r="A30" s="187" t="s">
        <v>18</v>
      </c>
      <c r="B30" s="188"/>
      <c r="C30" s="62">
        <f t="shared" ref="C30:N30" si="13">C5-C24</f>
        <v>9936020.1500000004</v>
      </c>
      <c r="D30" s="63">
        <f t="shared" si="13"/>
        <v>8759858.0800000001</v>
      </c>
      <c r="E30" s="63">
        <f t="shared" si="13"/>
        <v>11144204.41</v>
      </c>
      <c r="F30" s="63">
        <f t="shared" si="13"/>
        <v>9223312.5700000003</v>
      </c>
      <c r="G30" s="63">
        <f t="shared" si="13"/>
        <v>12755204.01</v>
      </c>
      <c r="H30" s="63">
        <f t="shared" si="13"/>
        <v>10608097.4</v>
      </c>
      <c r="I30" s="63">
        <f t="shared" si="13"/>
        <v>10388941.050000001</v>
      </c>
      <c r="J30" s="63">
        <f t="shared" si="13"/>
        <v>12667160.699999999</v>
      </c>
      <c r="K30" s="63">
        <f t="shared" si="13"/>
        <v>10153170.5</v>
      </c>
      <c r="L30" s="63">
        <f t="shared" si="13"/>
        <v>9713312.5999999996</v>
      </c>
      <c r="M30" s="63">
        <f t="shared" si="13"/>
        <v>10522136.25</v>
      </c>
      <c r="N30" s="63">
        <f t="shared" si="13"/>
        <v>11345203.34</v>
      </c>
      <c r="O30" s="51">
        <f>SUM(C30:N30)</f>
        <v>127216621.06</v>
      </c>
      <c r="P30" s="51">
        <f>P5</f>
        <v>144161134</v>
      </c>
      <c r="Q30" s="141">
        <f>P30-O30</f>
        <v>16944512.939999998</v>
      </c>
    </row>
    <row r="31" spans="1:17" ht="14.25" hidden="1" customHeight="1" thickBot="1" x14ac:dyDescent="0.25">
      <c r="A31" s="189"/>
      <c r="B31" s="190"/>
      <c r="C31" s="180"/>
      <c r="D31" s="180"/>
      <c r="E31" s="180"/>
      <c r="F31" s="66"/>
      <c r="G31" s="66"/>
      <c r="H31" s="66"/>
      <c r="I31" s="66"/>
      <c r="J31" s="66"/>
      <c r="K31" s="66"/>
      <c r="L31" s="66"/>
      <c r="M31" s="66"/>
      <c r="N31" s="180"/>
      <c r="O31" s="184"/>
      <c r="P31" s="184"/>
      <c r="Q31" s="180"/>
    </row>
    <row r="32" spans="1:17" ht="23.25" hidden="1" customHeight="1" thickBot="1" x14ac:dyDescent="0.25">
      <c r="A32" s="235" t="s">
        <v>102</v>
      </c>
      <c r="B32" s="236"/>
      <c r="C32" s="119">
        <f t="shared" ref="C32:N32" si="14">SUM(C7,C11,C15,C19)</f>
        <v>12668599.505758395</v>
      </c>
      <c r="D32" s="68">
        <f t="shared" si="14"/>
        <v>11169539.740344699</v>
      </c>
      <c r="E32" s="68">
        <f t="shared" si="14"/>
        <v>14154045.776194416</v>
      </c>
      <c r="F32" s="68">
        <f t="shared" si="14"/>
        <v>11909717.734542545</v>
      </c>
      <c r="G32" s="68">
        <f t="shared" si="14"/>
        <v>15832644.442277482</v>
      </c>
      <c r="H32" s="68">
        <f t="shared" si="14"/>
        <v>13428411.274184821</v>
      </c>
      <c r="I32" s="68">
        <f t="shared" si="14"/>
        <v>13163916.094667647</v>
      </c>
      <c r="J32" s="68">
        <f t="shared" si="14"/>
        <v>15841208.111965256</v>
      </c>
      <c r="K32" s="68">
        <f t="shared" si="14"/>
        <v>13257359.696581157</v>
      </c>
      <c r="L32" s="68">
        <f t="shared" si="14"/>
        <v>12429425.444011247</v>
      </c>
      <c r="M32" s="69">
        <f t="shared" si="14"/>
        <v>13255814.048885325</v>
      </c>
      <c r="N32" s="67">
        <f t="shared" si="14"/>
        <v>14275207.130587013</v>
      </c>
      <c r="O32" s="120">
        <f>SUM(C32:N32)-1</f>
        <v>161385887.99999997</v>
      </c>
      <c r="P32" s="184"/>
      <c r="Q32" s="184"/>
    </row>
    <row r="33" spans="1:24" ht="14.25" hidden="1" customHeight="1" thickBot="1" x14ac:dyDescent="0.25">
      <c r="A33" s="189"/>
      <c r="B33" s="19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70"/>
      <c r="P33" s="184"/>
      <c r="Q33" s="184"/>
    </row>
    <row r="34" spans="1:24" ht="21" hidden="1" customHeight="1" thickBot="1" x14ac:dyDescent="0.25">
      <c r="A34" s="237" t="s">
        <v>88</v>
      </c>
      <c r="B34" s="238"/>
      <c r="C34" s="71" t="s">
        <v>20</v>
      </c>
      <c r="D34" s="72" t="s">
        <v>21</v>
      </c>
      <c r="E34" s="72" t="s">
        <v>22</v>
      </c>
      <c r="F34" s="72" t="s">
        <v>23</v>
      </c>
      <c r="G34" s="72" t="s">
        <v>24</v>
      </c>
      <c r="H34" s="72" t="s">
        <v>25</v>
      </c>
      <c r="I34" s="72" t="s">
        <v>26</v>
      </c>
      <c r="J34" s="72" t="s">
        <v>27</v>
      </c>
      <c r="K34" s="72" t="s">
        <v>28</v>
      </c>
      <c r="L34" s="72" t="s">
        <v>29</v>
      </c>
      <c r="M34" s="72" t="s">
        <v>30</v>
      </c>
      <c r="N34" s="72" t="s">
        <v>31</v>
      </c>
      <c r="O34" s="73" t="s">
        <v>59</v>
      </c>
      <c r="P34" s="74" t="s">
        <v>12</v>
      </c>
      <c r="Q34" s="75" t="s">
        <v>58</v>
      </c>
    </row>
    <row r="35" spans="1:24" ht="12.75" hidden="1" customHeight="1" thickBot="1" x14ac:dyDescent="0.25">
      <c r="A35" s="239"/>
      <c r="B35" s="240"/>
      <c r="C35" s="76">
        <f t="shared" ref="C35:N35" si="15">SUM(C36:C79)-C80</f>
        <v>11881372.140000001</v>
      </c>
      <c r="D35" s="76">
        <f t="shared" si="15"/>
        <v>10366115.979999999</v>
      </c>
      <c r="E35" s="121">
        <f t="shared" si="15"/>
        <v>13222652.430000002</v>
      </c>
      <c r="F35" s="76">
        <f t="shared" si="15"/>
        <v>11127665.66</v>
      </c>
      <c r="G35" s="76">
        <f t="shared" si="15"/>
        <v>14435927.390000001</v>
      </c>
      <c r="H35" s="76">
        <f t="shared" si="15"/>
        <v>12333840.390000001</v>
      </c>
      <c r="I35" s="76">
        <f t="shared" si="15"/>
        <v>12164324.550000001</v>
      </c>
      <c r="J35" s="76">
        <f t="shared" si="15"/>
        <v>14591324.659999998</v>
      </c>
      <c r="K35" s="76">
        <f t="shared" si="15"/>
        <v>13285455.619999999</v>
      </c>
      <c r="L35" s="76">
        <f t="shared" si="15"/>
        <v>11498225.960000001</v>
      </c>
      <c r="M35" s="76">
        <f t="shared" si="15"/>
        <v>12221544.91</v>
      </c>
      <c r="N35" s="76">
        <f t="shared" si="15"/>
        <v>13042794.530000001</v>
      </c>
      <c r="O35" s="77">
        <f>SUM(C35:N35)</f>
        <v>150171244.22</v>
      </c>
      <c r="P35" s="78">
        <f>SUM(P36:P79)</f>
        <v>0</v>
      </c>
      <c r="Q35" s="79">
        <f>SUM(Q36:Q79)</f>
        <v>0</v>
      </c>
    </row>
    <row r="36" spans="1:24" ht="36" hidden="1" customHeight="1" x14ac:dyDescent="0.2">
      <c r="A36" s="191" t="s">
        <v>104</v>
      </c>
      <c r="B36" s="192" t="s">
        <v>32</v>
      </c>
      <c r="C36" s="144">
        <v>232924.2</v>
      </c>
      <c r="D36" s="144">
        <v>203884.12</v>
      </c>
      <c r="E36" s="144">
        <v>289385.3</v>
      </c>
      <c r="F36" s="144">
        <v>189559.61</v>
      </c>
      <c r="G36" s="144">
        <v>253868.07</v>
      </c>
      <c r="H36" s="145">
        <v>300018.36</v>
      </c>
      <c r="I36" s="144">
        <v>312523.31</v>
      </c>
      <c r="J36" s="144">
        <v>332851.59000000003</v>
      </c>
      <c r="K36" s="144">
        <v>289220.19</v>
      </c>
      <c r="L36" s="144">
        <v>296526.05</v>
      </c>
      <c r="M36" s="144">
        <v>338430.7</v>
      </c>
      <c r="N36" s="144">
        <v>389321.85</v>
      </c>
      <c r="O36" s="146"/>
      <c r="P36" s="147"/>
      <c r="Q36" s="133">
        <f t="shared" ref="Q36:Q66" si="16">P36-O36</f>
        <v>0</v>
      </c>
    </row>
    <row r="37" spans="1:24" ht="36" hidden="1" customHeight="1" x14ac:dyDescent="0.2">
      <c r="A37" s="193" t="s">
        <v>105</v>
      </c>
      <c r="B37" s="194" t="s">
        <v>32</v>
      </c>
      <c r="C37" s="148">
        <v>177.56</v>
      </c>
      <c r="D37" s="148">
        <v>698.79</v>
      </c>
      <c r="E37" s="148">
        <v>1085.0899999999999</v>
      </c>
      <c r="F37" s="148">
        <v>631.79999999999995</v>
      </c>
      <c r="G37" s="148">
        <v>1112.21</v>
      </c>
      <c r="H37" s="149">
        <v>703.88</v>
      </c>
      <c r="I37" s="149">
        <v>1039.08</v>
      </c>
      <c r="J37" s="149">
        <v>3706.42</v>
      </c>
      <c r="K37" s="149">
        <v>640.37</v>
      </c>
      <c r="L37" s="149">
        <v>602.29</v>
      </c>
      <c r="M37" s="149">
        <v>1101.71</v>
      </c>
      <c r="N37" s="149">
        <v>286.87</v>
      </c>
      <c r="O37" s="150"/>
      <c r="P37" s="151"/>
      <c r="Q37" s="137">
        <f t="shared" si="16"/>
        <v>0</v>
      </c>
    </row>
    <row r="38" spans="1:24" ht="36" hidden="1" customHeight="1" x14ac:dyDescent="0.2">
      <c r="A38" s="195" t="s">
        <v>117</v>
      </c>
      <c r="B38" s="196" t="s">
        <v>33</v>
      </c>
      <c r="C38" s="148">
        <v>1356699.58</v>
      </c>
      <c r="D38" s="148">
        <v>1240199.17</v>
      </c>
      <c r="E38" s="152">
        <v>1407812.31</v>
      </c>
      <c r="F38" s="148">
        <v>1540187.9</v>
      </c>
      <c r="G38" s="152">
        <v>1361248.47</v>
      </c>
      <c r="H38" s="149">
        <v>1310388.33</v>
      </c>
      <c r="I38" s="152">
        <v>1238480.6100000001</v>
      </c>
      <c r="J38" s="152">
        <v>1310744.93</v>
      </c>
      <c r="K38" s="152">
        <v>1415264.8</v>
      </c>
      <c r="L38" s="149">
        <v>1321547.8600000001</v>
      </c>
      <c r="M38" s="152">
        <v>1112661.33</v>
      </c>
      <c r="N38" s="152">
        <v>1175421.5</v>
      </c>
      <c r="O38" s="149"/>
      <c r="P38" s="153"/>
      <c r="Q38" s="139">
        <f t="shared" si="16"/>
        <v>0</v>
      </c>
    </row>
    <row r="39" spans="1:24" ht="36" hidden="1" customHeight="1" x14ac:dyDescent="0.2">
      <c r="A39" s="195" t="s">
        <v>106</v>
      </c>
      <c r="B39" s="197" t="s">
        <v>35</v>
      </c>
      <c r="C39" s="152">
        <v>0</v>
      </c>
      <c r="D39" s="152">
        <v>0</v>
      </c>
      <c r="E39" s="152">
        <v>10.199999999999999</v>
      </c>
      <c r="F39" s="152">
        <v>0</v>
      </c>
      <c r="G39" s="152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  <c r="M39" s="149">
        <v>0</v>
      </c>
      <c r="N39" s="149">
        <v>0</v>
      </c>
      <c r="O39" s="150"/>
      <c r="P39" s="153"/>
      <c r="Q39" s="139">
        <f t="shared" si="16"/>
        <v>0</v>
      </c>
    </row>
    <row r="40" spans="1:24" ht="36" hidden="1" customHeight="1" x14ac:dyDescent="0.2">
      <c r="A40" s="195" t="s">
        <v>123</v>
      </c>
      <c r="B40" s="198" t="s">
        <v>34</v>
      </c>
      <c r="C40" s="152">
        <v>0</v>
      </c>
      <c r="D40" s="152">
        <v>0</v>
      </c>
      <c r="E40" s="152">
        <v>0</v>
      </c>
      <c r="F40" s="152">
        <v>0</v>
      </c>
      <c r="G40" s="152">
        <v>0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  <c r="M40" s="149">
        <v>0</v>
      </c>
      <c r="N40" s="149">
        <v>0</v>
      </c>
      <c r="O40" s="149"/>
      <c r="P40" s="153"/>
      <c r="Q40" s="139">
        <f t="shared" si="16"/>
        <v>0</v>
      </c>
    </row>
    <row r="41" spans="1:24" ht="36" hidden="1" customHeight="1" x14ac:dyDescent="0.2">
      <c r="A41" s="195" t="s">
        <v>119</v>
      </c>
      <c r="B41" s="197" t="s">
        <v>35</v>
      </c>
      <c r="C41" s="152">
        <v>9936020.1500000004</v>
      </c>
      <c r="D41" s="152">
        <v>8759858.0800000001</v>
      </c>
      <c r="E41" s="152">
        <v>11144194.210000001</v>
      </c>
      <c r="F41" s="152">
        <v>9223312.5700000003</v>
      </c>
      <c r="G41" s="152">
        <v>12755204.01</v>
      </c>
      <c r="H41" s="149">
        <v>10608097.4</v>
      </c>
      <c r="I41" s="149">
        <v>10388941.050000001</v>
      </c>
      <c r="J41" s="149">
        <v>12667160.699999999</v>
      </c>
      <c r="K41" s="149">
        <v>10153170.5</v>
      </c>
      <c r="L41" s="149">
        <v>9713312.5999999996</v>
      </c>
      <c r="M41" s="149">
        <v>10522136.25</v>
      </c>
      <c r="N41" s="149">
        <v>11345203.34</v>
      </c>
      <c r="O41" s="150"/>
      <c r="P41" s="153"/>
      <c r="Q41" s="139">
        <f t="shared" si="16"/>
        <v>0</v>
      </c>
    </row>
    <row r="42" spans="1:24" ht="36" hidden="1" customHeight="1" x14ac:dyDescent="0.2">
      <c r="A42" s="195" t="s">
        <v>107</v>
      </c>
      <c r="B42" s="198" t="s">
        <v>34</v>
      </c>
      <c r="C42" s="152">
        <v>0</v>
      </c>
      <c r="D42" s="152">
        <v>0</v>
      </c>
      <c r="E42" s="152">
        <v>0</v>
      </c>
      <c r="F42" s="152">
        <v>0</v>
      </c>
      <c r="G42" s="152">
        <v>0</v>
      </c>
      <c r="H42" s="149">
        <v>0</v>
      </c>
      <c r="I42" s="152">
        <v>0</v>
      </c>
      <c r="J42" s="152">
        <v>0</v>
      </c>
      <c r="K42" s="152">
        <v>0</v>
      </c>
      <c r="L42" s="152">
        <v>0</v>
      </c>
      <c r="M42" s="152">
        <v>0</v>
      </c>
      <c r="N42" s="152">
        <v>0</v>
      </c>
      <c r="O42" s="149"/>
      <c r="P42" s="153"/>
      <c r="Q42" s="139">
        <f t="shared" si="16"/>
        <v>0</v>
      </c>
    </row>
    <row r="43" spans="1:24" ht="36" hidden="1" customHeight="1" x14ac:dyDescent="0.2">
      <c r="A43" s="195" t="s">
        <v>121</v>
      </c>
      <c r="B43" s="198" t="s">
        <v>34</v>
      </c>
      <c r="C43" s="152">
        <v>491.14</v>
      </c>
      <c r="D43" s="152">
        <v>0.54</v>
      </c>
      <c r="E43" s="152">
        <v>50911.8</v>
      </c>
      <c r="F43" s="152">
        <v>-40.049999999999997</v>
      </c>
      <c r="G43" s="152">
        <v>97.98</v>
      </c>
      <c r="H43" s="149">
        <v>159.88</v>
      </c>
      <c r="I43" s="149">
        <v>-98.2</v>
      </c>
      <c r="J43" s="149">
        <v>103.16</v>
      </c>
      <c r="K43" s="149">
        <v>21.18</v>
      </c>
      <c r="L43" s="149">
        <v>933.44</v>
      </c>
      <c r="M43" s="149">
        <v>4154.16</v>
      </c>
      <c r="N43" s="149">
        <v>874.75</v>
      </c>
      <c r="O43" s="150"/>
      <c r="P43" s="153"/>
      <c r="Q43" s="139">
        <f t="shared" si="16"/>
        <v>0</v>
      </c>
    </row>
    <row r="44" spans="1:24" ht="36" hidden="1" customHeight="1" x14ac:dyDescent="0.2">
      <c r="A44" s="195" t="s">
        <v>120</v>
      </c>
      <c r="B44" s="198" t="s">
        <v>34</v>
      </c>
      <c r="C44" s="152">
        <v>0</v>
      </c>
      <c r="D44" s="152">
        <v>0</v>
      </c>
      <c r="E44" s="152">
        <v>0</v>
      </c>
      <c r="F44" s="152">
        <v>0</v>
      </c>
      <c r="G44" s="152">
        <v>0</v>
      </c>
      <c r="H44" s="149">
        <v>0</v>
      </c>
      <c r="I44" s="149">
        <v>0</v>
      </c>
      <c r="J44" s="149">
        <v>0</v>
      </c>
      <c r="K44" s="149">
        <v>0</v>
      </c>
      <c r="L44" s="149">
        <v>0</v>
      </c>
      <c r="M44" s="149">
        <v>0</v>
      </c>
      <c r="N44" s="149">
        <v>0</v>
      </c>
      <c r="O44" s="150"/>
      <c r="P44" s="153"/>
      <c r="Q44" s="139">
        <f t="shared" si="16"/>
        <v>0</v>
      </c>
    </row>
    <row r="45" spans="1:24" ht="36" hidden="1" customHeight="1" x14ac:dyDescent="0.2">
      <c r="A45" s="195" t="s">
        <v>108</v>
      </c>
      <c r="B45" s="198" t="s">
        <v>34</v>
      </c>
      <c r="C45" s="152">
        <v>0</v>
      </c>
      <c r="D45" s="152">
        <v>0</v>
      </c>
      <c r="E45" s="152">
        <v>0</v>
      </c>
      <c r="F45" s="152">
        <v>0</v>
      </c>
      <c r="G45" s="152">
        <v>0</v>
      </c>
      <c r="H45" s="149">
        <v>0</v>
      </c>
      <c r="I45" s="149">
        <v>0</v>
      </c>
      <c r="J45" s="149">
        <v>0</v>
      </c>
      <c r="K45" s="149">
        <v>0</v>
      </c>
      <c r="L45" s="149">
        <v>0</v>
      </c>
      <c r="M45" s="149">
        <v>0</v>
      </c>
      <c r="N45" s="149">
        <v>0</v>
      </c>
      <c r="O45" s="150"/>
      <c r="P45" s="153"/>
      <c r="Q45" s="139">
        <f t="shared" si="16"/>
        <v>0</v>
      </c>
    </row>
    <row r="46" spans="1:24" ht="36" hidden="1" customHeight="1" x14ac:dyDescent="0.2">
      <c r="A46" s="195" t="s">
        <v>109</v>
      </c>
      <c r="B46" s="198" t="s">
        <v>34</v>
      </c>
      <c r="C46" s="152">
        <v>0</v>
      </c>
      <c r="D46" s="152">
        <v>0</v>
      </c>
      <c r="E46" s="152">
        <v>0</v>
      </c>
      <c r="F46" s="152">
        <v>0</v>
      </c>
      <c r="G46" s="152">
        <v>0</v>
      </c>
      <c r="H46" s="149">
        <v>0</v>
      </c>
      <c r="I46" s="149">
        <v>0</v>
      </c>
      <c r="J46" s="149">
        <v>0</v>
      </c>
      <c r="K46" s="149">
        <v>0</v>
      </c>
      <c r="L46" s="149">
        <v>0</v>
      </c>
      <c r="M46" s="149">
        <v>0</v>
      </c>
      <c r="N46" s="149">
        <v>0</v>
      </c>
      <c r="O46" s="149"/>
      <c r="P46" s="153"/>
      <c r="Q46" s="139">
        <f t="shared" si="16"/>
        <v>0</v>
      </c>
      <c r="S46" s="199"/>
      <c r="T46" s="199"/>
      <c r="U46" s="199"/>
      <c r="V46" s="199"/>
      <c r="W46" s="199"/>
      <c r="X46" s="199"/>
    </row>
    <row r="47" spans="1:24" ht="36" hidden="1" customHeight="1" x14ac:dyDescent="0.2">
      <c r="A47" s="195" t="s">
        <v>110</v>
      </c>
      <c r="B47" s="198" t="s">
        <v>34</v>
      </c>
      <c r="C47" s="152">
        <v>0</v>
      </c>
      <c r="D47" s="149">
        <v>0</v>
      </c>
      <c r="E47" s="149">
        <v>0</v>
      </c>
      <c r="F47" s="149">
        <v>0</v>
      </c>
      <c r="G47" s="149">
        <v>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  <c r="M47" s="149">
        <v>0</v>
      </c>
      <c r="N47" s="149">
        <v>0</v>
      </c>
      <c r="O47" s="150"/>
      <c r="P47" s="153"/>
      <c r="Q47" s="139">
        <f t="shared" si="16"/>
        <v>0</v>
      </c>
      <c r="S47" s="199"/>
      <c r="T47" s="199"/>
      <c r="U47" s="199"/>
      <c r="V47" s="199"/>
      <c r="W47" s="199"/>
      <c r="X47" s="199"/>
    </row>
    <row r="48" spans="1:24" ht="36" hidden="1" customHeight="1" x14ac:dyDescent="0.2">
      <c r="A48" s="195" t="s">
        <v>111</v>
      </c>
      <c r="B48" s="198" t="s">
        <v>34</v>
      </c>
      <c r="C48" s="152">
        <v>355059.51</v>
      </c>
      <c r="D48" s="152">
        <v>161475.28</v>
      </c>
      <c r="E48" s="152">
        <v>315834.68</v>
      </c>
      <c r="F48" s="152">
        <v>173934.33</v>
      </c>
      <c r="G48" s="152">
        <v>64396.65</v>
      </c>
      <c r="H48" s="149">
        <v>113817.54</v>
      </c>
      <c r="I48" s="149">
        <v>223438.7</v>
      </c>
      <c r="J48" s="149">
        <v>276756.86</v>
      </c>
      <c r="K48" s="149">
        <v>1421895.82</v>
      </c>
      <c r="L48" s="149">
        <v>151493.82999999999</v>
      </c>
      <c r="M48" s="149">
        <v>233990.06</v>
      </c>
      <c r="N48" s="149">
        <v>131686.22</v>
      </c>
      <c r="O48" s="150"/>
      <c r="P48" s="153"/>
      <c r="Q48" s="139"/>
      <c r="S48" s="199"/>
      <c r="T48" s="199"/>
      <c r="U48" s="199"/>
      <c r="V48" s="199"/>
      <c r="W48" s="199"/>
      <c r="X48" s="199"/>
    </row>
    <row r="49" spans="1:24" ht="36" hidden="1" customHeight="1" x14ac:dyDescent="0.2">
      <c r="A49" s="195" t="s">
        <v>112</v>
      </c>
      <c r="B49" s="198" t="s">
        <v>34</v>
      </c>
      <c r="C49" s="152">
        <v>0</v>
      </c>
      <c r="D49" s="152">
        <v>0</v>
      </c>
      <c r="E49" s="152">
        <v>0</v>
      </c>
      <c r="F49" s="152">
        <v>0</v>
      </c>
      <c r="G49" s="152">
        <v>0</v>
      </c>
      <c r="H49" s="152">
        <v>0</v>
      </c>
      <c r="I49" s="154">
        <v>0</v>
      </c>
      <c r="J49" s="152">
        <v>0</v>
      </c>
      <c r="K49" s="152">
        <v>0</v>
      </c>
      <c r="L49" s="152">
        <v>0</v>
      </c>
      <c r="M49" s="152">
        <v>0</v>
      </c>
      <c r="N49" s="152">
        <v>0</v>
      </c>
      <c r="O49" s="152"/>
      <c r="P49" s="152"/>
      <c r="Q49" s="139"/>
      <c r="S49" s="199"/>
      <c r="T49" s="199"/>
      <c r="U49" s="199"/>
      <c r="V49" s="199"/>
      <c r="W49" s="199"/>
      <c r="X49" s="199"/>
    </row>
    <row r="50" spans="1:24" ht="36" hidden="1" customHeight="1" x14ac:dyDescent="0.2">
      <c r="A50" s="195" t="s">
        <v>113</v>
      </c>
      <c r="B50" s="198" t="s">
        <v>34</v>
      </c>
      <c r="C50" s="152">
        <v>0</v>
      </c>
      <c r="D50" s="152">
        <v>0</v>
      </c>
      <c r="E50" s="152">
        <v>0</v>
      </c>
      <c r="F50" s="152">
        <v>0</v>
      </c>
      <c r="G50" s="152">
        <v>0</v>
      </c>
      <c r="H50" s="149">
        <v>0</v>
      </c>
      <c r="I50" s="155">
        <v>0</v>
      </c>
      <c r="J50" s="149">
        <v>0</v>
      </c>
      <c r="K50" s="149">
        <v>0</v>
      </c>
      <c r="L50" s="149">
        <v>0</v>
      </c>
      <c r="M50" s="149">
        <v>0</v>
      </c>
      <c r="N50" s="149">
        <v>0</v>
      </c>
      <c r="O50" s="149"/>
      <c r="P50" s="153"/>
      <c r="Q50" s="139">
        <f t="shared" si="16"/>
        <v>0</v>
      </c>
      <c r="S50" s="199"/>
      <c r="T50" s="199"/>
      <c r="U50" s="199"/>
      <c r="V50" s="199"/>
      <c r="W50" s="199"/>
      <c r="X50" s="199"/>
    </row>
    <row r="51" spans="1:24" ht="36" hidden="1" customHeight="1" x14ac:dyDescent="0.2">
      <c r="A51" s="195" t="s">
        <v>114</v>
      </c>
      <c r="B51" s="198" t="s">
        <v>34</v>
      </c>
      <c r="C51" s="152">
        <v>0</v>
      </c>
      <c r="D51" s="152">
        <v>0</v>
      </c>
      <c r="E51" s="152">
        <v>0</v>
      </c>
      <c r="F51" s="152">
        <v>0</v>
      </c>
      <c r="G51" s="152">
        <v>0</v>
      </c>
      <c r="H51" s="149">
        <v>0</v>
      </c>
      <c r="I51" s="155">
        <v>0</v>
      </c>
      <c r="J51" s="149">
        <v>0</v>
      </c>
      <c r="K51" s="149">
        <v>0</v>
      </c>
      <c r="L51" s="149">
        <v>0</v>
      </c>
      <c r="M51" s="149">
        <v>0</v>
      </c>
      <c r="N51" s="149">
        <v>0</v>
      </c>
      <c r="O51" s="150"/>
      <c r="P51" s="153"/>
      <c r="Q51" s="139">
        <f t="shared" si="16"/>
        <v>0</v>
      </c>
      <c r="S51" s="199"/>
      <c r="T51" s="199"/>
      <c r="U51" s="199"/>
      <c r="V51" s="199"/>
      <c r="W51" s="199"/>
      <c r="X51" s="199"/>
    </row>
    <row r="52" spans="1:24" ht="36" hidden="1" customHeight="1" x14ac:dyDescent="0.2">
      <c r="A52" s="195" t="s">
        <v>115</v>
      </c>
      <c r="B52" s="197" t="s">
        <v>35</v>
      </c>
      <c r="C52" s="152">
        <v>0</v>
      </c>
      <c r="D52" s="152">
        <v>0</v>
      </c>
      <c r="E52" s="152">
        <v>0</v>
      </c>
      <c r="F52" s="152">
        <v>0</v>
      </c>
      <c r="G52" s="152">
        <v>0</v>
      </c>
      <c r="H52" s="149">
        <v>0</v>
      </c>
      <c r="I52" s="154">
        <v>0</v>
      </c>
      <c r="J52" s="152">
        <v>0</v>
      </c>
      <c r="K52" s="152">
        <v>0</v>
      </c>
      <c r="L52" s="149">
        <v>0</v>
      </c>
      <c r="M52" s="152">
        <v>0</v>
      </c>
      <c r="N52" s="152">
        <v>0</v>
      </c>
      <c r="O52" s="156"/>
      <c r="P52" s="153"/>
      <c r="Q52" s="139">
        <f t="shared" si="16"/>
        <v>0</v>
      </c>
      <c r="S52" s="200"/>
      <c r="T52" s="200"/>
      <c r="U52" s="200"/>
      <c r="V52" s="199"/>
      <c r="W52" s="200"/>
      <c r="X52" s="200"/>
    </row>
    <row r="53" spans="1:24" ht="36.75" hidden="1" customHeight="1" x14ac:dyDescent="0.2">
      <c r="A53" s="195" t="s">
        <v>116</v>
      </c>
      <c r="B53" s="198" t="s">
        <v>34</v>
      </c>
      <c r="C53" s="152">
        <v>0</v>
      </c>
      <c r="D53" s="152">
        <v>0</v>
      </c>
      <c r="E53" s="152">
        <v>13418.84</v>
      </c>
      <c r="F53" s="152">
        <v>79.5</v>
      </c>
      <c r="G53" s="152">
        <v>0</v>
      </c>
      <c r="H53" s="149">
        <v>655</v>
      </c>
      <c r="I53" s="154">
        <v>0</v>
      </c>
      <c r="J53" s="152">
        <v>1</v>
      </c>
      <c r="K53" s="152">
        <v>5242.76</v>
      </c>
      <c r="L53" s="149">
        <v>13809.89</v>
      </c>
      <c r="M53" s="152">
        <v>9070.7000000000007</v>
      </c>
      <c r="N53" s="152">
        <v>0</v>
      </c>
      <c r="O53" s="156"/>
      <c r="P53" s="153"/>
      <c r="Q53" s="139"/>
      <c r="S53" s="200"/>
      <c r="T53" s="200"/>
      <c r="U53" s="200"/>
      <c r="V53" s="199"/>
      <c r="W53" s="200"/>
      <c r="X53" s="200"/>
    </row>
    <row r="54" spans="1:24" ht="36.75" hidden="1" customHeight="1" thickBot="1" x14ac:dyDescent="0.25">
      <c r="A54" s="193" t="s">
        <v>124</v>
      </c>
      <c r="B54" s="198" t="s">
        <v>34</v>
      </c>
      <c r="C54" s="152">
        <v>0</v>
      </c>
      <c r="D54" s="152">
        <v>0</v>
      </c>
      <c r="E54" s="152">
        <v>0</v>
      </c>
      <c r="F54" s="152">
        <v>0</v>
      </c>
      <c r="G54" s="152">
        <v>0</v>
      </c>
      <c r="H54" s="149">
        <v>0</v>
      </c>
      <c r="I54" s="154">
        <v>0</v>
      </c>
      <c r="J54" s="152">
        <v>0</v>
      </c>
      <c r="K54" s="152">
        <v>0</v>
      </c>
      <c r="L54" s="149">
        <v>0</v>
      </c>
      <c r="M54" s="152">
        <v>0</v>
      </c>
      <c r="N54" s="152">
        <v>0</v>
      </c>
      <c r="O54" s="156"/>
      <c r="P54" s="153"/>
      <c r="Q54" s="139"/>
      <c r="S54" s="200"/>
      <c r="T54" s="200"/>
      <c r="U54" s="200"/>
      <c r="V54" s="199"/>
      <c r="W54" s="200"/>
      <c r="X54" s="200"/>
    </row>
    <row r="55" spans="1:24" ht="16.5" hidden="1" customHeight="1" thickBot="1" x14ac:dyDescent="0.25">
      <c r="A55" s="195" t="s">
        <v>36</v>
      </c>
      <c r="B55" s="198" t="s">
        <v>34</v>
      </c>
      <c r="C55" s="157"/>
      <c r="D55" s="157"/>
      <c r="E55" s="157"/>
      <c r="F55" s="157"/>
      <c r="G55" s="157"/>
      <c r="H55" s="158"/>
      <c r="I55" s="157"/>
      <c r="J55" s="157"/>
      <c r="K55" s="157"/>
      <c r="L55" s="158"/>
      <c r="M55" s="157"/>
      <c r="N55" s="167"/>
      <c r="O55" s="201">
        <f t="shared" ref="O55:O78" si="17">SUM(C55:N55)</f>
        <v>0</v>
      </c>
      <c r="P55" s="202"/>
      <c r="Q55" s="203">
        <f t="shared" si="16"/>
        <v>0</v>
      </c>
      <c r="S55" s="200"/>
      <c r="T55" s="200"/>
      <c r="U55" s="200"/>
      <c r="V55" s="199"/>
      <c r="W55" s="200"/>
      <c r="X55" s="200"/>
    </row>
    <row r="56" spans="1:24" ht="26.25" hidden="1" customHeight="1" thickBot="1" x14ac:dyDescent="0.25">
      <c r="A56" s="195" t="s">
        <v>63</v>
      </c>
      <c r="B56" s="204" t="s">
        <v>34</v>
      </c>
      <c r="C56" s="157"/>
      <c r="D56" s="157"/>
      <c r="E56" s="157"/>
      <c r="F56" s="157"/>
      <c r="G56" s="157"/>
      <c r="H56" s="158"/>
      <c r="I56" s="157"/>
      <c r="J56" s="157"/>
      <c r="K56" s="157"/>
      <c r="L56" s="158"/>
      <c r="M56" s="157"/>
      <c r="N56" s="167"/>
      <c r="O56" s="201">
        <f>SUM(C56:N56)</f>
        <v>0</v>
      </c>
      <c r="P56" s="202"/>
      <c r="Q56" s="203">
        <f t="shared" si="16"/>
        <v>0</v>
      </c>
      <c r="S56" s="200"/>
      <c r="T56" s="200"/>
      <c r="U56" s="200"/>
      <c r="V56" s="200"/>
      <c r="W56" s="200"/>
      <c r="X56" s="200"/>
    </row>
    <row r="57" spans="1:24" ht="26.25" hidden="1" customHeight="1" thickBot="1" x14ac:dyDescent="0.25">
      <c r="A57" s="195" t="s">
        <v>37</v>
      </c>
      <c r="B57" s="197" t="s">
        <v>35</v>
      </c>
      <c r="C57" s="157"/>
      <c r="D57" s="157"/>
      <c r="E57" s="157"/>
      <c r="F57" s="157"/>
      <c r="G57" s="157"/>
      <c r="H57" s="158"/>
      <c r="I57" s="157"/>
      <c r="J57" s="157"/>
      <c r="K57" s="157"/>
      <c r="L57" s="158"/>
      <c r="M57" s="157"/>
      <c r="N57" s="167"/>
      <c r="O57" s="201">
        <f t="shared" si="17"/>
        <v>0</v>
      </c>
      <c r="P57" s="202"/>
      <c r="Q57" s="203">
        <f t="shared" si="16"/>
        <v>0</v>
      </c>
      <c r="S57" s="200"/>
      <c r="T57" s="200"/>
      <c r="U57" s="200"/>
      <c r="V57" s="200"/>
      <c r="W57" s="200"/>
      <c r="X57" s="200"/>
    </row>
    <row r="58" spans="1:24" ht="26.25" hidden="1" customHeight="1" thickBot="1" x14ac:dyDescent="0.25">
      <c r="A58" s="195" t="s">
        <v>38</v>
      </c>
      <c r="B58" s="205" t="s">
        <v>32</v>
      </c>
      <c r="C58" s="157"/>
      <c r="D58" s="157"/>
      <c r="E58" s="157"/>
      <c r="F58" s="157"/>
      <c r="G58" s="157"/>
      <c r="H58" s="158"/>
      <c r="I58" s="157"/>
      <c r="J58" s="157"/>
      <c r="K58" s="157"/>
      <c r="L58" s="158"/>
      <c r="M58" s="157"/>
      <c r="N58" s="167"/>
      <c r="O58" s="201">
        <f t="shared" si="17"/>
        <v>0</v>
      </c>
      <c r="P58" s="202"/>
      <c r="Q58" s="203">
        <f t="shared" si="16"/>
        <v>0</v>
      </c>
      <c r="S58" s="200"/>
      <c r="T58" s="200"/>
      <c r="U58" s="200"/>
      <c r="V58" s="199"/>
      <c r="W58" s="200"/>
      <c r="X58" s="200"/>
    </row>
    <row r="59" spans="1:24" ht="21" hidden="1" customHeight="1" thickBot="1" x14ac:dyDescent="0.25">
      <c r="A59" s="195" t="s">
        <v>65</v>
      </c>
      <c r="B59" s="206"/>
      <c r="C59" s="157"/>
      <c r="D59" s="157"/>
      <c r="E59" s="157"/>
      <c r="F59" s="157"/>
      <c r="G59" s="157"/>
      <c r="H59" s="158"/>
      <c r="I59" s="157"/>
      <c r="J59" s="157"/>
      <c r="K59" s="157"/>
      <c r="L59" s="158"/>
      <c r="M59" s="157"/>
      <c r="N59" s="167"/>
      <c r="O59" s="201"/>
      <c r="P59" s="202"/>
      <c r="Q59" s="203"/>
      <c r="S59" s="200"/>
      <c r="T59" s="200"/>
      <c r="U59" s="200"/>
      <c r="V59" s="200"/>
      <c r="W59" s="200"/>
      <c r="X59" s="200"/>
    </row>
    <row r="60" spans="1:24" ht="26.25" hidden="1" customHeight="1" thickBot="1" x14ac:dyDescent="0.25">
      <c r="A60" s="195" t="s">
        <v>57</v>
      </c>
      <c r="B60" s="205" t="s">
        <v>32</v>
      </c>
      <c r="C60" s="157"/>
      <c r="D60" s="157"/>
      <c r="E60" s="157"/>
      <c r="F60" s="157"/>
      <c r="G60" s="157"/>
      <c r="H60" s="158"/>
      <c r="I60" s="157"/>
      <c r="J60" s="157"/>
      <c r="K60" s="157"/>
      <c r="L60" s="158"/>
      <c r="M60" s="157"/>
      <c r="N60" s="167"/>
      <c r="O60" s="201">
        <f t="shared" si="17"/>
        <v>0</v>
      </c>
      <c r="P60" s="202"/>
      <c r="Q60" s="203">
        <f t="shared" si="16"/>
        <v>0</v>
      </c>
      <c r="S60" s="200"/>
      <c r="T60" s="200"/>
      <c r="U60" s="200"/>
      <c r="V60" s="200"/>
      <c r="W60" s="200"/>
      <c r="X60" s="200"/>
    </row>
    <row r="61" spans="1:24" ht="26.25" hidden="1" customHeight="1" thickBot="1" x14ac:dyDescent="0.25">
      <c r="A61" s="195" t="s">
        <v>39</v>
      </c>
      <c r="B61" s="204" t="s">
        <v>34</v>
      </c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4">
        <f t="shared" si="17"/>
        <v>0</v>
      </c>
      <c r="P61" s="165"/>
      <c r="Q61" s="166">
        <f t="shared" si="16"/>
        <v>0</v>
      </c>
    </row>
    <row r="62" spans="1:24" ht="26.25" hidden="1" customHeight="1" thickBot="1" x14ac:dyDescent="0.25">
      <c r="A62" s="195" t="s">
        <v>64</v>
      </c>
      <c r="B62" s="205" t="s">
        <v>32</v>
      </c>
      <c r="C62" s="157"/>
      <c r="D62" s="157"/>
      <c r="E62" s="157"/>
      <c r="F62" s="157"/>
      <c r="G62" s="157"/>
      <c r="H62" s="158"/>
      <c r="I62" s="157"/>
      <c r="J62" s="157"/>
      <c r="K62" s="157"/>
      <c r="L62" s="158"/>
      <c r="M62" s="157"/>
      <c r="N62" s="167"/>
      <c r="O62" s="201">
        <f t="shared" si="17"/>
        <v>0</v>
      </c>
      <c r="P62" s="202"/>
      <c r="Q62" s="203">
        <f t="shared" si="16"/>
        <v>0</v>
      </c>
    </row>
    <row r="63" spans="1:24" ht="16.5" hidden="1" customHeight="1" thickBot="1" x14ac:dyDescent="0.25">
      <c r="A63" s="195" t="s">
        <v>40</v>
      </c>
      <c r="B63" s="204" t="s">
        <v>34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4">
        <f t="shared" si="17"/>
        <v>0</v>
      </c>
      <c r="P63" s="165"/>
      <c r="Q63" s="166">
        <f t="shared" si="16"/>
        <v>0</v>
      </c>
    </row>
    <row r="64" spans="1:24" ht="26.25" hidden="1" customHeight="1" thickBot="1" x14ac:dyDescent="0.25">
      <c r="A64" s="195" t="s">
        <v>41</v>
      </c>
      <c r="B64" s="207" t="s">
        <v>33</v>
      </c>
      <c r="C64" s="167"/>
      <c r="D64" s="167"/>
      <c r="E64" s="167"/>
      <c r="F64" s="167"/>
      <c r="G64" s="167"/>
      <c r="H64" s="158"/>
      <c r="I64" s="157"/>
      <c r="J64" s="157"/>
      <c r="K64" s="157"/>
      <c r="L64" s="158"/>
      <c r="M64" s="157"/>
      <c r="N64" s="167"/>
      <c r="O64" s="201">
        <f t="shared" si="17"/>
        <v>0</v>
      </c>
      <c r="P64" s="202"/>
      <c r="Q64" s="203">
        <f t="shared" si="16"/>
        <v>0</v>
      </c>
    </row>
    <row r="65" spans="1:17" ht="26.25" hidden="1" customHeight="1" thickBot="1" x14ac:dyDescent="0.25">
      <c r="A65" s="195" t="s">
        <v>42</v>
      </c>
      <c r="B65" s="198" t="s">
        <v>34</v>
      </c>
      <c r="C65" s="157"/>
      <c r="D65" s="157"/>
      <c r="E65" s="157"/>
      <c r="F65" s="157"/>
      <c r="G65" s="157"/>
      <c r="H65" s="158"/>
      <c r="I65" s="157"/>
      <c r="J65" s="157"/>
      <c r="K65" s="157"/>
      <c r="L65" s="158"/>
      <c r="M65" s="157"/>
      <c r="N65" s="167"/>
      <c r="O65" s="201"/>
      <c r="P65" s="202"/>
      <c r="Q65" s="203">
        <f t="shared" si="16"/>
        <v>0</v>
      </c>
    </row>
    <row r="66" spans="1:17" ht="26.25" hidden="1" customHeight="1" thickBot="1" x14ac:dyDescent="0.25">
      <c r="A66" s="195" t="s">
        <v>56</v>
      </c>
      <c r="B66" s="198" t="s">
        <v>34</v>
      </c>
      <c r="C66" s="157"/>
      <c r="D66" s="157"/>
      <c r="E66" s="157"/>
      <c r="F66" s="157"/>
      <c r="G66" s="157"/>
      <c r="H66" s="158"/>
      <c r="I66" s="157"/>
      <c r="J66" s="157"/>
      <c r="K66" s="157"/>
      <c r="L66" s="158"/>
      <c r="M66" s="157"/>
      <c r="N66" s="167"/>
      <c r="O66" s="201">
        <f t="shared" si="17"/>
        <v>0</v>
      </c>
      <c r="P66" s="202"/>
      <c r="Q66" s="203">
        <f t="shared" si="16"/>
        <v>0</v>
      </c>
    </row>
    <row r="67" spans="1:17" ht="26.25" hidden="1" customHeight="1" thickBot="1" x14ac:dyDescent="0.25">
      <c r="A67" s="195" t="s">
        <v>43</v>
      </c>
      <c r="B67" s="204" t="s">
        <v>34</v>
      </c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>
        <f t="shared" si="17"/>
        <v>0</v>
      </c>
      <c r="P67" s="165"/>
      <c r="Q67" s="166">
        <f>P67-O67</f>
        <v>0</v>
      </c>
    </row>
    <row r="68" spans="1:17" ht="26.25" hidden="1" customHeight="1" thickBot="1" x14ac:dyDescent="0.25">
      <c r="A68" s="195" t="s">
        <v>44</v>
      </c>
      <c r="B68" s="198" t="s">
        <v>34</v>
      </c>
      <c r="C68" s="157"/>
      <c r="D68" s="157"/>
      <c r="E68" s="157"/>
      <c r="F68" s="157"/>
      <c r="G68" s="157"/>
      <c r="H68" s="158"/>
      <c r="I68" s="157"/>
      <c r="J68" s="157"/>
      <c r="K68" s="157"/>
      <c r="L68" s="158"/>
      <c r="M68" s="157"/>
      <c r="N68" s="167"/>
      <c r="O68" s="201">
        <f t="shared" si="17"/>
        <v>0</v>
      </c>
      <c r="P68" s="202"/>
      <c r="Q68" s="203">
        <f>P68-O68</f>
        <v>0</v>
      </c>
    </row>
    <row r="69" spans="1:17" ht="16.5" hidden="1" customHeight="1" thickBot="1" x14ac:dyDescent="0.25">
      <c r="A69" s="195" t="s">
        <v>55</v>
      </c>
      <c r="B69" s="198" t="s">
        <v>34</v>
      </c>
      <c r="C69" s="157"/>
      <c r="D69" s="157"/>
      <c r="E69" s="157"/>
      <c r="F69" s="157"/>
      <c r="G69" s="157"/>
      <c r="H69" s="158"/>
      <c r="I69" s="157"/>
      <c r="J69" s="157"/>
      <c r="K69" s="157"/>
      <c r="L69" s="158"/>
      <c r="M69" s="157"/>
      <c r="N69" s="167"/>
      <c r="O69" s="201">
        <f t="shared" si="17"/>
        <v>0</v>
      </c>
      <c r="P69" s="202"/>
      <c r="Q69" s="203">
        <f>P69-O69</f>
        <v>0</v>
      </c>
    </row>
    <row r="70" spans="1:17" ht="16.5" hidden="1" customHeight="1" thickBot="1" x14ac:dyDescent="0.25">
      <c r="A70" s="195" t="s">
        <v>45</v>
      </c>
      <c r="B70" s="198" t="s">
        <v>34</v>
      </c>
      <c r="C70" s="157"/>
      <c r="D70" s="157"/>
      <c r="E70" s="157"/>
      <c r="F70" s="157"/>
      <c r="G70" s="157"/>
      <c r="H70" s="158"/>
      <c r="I70" s="157"/>
      <c r="J70" s="167"/>
      <c r="K70" s="157"/>
      <c r="L70" s="158"/>
      <c r="M70" s="157"/>
      <c r="N70" s="167"/>
      <c r="O70" s="201">
        <f t="shared" si="17"/>
        <v>0</v>
      </c>
      <c r="P70" s="202"/>
      <c r="Q70" s="203">
        <f t="shared" ref="Q70:Q80" si="18">P70-O70</f>
        <v>0</v>
      </c>
    </row>
    <row r="71" spans="1:17" ht="26.25" hidden="1" customHeight="1" thickBot="1" x14ac:dyDescent="0.25">
      <c r="A71" s="195" t="s">
        <v>46</v>
      </c>
      <c r="B71" s="204" t="s">
        <v>34</v>
      </c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4">
        <f t="shared" si="17"/>
        <v>0</v>
      </c>
      <c r="P71" s="165"/>
      <c r="Q71" s="166">
        <f t="shared" si="18"/>
        <v>0</v>
      </c>
    </row>
    <row r="72" spans="1:17" ht="26.25" hidden="1" customHeight="1" thickBot="1" x14ac:dyDescent="0.25">
      <c r="A72" s="195" t="s">
        <v>47</v>
      </c>
      <c r="B72" s="204" t="s">
        <v>34</v>
      </c>
      <c r="C72" s="163"/>
      <c r="D72" s="163"/>
      <c r="E72" s="163"/>
      <c r="F72" s="163"/>
      <c r="G72" s="163"/>
      <c r="H72" s="168"/>
      <c r="I72" s="163"/>
      <c r="J72" s="163"/>
      <c r="K72" s="163"/>
      <c r="L72" s="168"/>
      <c r="M72" s="163"/>
      <c r="N72" s="163"/>
      <c r="O72" s="164">
        <f t="shared" si="17"/>
        <v>0</v>
      </c>
      <c r="P72" s="169"/>
      <c r="Q72" s="166">
        <f t="shared" si="18"/>
        <v>0</v>
      </c>
    </row>
    <row r="73" spans="1:17" ht="26.25" hidden="1" customHeight="1" thickBot="1" x14ac:dyDescent="0.25">
      <c r="A73" s="195" t="s">
        <v>48</v>
      </c>
      <c r="B73" s="197" t="s">
        <v>35</v>
      </c>
      <c r="C73" s="167"/>
      <c r="D73" s="157"/>
      <c r="E73" s="157"/>
      <c r="F73" s="157"/>
      <c r="G73" s="157"/>
      <c r="H73" s="158"/>
      <c r="I73" s="157"/>
      <c r="J73" s="157"/>
      <c r="K73" s="157"/>
      <c r="L73" s="158"/>
      <c r="M73" s="157"/>
      <c r="N73" s="167"/>
      <c r="O73" s="201">
        <f t="shared" si="17"/>
        <v>0</v>
      </c>
      <c r="P73" s="202"/>
      <c r="Q73" s="203">
        <f t="shared" si="18"/>
        <v>0</v>
      </c>
    </row>
    <row r="74" spans="1:17" ht="26.25" hidden="1" customHeight="1" thickBot="1" x14ac:dyDescent="0.25">
      <c r="A74" s="195" t="s">
        <v>49</v>
      </c>
      <c r="B74" s="198" t="s">
        <v>34</v>
      </c>
      <c r="C74" s="167"/>
      <c r="D74" s="157"/>
      <c r="E74" s="157"/>
      <c r="F74" s="157"/>
      <c r="G74" s="157"/>
      <c r="H74" s="158"/>
      <c r="I74" s="157"/>
      <c r="J74" s="157"/>
      <c r="K74" s="157"/>
      <c r="L74" s="158"/>
      <c r="M74" s="157"/>
      <c r="N74" s="167"/>
      <c r="O74" s="201">
        <f t="shared" si="17"/>
        <v>0</v>
      </c>
      <c r="P74" s="202"/>
      <c r="Q74" s="203">
        <f t="shared" si="18"/>
        <v>0</v>
      </c>
    </row>
    <row r="75" spans="1:17" ht="16.5" hidden="1" customHeight="1" thickBot="1" x14ac:dyDescent="0.25">
      <c r="A75" s="195" t="s">
        <v>50</v>
      </c>
      <c r="B75" s="198" t="s">
        <v>34</v>
      </c>
      <c r="C75" s="167"/>
      <c r="D75" s="157"/>
      <c r="E75" s="157"/>
      <c r="F75" s="157"/>
      <c r="G75" s="157"/>
      <c r="H75" s="158"/>
      <c r="I75" s="157"/>
      <c r="J75" s="157"/>
      <c r="K75" s="157"/>
      <c r="L75" s="158"/>
      <c r="M75" s="157"/>
      <c r="N75" s="167"/>
      <c r="O75" s="201">
        <f t="shared" si="17"/>
        <v>0</v>
      </c>
      <c r="P75" s="202"/>
      <c r="Q75" s="203">
        <f t="shared" si="18"/>
        <v>0</v>
      </c>
    </row>
    <row r="76" spans="1:17" ht="26.25" hidden="1" customHeight="1" thickBot="1" x14ac:dyDescent="0.25">
      <c r="A76" s="195" t="s">
        <v>51</v>
      </c>
      <c r="B76" s="198" t="s">
        <v>34</v>
      </c>
      <c r="C76" s="167"/>
      <c r="D76" s="157"/>
      <c r="E76" s="157"/>
      <c r="F76" s="157"/>
      <c r="G76" s="157"/>
      <c r="H76" s="158"/>
      <c r="I76" s="157"/>
      <c r="J76" s="157"/>
      <c r="K76" s="157"/>
      <c r="L76" s="158"/>
      <c r="M76" s="157"/>
      <c r="N76" s="167"/>
      <c r="O76" s="201">
        <f t="shared" si="17"/>
        <v>0</v>
      </c>
      <c r="P76" s="202"/>
      <c r="Q76" s="203">
        <f t="shared" si="18"/>
        <v>0</v>
      </c>
    </row>
    <row r="77" spans="1:17" ht="26.25" hidden="1" customHeight="1" thickBot="1" x14ac:dyDescent="0.25">
      <c r="A77" s="195" t="s">
        <v>52</v>
      </c>
      <c r="B77" s="198" t="s">
        <v>34</v>
      </c>
      <c r="C77" s="157"/>
      <c r="D77" s="157"/>
      <c r="E77" s="157"/>
      <c r="F77" s="167"/>
      <c r="G77" s="157"/>
      <c r="H77" s="158"/>
      <c r="I77" s="157"/>
      <c r="J77" s="157"/>
      <c r="K77" s="157"/>
      <c r="L77" s="158"/>
      <c r="M77" s="157"/>
      <c r="N77" s="167"/>
      <c r="O77" s="201">
        <f t="shared" si="17"/>
        <v>0</v>
      </c>
      <c r="P77" s="202"/>
      <c r="Q77" s="203">
        <f t="shared" si="18"/>
        <v>0</v>
      </c>
    </row>
    <row r="78" spans="1:17" ht="16.5" hidden="1" customHeight="1" thickBot="1" x14ac:dyDescent="0.25">
      <c r="A78" s="195" t="s">
        <v>60</v>
      </c>
      <c r="B78" s="198" t="s">
        <v>34</v>
      </c>
      <c r="C78" s="157"/>
      <c r="D78" s="157"/>
      <c r="E78" s="157"/>
      <c r="F78" s="167"/>
      <c r="G78" s="157"/>
      <c r="H78" s="158"/>
      <c r="I78" s="157"/>
      <c r="J78" s="157"/>
      <c r="K78" s="157"/>
      <c r="L78" s="158"/>
      <c r="M78" s="157"/>
      <c r="N78" s="167"/>
      <c r="O78" s="201">
        <f t="shared" si="17"/>
        <v>0</v>
      </c>
      <c r="P78" s="202"/>
      <c r="Q78" s="203">
        <f>P78-O78</f>
        <v>0</v>
      </c>
    </row>
    <row r="79" spans="1:17" ht="16.5" hidden="1" customHeight="1" thickBot="1" x14ac:dyDescent="0.25">
      <c r="A79" s="195" t="s">
        <v>54</v>
      </c>
      <c r="B79" s="204" t="s">
        <v>34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4">
        <f>SUM(C79:N79)</f>
        <v>0</v>
      </c>
      <c r="P79" s="165"/>
      <c r="Q79" s="166">
        <f t="shared" si="18"/>
        <v>0</v>
      </c>
    </row>
    <row r="80" spans="1:17" ht="24.75" hidden="1" customHeight="1" thickBot="1" x14ac:dyDescent="0.25">
      <c r="A80" s="241" t="s">
        <v>53</v>
      </c>
      <c r="B80" s="242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1">
        <f>SUM(C80:N80)</f>
        <v>0</v>
      </c>
      <c r="P80" s="170"/>
      <c r="Q80" s="172">
        <f t="shared" si="18"/>
        <v>0</v>
      </c>
    </row>
    <row r="81" spans="5:17" hidden="1" x14ac:dyDescent="0.2"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</row>
    <row r="82" spans="5:17" hidden="1" x14ac:dyDescent="0.2"/>
    <row r="83" spans="5:17" hidden="1" x14ac:dyDescent="0.2"/>
  </sheetData>
  <mergeCells count="28">
    <mergeCell ref="O9:O11"/>
    <mergeCell ref="O13:O15"/>
    <mergeCell ref="O17:O19"/>
    <mergeCell ref="A15:B15"/>
    <mergeCell ref="A1:Q1"/>
    <mergeCell ref="A2:B3"/>
    <mergeCell ref="C2:L2"/>
    <mergeCell ref="O2:Q2"/>
    <mergeCell ref="P5:P7"/>
    <mergeCell ref="Q5:Q7"/>
    <mergeCell ref="A7:B7"/>
    <mergeCell ref="A11:B11"/>
    <mergeCell ref="O5:O7"/>
    <mergeCell ref="Q17:Q19"/>
    <mergeCell ref="P9:P11"/>
    <mergeCell ref="Q9:Q11"/>
    <mergeCell ref="P13:P15"/>
    <mergeCell ref="Q13:Q15"/>
    <mergeCell ref="A26:B26"/>
    <mergeCell ref="A28:B28"/>
    <mergeCell ref="A32:B32"/>
    <mergeCell ref="A34:B35"/>
    <mergeCell ref="A80:B80"/>
    <mergeCell ref="P17:P19"/>
    <mergeCell ref="A24:B24"/>
    <mergeCell ref="A22:B22"/>
    <mergeCell ref="A21:B21"/>
    <mergeCell ref="A19:B19"/>
  </mergeCells>
  <pageMargins left="0.11811023622047245" right="0.11811023622047245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21DA-8CB7-4B67-8BDE-FC27E8A64D85}">
  <dimension ref="A1:X82"/>
  <sheetViews>
    <sheetView showGridLines="0" workbookViewId="0">
      <selection activeCell="O17" sqref="O17:O19"/>
    </sheetView>
  </sheetViews>
  <sheetFormatPr defaultRowHeight="15.75" x14ac:dyDescent="0.2"/>
  <cols>
    <col min="1" max="1" width="36.44140625" style="85" customWidth="1"/>
    <col min="2" max="2" width="9.44140625" style="85" hidden="1" customWidth="1"/>
    <col min="3" max="3" width="10.5546875" style="85" customWidth="1"/>
    <col min="4" max="16" width="10.21875" style="85" customWidth="1"/>
    <col min="17" max="17" width="10.44140625" style="118" customWidth="1"/>
    <col min="18" max="16384" width="8.88671875" style="85"/>
  </cols>
  <sheetData>
    <row r="1" spans="1:17" ht="44.25" customHeight="1" thickBot="1" x14ac:dyDescent="0.25">
      <c r="A1" s="230" t="s">
        <v>100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7" ht="30" customHeight="1" x14ac:dyDescent="0.2">
      <c r="A2" s="273" t="s">
        <v>101</v>
      </c>
      <c r="B2" s="290"/>
      <c r="C2" s="304" t="s">
        <v>19</v>
      </c>
      <c r="D2" s="305"/>
      <c r="E2" s="305"/>
      <c r="F2" s="305"/>
      <c r="G2" s="305"/>
      <c r="H2" s="305"/>
      <c r="I2" s="305"/>
      <c r="J2" s="305"/>
      <c r="K2" s="305"/>
      <c r="L2" s="305"/>
      <c r="M2" s="306"/>
      <c r="N2" s="307"/>
      <c r="O2" s="308"/>
      <c r="P2" s="305"/>
      <c r="Q2" s="309"/>
    </row>
    <row r="3" spans="1:17" ht="30" customHeight="1" thickBot="1" x14ac:dyDescent="0.25">
      <c r="A3" s="275"/>
      <c r="B3" s="291"/>
      <c r="C3" s="310" t="s">
        <v>0</v>
      </c>
      <c r="D3" s="311" t="s">
        <v>1</v>
      </c>
      <c r="E3" s="311" t="s">
        <v>2</v>
      </c>
      <c r="F3" s="311" t="s">
        <v>3</v>
      </c>
      <c r="G3" s="311" t="s">
        <v>4</v>
      </c>
      <c r="H3" s="311" t="s">
        <v>5</v>
      </c>
      <c r="I3" s="311" t="s">
        <v>6</v>
      </c>
      <c r="J3" s="311" t="s">
        <v>7</v>
      </c>
      <c r="K3" s="311" t="s">
        <v>8</v>
      </c>
      <c r="L3" s="311" t="s">
        <v>9</v>
      </c>
      <c r="M3" s="311" t="s">
        <v>10</v>
      </c>
      <c r="N3" s="312" t="s">
        <v>11</v>
      </c>
      <c r="O3" s="292" t="s">
        <v>86</v>
      </c>
      <c r="P3" s="284" t="s">
        <v>103</v>
      </c>
      <c r="Q3" s="313" t="s">
        <v>71</v>
      </c>
    </row>
    <row r="4" spans="1:17" s="173" customFormat="1" ht="12" customHeight="1" thickBot="1" x14ac:dyDescent="0.25">
      <c r="A4" s="268"/>
      <c r="B4" s="267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262"/>
      <c r="P4" s="269"/>
      <c r="Q4" s="263"/>
    </row>
    <row r="5" spans="1:17" ht="30" customHeight="1" x14ac:dyDescent="0.2">
      <c r="A5" s="314" t="s">
        <v>13</v>
      </c>
      <c r="B5" s="315" t="s">
        <v>95</v>
      </c>
      <c r="C5" s="316">
        <f>SUMIF($B$36:$B$79,"Operacional",C$36:C$79)</f>
        <v>8757945.9499999993</v>
      </c>
      <c r="D5" s="317">
        <f>SUMIF($B$36:$B$79,"Operacional",D$36:D$79)</f>
        <v>8285270.0999999996</v>
      </c>
      <c r="E5" s="317">
        <f>SUMIF($B$36:$B$79,"Operacional",E$36:E$79)</f>
        <v>10981544.460000001</v>
      </c>
      <c r="F5" s="317">
        <f>SUMIF($B$36:$B$79,"Operacional",F$36:F$79)</f>
        <v>10851720.690000001</v>
      </c>
      <c r="G5" s="317">
        <f>SUMIF($B$36:$B$79,"Operacional",G$36:G$79)</f>
        <v>11574447.41</v>
      </c>
      <c r="H5" s="317">
        <f>SUMIF($B$36:$B$79,"Operacional",H$36:H$79)</f>
        <v>11255857.25</v>
      </c>
      <c r="I5" s="317">
        <f>SUMIF($B$36:$B$79,"Operacional",I$36:I$79)</f>
        <v>11481857.630000001</v>
      </c>
      <c r="J5" s="317">
        <f>SUMIF($B$36:$B$79,"Operacional",J$36:J$79)</f>
        <v>12510494.17</v>
      </c>
      <c r="K5" s="317">
        <f>SUMIF($B$36:$B$79,"Operacional",K$36:K$79)</f>
        <v>11662083.18</v>
      </c>
      <c r="L5" s="317">
        <f>SUMIF($B$36:$B$79,"Operacional",L$36:L$79)</f>
        <v>11328090.65</v>
      </c>
      <c r="M5" s="317">
        <f>SUMIF($B$36:$B$79,"Operacional",M$36:M$79)</f>
        <v>11083710.15</v>
      </c>
      <c r="N5" s="318">
        <f>SUMIF($B$36:$B$79,"Operacional",N$36:N$79)</f>
        <v>10970955.33</v>
      </c>
      <c r="O5" s="301">
        <f>SUM(C5:N5)</f>
        <v>130743976.97000001</v>
      </c>
      <c r="P5" s="319">
        <f>SUM(C7:N7)</f>
        <v>152054568</v>
      </c>
      <c r="Q5" s="320">
        <f>-P5+O5</f>
        <v>-21310591.029999986</v>
      </c>
    </row>
    <row r="6" spans="1:17" ht="30" hidden="1" customHeight="1" x14ac:dyDescent="0.2">
      <c r="A6" s="321"/>
      <c r="B6" s="322"/>
      <c r="C6" s="323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  <c r="O6" s="302"/>
      <c r="P6" s="326"/>
      <c r="Q6" s="327"/>
    </row>
    <row r="7" spans="1:17" ht="30" customHeight="1" thickBot="1" x14ac:dyDescent="0.25">
      <c r="A7" s="264" t="s">
        <v>66</v>
      </c>
      <c r="B7" s="286"/>
      <c r="C7" s="328">
        <v>9894085</v>
      </c>
      <c r="D7" s="329">
        <v>9317665</v>
      </c>
      <c r="E7" s="329">
        <v>11004715</v>
      </c>
      <c r="F7" s="329">
        <v>11528197</v>
      </c>
      <c r="G7" s="329">
        <v>11805987</v>
      </c>
      <c r="H7" s="329">
        <v>10595177</v>
      </c>
      <c r="I7" s="329">
        <v>14900471</v>
      </c>
      <c r="J7" s="329">
        <v>15886546</v>
      </c>
      <c r="K7" s="329">
        <v>14411256</v>
      </c>
      <c r="L7" s="329">
        <v>15224301</v>
      </c>
      <c r="M7" s="329">
        <v>14150135</v>
      </c>
      <c r="N7" s="330">
        <v>13336033</v>
      </c>
      <c r="O7" s="303"/>
      <c r="P7" s="331"/>
      <c r="Q7" s="332"/>
    </row>
    <row r="8" spans="1:17" s="173" customFormat="1" ht="12" customHeight="1" thickBot="1" x14ac:dyDescent="0.25">
      <c r="A8" s="266"/>
      <c r="B8" s="267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262"/>
      <c r="P8" s="269"/>
      <c r="Q8" s="263"/>
    </row>
    <row r="9" spans="1:17" ht="30" customHeight="1" x14ac:dyDescent="0.2">
      <c r="A9" s="314" t="s">
        <v>14</v>
      </c>
      <c r="B9" s="315" t="s">
        <v>96</v>
      </c>
      <c r="C9" s="316">
        <f>SUMIF($B$36:$B$79,"Financeira",C$36:C$79)</f>
        <v>1273371.81</v>
      </c>
      <c r="D9" s="317">
        <f>SUMIF($B$36:$B$79,"Financeira",D$36:D$79)</f>
        <v>1178286.22</v>
      </c>
      <c r="E9" s="317">
        <f>SUMIF($B$36:$B$79,"Financeira",E$36:E$79)</f>
        <v>1314554.71</v>
      </c>
      <c r="F9" s="317">
        <f>SUMIF($B$36:$B$79,"Financeira",F$36:F$79)</f>
        <v>1893136.53</v>
      </c>
      <c r="G9" s="317">
        <f>SUMIF($B$36:$B$79,"Financeira",G$36:G$79)</f>
        <v>1628417.62</v>
      </c>
      <c r="H9" s="317">
        <f>SUMIF($B$36:$B$79,"Financeira",H$36:H$79)</f>
        <v>1323185.97</v>
      </c>
      <c r="I9" s="317">
        <f>SUMIF($B$36:$B$79,"Financeira",I$36:I$79)</f>
        <v>1558554.71</v>
      </c>
      <c r="J9" s="317">
        <f>SUMIF($B$36:$B$79,"Financeira",J$36:J$79)</f>
        <v>877908.93999999901</v>
      </c>
      <c r="K9" s="317">
        <f>SUMIF($B$36:$B$79,"Financeira",K$36:K$79)</f>
        <v>890686.2</v>
      </c>
      <c r="L9" s="317">
        <f>SUMIF($B$36:$B$79,"Financeira",L$36:L$79)</f>
        <v>843951.88</v>
      </c>
      <c r="M9" s="317">
        <f>SUMIF($B$36:$B$79,"Financeira",M$36:M$79)</f>
        <v>1027909.76</v>
      </c>
      <c r="N9" s="318">
        <f>SUMIF($B$36:$B$79,"Financeira",N$36:N$79)</f>
        <v>1130012.3500000001</v>
      </c>
      <c r="O9" s="301">
        <f>SUM(C9:N9)</f>
        <v>14939976.699999999</v>
      </c>
      <c r="P9" s="319">
        <f>SUM(C11:N11)</f>
        <v>13128086.92806956</v>
      </c>
      <c r="Q9" s="320">
        <f>-P9+O9</f>
        <v>1811889.7719304394</v>
      </c>
    </row>
    <row r="10" spans="1:17" ht="30" hidden="1" customHeight="1" x14ac:dyDescent="0.2">
      <c r="A10" s="321"/>
      <c r="B10" s="322"/>
      <c r="C10" s="323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5"/>
      <c r="O10" s="302"/>
      <c r="P10" s="326"/>
      <c r="Q10" s="327"/>
    </row>
    <row r="11" spans="1:17" ht="30" customHeight="1" thickBot="1" x14ac:dyDescent="0.25">
      <c r="A11" s="264" t="s">
        <v>68</v>
      </c>
      <c r="B11" s="286"/>
      <c r="C11" s="328">
        <v>1273371.81</v>
      </c>
      <c r="D11" s="329">
        <v>1186315.61634025</v>
      </c>
      <c r="E11" s="329">
        <v>1196648.2770691216</v>
      </c>
      <c r="F11" s="329">
        <v>1215780.808981359</v>
      </c>
      <c r="G11" s="329">
        <v>1235079.9828549856</v>
      </c>
      <c r="H11" s="329">
        <v>1193578.1251206547</v>
      </c>
      <c r="I11" s="329">
        <v>1134295.0413931899</v>
      </c>
      <c r="J11" s="329">
        <v>1057075.8594168443</v>
      </c>
      <c r="K11" s="329">
        <v>996603.85801788268</v>
      </c>
      <c r="L11" s="329">
        <v>944315.02804573614</v>
      </c>
      <c r="M11" s="329">
        <v>882860.89390063589</v>
      </c>
      <c r="N11" s="330">
        <v>812161.62692889862</v>
      </c>
      <c r="O11" s="303"/>
      <c r="P11" s="331"/>
      <c r="Q11" s="332"/>
    </row>
    <row r="12" spans="1:17" s="173" customFormat="1" ht="12" customHeight="1" thickBot="1" x14ac:dyDescent="0.25">
      <c r="A12" s="268"/>
      <c r="B12" s="267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262"/>
      <c r="P12" s="269"/>
      <c r="Q12" s="263"/>
    </row>
    <row r="13" spans="1:17" ht="30" customHeight="1" x14ac:dyDescent="0.2">
      <c r="A13" s="314" t="s">
        <v>15</v>
      </c>
      <c r="B13" s="315" t="s">
        <v>95</v>
      </c>
      <c r="C13" s="316">
        <f>SUMIF($B$36:$B$79,"Comercial",C$36:C$79)</f>
        <v>239639.2</v>
      </c>
      <c r="D13" s="317">
        <f>SUMIF($B$36:$B$79,"Comercial",D$36:D$79)</f>
        <v>169260.04</v>
      </c>
      <c r="E13" s="317">
        <f>SUMIF($B$36:$B$79,"Comercial",E$36:E$79)</f>
        <v>148198.16</v>
      </c>
      <c r="F13" s="317">
        <f>SUMIF($B$36:$B$79,"Comercial",F$36:F$79)</f>
        <v>163474.71000000002</v>
      </c>
      <c r="G13" s="317">
        <f>SUMIF($B$36:$B$79,"Comercial",G$36:G$79)</f>
        <v>163997.54</v>
      </c>
      <c r="H13" s="317">
        <f>SUMIF($B$36:$B$79,"Comercial",H$36:H$79)</f>
        <v>528675.42999999993</v>
      </c>
      <c r="I13" s="317">
        <f>SUMIF($B$36:$B$79,"Comercial",I$36:I$79)</f>
        <v>151643.64000000001</v>
      </c>
      <c r="J13" s="317">
        <f>SUMIF($B$36:$B$79,"Comercial",J$36:J$79)</f>
        <v>268785.15999999997</v>
      </c>
      <c r="K13" s="317">
        <f>SUMIF($B$36:$B$79,"Comercial",K$36:K$79)</f>
        <v>200442.96</v>
      </c>
      <c r="L13" s="317">
        <f>SUMIF($B$36:$B$79,"Comercial",L$36:L$79)</f>
        <v>191337.15000000002</v>
      </c>
      <c r="M13" s="317">
        <f>SUMIF($B$36:$B$79,"Comercial",M$36:M$79)</f>
        <v>191323.85</v>
      </c>
      <c r="N13" s="318">
        <f>SUMIF($B$36:$B$79,"Comercial",N$36:N$79)</f>
        <v>411612.8</v>
      </c>
      <c r="O13" s="301">
        <f>SUM(C13:N13)</f>
        <v>2828390.64</v>
      </c>
      <c r="P13" s="319">
        <f>SUM(C15:N15)</f>
        <v>3412730</v>
      </c>
      <c r="Q13" s="320">
        <f>-P13+O13</f>
        <v>-584339.35999999987</v>
      </c>
    </row>
    <row r="14" spans="1:17" ht="30" hidden="1" customHeight="1" x14ac:dyDescent="0.2">
      <c r="A14" s="321"/>
      <c r="B14" s="322"/>
      <c r="C14" s="323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5"/>
      <c r="O14" s="302"/>
      <c r="P14" s="326"/>
      <c r="Q14" s="327"/>
    </row>
    <row r="15" spans="1:17" ht="30" customHeight="1" thickBot="1" x14ac:dyDescent="0.25">
      <c r="A15" s="264" t="s">
        <v>67</v>
      </c>
      <c r="B15" s="286"/>
      <c r="C15" s="328">
        <v>284394</v>
      </c>
      <c r="D15" s="329">
        <v>284394</v>
      </c>
      <c r="E15" s="329">
        <v>284394</v>
      </c>
      <c r="F15" s="329">
        <v>284394</v>
      </c>
      <c r="G15" s="329">
        <v>284394</v>
      </c>
      <c r="H15" s="329">
        <v>284394</v>
      </c>
      <c r="I15" s="329">
        <v>284394</v>
      </c>
      <c r="J15" s="329">
        <v>284394</v>
      </c>
      <c r="K15" s="329">
        <v>284394</v>
      </c>
      <c r="L15" s="329">
        <v>284394</v>
      </c>
      <c r="M15" s="329">
        <v>284395</v>
      </c>
      <c r="N15" s="330">
        <v>284395</v>
      </c>
      <c r="O15" s="303"/>
      <c r="P15" s="331"/>
      <c r="Q15" s="332"/>
    </row>
    <row r="16" spans="1:17" s="173" customFormat="1" ht="12" customHeight="1" thickBot="1" x14ac:dyDescent="0.25">
      <c r="A16" s="266"/>
      <c r="B16" s="267"/>
      <c r="C16" s="270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2"/>
      <c r="P16" s="269"/>
      <c r="Q16" s="263"/>
    </row>
    <row r="17" spans="1:17" ht="30" customHeight="1" x14ac:dyDescent="0.2">
      <c r="A17" s="314" t="s">
        <v>16</v>
      </c>
      <c r="B17" s="315" t="s">
        <v>95</v>
      </c>
      <c r="C17" s="316">
        <f>SUMIF($B$36:$B$79,"Outras",C$36:C$79)</f>
        <v>249948.58000000002</v>
      </c>
      <c r="D17" s="317">
        <f>SUMIF($B$36:$B$79,"Outras",D$36:D$79)</f>
        <v>98382.45</v>
      </c>
      <c r="E17" s="317">
        <f>SUMIF($B$36:$B$79,"Outras",E$36:E$79)</f>
        <v>359347.48</v>
      </c>
      <c r="F17" s="317">
        <f>SUMIF($B$36:$B$79,"Outras",F$36:F$79)</f>
        <v>122749.40000000001</v>
      </c>
      <c r="G17" s="317">
        <f>SUMIF($B$36:$B$79,"Outras",G$36:G$79)</f>
        <v>105585.1</v>
      </c>
      <c r="H17" s="317">
        <f>SUMIF($B$36:$B$79,"Outras",H$36:H$79)</f>
        <v>136649.24</v>
      </c>
      <c r="I17" s="317">
        <f>SUMIF($B$36:$B$79,"Outras",I$36:I$79)</f>
        <v>73865.77</v>
      </c>
      <c r="J17" s="317">
        <f>SUMIF($B$36:$B$79,"Outras",J$36:J$79)</f>
        <v>226868.97999999998</v>
      </c>
      <c r="K17" s="317">
        <f>SUMIF($B$36:$B$79,"Outras",K$36:K$79)</f>
        <v>211826.94000000003</v>
      </c>
      <c r="L17" s="317">
        <f>SUMIF($B$36:$B$79,"Outras",L$36:L$79)</f>
        <v>396992.90999999992</v>
      </c>
      <c r="M17" s="317">
        <f>SUMIF($B$36:$B$79,"Outras",M$36:M$79)</f>
        <v>85079.460000000021</v>
      </c>
      <c r="N17" s="318">
        <f>SUMIF($B$36:$B$79,"Outras",N$36:N$79)</f>
        <v>88404.760000000009</v>
      </c>
      <c r="O17" s="301">
        <f>SUM(C17:N17)</f>
        <v>2155701.0699999998</v>
      </c>
      <c r="P17" s="319">
        <f>SUM(C19:N19)</f>
        <v>845929</v>
      </c>
      <c r="Q17" s="320">
        <f>-P17+O17</f>
        <v>1309772.0699999998</v>
      </c>
    </row>
    <row r="18" spans="1:17" ht="30" hidden="1" customHeight="1" x14ac:dyDescent="0.2">
      <c r="A18" s="321"/>
      <c r="B18" s="322"/>
      <c r="C18" s="323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5"/>
      <c r="O18" s="302"/>
      <c r="P18" s="326"/>
      <c r="Q18" s="327"/>
    </row>
    <row r="19" spans="1:17" ht="30" customHeight="1" thickBot="1" x14ac:dyDescent="0.25">
      <c r="A19" s="264" t="s">
        <v>69</v>
      </c>
      <c r="B19" s="286"/>
      <c r="C19" s="328">
        <v>70494</v>
      </c>
      <c r="D19" s="329">
        <v>70494</v>
      </c>
      <c r="E19" s="329">
        <v>70494</v>
      </c>
      <c r="F19" s="329">
        <v>70494</v>
      </c>
      <c r="G19" s="329">
        <v>70494</v>
      </c>
      <c r="H19" s="329">
        <v>70494</v>
      </c>
      <c r="I19" s="329">
        <v>70494</v>
      </c>
      <c r="J19" s="329">
        <v>70494</v>
      </c>
      <c r="K19" s="329">
        <v>70494</v>
      </c>
      <c r="L19" s="329">
        <v>70494</v>
      </c>
      <c r="M19" s="329">
        <v>70494</v>
      </c>
      <c r="N19" s="330">
        <v>70495</v>
      </c>
      <c r="O19" s="303"/>
      <c r="P19" s="331"/>
      <c r="Q19" s="332"/>
    </row>
    <row r="20" spans="1:17" s="173" customFormat="1" ht="12" customHeight="1" thickBot="1" x14ac:dyDescent="0.25">
      <c r="A20" s="176"/>
      <c r="B20" s="177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34"/>
      <c r="Q20" s="35"/>
    </row>
    <row r="21" spans="1:17" ht="26.25" customHeight="1" thickBot="1" x14ac:dyDescent="0.25">
      <c r="A21" s="333" t="s">
        <v>70</v>
      </c>
      <c r="B21" s="334"/>
      <c r="C21" s="335">
        <f>SUM(C5,C9,C13,C17)</f>
        <v>10520905.539999999</v>
      </c>
      <c r="D21" s="336">
        <f>SUM(D5,D9,D13,D17)</f>
        <v>9731198.8099999987</v>
      </c>
      <c r="E21" s="336">
        <f>SUM(E5,E9,E13,E17)</f>
        <v>12803644.810000002</v>
      </c>
      <c r="F21" s="336">
        <f>SUM(F5,F9,F13,F17)</f>
        <v>13031081.330000002</v>
      </c>
      <c r="G21" s="336">
        <f>SUM(G5,G9,G13,G17)</f>
        <v>13472447.67</v>
      </c>
      <c r="H21" s="336">
        <f>SUM(H5,H9,H13,H17)</f>
        <v>13244367.890000001</v>
      </c>
      <c r="I21" s="336">
        <f>SUM(I5,I9,I13,I17)</f>
        <v>13265921.75</v>
      </c>
      <c r="J21" s="336">
        <f>SUM(J5,J9,J13,J17)</f>
        <v>13884057.25</v>
      </c>
      <c r="K21" s="336">
        <f>SUM(K5,K9,K13,K17)</f>
        <v>12965039.279999999</v>
      </c>
      <c r="L21" s="336">
        <f>SUM(L5,L9,L13,L17)</f>
        <v>12760372.590000002</v>
      </c>
      <c r="M21" s="336">
        <f>SUM(M5,M9,M13,M17)</f>
        <v>12388023.220000001</v>
      </c>
      <c r="N21" s="337">
        <f>SUM(N5,N9,N13,N17)</f>
        <v>12600985.24</v>
      </c>
      <c r="O21" s="287">
        <f>O5+O9+O13+O17</f>
        <v>150668045.38</v>
      </c>
      <c r="P21" s="338">
        <f>P5+P9+P13+P17</f>
        <v>169441313.92806956</v>
      </c>
      <c r="Q21" s="339">
        <f>-P21+O21</f>
        <v>-18773268.548069566</v>
      </c>
    </row>
    <row r="22" spans="1:17" ht="26.25" customHeight="1" thickBot="1" x14ac:dyDescent="0.25">
      <c r="A22" s="340" t="s">
        <v>84</v>
      </c>
      <c r="B22" s="341"/>
      <c r="C22" s="288">
        <f>C21</f>
        <v>10520905.539999999</v>
      </c>
      <c r="D22" s="278">
        <f t="shared" ref="D22:L22" si="0">C22+D21</f>
        <v>20252104.349999998</v>
      </c>
      <c r="E22" s="279">
        <f t="shared" si="0"/>
        <v>33055749.16</v>
      </c>
      <c r="F22" s="279">
        <f t="shared" si="0"/>
        <v>46086830.490000002</v>
      </c>
      <c r="G22" s="279">
        <f t="shared" si="0"/>
        <v>59559278.160000004</v>
      </c>
      <c r="H22" s="279">
        <f>G22+H21</f>
        <v>72803646.050000012</v>
      </c>
      <c r="I22" s="279">
        <f t="shared" si="0"/>
        <v>86069567.800000012</v>
      </c>
      <c r="J22" s="279">
        <f t="shared" si="0"/>
        <v>99953625.050000012</v>
      </c>
      <c r="K22" s="279">
        <f t="shared" si="0"/>
        <v>112918664.33000001</v>
      </c>
      <c r="L22" s="279">
        <f t="shared" si="0"/>
        <v>125679036.92000002</v>
      </c>
      <c r="M22" s="279">
        <f>L22+M21</f>
        <v>138067060.14000002</v>
      </c>
      <c r="N22" s="289">
        <f>M22+N21</f>
        <v>150668045.38000003</v>
      </c>
      <c r="O22" s="42"/>
      <c r="P22" s="42"/>
      <c r="Q22" s="173"/>
    </row>
    <row r="23" spans="1:17" ht="9" hidden="1" customHeight="1" x14ac:dyDescent="0.2">
      <c r="A23" s="43"/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4"/>
      <c r="P23" s="45"/>
      <c r="Q23" s="44"/>
    </row>
    <row r="24" spans="1:17" ht="18" hidden="1" customHeight="1" x14ac:dyDescent="0.2">
      <c r="A24" s="216" t="s">
        <v>17</v>
      </c>
      <c r="B24" s="217"/>
      <c r="C24" s="46">
        <f>C80</f>
        <v>0</v>
      </c>
      <c r="D24" s="47">
        <f>D80</f>
        <v>0</v>
      </c>
      <c r="E24" s="47">
        <f>E80</f>
        <v>0</v>
      </c>
      <c r="F24" s="47">
        <f>F80</f>
        <v>0</v>
      </c>
      <c r="G24" s="47">
        <f>G80</f>
        <v>0</v>
      </c>
      <c r="H24" s="47">
        <f>H80</f>
        <v>0</v>
      </c>
      <c r="I24" s="47">
        <f>I80</f>
        <v>0</v>
      </c>
      <c r="J24" s="47">
        <f>J80</f>
        <v>0</v>
      </c>
      <c r="K24" s="47">
        <f>K80</f>
        <v>0</v>
      </c>
      <c r="L24" s="47">
        <f>L80</f>
        <v>0</v>
      </c>
      <c r="M24" s="47">
        <f>M80</f>
        <v>0</v>
      </c>
      <c r="N24" s="47">
        <f>N80</f>
        <v>0</v>
      </c>
      <c r="O24" s="48">
        <f>SUM(C24:N24)</f>
        <v>0</v>
      </c>
      <c r="P24" s="45"/>
      <c r="Q24" s="45"/>
    </row>
    <row r="25" spans="1:17" ht="8.25" hidden="1" customHeight="1" x14ac:dyDescent="0.2">
      <c r="A25" s="49"/>
      <c r="B25" s="49"/>
      <c r="C25" s="86">
        <f>C21</f>
        <v>10520905.539999999</v>
      </c>
      <c r="D25" s="86">
        <f>D21+C25</f>
        <v>20252104.349999998</v>
      </c>
      <c r="E25" s="86">
        <f t="shared" ref="E25:N25" si="1">E21+D25</f>
        <v>33055749.16</v>
      </c>
      <c r="F25" s="86">
        <f t="shared" si="1"/>
        <v>46086830.490000002</v>
      </c>
      <c r="G25" s="86">
        <f t="shared" si="1"/>
        <v>59559278.160000004</v>
      </c>
      <c r="H25" s="86">
        <f t="shared" si="1"/>
        <v>72803646.050000012</v>
      </c>
      <c r="I25" s="86">
        <f t="shared" si="1"/>
        <v>86069567.800000012</v>
      </c>
      <c r="J25" s="86">
        <f t="shared" si="1"/>
        <v>99953625.050000012</v>
      </c>
      <c r="K25" s="86">
        <f t="shared" si="1"/>
        <v>112918664.33000001</v>
      </c>
      <c r="L25" s="86">
        <f t="shared" si="1"/>
        <v>125679036.92000002</v>
      </c>
      <c r="M25" s="86">
        <f t="shared" si="1"/>
        <v>138067060.14000002</v>
      </c>
      <c r="N25" s="86">
        <f t="shared" si="1"/>
        <v>150668045.38000003</v>
      </c>
      <c r="O25" s="50"/>
      <c r="P25" s="45"/>
      <c r="Q25" s="44"/>
    </row>
    <row r="26" spans="1:17" ht="12" hidden="1" customHeight="1" x14ac:dyDescent="0.2">
      <c r="A26" s="216" t="s">
        <v>61</v>
      </c>
      <c r="B26" s="217"/>
      <c r="C26" s="46">
        <f>C21-C24</f>
        <v>10520905.539999999</v>
      </c>
      <c r="D26" s="47">
        <f>D21-D24</f>
        <v>9731198.8099999987</v>
      </c>
      <c r="E26" s="47">
        <f t="shared" ref="E26:N26" si="2">E21-E24</f>
        <v>12803644.810000002</v>
      </c>
      <c r="F26" s="47">
        <f t="shared" si="2"/>
        <v>13031081.330000002</v>
      </c>
      <c r="G26" s="47">
        <f t="shared" si="2"/>
        <v>13472447.67</v>
      </c>
      <c r="H26" s="47">
        <f t="shared" si="2"/>
        <v>13244367.890000001</v>
      </c>
      <c r="I26" s="47">
        <f t="shared" si="2"/>
        <v>13265921.75</v>
      </c>
      <c r="J26" s="47">
        <f t="shared" si="2"/>
        <v>13884057.25</v>
      </c>
      <c r="K26" s="47">
        <f t="shared" si="2"/>
        <v>12965039.279999999</v>
      </c>
      <c r="L26" s="47">
        <f t="shared" si="2"/>
        <v>12760372.590000002</v>
      </c>
      <c r="M26" s="47">
        <f t="shared" si="2"/>
        <v>12388023.220000001</v>
      </c>
      <c r="N26" s="47">
        <f t="shared" si="2"/>
        <v>12600985.24</v>
      </c>
      <c r="O26" s="51">
        <f>SUM(C26:N26)</f>
        <v>150668045.38000003</v>
      </c>
      <c r="P26" s="51">
        <f>P21-P24</f>
        <v>169441313.92806956</v>
      </c>
      <c r="Q26" s="52">
        <f>P26-O26</f>
        <v>18773268.548069537</v>
      </c>
    </row>
    <row r="27" spans="1:17" ht="12" hidden="1" customHeight="1" x14ac:dyDescent="0.2">
      <c r="A27" s="53"/>
      <c r="B27" s="5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55"/>
      <c r="P27" s="55"/>
      <c r="Q27" s="55"/>
    </row>
    <row r="28" spans="1:17" ht="12.75" hidden="1" customHeight="1" x14ac:dyDescent="0.2">
      <c r="A28" s="216" t="s">
        <v>85</v>
      </c>
      <c r="B28" s="217"/>
      <c r="C28" s="87">
        <f>C26</f>
        <v>10520905.539999999</v>
      </c>
      <c r="D28" s="87">
        <f t="shared" ref="D28:N28" si="3">D26+C28</f>
        <v>20252104.349999998</v>
      </c>
      <c r="E28" s="87">
        <f t="shared" si="3"/>
        <v>33055749.16</v>
      </c>
      <c r="F28" s="87">
        <f t="shared" si="3"/>
        <v>46086830.490000002</v>
      </c>
      <c r="G28" s="87">
        <f t="shared" si="3"/>
        <v>59559278.160000004</v>
      </c>
      <c r="H28" s="87">
        <f t="shared" si="3"/>
        <v>72803646.050000012</v>
      </c>
      <c r="I28" s="87">
        <f t="shared" si="3"/>
        <v>86069567.800000012</v>
      </c>
      <c r="J28" s="87">
        <f t="shared" si="3"/>
        <v>99953625.050000012</v>
      </c>
      <c r="K28" s="87">
        <f t="shared" si="3"/>
        <v>112918664.33000001</v>
      </c>
      <c r="L28" s="87">
        <f t="shared" si="3"/>
        <v>125679036.92000002</v>
      </c>
      <c r="M28" s="87">
        <f t="shared" si="3"/>
        <v>138067060.14000002</v>
      </c>
      <c r="N28" s="88">
        <f t="shared" si="3"/>
        <v>150668045.38000003</v>
      </c>
      <c r="O28" s="56"/>
      <c r="P28" s="55"/>
      <c r="Q28" s="17"/>
    </row>
    <row r="29" spans="1:17" ht="8.25" hidden="1" customHeight="1" x14ac:dyDescent="0.2">
      <c r="A29" s="57"/>
      <c r="B29" s="58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59"/>
      <c r="P29" s="55"/>
      <c r="Q29" s="17"/>
    </row>
    <row r="30" spans="1:17" ht="15" hidden="1" customHeight="1" x14ac:dyDescent="0.2">
      <c r="A30" s="60" t="s">
        <v>18</v>
      </c>
      <c r="B30" s="61"/>
      <c r="C30" s="62">
        <f>C5-C24</f>
        <v>8757945.9499999993</v>
      </c>
      <c r="D30" s="63">
        <f>D5-D24</f>
        <v>8285270.0999999996</v>
      </c>
      <c r="E30" s="63">
        <f>E5-E24</f>
        <v>10981544.460000001</v>
      </c>
      <c r="F30" s="63">
        <f>F5-F24</f>
        <v>10851720.690000001</v>
      </c>
      <c r="G30" s="63">
        <f>G5-G24</f>
        <v>11574447.41</v>
      </c>
      <c r="H30" s="63">
        <f>H5-H24</f>
        <v>11255857.25</v>
      </c>
      <c r="I30" s="63">
        <f>I5-I24</f>
        <v>11481857.630000001</v>
      </c>
      <c r="J30" s="63">
        <f>J5-J24</f>
        <v>12510494.17</v>
      </c>
      <c r="K30" s="63">
        <f>K5-K24</f>
        <v>11662083.18</v>
      </c>
      <c r="L30" s="63">
        <f>L5-L24</f>
        <v>11328090.65</v>
      </c>
      <c r="M30" s="63">
        <f>M5-M24</f>
        <v>11083710.15</v>
      </c>
      <c r="N30" s="63">
        <f>N5-N24</f>
        <v>10970955.33</v>
      </c>
      <c r="O30" s="51">
        <f>SUM(C30:N30)</f>
        <v>130743976.97000001</v>
      </c>
      <c r="P30" s="51">
        <f>P5</f>
        <v>152054568</v>
      </c>
      <c r="Q30" s="141">
        <f>P30-O30</f>
        <v>21310591.029999986</v>
      </c>
    </row>
    <row r="31" spans="1:17" ht="14.25" hidden="1" customHeight="1" thickBot="1" x14ac:dyDescent="0.25">
      <c r="A31" s="64"/>
      <c r="B31" s="65"/>
      <c r="C31" s="45"/>
      <c r="D31" s="45"/>
      <c r="E31" s="45"/>
      <c r="F31" s="66"/>
      <c r="G31" s="66"/>
      <c r="H31" s="66"/>
      <c r="I31" s="66"/>
      <c r="J31" s="66"/>
      <c r="K31" s="66"/>
      <c r="L31" s="66"/>
      <c r="M31" s="66"/>
      <c r="N31" s="45"/>
      <c r="O31" s="55"/>
      <c r="P31" s="55"/>
      <c r="Q31" s="45"/>
    </row>
    <row r="32" spans="1:17" ht="23.25" hidden="1" customHeight="1" thickBot="1" x14ac:dyDescent="0.25">
      <c r="A32" s="249" t="s">
        <v>102</v>
      </c>
      <c r="B32" s="250"/>
      <c r="C32" s="119">
        <f>SUM(C7,C11,C15,C19)</f>
        <v>11522344.810000001</v>
      </c>
      <c r="D32" s="68">
        <f>SUM(D7,D11,D15,D19)</f>
        <v>10858868.61634025</v>
      </c>
      <c r="E32" s="68">
        <f>SUM(E7,E11,E15,E19)</f>
        <v>12556251.277069122</v>
      </c>
      <c r="F32" s="68">
        <f>SUM(F7,F11,F15,F19)</f>
        <v>13098865.808981359</v>
      </c>
      <c r="G32" s="68">
        <f>SUM(G7,G11,G15,G19)</f>
        <v>13395954.982854985</v>
      </c>
      <c r="H32" s="68">
        <f>SUM(H7,H11,H15,H19)</f>
        <v>12143643.125120655</v>
      </c>
      <c r="I32" s="68">
        <f>SUM(I7,I11,I15,I19)</f>
        <v>16389654.041393191</v>
      </c>
      <c r="J32" s="68">
        <f>SUM(J7,J11,J15,J19)</f>
        <v>17298509.859416842</v>
      </c>
      <c r="K32" s="68">
        <f>SUM(K7,K11,K15,K19)</f>
        <v>15762747.858017882</v>
      </c>
      <c r="L32" s="68">
        <f>SUM(L7,L11,L15,L19)</f>
        <v>16523504.028045736</v>
      </c>
      <c r="M32" s="69">
        <f>SUM(M7,M11,M15,M19)</f>
        <v>15387884.893900637</v>
      </c>
      <c r="N32" s="67">
        <f>SUM(N7,N11,N15,N19)</f>
        <v>14503084.626928899</v>
      </c>
      <c r="O32" s="120">
        <f>SUM(C32:N32)-1</f>
        <v>169441312.92806953</v>
      </c>
      <c r="P32" s="55"/>
      <c r="Q32" s="55"/>
    </row>
    <row r="33" spans="1:24" ht="14.25" hidden="1" customHeight="1" thickBot="1" x14ac:dyDescent="0.25">
      <c r="A33" s="64"/>
      <c r="B33" s="65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70"/>
      <c r="P33" s="55"/>
      <c r="Q33" s="55"/>
    </row>
    <row r="34" spans="1:24" ht="21" hidden="1" customHeight="1" thickBot="1" x14ac:dyDescent="0.25">
      <c r="A34" s="220" t="s">
        <v>88</v>
      </c>
      <c r="B34" s="281"/>
      <c r="C34" s="71" t="s">
        <v>20</v>
      </c>
      <c r="D34" s="72" t="s">
        <v>21</v>
      </c>
      <c r="E34" s="72" t="s">
        <v>22</v>
      </c>
      <c r="F34" s="72" t="s">
        <v>23</v>
      </c>
      <c r="G34" s="72" t="s">
        <v>24</v>
      </c>
      <c r="H34" s="72" t="s">
        <v>25</v>
      </c>
      <c r="I34" s="72" t="s">
        <v>26</v>
      </c>
      <c r="J34" s="72" t="s">
        <v>27</v>
      </c>
      <c r="K34" s="72" t="s">
        <v>28</v>
      </c>
      <c r="L34" s="72" t="s">
        <v>29</v>
      </c>
      <c r="M34" s="72" t="s">
        <v>30</v>
      </c>
      <c r="N34" s="72" t="s">
        <v>31</v>
      </c>
      <c r="O34" s="73" t="s">
        <v>59</v>
      </c>
      <c r="P34" s="74" t="s">
        <v>12</v>
      </c>
      <c r="Q34" s="75" t="s">
        <v>58</v>
      </c>
    </row>
    <row r="35" spans="1:24" ht="12.75" hidden="1" customHeight="1" thickBot="1" x14ac:dyDescent="0.25">
      <c r="A35" s="282"/>
      <c r="B35" s="283"/>
      <c r="C35" s="76">
        <f t="shared" ref="C35:N35" si="4">SUM(C36:C79)-C80</f>
        <v>10520905.539999997</v>
      </c>
      <c r="D35" s="76">
        <f t="shared" si="4"/>
        <v>9731198.8099999987</v>
      </c>
      <c r="E35" s="121">
        <f t="shared" si="4"/>
        <v>12803644.810000001</v>
      </c>
      <c r="F35" s="76">
        <f t="shared" si="4"/>
        <v>13031081.329999998</v>
      </c>
      <c r="G35" s="76">
        <f t="shared" si="4"/>
        <v>13472447.670000002</v>
      </c>
      <c r="H35" s="76">
        <f t="shared" si="4"/>
        <v>13244367.890000001</v>
      </c>
      <c r="I35" s="76">
        <f t="shared" si="4"/>
        <v>13265921.750000002</v>
      </c>
      <c r="J35" s="76">
        <f t="shared" si="4"/>
        <v>13884057.25</v>
      </c>
      <c r="K35" s="76">
        <f t="shared" si="4"/>
        <v>12965039.280000001</v>
      </c>
      <c r="L35" s="76">
        <f t="shared" si="4"/>
        <v>12760372.589999998</v>
      </c>
      <c r="M35" s="76">
        <f t="shared" si="4"/>
        <v>12388023.220000001</v>
      </c>
      <c r="N35" s="76">
        <f t="shared" si="4"/>
        <v>12600985.240000002</v>
      </c>
      <c r="O35" s="77">
        <f>SUM(C35:N35)</f>
        <v>150668045.38000003</v>
      </c>
      <c r="P35" s="78">
        <f>SUM(P36:P79)</f>
        <v>0</v>
      </c>
      <c r="Q35" s="79">
        <f>SUM(Q36:Q79)</f>
        <v>0</v>
      </c>
    </row>
    <row r="36" spans="1:24" ht="36" hidden="1" customHeight="1" x14ac:dyDescent="0.2">
      <c r="A36" s="80" t="s">
        <v>104</v>
      </c>
      <c r="B36" s="89" t="s">
        <v>32</v>
      </c>
      <c r="C36" s="144">
        <f>260008.17-20897.43</f>
        <v>239110.74000000002</v>
      </c>
      <c r="D36" s="144">
        <f>185577.23-17075.54</f>
        <v>168501.69</v>
      </c>
      <c r="E36" s="144">
        <f>163866.92-16143.94</f>
        <v>147722.98000000001</v>
      </c>
      <c r="F36" s="144">
        <f>182257.6-18966.53</f>
        <v>163291.07</v>
      </c>
      <c r="G36" s="144">
        <f>186650.35-23137.13</f>
        <v>163513.22</v>
      </c>
      <c r="H36" s="145">
        <f>548079.88-19618.65</f>
        <v>528461.23</v>
      </c>
      <c r="I36" s="144">
        <f>168832.6-17297.69</f>
        <v>151534.91</v>
      </c>
      <c r="J36" s="144">
        <f>288247.66-21128</f>
        <v>267119.65999999997</v>
      </c>
      <c r="K36" s="144">
        <f>222610.79-22566.01</f>
        <v>200044.78</v>
      </c>
      <c r="L36" s="144">
        <f>211467.73-20706.09</f>
        <v>190761.64</v>
      </c>
      <c r="M36" s="144">
        <f>211655.76-20688.03</f>
        <v>190967.73</v>
      </c>
      <c r="N36" s="144">
        <f>435943.81-24904.31</f>
        <v>411039.5</v>
      </c>
      <c r="O36" s="146"/>
      <c r="P36" s="147"/>
      <c r="Q36" s="133">
        <f t="shared" ref="Q36:Q66" si="5">P36-O36</f>
        <v>0</v>
      </c>
    </row>
    <row r="37" spans="1:24" ht="36" hidden="1" customHeight="1" x14ac:dyDescent="0.2">
      <c r="A37" s="81" t="s">
        <v>105</v>
      </c>
      <c r="B37" s="90" t="s">
        <v>32</v>
      </c>
      <c r="C37" s="148">
        <v>528.46</v>
      </c>
      <c r="D37" s="148">
        <v>758.35</v>
      </c>
      <c r="E37" s="148">
        <v>475.18</v>
      </c>
      <c r="F37" s="148">
        <v>183.64</v>
      </c>
      <c r="G37" s="148">
        <v>484.32</v>
      </c>
      <c r="H37" s="149">
        <v>214.2</v>
      </c>
      <c r="I37" s="149">
        <v>108.73</v>
      </c>
      <c r="J37" s="149">
        <v>1665.5</v>
      </c>
      <c r="K37" s="149">
        <v>398.18</v>
      </c>
      <c r="L37" s="149">
        <v>575.51</v>
      </c>
      <c r="M37" s="149">
        <v>356.12</v>
      </c>
      <c r="N37" s="149">
        <v>573.29999999999995</v>
      </c>
      <c r="O37" s="150"/>
      <c r="P37" s="151"/>
      <c r="Q37" s="137">
        <f t="shared" si="5"/>
        <v>0</v>
      </c>
    </row>
    <row r="38" spans="1:24" ht="36" hidden="1" customHeight="1" x14ac:dyDescent="0.2">
      <c r="A38" s="82" t="s">
        <v>117</v>
      </c>
      <c r="B38" s="91" t="s">
        <v>33</v>
      </c>
      <c r="C38" s="148">
        <v>1273371.81</v>
      </c>
      <c r="D38" s="148">
        <v>1178286.22</v>
      </c>
      <c r="E38" s="152">
        <v>1314554.71</v>
      </c>
      <c r="F38" s="148">
        <v>1893136.53</v>
      </c>
      <c r="G38" s="152">
        <v>1628417.62</v>
      </c>
      <c r="H38" s="149">
        <v>1323185.97</v>
      </c>
      <c r="I38" s="152">
        <v>1558554.71</v>
      </c>
      <c r="J38" s="152">
        <v>877908.93999999901</v>
      </c>
      <c r="K38" s="152">
        <v>890686.2</v>
      </c>
      <c r="L38" s="149">
        <v>843951.88</v>
      </c>
      <c r="M38" s="152">
        <v>1027909.76</v>
      </c>
      <c r="N38" s="152">
        <v>1130012.3500000001</v>
      </c>
      <c r="O38" s="149"/>
      <c r="P38" s="153"/>
      <c r="Q38" s="139">
        <f t="shared" si="5"/>
        <v>0</v>
      </c>
    </row>
    <row r="39" spans="1:24" ht="36" hidden="1" customHeight="1" x14ac:dyDescent="0.2">
      <c r="A39" s="82" t="s">
        <v>106</v>
      </c>
      <c r="B39" s="94" t="s">
        <v>35</v>
      </c>
      <c r="C39" s="152"/>
      <c r="D39" s="152">
        <v>0</v>
      </c>
      <c r="E39" s="152">
        <v>35.549999999999997</v>
      </c>
      <c r="F39" s="152">
        <v>7.05</v>
      </c>
      <c r="G39" s="152">
        <v>0</v>
      </c>
      <c r="H39" s="149">
        <v>3.6</v>
      </c>
      <c r="I39" s="149">
        <v>0</v>
      </c>
      <c r="J39" s="149">
        <v>0</v>
      </c>
      <c r="K39" s="149">
        <v>0</v>
      </c>
      <c r="L39" s="149">
        <v>12.9</v>
      </c>
      <c r="M39" s="149">
        <v>0</v>
      </c>
      <c r="N39" s="149">
        <v>0</v>
      </c>
      <c r="O39" s="150"/>
      <c r="P39" s="153"/>
      <c r="Q39" s="139">
        <f t="shared" si="5"/>
        <v>0</v>
      </c>
    </row>
    <row r="40" spans="1:24" ht="36" hidden="1" customHeight="1" x14ac:dyDescent="0.2">
      <c r="A40" s="82" t="s">
        <v>123</v>
      </c>
      <c r="B40" s="95" t="s">
        <v>34</v>
      </c>
      <c r="C40" s="152">
        <v>0</v>
      </c>
      <c r="D40" s="152">
        <v>0</v>
      </c>
      <c r="E40" s="152">
        <v>0</v>
      </c>
      <c r="F40" s="152">
        <v>120</v>
      </c>
      <c r="G40" s="152">
        <v>0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  <c r="M40" s="149">
        <v>0</v>
      </c>
      <c r="N40" s="149">
        <v>0</v>
      </c>
      <c r="O40" s="149"/>
      <c r="P40" s="153"/>
      <c r="Q40" s="139">
        <f t="shared" si="5"/>
        <v>0</v>
      </c>
    </row>
    <row r="41" spans="1:24" ht="36" hidden="1" customHeight="1" x14ac:dyDescent="0.2">
      <c r="A41" s="82" t="s">
        <v>119</v>
      </c>
      <c r="B41" s="94" t="s">
        <v>35</v>
      </c>
      <c r="C41" s="152">
        <f>3401587.85+5356358.1</f>
        <v>8757945.9499999993</v>
      </c>
      <c r="D41" s="152">
        <v>8285270.0999999996</v>
      </c>
      <c r="E41" s="152">
        <f>6537488.76+4444020.15</f>
        <v>10981508.91</v>
      </c>
      <c r="F41" s="152">
        <f>3751058.14+7100655.5</f>
        <v>10851713.640000001</v>
      </c>
      <c r="G41" s="152">
        <f>11084047.91+490399.5</f>
        <v>11574447.41</v>
      </c>
      <c r="H41" s="149">
        <f>4369667.9+6886185.75</f>
        <v>11255853.65</v>
      </c>
      <c r="I41" s="149">
        <f>4263504.73+7218352.9</f>
        <v>11481857.630000001</v>
      </c>
      <c r="J41" s="149">
        <f>4917651.82+7592842.35</f>
        <v>12510494.17</v>
      </c>
      <c r="K41" s="149">
        <f>7168674.18+4493409</f>
        <v>11662083.18</v>
      </c>
      <c r="L41" s="149">
        <f>4084202.9+7243874.85</f>
        <v>11328077.75</v>
      </c>
      <c r="M41" s="149">
        <f>4284924.5+6798785.65</f>
        <v>11083710.15</v>
      </c>
      <c r="N41" s="149">
        <f>8676841.83+2294113.5</f>
        <v>10970955.33</v>
      </c>
      <c r="O41" s="150"/>
      <c r="P41" s="153"/>
      <c r="Q41" s="139">
        <f t="shared" si="5"/>
        <v>0</v>
      </c>
    </row>
    <row r="42" spans="1:24" ht="36" hidden="1" customHeight="1" x14ac:dyDescent="0.2">
      <c r="A42" s="82" t="s">
        <v>107</v>
      </c>
      <c r="B42" s="95" t="s">
        <v>34</v>
      </c>
      <c r="C42" s="152">
        <v>0</v>
      </c>
      <c r="D42" s="152">
        <v>0</v>
      </c>
      <c r="E42" s="152">
        <v>0</v>
      </c>
      <c r="F42" s="152">
        <v>0</v>
      </c>
      <c r="G42" s="152">
        <v>0</v>
      </c>
      <c r="H42" s="149">
        <v>0</v>
      </c>
      <c r="I42" s="152">
        <v>0</v>
      </c>
      <c r="J42" s="152">
        <v>0</v>
      </c>
      <c r="K42" s="152">
        <v>0</v>
      </c>
      <c r="L42" s="152">
        <v>0</v>
      </c>
      <c r="M42" s="152">
        <v>0</v>
      </c>
      <c r="N42" s="152">
        <v>0</v>
      </c>
      <c r="O42" s="149"/>
      <c r="P42" s="153"/>
      <c r="Q42" s="139">
        <f t="shared" si="5"/>
        <v>0</v>
      </c>
    </row>
    <row r="43" spans="1:24" ht="36" hidden="1" customHeight="1" x14ac:dyDescent="0.2">
      <c r="A43" s="82" t="s">
        <v>121</v>
      </c>
      <c r="B43" s="95" t="s">
        <v>34</v>
      </c>
      <c r="C43" s="152">
        <v>3772.51</v>
      </c>
      <c r="D43" s="152">
        <v>151.15</v>
      </c>
      <c r="E43" s="152">
        <v>1784.85</v>
      </c>
      <c r="F43" s="152">
        <v>2391.62</v>
      </c>
      <c r="G43" s="152">
        <v>0</v>
      </c>
      <c r="H43" s="149">
        <v>-2391.62</v>
      </c>
      <c r="I43" s="149">
        <v>0</v>
      </c>
      <c r="J43" s="149">
        <v>1950.84</v>
      </c>
      <c r="K43" s="149">
        <v>21199.91</v>
      </c>
      <c r="L43" s="149">
        <v>103.22</v>
      </c>
      <c r="M43" s="149">
        <v>25.96</v>
      </c>
      <c r="N43" s="149">
        <v>131.71</v>
      </c>
      <c r="O43" s="150"/>
      <c r="P43" s="153"/>
      <c r="Q43" s="139">
        <f t="shared" si="5"/>
        <v>0</v>
      </c>
    </row>
    <row r="44" spans="1:24" ht="36" hidden="1" customHeight="1" x14ac:dyDescent="0.2">
      <c r="A44" s="82" t="s">
        <v>120</v>
      </c>
      <c r="B44" s="95" t="s">
        <v>34</v>
      </c>
      <c r="C44" s="152">
        <v>0</v>
      </c>
      <c r="D44" s="152">
        <v>63.32</v>
      </c>
      <c r="E44" s="152">
        <v>0.76</v>
      </c>
      <c r="F44" s="152">
        <v>1.29</v>
      </c>
      <c r="G44" s="152">
        <v>89.92</v>
      </c>
      <c r="H44" s="149">
        <v>0.37000000000000499</v>
      </c>
      <c r="I44" s="149">
        <v>335.47</v>
      </c>
      <c r="J44" s="149">
        <v>0</v>
      </c>
      <c r="K44" s="149">
        <v>0</v>
      </c>
      <c r="L44" s="149">
        <v>0</v>
      </c>
      <c r="M44" s="149">
        <v>0</v>
      </c>
      <c r="N44" s="149">
        <v>0</v>
      </c>
      <c r="O44" s="150"/>
      <c r="P44" s="153"/>
      <c r="Q44" s="139">
        <f t="shared" si="5"/>
        <v>0</v>
      </c>
    </row>
    <row r="45" spans="1:24" ht="36" hidden="1" customHeight="1" x14ac:dyDescent="0.2">
      <c r="A45" s="82" t="s">
        <v>108</v>
      </c>
      <c r="B45" s="95" t="s">
        <v>34</v>
      </c>
      <c r="C45" s="152">
        <v>0</v>
      </c>
      <c r="D45" s="152">
        <v>0</v>
      </c>
      <c r="E45" s="152">
        <v>0</v>
      </c>
      <c r="F45" s="152">
        <v>0</v>
      </c>
      <c r="G45" s="152">
        <v>0</v>
      </c>
      <c r="H45" s="149">
        <v>0</v>
      </c>
      <c r="I45" s="149">
        <v>0</v>
      </c>
      <c r="J45" s="149">
        <v>0</v>
      </c>
      <c r="K45" s="149">
        <v>0</v>
      </c>
      <c r="L45" s="149">
        <v>0</v>
      </c>
      <c r="M45" s="149">
        <v>0</v>
      </c>
      <c r="N45" s="149">
        <v>0</v>
      </c>
      <c r="O45" s="150"/>
      <c r="P45" s="153"/>
      <c r="Q45" s="139">
        <f t="shared" si="5"/>
        <v>0</v>
      </c>
    </row>
    <row r="46" spans="1:24" ht="36" hidden="1" customHeight="1" x14ac:dyDescent="0.2">
      <c r="A46" s="82" t="s">
        <v>109</v>
      </c>
      <c r="B46" s="95" t="s">
        <v>34</v>
      </c>
      <c r="C46" s="152">
        <v>0</v>
      </c>
      <c r="D46" s="152">
        <v>0</v>
      </c>
      <c r="E46" s="152">
        <v>0</v>
      </c>
      <c r="F46" s="152">
        <v>0</v>
      </c>
      <c r="G46" s="152">
        <v>0</v>
      </c>
      <c r="H46" s="149">
        <v>0</v>
      </c>
      <c r="I46" s="149">
        <v>0</v>
      </c>
      <c r="J46" s="149">
        <v>0</v>
      </c>
      <c r="K46" s="149">
        <v>0</v>
      </c>
      <c r="L46" s="149">
        <v>0</v>
      </c>
      <c r="M46" s="149">
        <v>0</v>
      </c>
      <c r="N46" s="149">
        <v>0</v>
      </c>
      <c r="O46" s="149"/>
      <c r="P46" s="153"/>
      <c r="Q46" s="139">
        <f t="shared" si="5"/>
        <v>0</v>
      </c>
      <c r="S46" s="97"/>
      <c r="T46" s="97"/>
      <c r="U46" s="97"/>
      <c r="V46" s="97"/>
      <c r="W46" s="97"/>
      <c r="X46" s="97"/>
    </row>
    <row r="47" spans="1:24" ht="36" hidden="1" customHeight="1" x14ac:dyDescent="0.2">
      <c r="A47" s="82" t="s">
        <v>110</v>
      </c>
      <c r="B47" s="95" t="s">
        <v>34</v>
      </c>
      <c r="C47" s="152">
        <v>0</v>
      </c>
      <c r="D47" s="149">
        <v>0</v>
      </c>
      <c r="E47" s="149">
        <v>0</v>
      </c>
      <c r="F47" s="149">
        <v>0</v>
      </c>
      <c r="G47" s="149">
        <v>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  <c r="M47" s="149">
        <v>0</v>
      </c>
      <c r="N47" s="149">
        <v>0</v>
      </c>
      <c r="O47" s="150"/>
      <c r="P47" s="153"/>
      <c r="Q47" s="139">
        <f t="shared" si="5"/>
        <v>0</v>
      </c>
      <c r="S47" s="97"/>
      <c r="T47" s="97"/>
      <c r="U47" s="97"/>
      <c r="V47" s="97"/>
      <c r="W47" s="97"/>
      <c r="X47" s="97"/>
    </row>
    <row r="48" spans="1:24" ht="36" hidden="1" customHeight="1" x14ac:dyDescent="0.2">
      <c r="A48" s="82" t="s">
        <v>111</v>
      </c>
      <c r="B48" s="95" t="s">
        <v>34</v>
      </c>
      <c r="C48" s="152">
        <v>222790.29</v>
      </c>
      <c r="D48" s="152">
        <v>96348.94</v>
      </c>
      <c r="E48" s="152">
        <f>358149.83-11853.2</f>
        <v>346296.63</v>
      </c>
      <c r="F48" s="152">
        <v>90732.07</v>
      </c>
      <c r="G48" s="152">
        <v>91088.13</v>
      </c>
      <c r="H48" s="149">
        <v>122721.98</v>
      </c>
      <c r="I48" s="149">
        <v>56437.71</v>
      </c>
      <c r="J48" s="149">
        <v>208483.15</v>
      </c>
      <c r="K48" s="149">
        <v>176358.64</v>
      </c>
      <c r="L48" s="149">
        <v>374171.04</v>
      </c>
      <c r="M48" s="149">
        <v>75404.460000000006</v>
      </c>
      <c r="N48" s="149">
        <v>86968.47</v>
      </c>
      <c r="O48" s="150"/>
      <c r="P48" s="153"/>
      <c r="Q48" s="139"/>
      <c r="S48" s="97"/>
      <c r="T48" s="97"/>
      <c r="U48" s="97"/>
      <c r="V48" s="97"/>
      <c r="W48" s="97"/>
      <c r="X48" s="97"/>
    </row>
    <row r="49" spans="1:24" ht="36" hidden="1" customHeight="1" x14ac:dyDescent="0.2">
      <c r="A49" s="82" t="s">
        <v>112</v>
      </c>
      <c r="B49" s="95" t="s">
        <v>34</v>
      </c>
      <c r="C49" s="152"/>
      <c r="D49" s="152">
        <v>0</v>
      </c>
      <c r="E49" s="152">
        <v>0</v>
      </c>
      <c r="F49" s="152">
        <v>0</v>
      </c>
      <c r="G49" s="152">
        <v>0</v>
      </c>
      <c r="H49" s="152">
        <v>0</v>
      </c>
      <c r="I49" s="154">
        <v>0</v>
      </c>
      <c r="J49" s="152">
        <v>0</v>
      </c>
      <c r="K49" s="152">
        <v>0</v>
      </c>
      <c r="L49" s="152">
        <v>0</v>
      </c>
      <c r="M49" s="152">
        <v>0</v>
      </c>
      <c r="N49" s="152">
        <v>0</v>
      </c>
      <c r="O49" s="152"/>
      <c r="P49" s="152">
        <v>0</v>
      </c>
      <c r="Q49" s="139"/>
      <c r="S49" s="97"/>
      <c r="T49" s="97"/>
      <c r="U49" s="97"/>
      <c r="V49" s="97"/>
      <c r="W49" s="97"/>
      <c r="X49" s="97"/>
    </row>
    <row r="50" spans="1:24" ht="36" hidden="1" customHeight="1" x14ac:dyDescent="0.2">
      <c r="A50" s="82" t="s">
        <v>113</v>
      </c>
      <c r="B50" s="95" t="s">
        <v>34</v>
      </c>
      <c r="C50" s="152"/>
      <c r="D50" s="152">
        <v>0</v>
      </c>
      <c r="E50" s="152">
        <v>0</v>
      </c>
      <c r="F50" s="152">
        <v>0</v>
      </c>
      <c r="G50" s="152">
        <v>0</v>
      </c>
      <c r="H50" s="149">
        <v>0</v>
      </c>
      <c r="I50" s="155">
        <v>0</v>
      </c>
      <c r="J50" s="149">
        <v>0</v>
      </c>
      <c r="K50" s="149">
        <v>0</v>
      </c>
      <c r="L50" s="149">
        <v>0</v>
      </c>
      <c r="M50" s="149">
        <v>0</v>
      </c>
      <c r="N50" s="149">
        <v>0</v>
      </c>
      <c r="O50" s="149"/>
      <c r="P50" s="153"/>
      <c r="Q50" s="139">
        <f t="shared" si="5"/>
        <v>0</v>
      </c>
      <c r="S50" s="97"/>
      <c r="T50" s="97"/>
      <c r="U50" s="97"/>
      <c r="V50" s="97"/>
      <c r="W50" s="97"/>
      <c r="X50" s="97"/>
    </row>
    <row r="51" spans="1:24" ht="36" hidden="1" customHeight="1" x14ac:dyDescent="0.2">
      <c r="A51" s="82" t="s">
        <v>114</v>
      </c>
      <c r="B51" s="95" t="s">
        <v>34</v>
      </c>
      <c r="C51" s="152"/>
      <c r="D51" s="152">
        <v>0</v>
      </c>
      <c r="E51" s="152">
        <v>0</v>
      </c>
      <c r="F51" s="152">
        <v>0</v>
      </c>
      <c r="G51" s="152">
        <v>0</v>
      </c>
      <c r="H51" s="149">
        <v>0</v>
      </c>
      <c r="I51" s="155">
        <v>0</v>
      </c>
      <c r="J51" s="149">
        <v>0</v>
      </c>
      <c r="K51" s="149">
        <v>0</v>
      </c>
      <c r="L51" s="149">
        <v>0</v>
      </c>
      <c r="M51" s="149">
        <v>0</v>
      </c>
      <c r="N51" s="149">
        <v>0</v>
      </c>
      <c r="O51" s="150"/>
      <c r="P51" s="153"/>
      <c r="Q51" s="139">
        <f t="shared" si="5"/>
        <v>0</v>
      </c>
      <c r="S51" s="97"/>
      <c r="T51" s="97"/>
      <c r="U51" s="97"/>
      <c r="V51" s="97"/>
      <c r="W51" s="97"/>
      <c r="X51" s="97"/>
    </row>
    <row r="52" spans="1:24" ht="36" hidden="1" customHeight="1" x14ac:dyDescent="0.2">
      <c r="A52" s="82" t="s">
        <v>115</v>
      </c>
      <c r="B52" s="94" t="s">
        <v>35</v>
      </c>
      <c r="C52" s="152">
        <v>0</v>
      </c>
      <c r="D52" s="152">
        <v>0</v>
      </c>
      <c r="E52" s="152">
        <v>0</v>
      </c>
      <c r="F52" s="152">
        <v>0</v>
      </c>
      <c r="G52" s="152">
        <v>0</v>
      </c>
      <c r="H52" s="149">
        <v>0</v>
      </c>
      <c r="I52" s="154">
        <v>0</v>
      </c>
      <c r="J52" s="152">
        <v>0</v>
      </c>
      <c r="K52" s="152">
        <v>0</v>
      </c>
      <c r="L52" s="149">
        <v>0</v>
      </c>
      <c r="M52" s="152">
        <v>0</v>
      </c>
      <c r="N52" s="152">
        <v>0</v>
      </c>
      <c r="O52" s="156">
        <f>SUM(C52:N52)</f>
        <v>0</v>
      </c>
      <c r="P52" s="153"/>
      <c r="Q52" s="139">
        <f t="shared" si="5"/>
        <v>0</v>
      </c>
      <c r="S52" s="98"/>
      <c r="T52" s="98"/>
      <c r="U52" s="98"/>
      <c r="V52" s="97"/>
      <c r="W52" s="98"/>
      <c r="X52" s="98"/>
    </row>
    <row r="53" spans="1:24" ht="36.75" hidden="1" customHeight="1" x14ac:dyDescent="0.2">
      <c r="A53" s="82" t="s">
        <v>116</v>
      </c>
      <c r="B53" s="95" t="s">
        <v>34</v>
      </c>
      <c r="C53" s="152">
        <v>23385.78</v>
      </c>
      <c r="D53" s="152">
        <v>1819.04</v>
      </c>
      <c r="E53" s="152">
        <v>11265.24</v>
      </c>
      <c r="F53" s="152">
        <v>29504.42</v>
      </c>
      <c r="G53" s="152">
        <v>14407.05</v>
      </c>
      <c r="H53" s="149">
        <v>16318.51</v>
      </c>
      <c r="I53" s="154">
        <v>17092.59</v>
      </c>
      <c r="J53" s="152">
        <v>16434.990000000002</v>
      </c>
      <c r="K53" s="152">
        <v>14265.25</v>
      </c>
      <c r="L53" s="149">
        <v>22721.79</v>
      </c>
      <c r="M53" s="152">
        <v>9649.0400000000009</v>
      </c>
      <c r="N53" s="152">
        <v>1304.58</v>
      </c>
      <c r="O53" s="156"/>
      <c r="P53" s="153"/>
      <c r="Q53" s="139"/>
      <c r="S53" s="98"/>
      <c r="T53" s="98"/>
      <c r="U53" s="98"/>
      <c r="V53" s="97"/>
      <c r="W53" s="98"/>
      <c r="X53" s="98"/>
    </row>
    <row r="54" spans="1:24" ht="36.75" hidden="1" customHeight="1" thickBot="1" x14ac:dyDescent="0.25">
      <c r="A54" s="81" t="s">
        <v>124</v>
      </c>
      <c r="B54" s="95" t="s">
        <v>34</v>
      </c>
      <c r="C54" s="152">
        <v>0</v>
      </c>
      <c r="D54" s="152">
        <v>0</v>
      </c>
      <c r="E54" s="152">
        <v>0</v>
      </c>
      <c r="F54" s="152">
        <v>0</v>
      </c>
      <c r="G54" s="152">
        <v>0</v>
      </c>
      <c r="H54" s="149">
        <v>0</v>
      </c>
      <c r="I54" s="154">
        <v>0</v>
      </c>
      <c r="J54" s="152">
        <v>0</v>
      </c>
      <c r="K54" s="152">
        <v>3.14</v>
      </c>
      <c r="L54" s="149">
        <v>-3.14</v>
      </c>
      <c r="M54" s="152">
        <v>0</v>
      </c>
      <c r="N54" s="152">
        <v>0</v>
      </c>
      <c r="O54" s="156"/>
      <c r="P54" s="153"/>
      <c r="Q54" s="139"/>
      <c r="S54" s="98"/>
      <c r="T54" s="98"/>
      <c r="U54" s="98"/>
      <c r="V54" s="97"/>
      <c r="W54" s="98"/>
      <c r="X54" s="98"/>
    </row>
    <row r="55" spans="1:24" ht="16.5" hidden="1" customHeight="1" x14ac:dyDescent="0.25">
      <c r="A55" s="82" t="s">
        <v>36</v>
      </c>
      <c r="B55" s="95" t="s">
        <v>34</v>
      </c>
      <c r="C55" s="157"/>
      <c r="D55" s="157"/>
      <c r="E55" s="157"/>
      <c r="F55" s="157"/>
      <c r="G55" s="157"/>
      <c r="H55" s="158"/>
      <c r="I55" s="157"/>
      <c r="J55" s="157"/>
      <c r="K55" s="157"/>
      <c r="L55" s="158"/>
      <c r="M55" s="157"/>
      <c r="N55" s="159"/>
      <c r="O55" s="160">
        <f t="shared" ref="O55:O78" si="6">SUM(C55:N55)</f>
        <v>0</v>
      </c>
      <c r="P55" s="161"/>
      <c r="Q55" s="162">
        <f t="shared" si="5"/>
        <v>0</v>
      </c>
      <c r="S55" s="98"/>
      <c r="T55" s="98"/>
      <c r="U55" s="98"/>
      <c r="V55" s="97"/>
      <c r="W55" s="98"/>
      <c r="X55" s="98"/>
    </row>
    <row r="56" spans="1:24" ht="26.25" hidden="1" customHeight="1" x14ac:dyDescent="0.25">
      <c r="A56" s="82" t="s">
        <v>63</v>
      </c>
      <c r="B56" s="103" t="s">
        <v>34</v>
      </c>
      <c r="C56" s="157"/>
      <c r="D56" s="157"/>
      <c r="E56" s="157"/>
      <c r="F56" s="157"/>
      <c r="G56" s="157"/>
      <c r="H56" s="158"/>
      <c r="I56" s="157"/>
      <c r="J56" s="157"/>
      <c r="K56" s="157"/>
      <c r="L56" s="158"/>
      <c r="M56" s="157"/>
      <c r="N56" s="159"/>
      <c r="O56" s="160">
        <f>SUM(C56:N56)</f>
        <v>0</v>
      </c>
      <c r="P56" s="161"/>
      <c r="Q56" s="162">
        <f t="shared" si="5"/>
        <v>0</v>
      </c>
      <c r="S56" s="98"/>
      <c r="T56" s="98"/>
      <c r="U56" s="98"/>
      <c r="V56" s="98"/>
      <c r="W56" s="98"/>
      <c r="X56" s="98"/>
    </row>
    <row r="57" spans="1:24" ht="26.25" hidden="1" customHeight="1" x14ac:dyDescent="0.25">
      <c r="A57" s="82" t="s">
        <v>37</v>
      </c>
      <c r="B57" s="94" t="s">
        <v>35</v>
      </c>
      <c r="C57" s="157"/>
      <c r="D57" s="157"/>
      <c r="E57" s="157"/>
      <c r="F57" s="157"/>
      <c r="G57" s="157"/>
      <c r="H57" s="158"/>
      <c r="I57" s="157"/>
      <c r="J57" s="157"/>
      <c r="K57" s="157"/>
      <c r="L57" s="158"/>
      <c r="M57" s="157"/>
      <c r="N57" s="159"/>
      <c r="O57" s="160">
        <f t="shared" si="6"/>
        <v>0</v>
      </c>
      <c r="P57" s="161"/>
      <c r="Q57" s="162">
        <f t="shared" si="5"/>
        <v>0</v>
      </c>
      <c r="S57" s="98"/>
      <c r="T57" s="98"/>
      <c r="U57" s="98"/>
      <c r="V57" s="98"/>
      <c r="W57" s="98"/>
      <c r="X57" s="98"/>
    </row>
    <row r="58" spans="1:24" ht="26.25" hidden="1" customHeight="1" x14ac:dyDescent="0.25">
      <c r="A58" s="82" t="s">
        <v>38</v>
      </c>
      <c r="B58" s="96" t="s">
        <v>32</v>
      </c>
      <c r="C58" s="157"/>
      <c r="D58" s="157"/>
      <c r="E58" s="157"/>
      <c r="F58" s="157"/>
      <c r="G58" s="157"/>
      <c r="H58" s="158"/>
      <c r="I58" s="157"/>
      <c r="J58" s="157"/>
      <c r="K58" s="157"/>
      <c r="L58" s="158"/>
      <c r="M58" s="157"/>
      <c r="N58" s="159"/>
      <c r="O58" s="160">
        <f t="shared" si="6"/>
        <v>0</v>
      </c>
      <c r="P58" s="161"/>
      <c r="Q58" s="162">
        <f t="shared" si="5"/>
        <v>0</v>
      </c>
      <c r="S58" s="98"/>
      <c r="T58" s="98"/>
      <c r="U58" s="98"/>
      <c r="V58" s="97"/>
      <c r="W58" s="98"/>
      <c r="X58" s="98"/>
    </row>
    <row r="59" spans="1:24" ht="21" hidden="1" customHeight="1" x14ac:dyDescent="0.25">
      <c r="A59" s="82" t="s">
        <v>65</v>
      </c>
      <c r="B59" s="104"/>
      <c r="C59" s="157"/>
      <c r="D59" s="157"/>
      <c r="E59" s="157"/>
      <c r="F59" s="157"/>
      <c r="G59" s="157"/>
      <c r="H59" s="158"/>
      <c r="I59" s="157"/>
      <c r="J59" s="157"/>
      <c r="K59" s="157"/>
      <c r="L59" s="158"/>
      <c r="M59" s="157"/>
      <c r="N59" s="159"/>
      <c r="O59" s="160"/>
      <c r="P59" s="161"/>
      <c r="Q59" s="162"/>
      <c r="S59" s="98"/>
      <c r="T59" s="98"/>
      <c r="U59" s="98"/>
      <c r="V59" s="98"/>
      <c r="W59" s="98"/>
      <c r="X59" s="98"/>
    </row>
    <row r="60" spans="1:24" ht="26.25" hidden="1" customHeight="1" x14ac:dyDescent="0.25">
      <c r="A60" s="82" t="s">
        <v>57</v>
      </c>
      <c r="B60" s="96" t="s">
        <v>32</v>
      </c>
      <c r="C60" s="157"/>
      <c r="D60" s="157"/>
      <c r="E60" s="157"/>
      <c r="F60" s="157"/>
      <c r="G60" s="157"/>
      <c r="H60" s="158"/>
      <c r="I60" s="157"/>
      <c r="J60" s="157"/>
      <c r="K60" s="157"/>
      <c r="L60" s="158"/>
      <c r="M60" s="157"/>
      <c r="N60" s="159"/>
      <c r="O60" s="160">
        <f t="shared" si="6"/>
        <v>0</v>
      </c>
      <c r="P60" s="161"/>
      <c r="Q60" s="162">
        <f t="shared" si="5"/>
        <v>0</v>
      </c>
      <c r="S60" s="98"/>
      <c r="T60" s="98"/>
      <c r="U60" s="98"/>
      <c r="V60" s="98"/>
      <c r="W60" s="98"/>
      <c r="X60" s="98"/>
    </row>
    <row r="61" spans="1:24" ht="26.25" hidden="1" customHeight="1" x14ac:dyDescent="0.25">
      <c r="A61" s="82" t="s">
        <v>39</v>
      </c>
      <c r="B61" s="103" t="s">
        <v>34</v>
      </c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4">
        <f t="shared" si="6"/>
        <v>0</v>
      </c>
      <c r="P61" s="165"/>
      <c r="Q61" s="166">
        <f t="shared" si="5"/>
        <v>0</v>
      </c>
    </row>
    <row r="62" spans="1:24" ht="26.25" hidden="1" customHeight="1" x14ac:dyDescent="0.25">
      <c r="A62" s="82" t="s">
        <v>64</v>
      </c>
      <c r="B62" s="96" t="s">
        <v>32</v>
      </c>
      <c r="C62" s="157"/>
      <c r="D62" s="157"/>
      <c r="E62" s="157"/>
      <c r="F62" s="157"/>
      <c r="G62" s="157"/>
      <c r="H62" s="158"/>
      <c r="I62" s="157"/>
      <c r="J62" s="157"/>
      <c r="K62" s="157"/>
      <c r="L62" s="158"/>
      <c r="M62" s="157"/>
      <c r="N62" s="159"/>
      <c r="O62" s="160">
        <f t="shared" si="6"/>
        <v>0</v>
      </c>
      <c r="P62" s="161"/>
      <c r="Q62" s="162">
        <f t="shared" si="5"/>
        <v>0</v>
      </c>
    </row>
    <row r="63" spans="1:24" ht="16.5" hidden="1" customHeight="1" x14ac:dyDescent="0.25">
      <c r="A63" s="82" t="s">
        <v>40</v>
      </c>
      <c r="B63" s="103" t="s">
        <v>34</v>
      </c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4">
        <f t="shared" si="6"/>
        <v>0</v>
      </c>
      <c r="P63" s="165"/>
      <c r="Q63" s="166">
        <f t="shared" si="5"/>
        <v>0</v>
      </c>
    </row>
    <row r="64" spans="1:24" ht="26.25" hidden="1" customHeight="1" x14ac:dyDescent="0.25">
      <c r="A64" s="82" t="s">
        <v>41</v>
      </c>
      <c r="B64" s="109" t="s">
        <v>33</v>
      </c>
      <c r="C64" s="167"/>
      <c r="D64" s="167"/>
      <c r="E64" s="167"/>
      <c r="F64" s="167"/>
      <c r="G64" s="167"/>
      <c r="H64" s="158"/>
      <c r="I64" s="157"/>
      <c r="J64" s="157"/>
      <c r="K64" s="157"/>
      <c r="L64" s="158"/>
      <c r="M64" s="157"/>
      <c r="N64" s="159"/>
      <c r="O64" s="160">
        <f t="shared" si="6"/>
        <v>0</v>
      </c>
      <c r="P64" s="161"/>
      <c r="Q64" s="162">
        <f t="shared" si="5"/>
        <v>0</v>
      </c>
    </row>
    <row r="65" spans="1:17" ht="26.25" hidden="1" customHeight="1" x14ac:dyDescent="0.25">
      <c r="A65" s="82" t="s">
        <v>42</v>
      </c>
      <c r="B65" s="95" t="s">
        <v>34</v>
      </c>
      <c r="C65" s="157"/>
      <c r="D65" s="157"/>
      <c r="E65" s="157"/>
      <c r="F65" s="157"/>
      <c r="G65" s="157"/>
      <c r="H65" s="158"/>
      <c r="I65" s="157"/>
      <c r="J65" s="157"/>
      <c r="K65" s="157"/>
      <c r="L65" s="158"/>
      <c r="M65" s="157"/>
      <c r="N65" s="159"/>
      <c r="O65" s="160"/>
      <c r="P65" s="161"/>
      <c r="Q65" s="162">
        <f t="shared" si="5"/>
        <v>0</v>
      </c>
    </row>
    <row r="66" spans="1:17" ht="26.25" hidden="1" customHeight="1" x14ac:dyDescent="0.25">
      <c r="A66" s="82" t="s">
        <v>56</v>
      </c>
      <c r="B66" s="95" t="s">
        <v>34</v>
      </c>
      <c r="C66" s="157"/>
      <c r="D66" s="157"/>
      <c r="E66" s="157"/>
      <c r="F66" s="157"/>
      <c r="G66" s="157"/>
      <c r="H66" s="158"/>
      <c r="I66" s="157"/>
      <c r="J66" s="157"/>
      <c r="K66" s="157"/>
      <c r="L66" s="158"/>
      <c r="M66" s="157"/>
      <c r="N66" s="159"/>
      <c r="O66" s="160">
        <f t="shared" si="6"/>
        <v>0</v>
      </c>
      <c r="P66" s="161"/>
      <c r="Q66" s="162">
        <f t="shared" si="5"/>
        <v>0</v>
      </c>
    </row>
    <row r="67" spans="1:17" ht="26.25" hidden="1" customHeight="1" x14ac:dyDescent="0.25">
      <c r="A67" s="82" t="s">
        <v>43</v>
      </c>
      <c r="B67" s="103" t="s">
        <v>34</v>
      </c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4">
        <f t="shared" si="6"/>
        <v>0</v>
      </c>
      <c r="P67" s="165"/>
      <c r="Q67" s="166">
        <f>P67-O67</f>
        <v>0</v>
      </c>
    </row>
    <row r="68" spans="1:17" ht="26.25" hidden="1" customHeight="1" x14ac:dyDescent="0.25">
      <c r="A68" s="82" t="s">
        <v>44</v>
      </c>
      <c r="B68" s="95" t="s">
        <v>34</v>
      </c>
      <c r="C68" s="157"/>
      <c r="D68" s="157"/>
      <c r="E68" s="157"/>
      <c r="F68" s="157"/>
      <c r="G68" s="157"/>
      <c r="H68" s="158"/>
      <c r="I68" s="157"/>
      <c r="J68" s="157"/>
      <c r="K68" s="157"/>
      <c r="L68" s="158"/>
      <c r="M68" s="157"/>
      <c r="N68" s="159"/>
      <c r="O68" s="160">
        <f t="shared" si="6"/>
        <v>0</v>
      </c>
      <c r="P68" s="161"/>
      <c r="Q68" s="162">
        <f>P68-O68</f>
        <v>0</v>
      </c>
    </row>
    <row r="69" spans="1:17" ht="16.5" hidden="1" customHeight="1" x14ac:dyDescent="0.25">
      <c r="A69" s="82" t="s">
        <v>55</v>
      </c>
      <c r="B69" s="95" t="s">
        <v>34</v>
      </c>
      <c r="C69" s="157"/>
      <c r="D69" s="157"/>
      <c r="E69" s="157"/>
      <c r="F69" s="157"/>
      <c r="G69" s="157"/>
      <c r="H69" s="158"/>
      <c r="I69" s="157"/>
      <c r="J69" s="157"/>
      <c r="K69" s="157"/>
      <c r="L69" s="158"/>
      <c r="M69" s="157"/>
      <c r="N69" s="159"/>
      <c r="O69" s="160">
        <f t="shared" si="6"/>
        <v>0</v>
      </c>
      <c r="P69" s="161"/>
      <c r="Q69" s="162">
        <f>P69-O69</f>
        <v>0</v>
      </c>
    </row>
    <row r="70" spans="1:17" ht="16.5" hidden="1" customHeight="1" x14ac:dyDescent="0.25">
      <c r="A70" s="82" t="s">
        <v>45</v>
      </c>
      <c r="B70" s="95" t="s">
        <v>34</v>
      </c>
      <c r="C70" s="157"/>
      <c r="D70" s="157"/>
      <c r="E70" s="157"/>
      <c r="F70" s="157"/>
      <c r="G70" s="157"/>
      <c r="H70" s="158"/>
      <c r="I70" s="157"/>
      <c r="J70" s="159"/>
      <c r="K70" s="157"/>
      <c r="L70" s="158"/>
      <c r="M70" s="157"/>
      <c r="N70" s="159"/>
      <c r="O70" s="160">
        <f t="shared" si="6"/>
        <v>0</v>
      </c>
      <c r="P70" s="161"/>
      <c r="Q70" s="162">
        <f t="shared" ref="Q70:Q80" si="7">P70-O70</f>
        <v>0</v>
      </c>
    </row>
    <row r="71" spans="1:17" ht="26.25" hidden="1" customHeight="1" x14ac:dyDescent="0.25">
      <c r="A71" s="82" t="s">
        <v>46</v>
      </c>
      <c r="B71" s="103" t="s">
        <v>34</v>
      </c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4">
        <f t="shared" si="6"/>
        <v>0</v>
      </c>
      <c r="P71" s="165"/>
      <c r="Q71" s="166">
        <f t="shared" si="7"/>
        <v>0</v>
      </c>
    </row>
    <row r="72" spans="1:17" ht="26.25" hidden="1" customHeight="1" x14ac:dyDescent="0.25">
      <c r="A72" s="82" t="s">
        <v>47</v>
      </c>
      <c r="B72" s="103" t="s">
        <v>34</v>
      </c>
      <c r="C72" s="163"/>
      <c r="D72" s="163"/>
      <c r="E72" s="163"/>
      <c r="F72" s="163"/>
      <c r="G72" s="163"/>
      <c r="H72" s="168"/>
      <c r="I72" s="163"/>
      <c r="J72" s="163"/>
      <c r="K72" s="163"/>
      <c r="L72" s="168"/>
      <c r="M72" s="163"/>
      <c r="N72" s="163"/>
      <c r="O72" s="164">
        <f t="shared" si="6"/>
        <v>0</v>
      </c>
      <c r="P72" s="169"/>
      <c r="Q72" s="166">
        <f t="shared" si="7"/>
        <v>0</v>
      </c>
    </row>
    <row r="73" spans="1:17" ht="26.25" hidden="1" customHeight="1" x14ac:dyDescent="0.25">
      <c r="A73" s="82" t="s">
        <v>48</v>
      </c>
      <c r="B73" s="94" t="s">
        <v>35</v>
      </c>
      <c r="C73" s="167"/>
      <c r="D73" s="157"/>
      <c r="E73" s="157"/>
      <c r="F73" s="157"/>
      <c r="G73" s="157"/>
      <c r="H73" s="158"/>
      <c r="I73" s="157"/>
      <c r="J73" s="157"/>
      <c r="K73" s="157"/>
      <c r="L73" s="158"/>
      <c r="M73" s="157"/>
      <c r="N73" s="159"/>
      <c r="O73" s="160">
        <f t="shared" si="6"/>
        <v>0</v>
      </c>
      <c r="P73" s="161"/>
      <c r="Q73" s="162">
        <f t="shared" si="7"/>
        <v>0</v>
      </c>
    </row>
    <row r="74" spans="1:17" ht="26.25" hidden="1" customHeight="1" x14ac:dyDescent="0.25">
      <c r="A74" s="82" t="s">
        <v>49</v>
      </c>
      <c r="B74" s="95" t="s">
        <v>34</v>
      </c>
      <c r="C74" s="167"/>
      <c r="D74" s="157"/>
      <c r="E74" s="157"/>
      <c r="F74" s="157"/>
      <c r="G74" s="157"/>
      <c r="H74" s="158"/>
      <c r="I74" s="157"/>
      <c r="J74" s="157"/>
      <c r="K74" s="157"/>
      <c r="L74" s="158"/>
      <c r="M74" s="157"/>
      <c r="N74" s="159"/>
      <c r="O74" s="160">
        <f t="shared" si="6"/>
        <v>0</v>
      </c>
      <c r="P74" s="161"/>
      <c r="Q74" s="162">
        <f t="shared" si="7"/>
        <v>0</v>
      </c>
    </row>
    <row r="75" spans="1:17" ht="16.5" hidden="1" customHeight="1" x14ac:dyDescent="0.25">
      <c r="A75" s="82" t="s">
        <v>50</v>
      </c>
      <c r="B75" s="95" t="s">
        <v>34</v>
      </c>
      <c r="C75" s="167"/>
      <c r="D75" s="157"/>
      <c r="E75" s="157"/>
      <c r="F75" s="157"/>
      <c r="G75" s="157"/>
      <c r="H75" s="158"/>
      <c r="I75" s="157"/>
      <c r="J75" s="157"/>
      <c r="K75" s="157"/>
      <c r="L75" s="158"/>
      <c r="M75" s="157"/>
      <c r="N75" s="159"/>
      <c r="O75" s="160">
        <f t="shared" si="6"/>
        <v>0</v>
      </c>
      <c r="P75" s="161"/>
      <c r="Q75" s="162">
        <f t="shared" si="7"/>
        <v>0</v>
      </c>
    </row>
    <row r="76" spans="1:17" ht="26.25" hidden="1" customHeight="1" x14ac:dyDescent="0.25">
      <c r="A76" s="82" t="s">
        <v>51</v>
      </c>
      <c r="B76" s="95" t="s">
        <v>34</v>
      </c>
      <c r="C76" s="167"/>
      <c r="D76" s="157"/>
      <c r="E76" s="157"/>
      <c r="F76" s="157"/>
      <c r="G76" s="157"/>
      <c r="H76" s="158"/>
      <c r="I76" s="157"/>
      <c r="J76" s="157"/>
      <c r="K76" s="157"/>
      <c r="L76" s="158"/>
      <c r="M76" s="157"/>
      <c r="N76" s="159"/>
      <c r="O76" s="160">
        <f t="shared" si="6"/>
        <v>0</v>
      </c>
      <c r="P76" s="161"/>
      <c r="Q76" s="162">
        <f t="shared" si="7"/>
        <v>0</v>
      </c>
    </row>
    <row r="77" spans="1:17" ht="26.25" hidden="1" customHeight="1" x14ac:dyDescent="0.25">
      <c r="A77" s="82" t="s">
        <v>52</v>
      </c>
      <c r="B77" s="95" t="s">
        <v>34</v>
      </c>
      <c r="C77" s="157"/>
      <c r="D77" s="157"/>
      <c r="E77" s="157"/>
      <c r="F77" s="167"/>
      <c r="G77" s="157"/>
      <c r="H77" s="158"/>
      <c r="I77" s="157"/>
      <c r="J77" s="157"/>
      <c r="K77" s="157"/>
      <c r="L77" s="158"/>
      <c r="M77" s="157"/>
      <c r="N77" s="159"/>
      <c r="O77" s="160">
        <f t="shared" si="6"/>
        <v>0</v>
      </c>
      <c r="P77" s="161"/>
      <c r="Q77" s="162">
        <f t="shared" si="7"/>
        <v>0</v>
      </c>
    </row>
    <row r="78" spans="1:17" ht="16.5" hidden="1" customHeight="1" x14ac:dyDescent="0.25">
      <c r="A78" s="82" t="s">
        <v>60</v>
      </c>
      <c r="B78" s="95" t="s">
        <v>34</v>
      </c>
      <c r="C78" s="157"/>
      <c r="D78" s="157"/>
      <c r="E78" s="157"/>
      <c r="F78" s="167"/>
      <c r="G78" s="157"/>
      <c r="H78" s="158"/>
      <c r="I78" s="157"/>
      <c r="J78" s="157"/>
      <c r="K78" s="157"/>
      <c r="L78" s="158"/>
      <c r="M78" s="157"/>
      <c r="N78" s="159"/>
      <c r="O78" s="160">
        <f t="shared" si="6"/>
        <v>0</v>
      </c>
      <c r="P78" s="161"/>
      <c r="Q78" s="162">
        <f>P78-O78</f>
        <v>0</v>
      </c>
    </row>
    <row r="79" spans="1:17" ht="16.5" hidden="1" customHeight="1" thickBot="1" x14ac:dyDescent="0.25">
      <c r="A79" s="82" t="s">
        <v>54</v>
      </c>
      <c r="B79" s="103" t="s">
        <v>34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4">
        <f>SUM(C79:N79)</f>
        <v>0</v>
      </c>
      <c r="P79" s="165"/>
      <c r="Q79" s="166">
        <f t="shared" si="7"/>
        <v>0</v>
      </c>
    </row>
    <row r="80" spans="1:17" ht="24.75" hidden="1" customHeight="1" thickBot="1" x14ac:dyDescent="0.25">
      <c r="A80" s="224" t="s">
        <v>53</v>
      </c>
      <c r="B80" s="225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1">
        <f>SUM(C80:N80)</f>
        <v>0</v>
      </c>
      <c r="P80" s="170"/>
      <c r="Q80" s="172">
        <f t="shared" si="7"/>
        <v>0</v>
      </c>
    </row>
    <row r="81" spans="5:17" hidden="1" x14ac:dyDescent="0.2"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3"/>
    </row>
    <row r="82" spans="5:17" hidden="1" x14ac:dyDescent="0.2"/>
  </sheetData>
  <mergeCells count="28">
    <mergeCell ref="A80:B80"/>
    <mergeCell ref="A34:B35"/>
    <mergeCell ref="A32:B32"/>
    <mergeCell ref="O5:O7"/>
    <mergeCell ref="O9:O11"/>
    <mergeCell ref="O13:O15"/>
    <mergeCell ref="O17:O19"/>
    <mergeCell ref="A15:B15"/>
    <mergeCell ref="A1:Q1"/>
    <mergeCell ref="A2:B3"/>
    <mergeCell ref="C2:L2"/>
    <mergeCell ref="P5:P7"/>
    <mergeCell ref="Q5:Q7"/>
    <mergeCell ref="A7:B7"/>
    <mergeCell ref="O2:Q2"/>
    <mergeCell ref="Q17:Q19"/>
    <mergeCell ref="A19:B19"/>
    <mergeCell ref="A21:B21"/>
    <mergeCell ref="A22:B22"/>
    <mergeCell ref="A24:B24"/>
    <mergeCell ref="P9:P11"/>
    <mergeCell ref="Q9:Q11"/>
    <mergeCell ref="A11:B11"/>
    <mergeCell ref="P13:P15"/>
    <mergeCell ref="Q13:Q15"/>
    <mergeCell ref="A26:B26"/>
    <mergeCell ref="A28:B28"/>
    <mergeCell ref="P17:P19"/>
  </mergeCells>
  <pageMargins left="0.11811023622047245" right="0.11811023622047245" top="0.19685039370078741" bottom="0.19685039370078741" header="0.31496062992125984" footer="0.31496062992125984"/>
  <pageSetup paperSize="9" orientation="portrait" r:id="rId1"/>
  <ignoredErrors>
    <ignoredError sqref="A11:B11 A9 A15:B15 A13 A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DEAB-B2A7-452E-86BB-A0B6C09A1D17}">
  <dimension ref="A1:X373"/>
  <sheetViews>
    <sheetView showGridLines="0" workbookViewId="0">
      <selection activeCell="S19" sqref="S19"/>
    </sheetView>
  </sheetViews>
  <sheetFormatPr defaultRowHeight="15.75" x14ac:dyDescent="0.2"/>
  <cols>
    <col min="1" max="1" width="23.88671875" style="85" customWidth="1"/>
    <col min="2" max="2" width="9.44140625" style="85" hidden="1" customWidth="1"/>
    <col min="3" max="3" width="10.33203125" style="85" customWidth="1"/>
    <col min="4" max="5" width="9.33203125" style="85" customWidth="1"/>
    <col min="6" max="6" width="9.6640625" style="85" customWidth="1"/>
    <col min="7" max="8" width="9.5546875" style="85" customWidth="1"/>
    <col min="9" max="9" width="9.88671875" style="85" customWidth="1"/>
    <col min="10" max="11" width="10" style="85" bestFit="1" customWidth="1"/>
    <col min="12" max="12" width="10.5546875" style="85" customWidth="1"/>
    <col min="13" max="14" width="10" style="85" bestFit="1" customWidth="1"/>
    <col min="15" max="15" width="10.88671875" style="85" customWidth="1"/>
    <col min="16" max="16" width="10.44140625" style="85" customWidth="1"/>
    <col min="17" max="17" width="10.44140625" style="118" customWidth="1"/>
    <col min="18" max="16384" width="8.88671875" style="85"/>
  </cols>
  <sheetData>
    <row r="1" spans="1:17" ht="44.25" customHeight="1" thickBot="1" x14ac:dyDescent="0.25">
      <c r="A1" s="230" t="s">
        <v>122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2"/>
    </row>
    <row r="2" spans="1:17" ht="30" customHeight="1" x14ac:dyDescent="0.2">
      <c r="A2" s="273" t="s">
        <v>89</v>
      </c>
      <c r="B2" s="290"/>
      <c r="C2" s="304" t="s">
        <v>19</v>
      </c>
      <c r="D2" s="305"/>
      <c r="E2" s="305"/>
      <c r="F2" s="305"/>
      <c r="G2" s="305"/>
      <c r="H2" s="305"/>
      <c r="I2" s="305"/>
      <c r="J2" s="305"/>
      <c r="K2" s="305"/>
      <c r="L2" s="305"/>
      <c r="M2" s="306"/>
      <c r="N2" s="307"/>
      <c r="O2" s="308" t="s">
        <v>91</v>
      </c>
      <c r="P2" s="305"/>
      <c r="Q2" s="309"/>
    </row>
    <row r="3" spans="1:17" ht="30" customHeight="1" thickBot="1" x14ac:dyDescent="0.25">
      <c r="A3" s="275"/>
      <c r="B3" s="291"/>
      <c r="C3" s="310" t="s">
        <v>0</v>
      </c>
      <c r="D3" s="311" t="s">
        <v>1</v>
      </c>
      <c r="E3" s="311" t="s">
        <v>2</v>
      </c>
      <c r="F3" s="311" t="s">
        <v>3</v>
      </c>
      <c r="G3" s="311" t="s">
        <v>4</v>
      </c>
      <c r="H3" s="311" t="s">
        <v>5</v>
      </c>
      <c r="I3" s="311" t="s">
        <v>6</v>
      </c>
      <c r="J3" s="311" t="s">
        <v>7</v>
      </c>
      <c r="K3" s="311" t="s">
        <v>8</v>
      </c>
      <c r="L3" s="311" t="s">
        <v>9</v>
      </c>
      <c r="M3" s="311" t="s">
        <v>10</v>
      </c>
      <c r="N3" s="312" t="s">
        <v>11</v>
      </c>
      <c r="O3" s="292" t="s">
        <v>86</v>
      </c>
      <c r="P3" s="284" t="s">
        <v>62</v>
      </c>
      <c r="Q3" s="313" t="s">
        <v>71</v>
      </c>
    </row>
    <row r="4" spans="1:17" s="173" customFormat="1" ht="12" customHeight="1" thickBot="1" x14ac:dyDescent="0.25">
      <c r="A4" s="296"/>
      <c r="B4" s="297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9"/>
      <c r="P4" s="300"/>
      <c r="Q4" s="300"/>
    </row>
    <row r="5" spans="1:17" ht="30" customHeight="1" x14ac:dyDescent="0.2">
      <c r="A5" s="314" t="s">
        <v>13</v>
      </c>
      <c r="B5" s="315" t="s">
        <v>95</v>
      </c>
      <c r="C5" s="316">
        <f t="shared" ref="C5:N5" si="0">SUMIF($B$36:$B$77,"Operacional",C$36:C$77)</f>
        <v>7251893.54</v>
      </c>
      <c r="D5" s="317">
        <f t="shared" si="0"/>
        <v>6699818.6699999999</v>
      </c>
      <c r="E5" s="317">
        <f t="shared" si="0"/>
        <v>6280405.4800000004</v>
      </c>
      <c r="F5" s="317">
        <f t="shared" si="0"/>
        <v>6673535.4400000004</v>
      </c>
      <c r="G5" s="317">
        <f t="shared" si="0"/>
        <v>7696604.6900000004</v>
      </c>
      <c r="H5" s="317">
        <f t="shared" si="0"/>
        <v>7854909.5499999998</v>
      </c>
      <c r="I5" s="317">
        <f t="shared" si="0"/>
        <v>8600290.3600000013</v>
      </c>
      <c r="J5" s="317">
        <f t="shared" si="0"/>
        <v>9025226.0099999998</v>
      </c>
      <c r="K5" s="317">
        <f t="shared" si="0"/>
        <v>8736726.6800000016</v>
      </c>
      <c r="L5" s="317">
        <f t="shared" si="0"/>
        <v>9577434.5399999991</v>
      </c>
      <c r="M5" s="317">
        <f t="shared" si="0"/>
        <v>9740371.0699999891</v>
      </c>
      <c r="N5" s="318">
        <f t="shared" si="0"/>
        <v>11594673.720000001</v>
      </c>
      <c r="O5" s="301">
        <f>SUM(C5:N5)</f>
        <v>99731889.75</v>
      </c>
      <c r="P5" s="319">
        <f>SUM(C7:N7)</f>
        <v>91941954.780000001</v>
      </c>
      <c r="Q5" s="320">
        <f>-P5+O5</f>
        <v>7789934.9699999988</v>
      </c>
    </row>
    <row r="6" spans="1:17" ht="30" hidden="1" customHeight="1" x14ac:dyDescent="0.2">
      <c r="A6" s="321"/>
      <c r="B6" s="322"/>
      <c r="C6" s="323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5"/>
      <c r="O6" s="302"/>
      <c r="P6" s="326"/>
      <c r="Q6" s="327"/>
    </row>
    <row r="7" spans="1:17" ht="30" customHeight="1" thickBot="1" x14ac:dyDescent="0.25">
      <c r="A7" s="264" t="s">
        <v>66</v>
      </c>
      <c r="B7" s="286"/>
      <c r="C7" s="328">
        <v>7251893.54</v>
      </c>
      <c r="D7" s="329">
        <v>6699817.2000000002</v>
      </c>
      <c r="E7" s="329">
        <v>6342441.1400000006</v>
      </c>
      <c r="F7" s="329">
        <v>7031358.8999999994</v>
      </c>
      <c r="G7" s="329">
        <v>8000879.5</v>
      </c>
      <c r="H7" s="329">
        <v>7180317.5</v>
      </c>
      <c r="I7" s="329">
        <v>7637144</v>
      </c>
      <c r="J7" s="329">
        <v>8142551</v>
      </c>
      <c r="K7" s="329">
        <v>7386400</v>
      </c>
      <c r="L7" s="329">
        <v>9363745.1999999993</v>
      </c>
      <c r="M7" s="329">
        <v>8702379.5999999996</v>
      </c>
      <c r="N7" s="330">
        <v>8203027.1999999993</v>
      </c>
      <c r="O7" s="303"/>
      <c r="P7" s="331"/>
      <c r="Q7" s="332"/>
    </row>
    <row r="8" spans="1:17" s="173" customFormat="1" ht="12" customHeight="1" thickBot="1" x14ac:dyDescent="0.25">
      <c r="A8" s="296"/>
      <c r="B8" s="297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9"/>
      <c r="P8" s="300"/>
      <c r="Q8" s="300"/>
    </row>
    <row r="9" spans="1:17" ht="30" customHeight="1" x14ac:dyDescent="0.2">
      <c r="A9" s="314" t="s">
        <v>14</v>
      </c>
      <c r="B9" s="315" t="s">
        <v>96</v>
      </c>
      <c r="C9" s="316">
        <f t="shared" ref="C9:N9" si="1">SUMIF($B$36:$B$77,"Financeira",C$36:C$77)</f>
        <v>1402497.6</v>
      </c>
      <c r="D9" s="317">
        <f t="shared" si="1"/>
        <v>806839.93</v>
      </c>
      <c r="E9" s="317">
        <f t="shared" si="1"/>
        <v>986990.7</v>
      </c>
      <c r="F9" s="317">
        <f t="shared" si="1"/>
        <v>1013552.47</v>
      </c>
      <c r="G9" s="317">
        <f t="shared" si="1"/>
        <v>733731.91</v>
      </c>
      <c r="H9" s="317">
        <f t="shared" si="1"/>
        <v>855119.15999999898</v>
      </c>
      <c r="I9" s="317">
        <f t="shared" si="1"/>
        <v>846292.62</v>
      </c>
      <c r="J9" s="317">
        <f t="shared" si="1"/>
        <v>1069667.1499999999</v>
      </c>
      <c r="K9" s="317">
        <f t="shared" si="1"/>
        <v>998254.22</v>
      </c>
      <c r="L9" s="317">
        <f t="shared" si="1"/>
        <v>1197401.72</v>
      </c>
      <c r="M9" s="317">
        <f t="shared" si="1"/>
        <v>1266129.3</v>
      </c>
      <c r="N9" s="318">
        <f t="shared" si="1"/>
        <v>1215190.95</v>
      </c>
      <c r="O9" s="301">
        <f>SUM(C9:N9)</f>
        <v>12391667.73</v>
      </c>
      <c r="P9" s="319">
        <f>SUM(C11:N11)</f>
        <v>11011769.889766408</v>
      </c>
      <c r="Q9" s="320">
        <f>-P9+O9</f>
        <v>1379897.8402335923</v>
      </c>
    </row>
    <row r="10" spans="1:17" ht="30" hidden="1" customHeight="1" x14ac:dyDescent="0.2">
      <c r="A10" s="321"/>
      <c r="B10" s="322"/>
      <c r="C10" s="323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5"/>
      <c r="O10" s="302"/>
      <c r="P10" s="326"/>
      <c r="Q10" s="327"/>
    </row>
    <row r="11" spans="1:17" ht="30" customHeight="1" thickBot="1" x14ac:dyDescent="0.25">
      <c r="A11" s="264" t="s">
        <v>68</v>
      </c>
      <c r="B11" s="286"/>
      <c r="C11" s="328">
        <v>1402497.6</v>
      </c>
      <c r="D11" s="329">
        <v>806839.93000000017</v>
      </c>
      <c r="E11" s="329">
        <v>986990.7</v>
      </c>
      <c r="F11" s="329">
        <v>1013552.47</v>
      </c>
      <c r="G11" s="329">
        <v>733731.90999999992</v>
      </c>
      <c r="H11" s="329">
        <v>831276.43769771454</v>
      </c>
      <c r="I11" s="329">
        <v>843320.32071923348</v>
      </c>
      <c r="J11" s="329">
        <v>855443.41358326992</v>
      </c>
      <c r="K11" s="329">
        <v>867646.23723470024</v>
      </c>
      <c r="L11" s="329">
        <v>886506.08554453508</v>
      </c>
      <c r="M11" s="329">
        <v>892336.4317295088</v>
      </c>
      <c r="N11" s="330">
        <v>891628.35325744608</v>
      </c>
      <c r="O11" s="303"/>
      <c r="P11" s="331"/>
      <c r="Q11" s="332"/>
    </row>
    <row r="12" spans="1:17" s="173" customFormat="1" ht="12" customHeight="1" thickBot="1" x14ac:dyDescent="0.25">
      <c r="A12" s="296"/>
      <c r="B12" s="297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9"/>
      <c r="P12" s="300"/>
      <c r="Q12" s="300"/>
    </row>
    <row r="13" spans="1:17" ht="30" customHeight="1" x14ac:dyDescent="0.2">
      <c r="A13" s="314" t="s">
        <v>15</v>
      </c>
      <c r="B13" s="315" t="s">
        <v>95</v>
      </c>
      <c r="C13" s="316">
        <f>SUMIF($B$36:$B$77,"Comercial",C$36:C$77)</f>
        <v>161790.24000000002</v>
      </c>
      <c r="D13" s="317">
        <f t="shared" ref="D13:L13" si="2">SUMIF($B$36:$B$77,"Comercial",D$36:D$77)</f>
        <v>155944.79</v>
      </c>
      <c r="E13" s="317">
        <f t="shared" si="2"/>
        <v>208833.65</v>
      </c>
      <c r="F13" s="317">
        <f t="shared" si="2"/>
        <v>327099.49</v>
      </c>
      <c r="G13" s="317">
        <f t="shared" si="2"/>
        <v>134389.22</v>
      </c>
      <c r="H13" s="317">
        <f t="shared" si="2"/>
        <v>115640.99999999999</v>
      </c>
      <c r="I13" s="317">
        <f t="shared" si="2"/>
        <v>156896.16</v>
      </c>
      <c r="J13" s="317">
        <f t="shared" si="2"/>
        <v>191863.87000000002</v>
      </c>
      <c r="K13" s="317">
        <f t="shared" si="2"/>
        <v>223032.15000000002</v>
      </c>
      <c r="L13" s="317">
        <f t="shared" si="2"/>
        <v>293307.13</v>
      </c>
      <c r="M13" s="317">
        <f>SUMIF($B$36:$B$77,"Comercial",M$36:M$77)</f>
        <v>215726.1</v>
      </c>
      <c r="N13" s="318">
        <f>SUMIF($B$36:$B$77,"Comercial",N$36:N$77)</f>
        <v>322176.92</v>
      </c>
      <c r="O13" s="301">
        <f>SUM(C13:N13)</f>
        <v>2506700.7199999997</v>
      </c>
      <c r="P13" s="319">
        <f>SUM(C15:N15)</f>
        <v>3945029.9958203798</v>
      </c>
      <c r="Q13" s="320">
        <f>-P13+O13</f>
        <v>-1438329.2758203801</v>
      </c>
    </row>
    <row r="14" spans="1:17" ht="30" hidden="1" customHeight="1" x14ac:dyDescent="0.2">
      <c r="A14" s="321"/>
      <c r="B14" s="322"/>
      <c r="C14" s="323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5"/>
      <c r="O14" s="302"/>
      <c r="P14" s="326"/>
      <c r="Q14" s="327"/>
    </row>
    <row r="15" spans="1:17" ht="30" customHeight="1" thickBot="1" x14ac:dyDescent="0.25">
      <c r="A15" s="264" t="s">
        <v>67</v>
      </c>
      <c r="B15" s="286"/>
      <c r="C15" s="328">
        <v>382911.88</v>
      </c>
      <c r="D15" s="329">
        <v>355126.13</v>
      </c>
      <c r="E15" s="329">
        <v>333160.67</v>
      </c>
      <c r="F15" s="329">
        <v>178590.65537107998</v>
      </c>
      <c r="G15" s="329">
        <v>260297.16834216</v>
      </c>
      <c r="H15" s="329">
        <v>340389.50822769996</v>
      </c>
      <c r="I15" s="329">
        <v>346402.37171323999</v>
      </c>
      <c r="J15" s="329">
        <v>346782.32131323998</v>
      </c>
      <c r="K15" s="329">
        <v>349559.48211324</v>
      </c>
      <c r="L15" s="329">
        <v>349685.93251323997</v>
      </c>
      <c r="M15" s="329">
        <v>350437.24411323998</v>
      </c>
      <c r="N15" s="330">
        <v>351686.63211323996</v>
      </c>
      <c r="O15" s="303"/>
      <c r="P15" s="331"/>
      <c r="Q15" s="332"/>
    </row>
    <row r="16" spans="1:17" s="173" customFormat="1" ht="12" customHeight="1" thickBot="1" x14ac:dyDescent="0.25">
      <c r="A16" s="296"/>
      <c r="B16" s="297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9"/>
      <c r="P16" s="300"/>
      <c r="Q16" s="300"/>
    </row>
    <row r="17" spans="1:17" ht="30" customHeight="1" x14ac:dyDescent="0.2">
      <c r="A17" s="314" t="s">
        <v>16</v>
      </c>
      <c r="B17" s="315" t="s">
        <v>95</v>
      </c>
      <c r="C17" s="316">
        <f t="shared" ref="C17:L17" si="3">SUMIF($B$36:$B$77,"Outras",C$36:C$77)</f>
        <v>195384.75</v>
      </c>
      <c r="D17" s="317">
        <f t="shared" si="3"/>
        <v>83258.03</v>
      </c>
      <c r="E17" s="317">
        <f t="shared" si="3"/>
        <v>86446.48</v>
      </c>
      <c r="F17" s="317">
        <f t="shared" si="3"/>
        <v>76293.890000000014</v>
      </c>
      <c r="G17" s="317">
        <f>SUMIF($B$36:$B$77,"Outras",G$36:G$77)</f>
        <v>234031.55</v>
      </c>
      <c r="H17" s="317">
        <f t="shared" si="3"/>
        <v>181740.43</v>
      </c>
      <c r="I17" s="317">
        <f t="shared" si="3"/>
        <v>3007100.71</v>
      </c>
      <c r="J17" s="317">
        <f t="shared" si="3"/>
        <v>399351.88</v>
      </c>
      <c r="K17" s="317">
        <f t="shared" si="3"/>
        <v>161732.71000000017</v>
      </c>
      <c r="L17" s="317">
        <f t="shared" si="3"/>
        <v>363126.68</v>
      </c>
      <c r="M17" s="317">
        <f>SUMIF($B$36:$B$77,"Outras",M$36:M$77)</f>
        <v>38238.040000000321</v>
      </c>
      <c r="N17" s="318">
        <f>SUMIF($B$36:$B$77,"Outras",N$36:N$77)</f>
        <v>173531.1700000001</v>
      </c>
      <c r="O17" s="301">
        <f>SUM(C17:N17)</f>
        <v>5000236.3199999994</v>
      </c>
      <c r="P17" s="319">
        <f>SUM(C19:N19)</f>
        <v>1125930.9599999997</v>
      </c>
      <c r="Q17" s="320">
        <f>-P17+O17</f>
        <v>3874305.3599999994</v>
      </c>
    </row>
    <row r="18" spans="1:17" ht="30" hidden="1" customHeight="1" x14ac:dyDescent="0.2">
      <c r="A18" s="321"/>
      <c r="B18" s="322"/>
      <c r="C18" s="323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5"/>
      <c r="O18" s="302"/>
      <c r="P18" s="326"/>
      <c r="Q18" s="327"/>
    </row>
    <row r="19" spans="1:17" ht="30" customHeight="1" thickBot="1" x14ac:dyDescent="0.25">
      <c r="A19" s="264" t="s">
        <v>69</v>
      </c>
      <c r="B19" s="286"/>
      <c r="C19" s="328">
        <v>93827.58</v>
      </c>
      <c r="D19" s="329">
        <v>93827.58</v>
      </c>
      <c r="E19" s="329">
        <v>93827.58</v>
      </c>
      <c r="F19" s="329">
        <v>93827.58</v>
      </c>
      <c r="G19" s="329">
        <v>93827.58</v>
      </c>
      <c r="H19" s="329">
        <v>93827.58</v>
      </c>
      <c r="I19" s="329">
        <v>93827.58</v>
      </c>
      <c r="J19" s="329">
        <v>93827.58</v>
      </c>
      <c r="K19" s="329">
        <v>93827.58</v>
      </c>
      <c r="L19" s="329">
        <v>93827.58</v>
      </c>
      <c r="M19" s="329">
        <v>93827.58</v>
      </c>
      <c r="N19" s="330">
        <v>93827.58</v>
      </c>
      <c r="O19" s="303"/>
      <c r="P19" s="331"/>
      <c r="Q19" s="332"/>
    </row>
    <row r="20" spans="1:17" s="173" customFormat="1" ht="12" customHeight="1" thickBot="1" x14ac:dyDescent="0.25">
      <c r="A20" s="296"/>
      <c r="B20" s="297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9"/>
      <c r="P20" s="300"/>
      <c r="Q20" s="300"/>
    </row>
    <row r="21" spans="1:17" ht="26.25" customHeight="1" thickBot="1" x14ac:dyDescent="0.25">
      <c r="A21" s="333" t="s">
        <v>70</v>
      </c>
      <c r="B21" s="334"/>
      <c r="C21" s="335">
        <f t="shared" ref="C21:N21" si="4">SUM(C5,C9,C13,C17)</f>
        <v>9011566.1300000008</v>
      </c>
      <c r="D21" s="336">
        <f t="shared" si="4"/>
        <v>7745861.4199999999</v>
      </c>
      <c r="E21" s="336">
        <f t="shared" si="4"/>
        <v>7562676.3100000015</v>
      </c>
      <c r="F21" s="336">
        <f t="shared" si="4"/>
        <v>8090481.29</v>
      </c>
      <c r="G21" s="336">
        <f>SUM(G5,G9,G13,G17)</f>
        <v>8798757.370000001</v>
      </c>
      <c r="H21" s="336">
        <f t="shared" si="4"/>
        <v>9007410.1399999987</v>
      </c>
      <c r="I21" s="336">
        <f t="shared" si="4"/>
        <v>12610579.850000001</v>
      </c>
      <c r="J21" s="336">
        <f t="shared" si="4"/>
        <v>10686108.91</v>
      </c>
      <c r="K21" s="336">
        <f t="shared" si="4"/>
        <v>10119745.760000004</v>
      </c>
      <c r="L21" s="336">
        <f t="shared" si="4"/>
        <v>11431270.07</v>
      </c>
      <c r="M21" s="336">
        <f t="shared" si="4"/>
        <v>11260464.50999999</v>
      </c>
      <c r="N21" s="337">
        <f t="shared" si="4"/>
        <v>13305572.76</v>
      </c>
      <c r="O21" s="287">
        <f>O5+O9+O13+O17</f>
        <v>119630494.52</v>
      </c>
      <c r="P21" s="338">
        <f>P5+P9+P13+P17</f>
        <v>108024685.62558678</v>
      </c>
      <c r="Q21" s="339">
        <f>-P21+O21</f>
        <v>11605808.894413218</v>
      </c>
    </row>
    <row r="22" spans="1:17" ht="26.25" customHeight="1" thickBot="1" x14ac:dyDescent="0.25">
      <c r="A22" s="340" t="s">
        <v>84</v>
      </c>
      <c r="B22" s="341"/>
      <c r="C22" s="288">
        <f>C21</f>
        <v>9011566.1300000008</v>
      </c>
      <c r="D22" s="278">
        <f t="shared" ref="D22:L22" si="5">C22+D21</f>
        <v>16757427.550000001</v>
      </c>
      <c r="E22" s="279">
        <f t="shared" si="5"/>
        <v>24320103.860000003</v>
      </c>
      <c r="F22" s="279">
        <f t="shared" si="5"/>
        <v>32410585.150000002</v>
      </c>
      <c r="G22" s="279">
        <f t="shared" si="5"/>
        <v>41209342.520000003</v>
      </c>
      <c r="H22" s="279">
        <f>G22+H21</f>
        <v>50216752.660000004</v>
      </c>
      <c r="I22" s="279">
        <f t="shared" si="5"/>
        <v>62827332.510000005</v>
      </c>
      <c r="J22" s="279">
        <f t="shared" si="5"/>
        <v>73513441.420000002</v>
      </c>
      <c r="K22" s="279">
        <f t="shared" si="5"/>
        <v>83633187.180000007</v>
      </c>
      <c r="L22" s="279">
        <f t="shared" si="5"/>
        <v>95064457.25</v>
      </c>
      <c r="M22" s="279">
        <f>L22+M21</f>
        <v>106324921.75999999</v>
      </c>
      <c r="N22" s="289">
        <f>M22+N21</f>
        <v>119630494.52</v>
      </c>
      <c r="O22" s="42"/>
      <c r="P22" s="42"/>
      <c r="Q22" s="173"/>
    </row>
    <row r="23" spans="1:17" ht="9" hidden="1" customHeight="1" x14ac:dyDescent="0.2">
      <c r="A23" s="43"/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4"/>
      <c r="P23" s="45"/>
      <c r="Q23" s="44"/>
    </row>
    <row r="24" spans="1:17" ht="18" hidden="1" customHeight="1" x14ac:dyDescent="0.2">
      <c r="A24" s="216" t="s">
        <v>17</v>
      </c>
      <c r="B24" s="217"/>
      <c r="C24" s="46">
        <f t="shared" ref="C24:N24" si="6">C78</f>
        <v>0</v>
      </c>
      <c r="D24" s="47">
        <f t="shared" si="6"/>
        <v>0</v>
      </c>
      <c r="E24" s="47">
        <f t="shared" si="6"/>
        <v>0</v>
      </c>
      <c r="F24" s="47">
        <f>F78</f>
        <v>0</v>
      </c>
      <c r="G24" s="47">
        <f t="shared" si="6"/>
        <v>0</v>
      </c>
      <c r="H24" s="47">
        <f t="shared" si="6"/>
        <v>0</v>
      </c>
      <c r="I24" s="47">
        <f t="shared" si="6"/>
        <v>0</v>
      </c>
      <c r="J24" s="47">
        <f t="shared" si="6"/>
        <v>0</v>
      </c>
      <c r="K24" s="47">
        <f t="shared" si="6"/>
        <v>0</v>
      </c>
      <c r="L24" s="47">
        <f t="shared" si="6"/>
        <v>0</v>
      </c>
      <c r="M24" s="47">
        <f t="shared" si="6"/>
        <v>0</v>
      </c>
      <c r="N24" s="47">
        <f t="shared" si="6"/>
        <v>0</v>
      </c>
      <c r="O24" s="48">
        <f>SUM(C24:N24)</f>
        <v>0</v>
      </c>
      <c r="P24" s="45"/>
      <c r="Q24" s="45"/>
    </row>
    <row r="25" spans="1:17" ht="8.25" hidden="1" customHeight="1" x14ac:dyDescent="0.2">
      <c r="A25" s="49"/>
      <c r="B25" s="49"/>
      <c r="C25" s="86">
        <f>C21</f>
        <v>9011566.1300000008</v>
      </c>
      <c r="D25" s="86">
        <f>D21+C25</f>
        <v>16757427.550000001</v>
      </c>
      <c r="E25" s="86">
        <f t="shared" ref="E25:N25" si="7">E21+D25</f>
        <v>24320103.860000003</v>
      </c>
      <c r="F25" s="86">
        <f t="shared" si="7"/>
        <v>32410585.150000002</v>
      </c>
      <c r="G25" s="86">
        <f t="shared" si="7"/>
        <v>41209342.520000003</v>
      </c>
      <c r="H25" s="86">
        <f t="shared" si="7"/>
        <v>50216752.660000004</v>
      </c>
      <c r="I25" s="86">
        <f t="shared" si="7"/>
        <v>62827332.510000005</v>
      </c>
      <c r="J25" s="86">
        <f t="shared" si="7"/>
        <v>73513441.420000002</v>
      </c>
      <c r="K25" s="86">
        <f t="shared" si="7"/>
        <v>83633187.180000007</v>
      </c>
      <c r="L25" s="86">
        <f t="shared" si="7"/>
        <v>95064457.25</v>
      </c>
      <c r="M25" s="86">
        <f t="shared" si="7"/>
        <v>106324921.75999999</v>
      </c>
      <c r="N25" s="86">
        <f t="shared" si="7"/>
        <v>119630494.52</v>
      </c>
      <c r="O25" s="50"/>
      <c r="P25" s="45"/>
      <c r="Q25" s="44"/>
    </row>
    <row r="26" spans="1:17" ht="12" hidden="1" customHeight="1" x14ac:dyDescent="0.2">
      <c r="A26" s="216" t="s">
        <v>61</v>
      </c>
      <c r="B26" s="217"/>
      <c r="C26" s="46">
        <f>C21-C24</f>
        <v>9011566.1300000008</v>
      </c>
      <c r="D26" s="47">
        <f>D21-D24</f>
        <v>7745861.4199999999</v>
      </c>
      <c r="E26" s="47">
        <f t="shared" ref="E26:N26" si="8">E21-E24</f>
        <v>7562676.3100000015</v>
      </c>
      <c r="F26" s="47">
        <f t="shared" si="8"/>
        <v>8090481.29</v>
      </c>
      <c r="G26" s="47">
        <f t="shared" si="8"/>
        <v>8798757.370000001</v>
      </c>
      <c r="H26" s="47">
        <f t="shared" si="8"/>
        <v>9007410.1399999987</v>
      </c>
      <c r="I26" s="47">
        <f t="shared" si="8"/>
        <v>12610579.850000001</v>
      </c>
      <c r="J26" s="47">
        <f t="shared" si="8"/>
        <v>10686108.91</v>
      </c>
      <c r="K26" s="47">
        <f t="shared" si="8"/>
        <v>10119745.760000004</v>
      </c>
      <c r="L26" s="47">
        <f t="shared" si="8"/>
        <v>11431270.07</v>
      </c>
      <c r="M26" s="47">
        <f t="shared" si="8"/>
        <v>11260464.50999999</v>
      </c>
      <c r="N26" s="47">
        <f t="shared" si="8"/>
        <v>13305572.76</v>
      </c>
      <c r="O26" s="51">
        <f>SUM(C26:N26)</f>
        <v>119630494.52</v>
      </c>
      <c r="P26" s="51">
        <f>P21-P24</f>
        <v>108024685.62558678</v>
      </c>
      <c r="Q26" s="52">
        <f>P26-O26</f>
        <v>-11605808.894413218</v>
      </c>
    </row>
    <row r="27" spans="1:17" ht="12" hidden="1" customHeight="1" x14ac:dyDescent="0.2">
      <c r="A27" s="53"/>
      <c r="B27" s="5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55"/>
      <c r="P27" s="55"/>
      <c r="Q27" s="55"/>
    </row>
    <row r="28" spans="1:17" ht="12.75" hidden="1" customHeight="1" x14ac:dyDescent="0.2">
      <c r="A28" s="216" t="s">
        <v>85</v>
      </c>
      <c r="B28" s="217"/>
      <c r="C28" s="87">
        <f>C26</f>
        <v>9011566.1300000008</v>
      </c>
      <c r="D28" s="87">
        <f t="shared" ref="D28:N28" si="9">D26+C28</f>
        <v>16757427.550000001</v>
      </c>
      <c r="E28" s="87">
        <f t="shared" si="9"/>
        <v>24320103.860000003</v>
      </c>
      <c r="F28" s="87">
        <f t="shared" si="9"/>
        <v>32410585.150000002</v>
      </c>
      <c r="G28" s="87">
        <f t="shared" si="9"/>
        <v>41209342.520000003</v>
      </c>
      <c r="H28" s="87">
        <f t="shared" si="9"/>
        <v>50216752.660000004</v>
      </c>
      <c r="I28" s="87">
        <f t="shared" si="9"/>
        <v>62827332.510000005</v>
      </c>
      <c r="J28" s="87">
        <f t="shared" si="9"/>
        <v>73513441.420000002</v>
      </c>
      <c r="K28" s="87">
        <f t="shared" si="9"/>
        <v>83633187.180000007</v>
      </c>
      <c r="L28" s="87">
        <f t="shared" si="9"/>
        <v>95064457.25</v>
      </c>
      <c r="M28" s="87">
        <f t="shared" si="9"/>
        <v>106324921.75999999</v>
      </c>
      <c r="N28" s="88">
        <f t="shared" si="9"/>
        <v>119630494.52</v>
      </c>
      <c r="O28" s="56"/>
      <c r="P28" s="55"/>
      <c r="Q28" s="17"/>
    </row>
    <row r="29" spans="1:17" ht="8.25" hidden="1" customHeight="1" x14ac:dyDescent="0.2">
      <c r="A29" s="57"/>
      <c r="B29" s="58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59"/>
      <c r="P29" s="55"/>
      <c r="Q29" s="17"/>
    </row>
    <row r="30" spans="1:17" ht="15" hidden="1" customHeight="1" x14ac:dyDescent="0.2">
      <c r="A30" s="60" t="s">
        <v>18</v>
      </c>
      <c r="B30" s="61"/>
      <c r="C30" s="62">
        <f t="shared" ref="C30:N30" si="10">C5-C24</f>
        <v>7251893.54</v>
      </c>
      <c r="D30" s="63">
        <f t="shared" si="10"/>
        <v>6699818.6699999999</v>
      </c>
      <c r="E30" s="63">
        <f t="shared" si="10"/>
        <v>6280405.4800000004</v>
      </c>
      <c r="F30" s="63">
        <f t="shared" si="10"/>
        <v>6673535.4400000004</v>
      </c>
      <c r="G30" s="63">
        <f t="shared" si="10"/>
        <v>7696604.6900000004</v>
      </c>
      <c r="H30" s="63">
        <f t="shared" si="10"/>
        <v>7854909.5499999998</v>
      </c>
      <c r="I30" s="63">
        <f t="shared" si="10"/>
        <v>8600290.3600000013</v>
      </c>
      <c r="J30" s="63">
        <f t="shared" si="10"/>
        <v>9025226.0099999998</v>
      </c>
      <c r="K30" s="63">
        <f t="shared" si="10"/>
        <v>8736726.6800000016</v>
      </c>
      <c r="L30" s="63">
        <f t="shared" si="10"/>
        <v>9577434.5399999991</v>
      </c>
      <c r="M30" s="63">
        <f t="shared" si="10"/>
        <v>9740371.0699999891</v>
      </c>
      <c r="N30" s="63">
        <f t="shared" si="10"/>
        <v>11594673.720000001</v>
      </c>
      <c r="O30" s="51">
        <f>SUM(C30:N30)</f>
        <v>99731889.75</v>
      </c>
      <c r="P30" s="51">
        <f>P5</f>
        <v>91941954.780000001</v>
      </c>
      <c r="Q30" s="52">
        <f>P30-O30</f>
        <v>-7789934.9699999988</v>
      </c>
    </row>
    <row r="31" spans="1:17" ht="14.25" hidden="1" customHeight="1" thickBot="1" x14ac:dyDescent="0.25">
      <c r="A31" s="64"/>
      <c r="B31" s="65"/>
      <c r="C31" s="45"/>
      <c r="D31" s="45"/>
      <c r="E31" s="45"/>
      <c r="F31" s="66"/>
      <c r="G31" s="66"/>
      <c r="H31" s="66"/>
      <c r="I31" s="66"/>
      <c r="J31" s="66"/>
      <c r="K31" s="66"/>
      <c r="L31" s="66"/>
      <c r="M31" s="66"/>
      <c r="N31" s="45"/>
      <c r="O31" s="55"/>
      <c r="P31" s="55"/>
      <c r="Q31" s="42"/>
    </row>
    <row r="32" spans="1:17" ht="23.25" hidden="1" customHeight="1" thickBot="1" x14ac:dyDescent="0.25">
      <c r="A32" s="249" t="s">
        <v>99</v>
      </c>
      <c r="B32" s="250"/>
      <c r="C32" s="119">
        <f t="shared" ref="C32:N32" si="11">SUM(C7,C11,C15,C19)</f>
        <v>9131130.6000000015</v>
      </c>
      <c r="D32" s="68">
        <f t="shared" si="11"/>
        <v>7955610.8400000008</v>
      </c>
      <c r="E32" s="68">
        <f t="shared" si="11"/>
        <v>7756420.0900000008</v>
      </c>
      <c r="F32" s="68">
        <f t="shared" si="11"/>
        <v>8317329.6053710794</v>
      </c>
      <c r="G32" s="68">
        <f t="shared" si="11"/>
        <v>9088736.1583421603</v>
      </c>
      <c r="H32" s="68">
        <f t="shared" si="11"/>
        <v>8445811.0259254146</v>
      </c>
      <c r="I32" s="68">
        <f t="shared" si="11"/>
        <v>8920694.2724324726</v>
      </c>
      <c r="J32" s="68">
        <f t="shared" si="11"/>
        <v>9438604.3148965091</v>
      </c>
      <c r="K32" s="68">
        <f t="shared" si="11"/>
        <v>8697433.2993479408</v>
      </c>
      <c r="L32" s="68">
        <f t="shared" si="11"/>
        <v>10693764.798057776</v>
      </c>
      <c r="M32" s="69">
        <f t="shared" si="11"/>
        <v>10038980.855842749</v>
      </c>
      <c r="N32" s="67">
        <f t="shared" si="11"/>
        <v>9540169.7653706856</v>
      </c>
      <c r="O32" s="120">
        <f>SUM(C32:N32)</f>
        <v>108024685.62558679</v>
      </c>
      <c r="P32" s="55"/>
      <c r="Q32" s="55"/>
    </row>
    <row r="33" spans="1:24" ht="14.25" hidden="1" customHeight="1" thickBot="1" x14ac:dyDescent="0.25">
      <c r="A33" s="64"/>
      <c r="B33" s="65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70"/>
      <c r="P33" s="55"/>
      <c r="Q33" s="55"/>
    </row>
    <row r="34" spans="1:24" ht="21" hidden="1" customHeight="1" thickBot="1" x14ac:dyDescent="0.25">
      <c r="A34" s="220" t="s">
        <v>88</v>
      </c>
      <c r="B34" s="221"/>
      <c r="C34" s="71" t="s">
        <v>20</v>
      </c>
      <c r="D34" s="72" t="s">
        <v>21</v>
      </c>
      <c r="E34" s="72" t="s">
        <v>22</v>
      </c>
      <c r="F34" s="72" t="s">
        <v>23</v>
      </c>
      <c r="G34" s="72" t="s">
        <v>24</v>
      </c>
      <c r="H34" s="72" t="s">
        <v>25</v>
      </c>
      <c r="I34" s="72" t="s">
        <v>26</v>
      </c>
      <c r="J34" s="72" t="s">
        <v>27</v>
      </c>
      <c r="K34" s="72" t="s">
        <v>28</v>
      </c>
      <c r="L34" s="72" t="s">
        <v>29</v>
      </c>
      <c r="M34" s="72" t="s">
        <v>30</v>
      </c>
      <c r="N34" s="72" t="s">
        <v>31</v>
      </c>
      <c r="O34" s="73" t="s">
        <v>59</v>
      </c>
      <c r="P34" s="74" t="s">
        <v>12</v>
      </c>
      <c r="Q34" s="75" t="s">
        <v>58</v>
      </c>
    </row>
    <row r="35" spans="1:24" ht="12.75" hidden="1" customHeight="1" thickBot="1" x14ac:dyDescent="0.25">
      <c r="A35" s="222"/>
      <c r="B35" s="223"/>
      <c r="C35" s="76">
        <f>SUM(C36:C77)-C78</f>
        <v>9011566.1300000008</v>
      </c>
      <c r="D35" s="76">
        <f>SUM(D36:D77)-D78</f>
        <v>7745861.4199999999</v>
      </c>
      <c r="E35" s="121">
        <f t="shared" ref="E35:N35" si="12">SUM(E36:E77)-E78</f>
        <v>7562676.3100000005</v>
      </c>
      <c r="F35" s="76">
        <f t="shared" si="12"/>
        <v>8090481.29</v>
      </c>
      <c r="G35" s="76">
        <f t="shared" si="12"/>
        <v>8798757.370000001</v>
      </c>
      <c r="H35" s="76">
        <f t="shared" si="12"/>
        <v>9007410.1400000006</v>
      </c>
      <c r="I35" s="76">
        <f t="shared" si="12"/>
        <v>12610579.850000001</v>
      </c>
      <c r="J35" s="76">
        <f t="shared" si="12"/>
        <v>10686108.909999998</v>
      </c>
      <c r="K35" s="76">
        <f>SUM(K36:K77)-K78</f>
        <v>10119745.76</v>
      </c>
      <c r="L35" s="76">
        <f t="shared" si="12"/>
        <v>11431270.069999998</v>
      </c>
      <c r="M35" s="76">
        <f t="shared" si="12"/>
        <v>11260464.50999999</v>
      </c>
      <c r="N35" s="76">
        <f t="shared" si="12"/>
        <v>13305572.76</v>
      </c>
      <c r="O35" s="77">
        <f>SUM(C35:N35)</f>
        <v>119630494.52</v>
      </c>
      <c r="P35" s="78">
        <f>SUM(P36:P77)</f>
        <v>0</v>
      </c>
      <c r="Q35" s="79">
        <f>SUM(Q36:Q77)</f>
        <v>-118215130.62</v>
      </c>
    </row>
    <row r="36" spans="1:24" ht="36" hidden="1" customHeight="1" x14ac:dyDescent="0.2">
      <c r="A36" s="80" t="s">
        <v>74</v>
      </c>
      <c r="B36" s="89" t="s">
        <v>32</v>
      </c>
      <c r="C36" s="122">
        <f>176738.23-15398.13</f>
        <v>161340.1</v>
      </c>
      <c r="D36" s="122">
        <f>175475.75-19833.9</f>
        <v>155641.85</v>
      </c>
      <c r="E36" s="122">
        <f>224987.92-17919.13</f>
        <v>207068.79</v>
      </c>
      <c r="F36" s="122">
        <f>338999.06-17726.71</f>
        <v>321272.34999999998</v>
      </c>
      <c r="G36" s="122">
        <f>156888.43-22909.56</f>
        <v>133978.87</v>
      </c>
      <c r="H36" s="127">
        <f>135628.05-20885.69</f>
        <v>114742.35999999999</v>
      </c>
      <c r="I36" s="122">
        <f>172635.79-18131.09</f>
        <v>154504.70000000001</v>
      </c>
      <c r="J36" s="130">
        <f>213163.81-22566.11</f>
        <v>190597.7</v>
      </c>
      <c r="K36" s="130">
        <f>240924.82-23246.61</f>
        <v>217678.21000000002</v>
      </c>
      <c r="L36" s="130">
        <f>312049.89-22919.14</f>
        <v>289130.75</v>
      </c>
      <c r="M36" s="130">
        <f>236368.69-22706.15</f>
        <v>213662.54</v>
      </c>
      <c r="N36" s="130">
        <f>340217.85-22934.47</f>
        <v>317283.38</v>
      </c>
      <c r="O36" s="131">
        <f>SUM(C36:N36)</f>
        <v>2476901.5999999996</v>
      </c>
      <c r="P36" s="132"/>
      <c r="Q36" s="133">
        <f t="shared" ref="Q36:Q64" si="13">P36-O36</f>
        <v>-2476901.5999999996</v>
      </c>
    </row>
    <row r="37" spans="1:24" ht="36" hidden="1" customHeight="1" x14ac:dyDescent="0.2">
      <c r="A37" s="81" t="s">
        <v>76</v>
      </c>
      <c r="B37" s="90" t="s">
        <v>32</v>
      </c>
      <c r="C37" s="123">
        <v>450.14</v>
      </c>
      <c r="D37" s="123">
        <v>302.94</v>
      </c>
      <c r="E37" s="123">
        <v>1764.86</v>
      </c>
      <c r="F37" s="123">
        <v>5827.14</v>
      </c>
      <c r="G37" s="123">
        <v>410.35</v>
      </c>
      <c r="H37" s="125">
        <v>898.63999999999896</v>
      </c>
      <c r="I37" s="125">
        <v>2391.46</v>
      </c>
      <c r="J37" s="134">
        <v>1266.17</v>
      </c>
      <c r="K37" s="134">
        <v>5353.94</v>
      </c>
      <c r="L37" s="134">
        <v>4176.38</v>
      </c>
      <c r="M37" s="134">
        <v>2063.56</v>
      </c>
      <c r="N37" s="134">
        <v>4893.54</v>
      </c>
      <c r="O37" s="135">
        <f>SUM(C37:N37)</f>
        <v>29799.120000000003</v>
      </c>
      <c r="P37" s="136"/>
      <c r="Q37" s="137">
        <f t="shared" si="13"/>
        <v>-29799.120000000003</v>
      </c>
    </row>
    <row r="38" spans="1:24" ht="36" hidden="1" customHeight="1" x14ac:dyDescent="0.2">
      <c r="A38" s="82" t="s">
        <v>75</v>
      </c>
      <c r="B38" s="91" t="s">
        <v>33</v>
      </c>
      <c r="C38" s="123">
        <v>1402497.6</v>
      </c>
      <c r="D38" s="123">
        <v>806839.93</v>
      </c>
      <c r="E38" s="124">
        <v>986990.7</v>
      </c>
      <c r="F38" s="124">
        <v>1013552.47</v>
      </c>
      <c r="G38" s="124">
        <v>733731.91</v>
      </c>
      <c r="H38" s="125">
        <v>855119.15999999898</v>
      </c>
      <c r="I38" s="124">
        <v>846292.62</v>
      </c>
      <c r="J38" s="126">
        <v>1069667.1499999999</v>
      </c>
      <c r="K38" s="126">
        <v>998254.22</v>
      </c>
      <c r="L38" s="134">
        <v>1197401.72</v>
      </c>
      <c r="M38" s="126">
        <v>1266129.3</v>
      </c>
      <c r="N38" s="126">
        <v>1215190.95</v>
      </c>
      <c r="O38" s="134">
        <f>SUM(C38:N38)</f>
        <v>12391667.73</v>
      </c>
      <c r="P38" s="138"/>
      <c r="Q38" s="139">
        <f t="shared" si="13"/>
        <v>-12391667.73</v>
      </c>
    </row>
    <row r="39" spans="1:24" ht="36" hidden="1" customHeight="1" x14ac:dyDescent="0.2">
      <c r="A39" s="82" t="s">
        <v>77</v>
      </c>
      <c r="B39" s="94" t="s">
        <v>35</v>
      </c>
      <c r="C39" s="124">
        <v>0</v>
      </c>
      <c r="D39" s="124">
        <v>5.25</v>
      </c>
      <c r="E39" s="124">
        <v>0</v>
      </c>
      <c r="F39" s="124">
        <v>0</v>
      </c>
      <c r="G39" s="124">
        <v>0</v>
      </c>
      <c r="H39" s="125">
        <v>1</v>
      </c>
      <c r="I39" s="125">
        <v>18.899999999999999</v>
      </c>
      <c r="J39" s="134">
        <v>0</v>
      </c>
      <c r="K39" s="134">
        <v>4.8</v>
      </c>
      <c r="L39" s="134">
        <v>0</v>
      </c>
      <c r="M39" s="134">
        <v>0</v>
      </c>
      <c r="N39" s="134">
        <v>0</v>
      </c>
      <c r="O39" s="135">
        <f t="shared" ref="O39:O51" si="14">SUM(C39:N39)</f>
        <v>29.95</v>
      </c>
      <c r="P39" s="138"/>
      <c r="Q39" s="139">
        <f t="shared" si="13"/>
        <v>-29.95</v>
      </c>
    </row>
    <row r="40" spans="1:24" ht="36" hidden="1" customHeight="1" x14ac:dyDescent="0.2">
      <c r="A40" s="82" t="s">
        <v>87</v>
      </c>
      <c r="B40" s="95" t="s">
        <v>34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5">
        <v>0.5</v>
      </c>
      <c r="I40" s="125">
        <v>66480</v>
      </c>
      <c r="J40" s="134">
        <v>303640</v>
      </c>
      <c r="K40" s="134">
        <v>120</v>
      </c>
      <c r="L40" s="134">
        <v>0</v>
      </c>
      <c r="M40" s="134">
        <f>-38520+1</f>
        <v>-38519</v>
      </c>
      <c r="N40" s="134">
        <v>-209880</v>
      </c>
      <c r="O40" s="134">
        <f t="shared" si="14"/>
        <v>121841.5</v>
      </c>
      <c r="P40" s="138"/>
      <c r="Q40" s="139">
        <f t="shared" si="13"/>
        <v>-121841.5</v>
      </c>
    </row>
    <row r="41" spans="1:24" ht="36" hidden="1" customHeight="1" x14ac:dyDescent="0.2">
      <c r="A41" s="82" t="s">
        <v>118</v>
      </c>
      <c r="B41" s="94" t="s">
        <v>35</v>
      </c>
      <c r="C41" s="124">
        <v>7251893.54</v>
      </c>
      <c r="D41" s="124">
        <v>6699813.4199999999</v>
      </c>
      <c r="E41" s="124">
        <v>6280405.4800000004</v>
      </c>
      <c r="F41" s="124">
        <v>6673535.4400000004</v>
      </c>
      <c r="G41" s="124">
        <v>7696604.6900000004</v>
      </c>
      <c r="H41" s="125">
        <v>7854908.5499999998</v>
      </c>
      <c r="I41" s="125">
        <v>8600271.4600000009</v>
      </c>
      <c r="J41" s="134">
        <v>9025226.0099999998</v>
      </c>
      <c r="K41" s="134">
        <v>8736721.8800000008</v>
      </c>
      <c r="L41" s="134">
        <v>9577434.5399999991</v>
      </c>
      <c r="M41" s="134">
        <v>9740371.0699999891</v>
      </c>
      <c r="N41" s="134">
        <v>11594673.720000001</v>
      </c>
      <c r="O41" s="135">
        <f t="shared" si="14"/>
        <v>99731859.799999982</v>
      </c>
      <c r="P41" s="138"/>
      <c r="Q41" s="139">
        <f t="shared" si="13"/>
        <v>-99731859.799999982</v>
      </c>
    </row>
    <row r="42" spans="1:24" ht="36" hidden="1" customHeight="1" x14ac:dyDescent="0.2">
      <c r="A42" s="82" t="s">
        <v>78</v>
      </c>
      <c r="B42" s="95" t="s">
        <v>34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5">
        <v>0</v>
      </c>
      <c r="I42" s="124">
        <v>0</v>
      </c>
      <c r="J42" s="126">
        <v>0</v>
      </c>
      <c r="K42" s="126">
        <v>0</v>
      </c>
      <c r="L42" s="126">
        <v>0</v>
      </c>
      <c r="M42" s="126">
        <v>0</v>
      </c>
      <c r="N42" s="126">
        <v>0</v>
      </c>
      <c r="O42" s="134">
        <f t="shared" si="14"/>
        <v>0</v>
      </c>
      <c r="P42" s="138"/>
      <c r="Q42" s="139">
        <f t="shared" si="13"/>
        <v>0</v>
      </c>
    </row>
    <row r="43" spans="1:24" ht="36" hidden="1" customHeight="1" x14ac:dyDescent="0.2">
      <c r="A43" s="82" t="s">
        <v>93</v>
      </c>
      <c r="B43" s="95" t="s">
        <v>34</v>
      </c>
      <c r="C43" s="124">
        <v>179.8</v>
      </c>
      <c r="D43" s="124">
        <v>11846.11</v>
      </c>
      <c r="E43" s="124">
        <v>806.92</v>
      </c>
      <c r="F43" s="124">
        <v>0.469999999999345</v>
      </c>
      <c r="G43" s="124">
        <v>63.65</v>
      </c>
      <c r="H43" s="125">
        <v>96715.81</v>
      </c>
      <c r="I43" s="125">
        <v>2764881.07</v>
      </c>
      <c r="J43" s="134">
        <v>26056.19</v>
      </c>
      <c r="K43" s="134">
        <v>648.18000000016798</v>
      </c>
      <c r="L43" s="134">
        <v>99040.91</v>
      </c>
      <c r="M43" s="134">
        <v>-338.50999999977603</v>
      </c>
      <c r="N43" s="134">
        <v>46947.3500000001</v>
      </c>
      <c r="O43" s="135">
        <f t="shared" si="14"/>
        <v>3046847.95</v>
      </c>
      <c r="P43" s="138"/>
      <c r="Q43" s="139">
        <f t="shared" si="13"/>
        <v>-3046847.95</v>
      </c>
    </row>
    <row r="44" spans="1:24" ht="36" hidden="1" customHeight="1" x14ac:dyDescent="0.2">
      <c r="A44" s="82" t="s">
        <v>92</v>
      </c>
      <c r="B44" s="95" t="s">
        <v>34</v>
      </c>
      <c r="C44" s="124">
        <v>0</v>
      </c>
      <c r="D44" s="124">
        <v>45.54</v>
      </c>
      <c r="E44" s="124">
        <v>0</v>
      </c>
      <c r="F44" s="124">
        <v>0</v>
      </c>
      <c r="G44" s="124">
        <v>0</v>
      </c>
      <c r="H44" s="125">
        <v>0</v>
      </c>
      <c r="I44" s="125">
        <v>0</v>
      </c>
      <c r="J44" s="134">
        <v>0</v>
      </c>
      <c r="K44" s="134">
        <v>0</v>
      </c>
      <c r="L44" s="134">
        <v>0</v>
      </c>
      <c r="M44" s="134">
        <v>0</v>
      </c>
      <c r="N44" s="134">
        <v>0</v>
      </c>
      <c r="O44" s="135">
        <f t="shared" si="14"/>
        <v>45.54</v>
      </c>
      <c r="P44" s="138"/>
      <c r="Q44" s="139">
        <f t="shared" si="13"/>
        <v>-45.54</v>
      </c>
    </row>
    <row r="45" spans="1:24" ht="36" hidden="1" customHeight="1" x14ac:dyDescent="0.2">
      <c r="A45" s="82" t="s">
        <v>94</v>
      </c>
      <c r="B45" s="95" t="s">
        <v>34</v>
      </c>
      <c r="C45" s="124">
        <v>0</v>
      </c>
      <c r="D45" s="124">
        <v>0</v>
      </c>
      <c r="E45" s="124">
        <v>49</v>
      </c>
      <c r="F45" s="124">
        <v>0</v>
      </c>
      <c r="G45" s="124">
        <v>0</v>
      </c>
      <c r="H45" s="125">
        <v>0</v>
      </c>
      <c r="I45" s="125">
        <v>0</v>
      </c>
      <c r="J45" s="134">
        <v>0</v>
      </c>
      <c r="K45" s="134">
        <v>0</v>
      </c>
      <c r="L45" s="134">
        <v>0</v>
      </c>
      <c r="M45" s="134">
        <v>0</v>
      </c>
      <c r="N45" s="134">
        <v>0</v>
      </c>
      <c r="O45" s="135">
        <f t="shared" si="14"/>
        <v>49</v>
      </c>
      <c r="P45" s="138"/>
      <c r="Q45" s="139">
        <f t="shared" si="13"/>
        <v>-49</v>
      </c>
    </row>
    <row r="46" spans="1:24" ht="36" hidden="1" customHeight="1" x14ac:dyDescent="0.2">
      <c r="A46" s="82" t="s">
        <v>79</v>
      </c>
      <c r="B46" s="95" t="s">
        <v>34</v>
      </c>
      <c r="C46" s="124">
        <v>195184.95</v>
      </c>
      <c r="D46" s="124">
        <v>71366.38</v>
      </c>
      <c r="E46" s="124">
        <v>83868.69</v>
      </c>
      <c r="F46" s="124">
        <v>73148.160000000003</v>
      </c>
      <c r="G46" s="124">
        <v>72615.72</v>
      </c>
      <c r="H46" s="125">
        <v>44982.39</v>
      </c>
      <c r="I46" s="125">
        <v>-541166.29</v>
      </c>
      <c r="J46" s="134">
        <v>0</v>
      </c>
      <c r="K46" s="134">
        <v>0</v>
      </c>
      <c r="L46" s="134">
        <v>0</v>
      </c>
      <c r="M46" s="134">
        <v>0</v>
      </c>
      <c r="N46" s="134">
        <v>0</v>
      </c>
      <c r="O46" s="134">
        <f t="shared" si="14"/>
        <v>0</v>
      </c>
      <c r="P46" s="138"/>
      <c r="Q46" s="139">
        <f t="shared" si="13"/>
        <v>0</v>
      </c>
      <c r="S46" s="97"/>
      <c r="T46" s="97"/>
      <c r="U46" s="97"/>
      <c r="V46" s="97"/>
      <c r="W46" s="97"/>
      <c r="X46" s="97"/>
    </row>
    <row r="47" spans="1:24" ht="36" hidden="1" customHeight="1" x14ac:dyDescent="0.2">
      <c r="A47" s="82" t="s">
        <v>82</v>
      </c>
      <c r="B47" s="95" t="s">
        <v>34</v>
      </c>
      <c r="C47" s="124">
        <v>0</v>
      </c>
      <c r="D47" s="125">
        <v>0</v>
      </c>
      <c r="E47" s="125"/>
      <c r="F47" s="125">
        <v>832.55</v>
      </c>
      <c r="G47" s="125">
        <v>0</v>
      </c>
      <c r="H47" s="125">
        <v>0</v>
      </c>
      <c r="I47" s="125">
        <v>-832.55</v>
      </c>
      <c r="J47" s="134">
        <v>0</v>
      </c>
      <c r="K47" s="134">
        <v>0</v>
      </c>
      <c r="L47" s="134">
        <v>0</v>
      </c>
      <c r="M47" s="134">
        <v>0</v>
      </c>
      <c r="N47" s="134">
        <v>0</v>
      </c>
      <c r="O47" s="135">
        <f t="shared" si="14"/>
        <v>0</v>
      </c>
      <c r="P47" s="138"/>
      <c r="Q47" s="139">
        <f t="shared" si="13"/>
        <v>0</v>
      </c>
      <c r="S47" s="97"/>
      <c r="T47" s="97"/>
      <c r="U47" s="97"/>
      <c r="V47" s="97"/>
      <c r="W47" s="97"/>
      <c r="X47" s="97"/>
    </row>
    <row r="48" spans="1:24" ht="36" hidden="1" customHeight="1" x14ac:dyDescent="0.2">
      <c r="A48" s="82" t="s">
        <v>97</v>
      </c>
      <c r="B48" s="95" t="s">
        <v>34</v>
      </c>
      <c r="C48" s="124">
        <v>0</v>
      </c>
      <c r="D48" s="124">
        <v>0</v>
      </c>
      <c r="E48" s="124">
        <v>0</v>
      </c>
      <c r="F48" s="124">
        <v>0</v>
      </c>
      <c r="G48" s="124">
        <v>0</v>
      </c>
      <c r="H48" s="125">
        <v>-1526.94</v>
      </c>
      <c r="I48" s="125">
        <v>653597.14</v>
      </c>
      <c r="J48" s="134">
        <v>62969.22</v>
      </c>
      <c r="K48" s="134">
        <v>103043.09</v>
      </c>
      <c r="L48" s="134">
        <v>211450.82</v>
      </c>
      <c r="M48" s="134">
        <v>63397.730000000098</v>
      </c>
      <c r="N48" s="134">
        <v>320451.44</v>
      </c>
      <c r="O48" s="135"/>
      <c r="P48" s="138"/>
      <c r="Q48" s="139"/>
      <c r="S48" s="97"/>
      <c r="T48" s="97"/>
      <c r="U48" s="97"/>
      <c r="V48" s="97"/>
      <c r="W48" s="97"/>
      <c r="X48" s="97"/>
    </row>
    <row r="49" spans="1:24" ht="36" hidden="1" customHeight="1" x14ac:dyDescent="0.2">
      <c r="A49" s="82" t="s">
        <v>98</v>
      </c>
      <c r="B49" s="95" t="s">
        <v>34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28">
        <v>832.55</v>
      </c>
      <c r="J49" s="126">
        <v>1148.8499999999999</v>
      </c>
      <c r="K49" s="126">
        <v>0</v>
      </c>
      <c r="L49" s="126">
        <v>0</v>
      </c>
      <c r="M49" s="126">
        <v>0</v>
      </c>
      <c r="N49" s="126">
        <v>0</v>
      </c>
      <c r="O49" s="126">
        <v>0</v>
      </c>
      <c r="P49" s="126">
        <v>0</v>
      </c>
      <c r="Q49" s="139"/>
      <c r="S49" s="97"/>
      <c r="T49" s="97"/>
      <c r="U49" s="97"/>
      <c r="V49" s="97"/>
      <c r="W49" s="97"/>
      <c r="X49" s="97"/>
    </row>
    <row r="50" spans="1:24" ht="36" hidden="1" customHeight="1" x14ac:dyDescent="0.2">
      <c r="A50" s="82" t="s">
        <v>80</v>
      </c>
      <c r="B50" s="95" t="s">
        <v>34</v>
      </c>
      <c r="C50" s="124">
        <v>0</v>
      </c>
      <c r="D50" s="124">
        <v>0</v>
      </c>
      <c r="E50" s="124"/>
      <c r="F50" s="124">
        <v>0</v>
      </c>
      <c r="G50" s="124">
        <v>0</v>
      </c>
      <c r="H50" s="125">
        <v>0</v>
      </c>
      <c r="I50" s="129">
        <v>0</v>
      </c>
      <c r="J50" s="134">
        <v>0</v>
      </c>
      <c r="K50" s="134">
        <v>0</v>
      </c>
      <c r="L50" s="134">
        <v>0</v>
      </c>
      <c r="M50" s="134">
        <v>0</v>
      </c>
      <c r="N50" s="134">
        <v>0</v>
      </c>
      <c r="O50" s="134">
        <f t="shared" si="14"/>
        <v>0</v>
      </c>
      <c r="P50" s="138"/>
      <c r="Q50" s="139">
        <f t="shared" si="13"/>
        <v>0</v>
      </c>
      <c r="S50" s="97"/>
      <c r="T50" s="97"/>
      <c r="U50" s="97"/>
      <c r="V50" s="97"/>
      <c r="W50" s="97"/>
      <c r="X50" s="97"/>
    </row>
    <row r="51" spans="1:24" ht="36" hidden="1" customHeight="1" x14ac:dyDescent="0.2">
      <c r="A51" s="82" t="s">
        <v>81</v>
      </c>
      <c r="B51" s="95" t="s">
        <v>34</v>
      </c>
      <c r="C51" s="124">
        <v>20</v>
      </c>
      <c r="D51" s="124">
        <v>0</v>
      </c>
      <c r="E51" s="124">
        <v>1721.87</v>
      </c>
      <c r="F51" s="124">
        <v>2312.71</v>
      </c>
      <c r="G51" s="124">
        <v>161352.18</v>
      </c>
      <c r="H51" s="125">
        <v>41568.67</v>
      </c>
      <c r="I51" s="129">
        <v>63308.79</v>
      </c>
      <c r="J51" s="134">
        <v>5537.62</v>
      </c>
      <c r="K51" s="134">
        <v>57921.440000000002</v>
      </c>
      <c r="L51" s="134">
        <v>52634.95</v>
      </c>
      <c r="M51" s="134">
        <v>13697.82</v>
      </c>
      <c r="N51" s="134">
        <v>16012.38</v>
      </c>
      <c r="O51" s="135">
        <f t="shared" si="14"/>
        <v>416088.43</v>
      </c>
      <c r="P51" s="138"/>
      <c r="Q51" s="139">
        <f t="shared" si="13"/>
        <v>-416088.43</v>
      </c>
      <c r="S51" s="97"/>
      <c r="T51" s="97"/>
      <c r="U51" s="97"/>
      <c r="V51" s="97"/>
      <c r="W51" s="97"/>
      <c r="X51" s="97"/>
    </row>
    <row r="52" spans="1:24" ht="36" hidden="1" customHeight="1" thickBot="1" x14ac:dyDescent="0.25">
      <c r="A52" s="82" t="s">
        <v>83</v>
      </c>
      <c r="B52" s="94" t="s">
        <v>35</v>
      </c>
      <c r="C52" s="124">
        <v>0</v>
      </c>
      <c r="D52" s="124">
        <v>0</v>
      </c>
      <c r="E52" s="124">
        <v>0</v>
      </c>
      <c r="F52" s="124">
        <v>0</v>
      </c>
      <c r="G52" s="124">
        <v>0</v>
      </c>
      <c r="H52" s="125"/>
      <c r="I52" s="128">
        <v>0</v>
      </c>
      <c r="J52" s="126">
        <v>0</v>
      </c>
      <c r="K52" s="126">
        <v>0</v>
      </c>
      <c r="L52" s="134">
        <v>0</v>
      </c>
      <c r="M52" s="126">
        <v>0</v>
      </c>
      <c r="N52" s="126">
        <v>0</v>
      </c>
      <c r="O52" s="140">
        <f>SUM(C52:N52)</f>
        <v>0</v>
      </c>
      <c r="P52" s="138"/>
      <c r="Q52" s="139">
        <f t="shared" si="13"/>
        <v>0</v>
      </c>
      <c r="S52" s="98"/>
      <c r="T52" s="98"/>
      <c r="U52" s="98"/>
      <c r="V52" s="97"/>
      <c r="W52" s="98"/>
      <c r="X52" s="98"/>
    </row>
    <row r="53" spans="1:24" ht="16.5" hidden="1" customHeight="1" x14ac:dyDescent="0.2">
      <c r="A53" s="82" t="s">
        <v>36</v>
      </c>
      <c r="B53" s="95" t="s">
        <v>34</v>
      </c>
      <c r="C53" s="99"/>
      <c r="D53" s="99"/>
      <c r="E53" s="99"/>
      <c r="F53" s="99"/>
      <c r="G53" s="99"/>
      <c r="H53" s="100"/>
      <c r="I53" s="99"/>
      <c r="J53" s="99"/>
      <c r="K53" s="99"/>
      <c r="L53" s="100"/>
      <c r="M53" s="99"/>
      <c r="N53" s="101"/>
      <c r="O53" s="102">
        <f t="shared" ref="O53:O76" si="15">SUM(C53:N53)</f>
        <v>0</v>
      </c>
      <c r="P53" s="92"/>
      <c r="Q53" s="93">
        <f t="shared" si="13"/>
        <v>0</v>
      </c>
      <c r="S53" s="98"/>
      <c r="T53" s="98"/>
      <c r="U53" s="98"/>
      <c r="V53" s="97"/>
      <c r="W53" s="98"/>
      <c r="X53" s="98"/>
    </row>
    <row r="54" spans="1:24" ht="26.25" hidden="1" customHeight="1" x14ac:dyDescent="0.2">
      <c r="A54" s="82" t="s">
        <v>63</v>
      </c>
      <c r="B54" s="103" t="s">
        <v>34</v>
      </c>
      <c r="C54" s="99"/>
      <c r="D54" s="99"/>
      <c r="E54" s="99"/>
      <c r="F54" s="99"/>
      <c r="G54" s="99"/>
      <c r="H54" s="100"/>
      <c r="I54" s="99"/>
      <c r="J54" s="99"/>
      <c r="K54" s="99"/>
      <c r="L54" s="100"/>
      <c r="M54" s="99"/>
      <c r="N54" s="101"/>
      <c r="O54" s="102">
        <f>SUM(C54:N54)</f>
        <v>0</v>
      </c>
      <c r="P54" s="92"/>
      <c r="Q54" s="93">
        <f t="shared" si="13"/>
        <v>0</v>
      </c>
      <c r="S54" s="98"/>
      <c r="T54" s="98"/>
      <c r="U54" s="98"/>
      <c r="V54" s="98"/>
      <c r="W54" s="98"/>
      <c r="X54" s="98"/>
    </row>
    <row r="55" spans="1:24" ht="26.25" hidden="1" customHeight="1" x14ac:dyDescent="0.2">
      <c r="A55" s="82" t="s">
        <v>37</v>
      </c>
      <c r="B55" s="94" t="s">
        <v>35</v>
      </c>
      <c r="C55" s="99"/>
      <c r="D55" s="99"/>
      <c r="E55" s="99"/>
      <c r="F55" s="99"/>
      <c r="G55" s="99"/>
      <c r="H55" s="100"/>
      <c r="I55" s="99"/>
      <c r="J55" s="99"/>
      <c r="K55" s="99"/>
      <c r="L55" s="100"/>
      <c r="M55" s="99"/>
      <c r="N55" s="101"/>
      <c r="O55" s="102">
        <f t="shared" si="15"/>
        <v>0</v>
      </c>
      <c r="P55" s="92"/>
      <c r="Q55" s="93">
        <f t="shared" si="13"/>
        <v>0</v>
      </c>
      <c r="S55" s="98"/>
      <c r="T55" s="98"/>
      <c r="U55" s="98"/>
      <c r="V55" s="98"/>
      <c r="W55" s="98"/>
      <c r="X55" s="98"/>
    </row>
    <row r="56" spans="1:24" ht="26.25" hidden="1" customHeight="1" x14ac:dyDescent="0.2">
      <c r="A56" s="82" t="s">
        <v>38</v>
      </c>
      <c r="B56" s="96" t="s">
        <v>32</v>
      </c>
      <c r="C56" s="99"/>
      <c r="D56" s="99"/>
      <c r="E56" s="99"/>
      <c r="F56" s="99"/>
      <c r="G56" s="99"/>
      <c r="H56" s="100"/>
      <c r="I56" s="99"/>
      <c r="J56" s="99"/>
      <c r="K56" s="99"/>
      <c r="L56" s="100"/>
      <c r="M56" s="99"/>
      <c r="N56" s="101"/>
      <c r="O56" s="102">
        <f t="shared" si="15"/>
        <v>0</v>
      </c>
      <c r="P56" s="92"/>
      <c r="Q56" s="93">
        <f t="shared" si="13"/>
        <v>0</v>
      </c>
      <c r="S56" s="98"/>
      <c r="T56" s="98"/>
      <c r="U56" s="98"/>
      <c r="V56" s="97"/>
      <c r="W56" s="98"/>
      <c r="X56" s="98"/>
    </row>
    <row r="57" spans="1:24" ht="21" hidden="1" customHeight="1" x14ac:dyDescent="0.2">
      <c r="A57" s="82" t="s">
        <v>65</v>
      </c>
      <c r="B57" s="104"/>
      <c r="C57" s="99"/>
      <c r="D57" s="99"/>
      <c r="E57" s="99"/>
      <c r="F57" s="99"/>
      <c r="G57" s="99"/>
      <c r="H57" s="100"/>
      <c r="I57" s="99"/>
      <c r="J57" s="99"/>
      <c r="K57" s="99"/>
      <c r="L57" s="100"/>
      <c r="M57" s="99"/>
      <c r="N57" s="101"/>
      <c r="O57" s="102"/>
      <c r="P57" s="92"/>
      <c r="Q57" s="93"/>
      <c r="S57" s="98"/>
      <c r="T57" s="98"/>
      <c r="U57" s="98"/>
      <c r="V57" s="98"/>
      <c r="W57" s="98"/>
      <c r="X57" s="98"/>
    </row>
    <row r="58" spans="1:24" ht="26.25" hidden="1" customHeight="1" x14ac:dyDescent="0.2">
      <c r="A58" s="82" t="s">
        <v>57</v>
      </c>
      <c r="B58" s="96" t="s">
        <v>32</v>
      </c>
      <c r="C58" s="99"/>
      <c r="D58" s="99"/>
      <c r="E58" s="99"/>
      <c r="F58" s="99"/>
      <c r="G58" s="99"/>
      <c r="H58" s="100"/>
      <c r="I58" s="99"/>
      <c r="J58" s="99"/>
      <c r="K58" s="99"/>
      <c r="L58" s="100"/>
      <c r="M58" s="99"/>
      <c r="N58" s="101"/>
      <c r="O58" s="102">
        <f t="shared" si="15"/>
        <v>0</v>
      </c>
      <c r="P58" s="92"/>
      <c r="Q58" s="93">
        <f t="shared" si="13"/>
        <v>0</v>
      </c>
      <c r="S58" s="98"/>
      <c r="T58" s="98"/>
      <c r="U58" s="98"/>
      <c r="V58" s="98"/>
      <c r="W58" s="98"/>
      <c r="X58" s="98"/>
    </row>
    <row r="59" spans="1:24" ht="26.25" hidden="1" customHeight="1" x14ac:dyDescent="0.2">
      <c r="A59" s="82" t="s">
        <v>39</v>
      </c>
      <c r="B59" s="103" t="s">
        <v>34</v>
      </c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6">
        <f t="shared" si="15"/>
        <v>0</v>
      </c>
      <c r="P59" s="107"/>
      <c r="Q59" s="108">
        <f t="shared" si="13"/>
        <v>0</v>
      </c>
    </row>
    <row r="60" spans="1:24" ht="26.25" hidden="1" customHeight="1" x14ac:dyDescent="0.2">
      <c r="A60" s="82" t="s">
        <v>64</v>
      </c>
      <c r="B60" s="96" t="s">
        <v>32</v>
      </c>
      <c r="C60" s="99"/>
      <c r="D60" s="99"/>
      <c r="E60" s="99"/>
      <c r="F60" s="99"/>
      <c r="G60" s="99"/>
      <c r="H60" s="100"/>
      <c r="I60" s="99"/>
      <c r="J60" s="99"/>
      <c r="K60" s="99"/>
      <c r="L60" s="100"/>
      <c r="M60" s="99"/>
      <c r="N60" s="101"/>
      <c r="O60" s="102">
        <f t="shared" si="15"/>
        <v>0</v>
      </c>
      <c r="P60" s="92"/>
      <c r="Q60" s="93">
        <f t="shared" si="13"/>
        <v>0</v>
      </c>
    </row>
    <row r="61" spans="1:24" ht="16.5" hidden="1" customHeight="1" x14ac:dyDescent="0.2">
      <c r="A61" s="82" t="s">
        <v>40</v>
      </c>
      <c r="B61" s="103" t="s">
        <v>34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6">
        <f t="shared" si="15"/>
        <v>0</v>
      </c>
      <c r="P61" s="107"/>
      <c r="Q61" s="108">
        <f t="shared" si="13"/>
        <v>0</v>
      </c>
    </row>
    <row r="62" spans="1:24" ht="26.25" hidden="1" customHeight="1" x14ac:dyDescent="0.2">
      <c r="A62" s="82" t="s">
        <v>41</v>
      </c>
      <c r="B62" s="109" t="s">
        <v>33</v>
      </c>
      <c r="C62" s="110"/>
      <c r="D62" s="110"/>
      <c r="E62" s="110"/>
      <c r="F62" s="110"/>
      <c r="G62" s="110"/>
      <c r="H62" s="100"/>
      <c r="I62" s="99"/>
      <c r="J62" s="99"/>
      <c r="K62" s="99"/>
      <c r="L62" s="100"/>
      <c r="M62" s="99"/>
      <c r="N62" s="101"/>
      <c r="O62" s="102">
        <f t="shared" si="15"/>
        <v>0</v>
      </c>
      <c r="P62" s="92"/>
      <c r="Q62" s="93">
        <f t="shared" si="13"/>
        <v>0</v>
      </c>
    </row>
    <row r="63" spans="1:24" ht="26.25" hidden="1" customHeight="1" x14ac:dyDescent="0.2">
      <c r="A63" s="82" t="s">
        <v>42</v>
      </c>
      <c r="B63" s="95" t="s">
        <v>34</v>
      </c>
      <c r="C63" s="99"/>
      <c r="D63" s="99"/>
      <c r="E63" s="99"/>
      <c r="F63" s="99"/>
      <c r="G63" s="99"/>
      <c r="H63" s="100"/>
      <c r="I63" s="99"/>
      <c r="J63" s="99"/>
      <c r="K63" s="99"/>
      <c r="L63" s="100"/>
      <c r="M63" s="99"/>
      <c r="N63" s="101"/>
      <c r="O63" s="102"/>
      <c r="P63" s="92"/>
      <c r="Q63" s="93">
        <f t="shared" si="13"/>
        <v>0</v>
      </c>
    </row>
    <row r="64" spans="1:24" ht="26.25" hidden="1" customHeight="1" x14ac:dyDescent="0.2">
      <c r="A64" s="82" t="s">
        <v>56</v>
      </c>
      <c r="B64" s="95" t="s">
        <v>34</v>
      </c>
      <c r="C64" s="99"/>
      <c r="D64" s="99"/>
      <c r="E64" s="99"/>
      <c r="F64" s="99"/>
      <c r="G64" s="99"/>
      <c r="H64" s="100"/>
      <c r="I64" s="99"/>
      <c r="J64" s="99"/>
      <c r="K64" s="99"/>
      <c r="L64" s="100"/>
      <c r="M64" s="99"/>
      <c r="N64" s="101"/>
      <c r="O64" s="102">
        <f t="shared" si="15"/>
        <v>0</v>
      </c>
      <c r="P64" s="92"/>
      <c r="Q64" s="93">
        <f t="shared" si="13"/>
        <v>0</v>
      </c>
    </row>
    <row r="65" spans="1:17" ht="26.25" hidden="1" customHeight="1" x14ac:dyDescent="0.2">
      <c r="A65" s="82" t="s">
        <v>43</v>
      </c>
      <c r="B65" s="103" t="s">
        <v>34</v>
      </c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6">
        <f t="shared" si="15"/>
        <v>0</v>
      </c>
      <c r="P65" s="107"/>
      <c r="Q65" s="108">
        <f>P65-O65</f>
        <v>0</v>
      </c>
    </row>
    <row r="66" spans="1:17" ht="26.25" hidden="1" customHeight="1" x14ac:dyDescent="0.2">
      <c r="A66" s="82" t="s">
        <v>44</v>
      </c>
      <c r="B66" s="95" t="s">
        <v>34</v>
      </c>
      <c r="C66" s="99"/>
      <c r="D66" s="99"/>
      <c r="E66" s="99"/>
      <c r="F66" s="99"/>
      <c r="G66" s="99"/>
      <c r="H66" s="100"/>
      <c r="I66" s="99"/>
      <c r="J66" s="99"/>
      <c r="K66" s="99"/>
      <c r="L66" s="100"/>
      <c r="M66" s="99"/>
      <c r="N66" s="101"/>
      <c r="O66" s="102">
        <f t="shared" si="15"/>
        <v>0</v>
      </c>
      <c r="P66" s="92"/>
      <c r="Q66" s="93">
        <f>P66-O66</f>
        <v>0</v>
      </c>
    </row>
    <row r="67" spans="1:17" ht="16.5" hidden="1" customHeight="1" x14ac:dyDescent="0.2">
      <c r="A67" s="82" t="s">
        <v>55</v>
      </c>
      <c r="B67" s="95" t="s">
        <v>34</v>
      </c>
      <c r="C67" s="99"/>
      <c r="D67" s="99"/>
      <c r="E67" s="99"/>
      <c r="F67" s="99"/>
      <c r="G67" s="99"/>
      <c r="H67" s="100"/>
      <c r="I67" s="99"/>
      <c r="J67" s="99"/>
      <c r="K67" s="99"/>
      <c r="L67" s="100"/>
      <c r="M67" s="99"/>
      <c r="N67" s="101"/>
      <c r="O67" s="102">
        <f t="shared" si="15"/>
        <v>0</v>
      </c>
      <c r="P67" s="92"/>
      <c r="Q67" s="93">
        <f>P67-O67</f>
        <v>0</v>
      </c>
    </row>
    <row r="68" spans="1:17" ht="16.5" hidden="1" customHeight="1" x14ac:dyDescent="0.2">
      <c r="A68" s="82" t="s">
        <v>45</v>
      </c>
      <c r="B68" s="95" t="s">
        <v>34</v>
      </c>
      <c r="C68" s="99"/>
      <c r="D68" s="99"/>
      <c r="E68" s="99"/>
      <c r="F68" s="99"/>
      <c r="G68" s="99"/>
      <c r="H68" s="100"/>
      <c r="I68" s="99"/>
      <c r="J68" s="101"/>
      <c r="K68" s="99"/>
      <c r="L68" s="100"/>
      <c r="M68" s="99"/>
      <c r="N68" s="101"/>
      <c r="O68" s="102">
        <f t="shared" si="15"/>
        <v>0</v>
      </c>
      <c r="P68" s="92"/>
      <c r="Q68" s="93">
        <f t="shared" ref="Q68:Q78" si="16">P68-O68</f>
        <v>0</v>
      </c>
    </row>
    <row r="69" spans="1:17" ht="26.25" hidden="1" customHeight="1" x14ac:dyDescent="0.2">
      <c r="A69" s="82" t="s">
        <v>46</v>
      </c>
      <c r="B69" s="103" t="s">
        <v>34</v>
      </c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6">
        <f t="shared" si="15"/>
        <v>0</v>
      </c>
      <c r="P69" s="107"/>
      <c r="Q69" s="108">
        <f t="shared" si="16"/>
        <v>0</v>
      </c>
    </row>
    <row r="70" spans="1:17" ht="26.25" hidden="1" customHeight="1" x14ac:dyDescent="0.2">
      <c r="A70" s="82" t="s">
        <v>47</v>
      </c>
      <c r="B70" s="103" t="s">
        <v>34</v>
      </c>
      <c r="C70" s="105"/>
      <c r="D70" s="105"/>
      <c r="E70" s="105"/>
      <c r="F70" s="105"/>
      <c r="G70" s="105"/>
      <c r="H70" s="111"/>
      <c r="I70" s="105"/>
      <c r="J70" s="105"/>
      <c r="K70" s="105"/>
      <c r="L70" s="111"/>
      <c r="M70" s="105"/>
      <c r="N70" s="105"/>
      <c r="O70" s="106">
        <f t="shared" si="15"/>
        <v>0</v>
      </c>
      <c r="P70" s="112"/>
      <c r="Q70" s="108">
        <f t="shared" si="16"/>
        <v>0</v>
      </c>
    </row>
    <row r="71" spans="1:17" ht="26.25" hidden="1" customHeight="1" x14ac:dyDescent="0.2">
      <c r="A71" s="82" t="s">
        <v>48</v>
      </c>
      <c r="B71" s="94" t="s">
        <v>35</v>
      </c>
      <c r="C71" s="110"/>
      <c r="D71" s="99"/>
      <c r="E71" s="99"/>
      <c r="F71" s="99"/>
      <c r="G71" s="99"/>
      <c r="H71" s="100"/>
      <c r="I71" s="99"/>
      <c r="J71" s="99"/>
      <c r="K71" s="99"/>
      <c r="L71" s="100"/>
      <c r="M71" s="99"/>
      <c r="N71" s="101"/>
      <c r="O71" s="102">
        <f t="shared" si="15"/>
        <v>0</v>
      </c>
      <c r="P71" s="92"/>
      <c r="Q71" s="93">
        <f t="shared" si="16"/>
        <v>0</v>
      </c>
    </row>
    <row r="72" spans="1:17" ht="26.25" hidden="1" customHeight="1" x14ac:dyDescent="0.2">
      <c r="A72" s="82" t="s">
        <v>49</v>
      </c>
      <c r="B72" s="95" t="s">
        <v>34</v>
      </c>
      <c r="C72" s="110"/>
      <c r="D72" s="99"/>
      <c r="E72" s="99"/>
      <c r="F72" s="99"/>
      <c r="G72" s="99"/>
      <c r="H72" s="100"/>
      <c r="I72" s="99"/>
      <c r="J72" s="99"/>
      <c r="K72" s="99"/>
      <c r="L72" s="100"/>
      <c r="M72" s="99"/>
      <c r="N72" s="101"/>
      <c r="O72" s="102">
        <f t="shared" si="15"/>
        <v>0</v>
      </c>
      <c r="P72" s="92"/>
      <c r="Q72" s="93">
        <f t="shared" si="16"/>
        <v>0</v>
      </c>
    </row>
    <row r="73" spans="1:17" ht="16.5" hidden="1" customHeight="1" x14ac:dyDescent="0.2">
      <c r="A73" s="82" t="s">
        <v>50</v>
      </c>
      <c r="B73" s="95" t="s">
        <v>34</v>
      </c>
      <c r="C73" s="110"/>
      <c r="D73" s="99"/>
      <c r="E73" s="99"/>
      <c r="F73" s="99"/>
      <c r="G73" s="99"/>
      <c r="H73" s="100"/>
      <c r="I73" s="99"/>
      <c r="J73" s="99"/>
      <c r="K73" s="99"/>
      <c r="L73" s="100"/>
      <c r="M73" s="99"/>
      <c r="N73" s="101"/>
      <c r="O73" s="102">
        <f t="shared" si="15"/>
        <v>0</v>
      </c>
      <c r="P73" s="92"/>
      <c r="Q73" s="93">
        <f t="shared" si="16"/>
        <v>0</v>
      </c>
    </row>
    <row r="74" spans="1:17" ht="26.25" hidden="1" customHeight="1" x14ac:dyDescent="0.2">
      <c r="A74" s="82" t="s">
        <v>51</v>
      </c>
      <c r="B74" s="95" t="s">
        <v>34</v>
      </c>
      <c r="C74" s="110"/>
      <c r="D74" s="99"/>
      <c r="E74" s="99"/>
      <c r="F74" s="99"/>
      <c r="G74" s="99"/>
      <c r="H74" s="100"/>
      <c r="I74" s="99"/>
      <c r="J74" s="99"/>
      <c r="K74" s="99"/>
      <c r="L74" s="100"/>
      <c r="M74" s="99"/>
      <c r="N74" s="101"/>
      <c r="O74" s="102">
        <f t="shared" si="15"/>
        <v>0</v>
      </c>
      <c r="P74" s="92"/>
      <c r="Q74" s="93">
        <f t="shared" si="16"/>
        <v>0</v>
      </c>
    </row>
    <row r="75" spans="1:17" ht="26.25" hidden="1" customHeight="1" x14ac:dyDescent="0.2">
      <c r="A75" s="82" t="s">
        <v>52</v>
      </c>
      <c r="B75" s="95" t="s">
        <v>34</v>
      </c>
      <c r="C75" s="99"/>
      <c r="D75" s="99"/>
      <c r="E75" s="99"/>
      <c r="F75" s="110"/>
      <c r="G75" s="99"/>
      <c r="H75" s="100"/>
      <c r="I75" s="99"/>
      <c r="J75" s="99"/>
      <c r="K75" s="99"/>
      <c r="L75" s="100"/>
      <c r="M75" s="99"/>
      <c r="N75" s="101"/>
      <c r="O75" s="102">
        <f t="shared" si="15"/>
        <v>0</v>
      </c>
      <c r="P75" s="92"/>
      <c r="Q75" s="93">
        <f t="shared" si="16"/>
        <v>0</v>
      </c>
    </row>
    <row r="76" spans="1:17" ht="16.5" hidden="1" customHeight="1" x14ac:dyDescent="0.2">
      <c r="A76" s="82" t="s">
        <v>60</v>
      </c>
      <c r="B76" s="95" t="s">
        <v>34</v>
      </c>
      <c r="C76" s="99"/>
      <c r="D76" s="99"/>
      <c r="E76" s="99"/>
      <c r="F76" s="110"/>
      <c r="G76" s="99"/>
      <c r="H76" s="100"/>
      <c r="I76" s="99"/>
      <c r="J76" s="99"/>
      <c r="K76" s="99"/>
      <c r="L76" s="100"/>
      <c r="M76" s="99"/>
      <c r="N76" s="101"/>
      <c r="O76" s="102">
        <f t="shared" si="15"/>
        <v>0</v>
      </c>
      <c r="P76" s="92"/>
      <c r="Q76" s="93">
        <f>P76-O76</f>
        <v>0</v>
      </c>
    </row>
    <row r="77" spans="1:17" ht="16.5" hidden="1" customHeight="1" thickBot="1" x14ac:dyDescent="0.25">
      <c r="A77" s="82" t="s">
        <v>54</v>
      </c>
      <c r="B77" s="103" t="s">
        <v>34</v>
      </c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6">
        <f>SUM(C77:N77)</f>
        <v>0</v>
      </c>
      <c r="P77" s="107"/>
      <c r="Q77" s="108">
        <f t="shared" si="16"/>
        <v>0</v>
      </c>
    </row>
    <row r="78" spans="1:17" ht="24.75" hidden="1" customHeight="1" thickBot="1" x14ac:dyDescent="0.25">
      <c r="A78" s="224" t="s">
        <v>53</v>
      </c>
      <c r="B78" s="225"/>
      <c r="C78" s="113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5">
        <f>SUM(C78:N78)</f>
        <v>0</v>
      </c>
      <c r="P78" s="116"/>
      <c r="Q78" s="117">
        <f t="shared" si="16"/>
        <v>0</v>
      </c>
    </row>
    <row r="79" spans="1:17" hidden="1" x14ac:dyDescent="0.2"/>
    <row r="80" spans="1:17" hidden="1" x14ac:dyDescent="0.2">
      <c r="A80" s="261" t="s">
        <v>90</v>
      </c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</row>
    <row r="81" spans="1:17" ht="16.5" hidden="1" customHeight="1" x14ac:dyDescent="0.2">
      <c r="A81" s="231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</row>
    <row r="82" spans="1:17" hidden="1" x14ac:dyDescent="0.2">
      <c r="A82" s="251" t="s">
        <v>89</v>
      </c>
      <c r="B82" s="246"/>
      <c r="C82" s="252" t="s">
        <v>19</v>
      </c>
      <c r="D82" s="253"/>
      <c r="E82" s="253"/>
      <c r="F82" s="253"/>
      <c r="G82" s="253"/>
      <c r="H82" s="253"/>
      <c r="I82" s="253"/>
      <c r="J82" s="253"/>
      <c r="K82" s="253"/>
      <c r="L82" s="253"/>
      <c r="M82" s="1"/>
      <c r="N82" s="2"/>
      <c r="O82" s="83"/>
      <c r="P82" s="83"/>
      <c r="Q82" s="84"/>
    </row>
    <row r="83" spans="1:17" ht="21.75" hidden="1" thickBot="1" x14ac:dyDescent="0.25">
      <c r="A83" s="247"/>
      <c r="B83" s="248"/>
      <c r="C83" s="3" t="s">
        <v>0</v>
      </c>
      <c r="D83" s="4" t="s">
        <v>1</v>
      </c>
      <c r="E83" s="5" t="s">
        <v>2</v>
      </c>
      <c r="F83" s="5" t="s">
        <v>3</v>
      </c>
      <c r="G83" s="5" t="s">
        <v>4</v>
      </c>
      <c r="H83" s="5" t="s">
        <v>5</v>
      </c>
      <c r="I83" s="5" t="s">
        <v>6</v>
      </c>
      <c r="J83" s="5" t="s">
        <v>7</v>
      </c>
      <c r="K83" s="5" t="s">
        <v>8</v>
      </c>
      <c r="L83" s="5" t="s">
        <v>9</v>
      </c>
      <c r="M83" s="5" t="s">
        <v>10</v>
      </c>
      <c r="N83" s="5" t="s">
        <v>11</v>
      </c>
      <c r="O83" s="6" t="s">
        <v>86</v>
      </c>
      <c r="P83" s="6" t="s">
        <v>62</v>
      </c>
      <c r="Q83" s="7" t="s">
        <v>71</v>
      </c>
    </row>
    <row r="84" spans="1:17" hidden="1" x14ac:dyDescent="0.2">
      <c r="A84" s="8" t="s">
        <v>13</v>
      </c>
      <c r="B84" s="9" t="s">
        <v>72</v>
      </c>
      <c r="C84" s="10">
        <f t="shared" ref="C84:N84" si="17">SUMIF($B$36:$B$77,"Operacional",C$36:C$77)</f>
        <v>7251893.54</v>
      </c>
      <c r="D84" s="11">
        <f t="shared" si="17"/>
        <v>6699818.6699999999</v>
      </c>
      <c r="E84" s="11">
        <f t="shared" si="17"/>
        <v>6280405.4800000004</v>
      </c>
      <c r="F84" s="11">
        <f t="shared" si="17"/>
        <v>6673535.4400000004</v>
      </c>
      <c r="G84" s="11">
        <f t="shared" si="17"/>
        <v>7696604.6900000004</v>
      </c>
      <c r="H84" s="11">
        <f t="shared" si="17"/>
        <v>7854909.5499999998</v>
      </c>
      <c r="I84" s="11">
        <f t="shared" si="17"/>
        <v>8600290.3600000013</v>
      </c>
      <c r="J84" s="11">
        <f t="shared" si="17"/>
        <v>9025226.0099999998</v>
      </c>
      <c r="K84" s="11">
        <f t="shared" si="17"/>
        <v>8736726.6800000016</v>
      </c>
      <c r="L84" s="11">
        <f t="shared" si="17"/>
        <v>9577434.5399999991</v>
      </c>
      <c r="M84" s="11">
        <f t="shared" si="17"/>
        <v>9740371.0699999891</v>
      </c>
      <c r="N84" s="11">
        <f t="shared" si="17"/>
        <v>11594673.720000001</v>
      </c>
      <c r="O84" s="12">
        <f>SUM(C84:N84)</f>
        <v>99731889.75</v>
      </c>
      <c r="P84" s="254"/>
      <c r="Q84" s="226">
        <f>-P84+O84</f>
        <v>99731889.75</v>
      </c>
    </row>
    <row r="85" spans="1:17" ht="16.5" hidden="1" thickBot="1" x14ac:dyDescent="0.25">
      <c r="A85" s="256" t="s">
        <v>66</v>
      </c>
      <c r="B85" s="257"/>
      <c r="C85" s="23">
        <v>14376068</v>
      </c>
      <c r="D85" s="23">
        <v>13834148</v>
      </c>
      <c r="E85" s="23">
        <v>15447023</v>
      </c>
      <c r="F85" s="23">
        <v>16255877</v>
      </c>
      <c r="G85" s="23">
        <v>16233809</v>
      </c>
      <c r="H85" s="23">
        <v>15491100</v>
      </c>
      <c r="I85" s="23">
        <v>15256514</v>
      </c>
      <c r="J85" s="23">
        <v>17290514</v>
      </c>
      <c r="K85" s="23">
        <v>14979181</v>
      </c>
      <c r="L85" s="23">
        <v>16809220</v>
      </c>
      <c r="M85" s="23">
        <v>15614856</v>
      </c>
      <c r="N85" s="23">
        <v>14501190</v>
      </c>
      <c r="O85" s="13">
        <f>SUM(C85:N85)</f>
        <v>186089500</v>
      </c>
      <c r="P85" s="255"/>
      <c r="Q85" s="227"/>
    </row>
    <row r="86" spans="1:17" ht="16.5" hidden="1" thickBot="1" x14ac:dyDescent="0.25">
      <c r="A86" s="14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/>
      <c r="P86" s="18"/>
      <c r="Q86" s="19"/>
    </row>
    <row r="87" spans="1:17" hidden="1" x14ac:dyDescent="0.2">
      <c r="A87" s="8" t="s">
        <v>14</v>
      </c>
      <c r="B87" s="9" t="s">
        <v>73</v>
      </c>
      <c r="C87" s="20">
        <f t="shared" ref="C87:N87" si="18">SUMIF($B$36:$B$77,"Financeira",C$36:C$77)</f>
        <v>1402497.6</v>
      </c>
      <c r="D87" s="21">
        <f t="shared" si="18"/>
        <v>806839.93</v>
      </c>
      <c r="E87" s="21">
        <f t="shared" si="18"/>
        <v>986990.7</v>
      </c>
      <c r="F87" s="21">
        <f t="shared" si="18"/>
        <v>1013552.47</v>
      </c>
      <c r="G87" s="21">
        <f t="shared" si="18"/>
        <v>733731.91</v>
      </c>
      <c r="H87" s="21">
        <f t="shared" si="18"/>
        <v>855119.15999999898</v>
      </c>
      <c r="I87" s="21">
        <f t="shared" si="18"/>
        <v>846292.62</v>
      </c>
      <c r="J87" s="21">
        <f t="shared" si="18"/>
        <v>1069667.1499999999</v>
      </c>
      <c r="K87" s="21">
        <f t="shared" si="18"/>
        <v>998254.22</v>
      </c>
      <c r="L87" s="21">
        <f t="shared" si="18"/>
        <v>1197401.72</v>
      </c>
      <c r="M87" s="21">
        <f t="shared" si="18"/>
        <v>1266129.3</v>
      </c>
      <c r="N87" s="21">
        <f t="shared" si="18"/>
        <v>1215190.95</v>
      </c>
      <c r="O87" s="22">
        <f>SUM(C87:N87)</f>
        <v>12391667.73</v>
      </c>
      <c r="P87" s="254"/>
      <c r="Q87" s="226">
        <f>-P87+O87</f>
        <v>12391667.73</v>
      </c>
    </row>
    <row r="88" spans="1:17" ht="16.5" hidden="1" thickBot="1" x14ac:dyDescent="0.25">
      <c r="A88" s="256" t="s">
        <v>68</v>
      </c>
      <c r="B88" s="260"/>
      <c r="C88" s="23">
        <v>1327475</v>
      </c>
      <c r="D88" s="23">
        <v>1362103</v>
      </c>
      <c r="E88" s="23">
        <v>1396957</v>
      </c>
      <c r="F88" s="23">
        <v>1432037</v>
      </c>
      <c r="G88" s="23">
        <v>1460846</v>
      </c>
      <c r="H88" s="23">
        <v>1489841</v>
      </c>
      <c r="I88" s="23">
        <v>1519025</v>
      </c>
      <c r="J88" s="23">
        <v>1548399</v>
      </c>
      <c r="K88" s="23">
        <v>1577963</v>
      </c>
      <c r="L88" s="23">
        <v>1607720</v>
      </c>
      <c r="M88" s="23">
        <v>1618170</v>
      </c>
      <c r="N88" s="23">
        <v>1628688</v>
      </c>
      <c r="O88" s="24">
        <f>SUM(C88:N88)</f>
        <v>17969224</v>
      </c>
      <c r="P88" s="255"/>
      <c r="Q88" s="227"/>
    </row>
    <row r="89" spans="1:17" ht="16.5" hidden="1" thickBot="1" x14ac:dyDescent="0.25">
      <c r="A89" s="2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7"/>
      <c r="P89" s="18"/>
      <c r="Q89" s="19"/>
    </row>
    <row r="90" spans="1:17" hidden="1" x14ac:dyDescent="0.2">
      <c r="A90" s="8" t="s">
        <v>15</v>
      </c>
      <c r="B90" s="9" t="s">
        <v>72</v>
      </c>
      <c r="C90" s="11">
        <f>SUMIF($B$36:$B$77,"Comercial",C$36:C$77)</f>
        <v>161790.24000000002</v>
      </c>
      <c r="D90" s="26">
        <f t="shared" ref="D90:L90" si="19">SUMIF($B$36:$B$77,"Comercial",D$36:D$77)</f>
        <v>155944.79</v>
      </c>
      <c r="E90" s="26">
        <f t="shared" si="19"/>
        <v>208833.65</v>
      </c>
      <c r="F90" s="26">
        <f t="shared" si="19"/>
        <v>327099.49</v>
      </c>
      <c r="G90" s="26">
        <f t="shared" si="19"/>
        <v>134389.22</v>
      </c>
      <c r="H90" s="26">
        <f t="shared" si="19"/>
        <v>115640.99999999999</v>
      </c>
      <c r="I90" s="26">
        <f t="shared" si="19"/>
        <v>156896.16</v>
      </c>
      <c r="J90" s="26">
        <f t="shared" si="19"/>
        <v>191863.87000000002</v>
      </c>
      <c r="K90" s="26">
        <f t="shared" si="19"/>
        <v>223032.15000000002</v>
      </c>
      <c r="L90" s="26">
        <f t="shared" si="19"/>
        <v>293307.13</v>
      </c>
      <c r="M90" s="26">
        <f>SUMIF($B$36:$B$77,"Comercial",M$36:M$77)</f>
        <v>215726.1</v>
      </c>
      <c r="N90" s="26">
        <f>SUMIF($B$36:$B$77,"Comercial",N$36:N$77)</f>
        <v>322176.92</v>
      </c>
      <c r="O90" s="22">
        <f>SUM(C90:N90)</f>
        <v>2506700.7199999997</v>
      </c>
      <c r="P90" s="254"/>
      <c r="Q90" s="226">
        <f>-P90+O90</f>
        <v>2506700.7199999997</v>
      </c>
    </row>
    <row r="91" spans="1:17" ht="16.5" hidden="1" thickBot="1" x14ac:dyDescent="0.25">
      <c r="A91" s="256" t="s">
        <v>67</v>
      </c>
      <c r="B91" s="257"/>
      <c r="C91" s="27">
        <v>521729</v>
      </c>
      <c r="D91" s="27">
        <v>521729</v>
      </c>
      <c r="E91" s="27">
        <v>521729</v>
      </c>
      <c r="F91" s="27">
        <v>522301</v>
      </c>
      <c r="G91" s="27">
        <v>524605</v>
      </c>
      <c r="H91" s="27">
        <v>524605</v>
      </c>
      <c r="I91" s="27">
        <v>534370</v>
      </c>
      <c r="J91" s="27">
        <v>534737</v>
      </c>
      <c r="K91" s="27">
        <v>535504</v>
      </c>
      <c r="L91" s="27">
        <v>535629</v>
      </c>
      <c r="M91" s="27">
        <v>535882</v>
      </c>
      <c r="N91" s="27">
        <v>535882</v>
      </c>
      <c r="O91" s="24">
        <f>SUM(C91:N91)</f>
        <v>6348702</v>
      </c>
      <c r="P91" s="255"/>
      <c r="Q91" s="227"/>
    </row>
    <row r="92" spans="1:17" ht="16.5" hidden="1" thickBot="1" x14ac:dyDescent="0.25">
      <c r="A92" s="14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7"/>
      <c r="P92" s="18"/>
      <c r="Q92" s="19"/>
    </row>
    <row r="93" spans="1:17" hidden="1" x14ac:dyDescent="0.2">
      <c r="A93" s="8" t="s">
        <v>16</v>
      </c>
      <c r="B93" s="9" t="s">
        <v>72</v>
      </c>
      <c r="C93" s="20">
        <f t="shared" ref="C93:L93" si="20">SUMIF($B$36:$B$77,"Outras",C$36:C$77)</f>
        <v>195384.75</v>
      </c>
      <c r="D93" s="28">
        <f t="shared" si="20"/>
        <v>83258.03</v>
      </c>
      <c r="E93" s="28">
        <f t="shared" si="20"/>
        <v>86446.48</v>
      </c>
      <c r="F93" s="28">
        <f t="shared" si="20"/>
        <v>76293.890000000014</v>
      </c>
      <c r="G93" s="28">
        <f>SUMIF($B$36:$B$77,"Outras",G$36:G$77)</f>
        <v>234031.55</v>
      </c>
      <c r="H93" s="28">
        <f t="shared" si="20"/>
        <v>181740.43</v>
      </c>
      <c r="I93" s="28">
        <f t="shared" si="20"/>
        <v>3007100.71</v>
      </c>
      <c r="J93" s="28">
        <f t="shared" si="20"/>
        <v>399351.88</v>
      </c>
      <c r="K93" s="28">
        <f t="shared" si="20"/>
        <v>161732.71000000017</v>
      </c>
      <c r="L93" s="28">
        <f t="shared" si="20"/>
        <v>363126.68</v>
      </c>
      <c r="M93" s="28">
        <f>SUMIF($B$36:$B$77,"Outras",M$36:M$77)</f>
        <v>38238.040000000321</v>
      </c>
      <c r="N93" s="28">
        <f>SUMIF($B$36:$B$77,"Outras",N$36:N$77)</f>
        <v>173531.1700000001</v>
      </c>
      <c r="O93" s="22">
        <f>SUM(C93:N93)</f>
        <v>5000236.3199999994</v>
      </c>
      <c r="P93" s="254"/>
      <c r="Q93" s="226">
        <f>-P93+O93</f>
        <v>5000236.3199999994</v>
      </c>
    </row>
    <row r="94" spans="1:17" ht="16.5" hidden="1" thickBot="1" x14ac:dyDescent="0.25">
      <c r="A94" s="258" t="s">
        <v>69</v>
      </c>
      <c r="B94" s="259"/>
      <c r="C94" s="29">
        <v>97095</v>
      </c>
      <c r="D94" s="29">
        <v>97095</v>
      </c>
      <c r="E94" s="29">
        <v>97095</v>
      </c>
      <c r="F94" s="29">
        <v>97095</v>
      </c>
      <c r="G94" s="29">
        <v>97095</v>
      </c>
      <c r="H94" s="29">
        <v>97095</v>
      </c>
      <c r="I94" s="29">
        <v>97095</v>
      </c>
      <c r="J94" s="29">
        <v>97095</v>
      </c>
      <c r="K94" s="29">
        <v>97095</v>
      </c>
      <c r="L94" s="29">
        <v>97095</v>
      </c>
      <c r="M94" s="29">
        <v>97095</v>
      </c>
      <c r="N94" s="29">
        <v>97095</v>
      </c>
      <c r="O94" s="24">
        <f>SUM(C94:N94)</f>
        <v>1165140</v>
      </c>
      <c r="P94" s="255"/>
      <c r="Q94" s="227"/>
    </row>
    <row r="95" spans="1:17" ht="16.5" hidden="1" thickBot="1" x14ac:dyDescent="0.25">
      <c r="A95" s="30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/>
      <c r="P95" s="34"/>
      <c r="Q95" s="35"/>
    </row>
    <row r="96" spans="1:17" ht="16.5" hidden="1" thickBot="1" x14ac:dyDescent="0.25">
      <c r="A96" s="228" t="s">
        <v>70</v>
      </c>
      <c r="B96" s="229"/>
      <c r="C96" s="36">
        <f>SUM(C84,C87,C90,C93)</f>
        <v>9011566.1300000008</v>
      </c>
      <c r="D96" s="37">
        <f>SUM(D84,D87,D90,D93)</f>
        <v>7745861.4199999999</v>
      </c>
      <c r="E96" s="38">
        <f>SUM(E84,E87,E90,E93)</f>
        <v>7562676.3100000015</v>
      </c>
      <c r="F96" s="38">
        <f>SUM(F84,F87,F90,F93)</f>
        <v>8090481.29</v>
      </c>
      <c r="G96" s="38">
        <f>SUM(G84,G87,G90,G93)</f>
        <v>8798757.370000001</v>
      </c>
      <c r="H96" s="38">
        <f t="shared" ref="H96:M96" si="21">SUM(H84,H87,H90,H93)</f>
        <v>9007410.1399999987</v>
      </c>
      <c r="I96" s="38">
        <f t="shared" si="21"/>
        <v>12610579.850000001</v>
      </c>
      <c r="J96" s="38">
        <f t="shared" si="21"/>
        <v>10686108.91</v>
      </c>
      <c r="K96" s="38">
        <f t="shared" si="21"/>
        <v>10119745.760000004</v>
      </c>
      <c r="L96" s="38">
        <f t="shared" si="21"/>
        <v>11431270.07</v>
      </c>
      <c r="M96" s="38">
        <f t="shared" si="21"/>
        <v>11260464.50999999</v>
      </c>
      <c r="N96" s="38"/>
      <c r="O96" s="39">
        <f>O84+O87+O90+O93</f>
        <v>119630494.52</v>
      </c>
      <c r="P96" s="39">
        <f>P84+P87+P90+P93</f>
        <v>0</v>
      </c>
      <c r="Q96" s="40">
        <f>-P96+O96</f>
        <v>119630494.52</v>
      </c>
    </row>
    <row r="97" spans="1:17" ht="16.5" hidden="1" thickBot="1" x14ac:dyDescent="0.25">
      <c r="A97" s="228" t="s">
        <v>84</v>
      </c>
      <c r="B97" s="229"/>
      <c r="C97" s="36">
        <f>C96</f>
        <v>9011566.1300000008</v>
      </c>
      <c r="D97" s="37">
        <f t="shared" ref="D97:N97" si="22">C97+D96</f>
        <v>16757427.550000001</v>
      </c>
      <c r="E97" s="38">
        <f t="shared" si="22"/>
        <v>24320103.860000003</v>
      </c>
      <c r="F97" s="38">
        <f t="shared" si="22"/>
        <v>32410585.150000002</v>
      </c>
      <c r="G97" s="38">
        <f t="shared" si="22"/>
        <v>41209342.520000003</v>
      </c>
      <c r="H97" s="38">
        <f t="shared" si="22"/>
        <v>50216752.660000004</v>
      </c>
      <c r="I97" s="38">
        <f t="shared" si="22"/>
        <v>62827332.510000005</v>
      </c>
      <c r="J97" s="38">
        <f t="shared" si="22"/>
        <v>73513441.420000002</v>
      </c>
      <c r="K97" s="38">
        <f t="shared" si="22"/>
        <v>83633187.180000007</v>
      </c>
      <c r="L97" s="38">
        <f t="shared" si="22"/>
        <v>95064457.25</v>
      </c>
      <c r="M97" s="38">
        <f t="shared" si="22"/>
        <v>106324921.75999999</v>
      </c>
      <c r="N97" s="41">
        <f t="shared" si="22"/>
        <v>106324921.75999999</v>
      </c>
      <c r="O97" s="42"/>
      <c r="P97" s="42"/>
      <c r="Q97" s="42"/>
    </row>
    <row r="98" spans="1:17" hidden="1" x14ac:dyDescent="0.2"/>
    <row r="99" spans="1:17" hidden="1" x14ac:dyDescent="0.2"/>
    <row r="100" spans="1:17" hidden="1" x14ac:dyDescent="0.2"/>
    <row r="101" spans="1:17" hidden="1" x14ac:dyDescent="0.2"/>
    <row r="102" spans="1:17" hidden="1" x14ac:dyDescent="0.2"/>
    <row r="103" spans="1:17" hidden="1" x14ac:dyDescent="0.2"/>
    <row r="104" spans="1:17" hidden="1" x14ac:dyDescent="0.2"/>
    <row r="105" spans="1:17" hidden="1" x14ac:dyDescent="0.2"/>
    <row r="106" spans="1:17" hidden="1" x14ac:dyDescent="0.2"/>
    <row r="107" spans="1:17" hidden="1" x14ac:dyDescent="0.2"/>
    <row r="108" spans="1:17" hidden="1" x14ac:dyDescent="0.2"/>
    <row r="109" spans="1:17" hidden="1" x14ac:dyDescent="0.2"/>
    <row r="110" spans="1:17" hidden="1" x14ac:dyDescent="0.2"/>
    <row r="111" spans="1:17" hidden="1" x14ac:dyDescent="0.2"/>
    <row r="112" spans="1:17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</sheetData>
  <mergeCells count="45">
    <mergeCell ref="A1:Q1"/>
    <mergeCell ref="A2:B3"/>
    <mergeCell ref="C2:L2"/>
    <mergeCell ref="O2:Q2"/>
    <mergeCell ref="P5:P7"/>
    <mergeCell ref="Q5:Q7"/>
    <mergeCell ref="A7:B7"/>
    <mergeCell ref="O5:O7"/>
    <mergeCell ref="P9:P11"/>
    <mergeCell ref="Q9:Q11"/>
    <mergeCell ref="A11:B11"/>
    <mergeCell ref="P13:P15"/>
    <mergeCell ref="Q13:Q15"/>
    <mergeCell ref="A15:B15"/>
    <mergeCell ref="O9:O11"/>
    <mergeCell ref="O13:O15"/>
    <mergeCell ref="P17:P19"/>
    <mergeCell ref="Q17:Q19"/>
    <mergeCell ref="A19:B19"/>
    <mergeCell ref="A21:B21"/>
    <mergeCell ref="A22:B22"/>
    <mergeCell ref="A24:B24"/>
    <mergeCell ref="O17:O19"/>
    <mergeCell ref="A26:B26"/>
    <mergeCell ref="A28:B28"/>
    <mergeCell ref="A32:B32"/>
    <mergeCell ref="A34:B35"/>
    <mergeCell ref="A78:B78"/>
    <mergeCell ref="A80:Q81"/>
    <mergeCell ref="A82:B83"/>
    <mergeCell ref="C82:L82"/>
    <mergeCell ref="P84:P85"/>
    <mergeCell ref="Q84:Q85"/>
    <mergeCell ref="A85:B85"/>
    <mergeCell ref="P87:P88"/>
    <mergeCell ref="Q87:Q88"/>
    <mergeCell ref="A88:B88"/>
    <mergeCell ref="A96:B96"/>
    <mergeCell ref="A97:B97"/>
    <mergeCell ref="P90:P91"/>
    <mergeCell ref="Q90:Q91"/>
    <mergeCell ref="A91:B91"/>
    <mergeCell ref="P93:P94"/>
    <mergeCell ref="Q93:Q94"/>
    <mergeCell ref="A94:B9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RECEITAS 2024</vt:lpstr>
      <vt:lpstr>RECEITAS 2023</vt:lpstr>
      <vt:lpstr>RECEITAS 2022</vt:lpstr>
      <vt:lpstr>RECEITAS 2021</vt:lpstr>
    </vt:vector>
  </TitlesOfParts>
  <Company>Trensurb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ssantos</dc:creator>
  <cp:lastModifiedBy>Jair Bernardo Correa</cp:lastModifiedBy>
  <cp:lastPrinted>2022-03-15T18:48:51Z</cp:lastPrinted>
  <dcterms:created xsi:type="dcterms:W3CDTF">2007-09-10T14:46:11Z</dcterms:created>
  <dcterms:modified xsi:type="dcterms:W3CDTF">2024-07-05T18:09:06Z</dcterms:modified>
</cp:coreProperties>
</file>