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527"/>
  <workbookPr/>
  <mc:AlternateContent xmlns:mc="http://schemas.openxmlformats.org/markup-compatibility/2006">
    <mc:Choice Requires="x15">
      <x15ac:absPath xmlns:x15ac="http://schemas.microsoft.com/office/spreadsheetml/2010/11/ac" url="C:\Users\michele.cerqueira\Documents\concessoes\ASGA\"/>
    </mc:Choice>
  </mc:AlternateContent>
  <xr:revisionPtr revIDLastSave="0" documentId="13_ncr:1_{DF5CBD78-F8E1-4FFB-B4C7-42140AAC05F9}" xr6:coauthVersionLast="45" xr6:coauthVersionMax="45" xr10:uidLastSave="{00000000-0000-0000-0000-000000000000}"/>
  <bookViews>
    <workbookView xWindow="28740" yWindow="-60" windowWidth="24120" windowHeight="13020" tabRatio="958" xr2:uid="{00000000-000D-0000-FFFF-FFFF00000000}"/>
  </bookViews>
  <sheets>
    <sheet name="Resumo" sheetId="5" r:id="rId1"/>
    <sheet name="São Gonçalo do Amarante" sheetId="1" r:id="rId2"/>
  </sheets>
  <definedNames>
    <definedName name="_xlnm._FilterDatabase" localSheetId="1" hidden="1">'São Gonçalo do Amarante'!$B$1:$B$57</definedName>
  </definedNames>
  <calcPr calcId="191029"/>
  <extLst>
    <ext xmlns:x14="http://schemas.microsoft.com/office/spreadsheetml/2009/9/main" uri="{79F54976-1DA5-4618-B147-4CDE4B953A38}">
      <x14:workbookPr defaultImageDpi="32767"/>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M144" i="5" l="1"/>
  <c r="M38" i="1" l="1"/>
  <c r="M37" i="1"/>
  <c r="M36" i="1"/>
  <c r="M35" i="1"/>
  <c r="M34" i="1"/>
  <c r="M33" i="1"/>
  <c r="M32" i="1"/>
  <c r="M31" i="1"/>
  <c r="M30" i="1"/>
  <c r="M29" i="1"/>
  <c r="M28" i="1"/>
  <c r="M27" i="1"/>
  <c r="M26" i="1"/>
  <c r="M25" i="1"/>
  <c r="AQ4" i="1" l="1"/>
  <c r="C144" i="5" s="1"/>
  <c r="M5" i="1"/>
  <c r="C36" i="5" s="1"/>
  <c r="M7" i="1"/>
  <c r="M9" i="1"/>
  <c r="M10" i="1"/>
  <c r="M11" i="1"/>
  <c r="M12" i="1"/>
  <c r="M14" i="1"/>
  <c r="M15" i="1"/>
  <c r="M16" i="1"/>
  <c r="M17" i="1"/>
  <c r="M18" i="1"/>
  <c r="M19" i="1"/>
  <c r="M20" i="1"/>
  <c r="M21" i="1"/>
  <c r="M22" i="1"/>
  <c r="M23" i="1"/>
  <c r="M24" i="1"/>
  <c r="M39" i="1"/>
  <c r="M40" i="1"/>
  <c r="M41" i="1"/>
  <c r="M42" i="1"/>
  <c r="M43" i="1"/>
  <c r="M44" i="1"/>
  <c r="M45" i="1"/>
  <c r="M46" i="1"/>
  <c r="M47" i="1"/>
  <c r="M48" i="1"/>
  <c r="M49" i="1"/>
  <c r="M50" i="1"/>
  <c r="M51" i="1"/>
  <c r="M52" i="1"/>
  <c r="L144" i="5"/>
  <c r="K144" i="5"/>
  <c r="J144" i="5"/>
  <c r="I144" i="5"/>
  <c r="R4" i="1"/>
  <c r="C44" i="5" s="1"/>
  <c r="R5" i="1"/>
  <c r="R7" i="1"/>
  <c r="R8" i="1"/>
  <c r="R9" i="1"/>
  <c r="R10" i="1"/>
  <c r="R12" i="1"/>
  <c r="R13" i="1"/>
  <c r="R14" i="1"/>
  <c r="R16" i="1"/>
  <c r="R17" i="1"/>
  <c r="L44" i="5"/>
  <c r="K44" i="5"/>
  <c r="J44" i="5"/>
  <c r="I44" i="5"/>
  <c r="R18" i="1"/>
  <c r="R19" i="1"/>
  <c r="R20" i="1"/>
  <c r="R21" i="1"/>
  <c r="R22" i="1"/>
  <c r="R23" i="1"/>
  <c r="R24" i="1"/>
  <c r="R25" i="1"/>
  <c r="R26" i="1"/>
  <c r="R27" i="1"/>
  <c r="R28" i="1"/>
  <c r="R29" i="1"/>
  <c r="R30" i="1"/>
  <c r="R31" i="1"/>
  <c r="R32" i="1"/>
  <c r="R33" i="1"/>
  <c r="R34" i="1"/>
  <c r="R35" i="1"/>
  <c r="R36" i="1"/>
  <c r="R37" i="1"/>
  <c r="R38" i="1"/>
  <c r="R39" i="1"/>
  <c r="R40" i="1"/>
  <c r="R41" i="1"/>
  <c r="R42" i="1"/>
  <c r="R43" i="1"/>
  <c r="R44" i="1"/>
  <c r="R45" i="1"/>
  <c r="R46" i="1"/>
  <c r="R47" i="1"/>
  <c r="R48" i="1"/>
  <c r="R49" i="1"/>
  <c r="R50" i="1"/>
  <c r="R51" i="1"/>
  <c r="R52" i="1"/>
  <c r="L36" i="5"/>
  <c r="K36" i="5"/>
  <c r="J36" i="5"/>
  <c r="I36" i="5"/>
  <c r="AQ52" i="1"/>
  <c r="AQ51" i="1"/>
  <c r="AQ47" i="1"/>
  <c r="AQ48" i="1"/>
  <c r="AQ49" i="1"/>
  <c r="AQ50" i="1"/>
  <c r="AQ46" i="1"/>
  <c r="AQ45" i="1"/>
  <c r="AQ44" i="1"/>
  <c r="AQ43" i="1"/>
  <c r="AQ42" i="1"/>
  <c r="AQ41" i="1"/>
  <c r="AQ40" i="1"/>
  <c r="AQ39" i="1"/>
  <c r="AQ38" i="1"/>
  <c r="AQ37" i="1"/>
  <c r="AQ36" i="1"/>
  <c r="AQ35" i="1"/>
  <c r="AQ34" i="1"/>
  <c r="AQ33" i="1"/>
  <c r="AQ32" i="1"/>
  <c r="AQ31" i="1"/>
  <c r="AQ30" i="1"/>
  <c r="AQ29" i="1"/>
  <c r="AQ28" i="1"/>
  <c r="AQ27" i="1"/>
  <c r="AQ26" i="1"/>
  <c r="AQ25" i="1"/>
  <c r="AQ24" i="1"/>
  <c r="AQ23" i="1"/>
  <c r="AQ18" i="1"/>
  <c r="AQ19" i="1"/>
  <c r="AQ20" i="1"/>
  <c r="AQ21" i="1"/>
  <c r="AQ22" i="1"/>
  <c r="AQ17" i="1"/>
  <c r="AQ16" i="1"/>
  <c r="AQ13" i="1"/>
  <c r="AQ12" i="1"/>
  <c r="AQ11" i="1"/>
  <c r="AQ9" i="1"/>
  <c r="AL52" i="1"/>
  <c r="AL51" i="1"/>
  <c r="AL50" i="1"/>
  <c r="AL49" i="1"/>
  <c r="AL48" i="1"/>
  <c r="AL47" i="1"/>
  <c r="AL46" i="1"/>
  <c r="AL45" i="1"/>
  <c r="AL44" i="1"/>
  <c r="AL43" i="1"/>
  <c r="AL42" i="1"/>
  <c r="AL41" i="1"/>
  <c r="AL40" i="1"/>
  <c r="AL39" i="1"/>
  <c r="AL38" i="1"/>
  <c r="AL37" i="1"/>
  <c r="AL36" i="1"/>
  <c r="AL35" i="1"/>
  <c r="AL34" i="1"/>
  <c r="AL33" i="1"/>
  <c r="AL32" i="1"/>
  <c r="AL31" i="1"/>
  <c r="AL30" i="1"/>
  <c r="AL29" i="1"/>
  <c r="AL28" i="1"/>
  <c r="AL27" i="1"/>
  <c r="AL26" i="1"/>
  <c r="AL25" i="1"/>
  <c r="AL24" i="1"/>
  <c r="AL23" i="1"/>
  <c r="AL22" i="1"/>
  <c r="AL21" i="1"/>
  <c r="AL20" i="1"/>
  <c r="AL19" i="1"/>
  <c r="AL18" i="1"/>
  <c r="AL17" i="1"/>
  <c r="AL16" i="1"/>
  <c r="AL15" i="1"/>
  <c r="AL14" i="1"/>
  <c r="AL13" i="1"/>
  <c r="AL12" i="1"/>
  <c r="AL11" i="1"/>
  <c r="AL10" i="1"/>
  <c r="AL9" i="1"/>
  <c r="AL8" i="1"/>
  <c r="AL7" i="1"/>
  <c r="AL6" i="1"/>
  <c r="AL5" i="1"/>
  <c r="AL4" i="1"/>
  <c r="AG52" i="1"/>
  <c r="AG51" i="1"/>
  <c r="AG50" i="1"/>
  <c r="AG49" i="1"/>
  <c r="AG48" i="1"/>
  <c r="AG47" i="1"/>
  <c r="AG46" i="1"/>
  <c r="AG45" i="1"/>
  <c r="AG44" i="1"/>
  <c r="AG43" i="1"/>
  <c r="AG42" i="1"/>
  <c r="AG41" i="1"/>
  <c r="AG40" i="1"/>
  <c r="AG39" i="1"/>
  <c r="AG38" i="1"/>
  <c r="AG37" i="1"/>
  <c r="AG36" i="1"/>
  <c r="AG35" i="1"/>
  <c r="AG34" i="1"/>
  <c r="AG33" i="1"/>
  <c r="AG32" i="1"/>
  <c r="AG31" i="1"/>
  <c r="AG30" i="1"/>
  <c r="AG29" i="1"/>
  <c r="AG28" i="1"/>
  <c r="AG27" i="1"/>
  <c r="AG26" i="1"/>
  <c r="AG25" i="1"/>
  <c r="AG24" i="1"/>
  <c r="AG23" i="1"/>
  <c r="AG22" i="1"/>
  <c r="AG21" i="1"/>
  <c r="AG20" i="1"/>
  <c r="AG19" i="1"/>
  <c r="AG18" i="1"/>
  <c r="AG17" i="1"/>
  <c r="AG16" i="1"/>
  <c r="AG15" i="1"/>
  <c r="AG14" i="1"/>
  <c r="AG13" i="1"/>
  <c r="AG12" i="1"/>
  <c r="AG11" i="1"/>
  <c r="AG10" i="1"/>
  <c r="AG9" i="1"/>
  <c r="AG8" i="1"/>
  <c r="AG7" i="1"/>
  <c r="AG6" i="1"/>
  <c r="AG5" i="1"/>
  <c r="AG4" i="1"/>
  <c r="AB52" i="1"/>
  <c r="AB51" i="1"/>
  <c r="AB50" i="1"/>
  <c r="AB49" i="1"/>
  <c r="AB48" i="1"/>
  <c r="AB47" i="1"/>
  <c r="AB46" i="1"/>
  <c r="AB45" i="1"/>
  <c r="AB44" i="1"/>
  <c r="AB43" i="1"/>
  <c r="AB42" i="1"/>
  <c r="AB41" i="1"/>
  <c r="AB40" i="1"/>
  <c r="AB39" i="1"/>
  <c r="AB38" i="1"/>
  <c r="AB37" i="1"/>
  <c r="AB36" i="1"/>
  <c r="AB35" i="1"/>
  <c r="AB34" i="1"/>
  <c r="AB33" i="1"/>
  <c r="AB32" i="1"/>
  <c r="AB31" i="1"/>
  <c r="AB30" i="1"/>
  <c r="AB29" i="1"/>
  <c r="AB28" i="1"/>
  <c r="AB27" i="1"/>
  <c r="AB26" i="1"/>
  <c r="AB25" i="1"/>
  <c r="AB24" i="1"/>
  <c r="AB23" i="1"/>
  <c r="AB22" i="1"/>
  <c r="AB21" i="1"/>
  <c r="AB20" i="1"/>
  <c r="AB19" i="1"/>
  <c r="AB18" i="1"/>
  <c r="AB17" i="1"/>
  <c r="AB16" i="1"/>
  <c r="AB15" i="1"/>
  <c r="AB14" i="1"/>
  <c r="AB13" i="1"/>
  <c r="AB12" i="1"/>
  <c r="AB11" i="1"/>
  <c r="AB10" i="1"/>
  <c r="AB9" i="1"/>
  <c r="AB8" i="1"/>
  <c r="AB7" i="1"/>
  <c r="AB6" i="1"/>
  <c r="AB5" i="1"/>
  <c r="AB4" i="1"/>
  <c r="W52" i="1"/>
  <c r="W51" i="1"/>
  <c r="W50" i="1"/>
  <c r="W49" i="1"/>
  <c r="W48" i="1"/>
  <c r="W47" i="1"/>
  <c r="W46" i="1"/>
  <c r="W45" i="1"/>
  <c r="W44" i="1"/>
  <c r="W43" i="1"/>
  <c r="W42" i="1"/>
  <c r="W41" i="1"/>
  <c r="W40" i="1"/>
  <c r="W39" i="1"/>
  <c r="W38" i="1"/>
  <c r="W37" i="1"/>
  <c r="W36" i="1"/>
  <c r="W35" i="1"/>
  <c r="W34" i="1"/>
  <c r="W33" i="1"/>
  <c r="W32" i="1"/>
  <c r="W31" i="1"/>
  <c r="W30" i="1"/>
  <c r="W29" i="1"/>
  <c r="W28" i="1"/>
  <c r="W27" i="1"/>
  <c r="W26" i="1"/>
  <c r="W25" i="1"/>
  <c r="W24" i="1"/>
  <c r="W23" i="1"/>
  <c r="W22" i="1"/>
  <c r="W21" i="1"/>
  <c r="W20" i="1"/>
  <c r="W19" i="1"/>
  <c r="W18" i="1"/>
  <c r="W17" i="1"/>
  <c r="W16" i="1"/>
  <c r="W15" i="1"/>
  <c r="W14" i="1"/>
  <c r="W13" i="1"/>
  <c r="W12" i="1"/>
  <c r="W11" i="1"/>
  <c r="W10" i="1"/>
  <c r="W9" i="1"/>
  <c r="W8" i="1"/>
  <c r="W7" i="1"/>
  <c r="W6" i="1"/>
  <c r="W5" i="1"/>
  <c r="W4" i="1"/>
  <c r="N139" i="5"/>
  <c r="N131" i="5"/>
  <c r="N122" i="5"/>
  <c r="N108" i="5"/>
  <c r="N100" i="5"/>
  <c r="N91" i="5"/>
  <c r="N77" i="5"/>
  <c r="N69" i="5"/>
  <c r="N60" i="5"/>
  <c r="N31" i="5"/>
  <c r="N23" i="5"/>
  <c r="N14" i="5"/>
  <c r="M13" i="5"/>
  <c r="M12" i="5"/>
  <c r="M11" i="5"/>
  <c r="G5" i="5"/>
  <c r="M102" i="5"/>
  <c r="M108" i="5" s="1"/>
  <c r="G102" i="5"/>
  <c r="M64" i="5"/>
  <c r="G64" i="5"/>
  <c r="G62" i="5"/>
  <c r="G63" i="5"/>
  <c r="G65" i="5"/>
  <c r="G69" i="5" s="1"/>
  <c r="G66" i="5"/>
  <c r="M117" i="5"/>
  <c r="G117" i="5"/>
  <c r="G116" i="5"/>
  <c r="M66" i="5"/>
  <c r="G124" i="5"/>
  <c r="G131" i="5" s="1"/>
  <c r="M53" i="5"/>
  <c r="G53" i="5"/>
  <c r="M63" i="5"/>
  <c r="M96" i="5"/>
  <c r="G96" i="5"/>
  <c r="M118" i="5"/>
  <c r="M95" i="5"/>
  <c r="G95" i="5"/>
  <c r="M124" i="5"/>
  <c r="M131" i="5" s="1"/>
  <c r="M125" i="5"/>
  <c r="M126" i="5"/>
  <c r="M127" i="5"/>
  <c r="M128" i="5"/>
  <c r="M114" i="5"/>
  <c r="M97" i="5"/>
  <c r="G97" i="5"/>
  <c r="G100" i="5" s="1"/>
  <c r="M115" i="5"/>
  <c r="G115" i="5"/>
  <c r="M84" i="5"/>
  <c r="G84" i="5"/>
  <c r="M133" i="5"/>
  <c r="G133" i="5"/>
  <c r="G134" i="5"/>
  <c r="G139" i="5"/>
  <c r="M94" i="5"/>
  <c r="G94" i="5"/>
  <c r="M56" i="5"/>
  <c r="G56" i="5"/>
  <c r="M134" i="5"/>
  <c r="M139" i="5"/>
  <c r="M93" i="5"/>
  <c r="M100" i="5"/>
  <c r="G93" i="5"/>
  <c r="M54" i="5"/>
  <c r="G54" i="5"/>
  <c r="M65" i="5"/>
  <c r="M103" i="5"/>
  <c r="G103" i="5"/>
  <c r="G108" i="5" s="1"/>
  <c r="M86" i="5"/>
  <c r="M91" i="5" s="1"/>
  <c r="G86" i="5"/>
  <c r="G128" i="5"/>
  <c r="G125" i="5"/>
  <c r="G126" i="5"/>
  <c r="G127" i="5"/>
  <c r="M62" i="5"/>
  <c r="M69" i="5"/>
  <c r="M71" i="5"/>
  <c r="G71" i="5"/>
  <c r="G77" i="5" s="1"/>
  <c r="G72" i="5"/>
  <c r="G118" i="5"/>
  <c r="M87" i="5"/>
  <c r="G87" i="5"/>
  <c r="G82" i="5"/>
  <c r="G91" i="5" s="1"/>
  <c r="G83" i="5"/>
  <c r="G85" i="5"/>
  <c r="M116" i="5"/>
  <c r="M72" i="5"/>
  <c r="M77" i="5"/>
  <c r="M55" i="5"/>
  <c r="G55" i="5"/>
  <c r="M85" i="5"/>
  <c r="G114" i="5"/>
  <c r="G122" i="5" s="1"/>
  <c r="M83" i="5"/>
  <c r="M82" i="5"/>
  <c r="M52" i="5"/>
  <c r="G52" i="5"/>
  <c r="G51" i="5"/>
  <c r="G60" i="5" s="1"/>
  <c r="M7" i="5"/>
  <c r="G16" i="5"/>
  <c r="G20" i="5"/>
  <c r="H22" i="1"/>
  <c r="M20" i="5"/>
  <c r="G25" i="5"/>
  <c r="G31" i="5" s="1"/>
  <c r="G27" i="5"/>
  <c r="M9" i="5"/>
  <c r="G10" i="5"/>
  <c r="G18" i="5"/>
  <c r="G17" i="5"/>
  <c r="G23" i="5" s="1"/>
  <c r="G19" i="5"/>
  <c r="M17" i="5"/>
  <c r="M23" i="5" s="1"/>
  <c r="G9" i="5"/>
  <c r="M16" i="5"/>
  <c r="M18" i="5"/>
  <c r="M19" i="5"/>
  <c r="M27" i="5"/>
  <c r="M10" i="5"/>
  <c r="M8" i="5"/>
  <c r="M14" i="5" s="1"/>
  <c r="M5" i="5"/>
  <c r="M6" i="5"/>
  <c r="G7" i="5"/>
  <c r="G6" i="5"/>
  <c r="G14" i="5" s="1"/>
  <c r="G8" i="5"/>
  <c r="M25" i="5"/>
  <c r="M31" i="5" s="1"/>
  <c r="H16" i="1"/>
  <c r="H17" i="1"/>
  <c r="H18" i="1"/>
  <c r="H19" i="1"/>
  <c r="H20" i="1"/>
  <c r="H21" i="1"/>
  <c r="H23" i="1"/>
  <c r="H24" i="1"/>
  <c r="H25" i="1"/>
  <c r="H26" i="1"/>
  <c r="H27" i="1"/>
  <c r="H28" i="1"/>
  <c r="H29" i="1"/>
  <c r="H30" i="1"/>
  <c r="H31" i="1"/>
  <c r="H32" i="1"/>
  <c r="H33" i="1"/>
  <c r="H34" i="1"/>
  <c r="H35" i="1"/>
  <c r="H36" i="1"/>
  <c r="H37" i="1"/>
  <c r="H38" i="1"/>
  <c r="H39" i="1"/>
  <c r="H40" i="1"/>
  <c r="H41" i="1"/>
  <c r="H42" i="1"/>
  <c r="H43" i="1"/>
  <c r="H44" i="1"/>
  <c r="H45" i="1"/>
  <c r="H46" i="1"/>
  <c r="H47" i="1"/>
  <c r="H48" i="1"/>
  <c r="H49" i="1"/>
  <c r="H50" i="1"/>
  <c r="H51" i="1"/>
  <c r="H52" i="1"/>
  <c r="M51" i="5"/>
  <c r="M60" i="5" s="1"/>
  <c r="M113" i="5"/>
  <c r="M122" i="5" s="1"/>
  <c r="G113" i="5"/>
  <c r="F144" i="5" l="1"/>
  <c r="F44" i="5"/>
  <c r="F36" i="5"/>
  <c r="D44" i="5"/>
  <c r="D144" i="5"/>
  <c r="E44" i="5"/>
  <c r="E36" i="5"/>
  <c r="E144" i="5"/>
  <c r="D36" i="5"/>
  <c r="C45" i="5" l="1"/>
  <c r="C145" i="5"/>
  <c r="G144" i="5"/>
  <c r="G44" i="5"/>
  <c r="M44" i="5"/>
  <c r="G36" i="5"/>
  <c r="M36" i="5"/>
  <c r="C38"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thiago.caldeira</author>
  </authors>
  <commentList>
    <comment ref="N4" authorId="0" shapeId="0" xr:uid="{00000000-0006-0000-0000-000001000000}">
      <text>
        <r>
          <rPr>
            <b/>
            <sz val="9"/>
            <color indexed="81"/>
            <rFont val="Tahoma"/>
            <family val="2"/>
          </rPr>
          <t>thiago.caldeira:</t>
        </r>
        <r>
          <rPr>
            <sz val="9"/>
            <color indexed="81"/>
            <rFont val="Tahoma"/>
            <family val="2"/>
          </rPr>
          <t xml:space="preserve">
Edital CPE nº 3/2017 (já com ajustes)</t>
        </r>
      </text>
    </comment>
    <comment ref="N35" authorId="0" shapeId="0" xr:uid="{00000000-0006-0000-0000-000002000000}">
      <text>
        <r>
          <rPr>
            <b/>
            <sz val="9"/>
            <color indexed="81"/>
            <rFont val="Tahoma"/>
            <family val="2"/>
          </rPr>
          <t>thiago.caldeira:</t>
        </r>
        <r>
          <rPr>
            <sz val="9"/>
            <color indexed="81"/>
            <rFont val="Tahoma"/>
            <family val="2"/>
          </rPr>
          <t xml:space="preserve">
Edital CPE nº 3/2017 (já com ajustes)</t>
        </r>
      </text>
    </comment>
    <comment ref="N43" authorId="0" shapeId="0" xr:uid="{00000000-0006-0000-0000-000003000000}">
      <text>
        <r>
          <rPr>
            <b/>
            <sz val="9"/>
            <color indexed="81"/>
            <rFont val="Tahoma"/>
            <family val="2"/>
          </rPr>
          <t>thiago.caldeira:</t>
        </r>
        <r>
          <rPr>
            <sz val="9"/>
            <color indexed="81"/>
            <rFont val="Tahoma"/>
            <family val="2"/>
          </rPr>
          <t xml:space="preserve">
Edital CPE nº 3/2017 (já com ajustes)</t>
        </r>
      </text>
    </comment>
    <comment ref="N50" authorId="0" shapeId="0" xr:uid="{00000000-0006-0000-0000-000004000000}">
      <text>
        <r>
          <rPr>
            <b/>
            <sz val="9"/>
            <color indexed="81"/>
            <rFont val="Tahoma"/>
            <family val="2"/>
          </rPr>
          <t>thiago.caldeira:</t>
        </r>
        <r>
          <rPr>
            <sz val="9"/>
            <color indexed="81"/>
            <rFont val="Tahoma"/>
            <family val="2"/>
          </rPr>
          <t xml:space="preserve">
Edital CPE nº 3/2017 (já com ajustes)</t>
        </r>
      </text>
    </comment>
    <comment ref="N81" authorId="0" shapeId="0" xr:uid="{00000000-0006-0000-0000-000005000000}">
      <text>
        <r>
          <rPr>
            <b/>
            <sz val="9"/>
            <color indexed="81"/>
            <rFont val="Tahoma"/>
            <family val="2"/>
          </rPr>
          <t>thiago.caldeira:</t>
        </r>
        <r>
          <rPr>
            <sz val="9"/>
            <color indexed="81"/>
            <rFont val="Tahoma"/>
            <family val="2"/>
          </rPr>
          <t xml:space="preserve">
Edital CPE nº 3/2017 (já com ajustes)</t>
        </r>
      </text>
    </comment>
    <comment ref="N112" authorId="0" shapeId="0" xr:uid="{00000000-0006-0000-0000-000006000000}">
      <text>
        <r>
          <rPr>
            <b/>
            <sz val="9"/>
            <color indexed="81"/>
            <rFont val="Tahoma"/>
            <family val="2"/>
          </rPr>
          <t>thiago.caldeira:</t>
        </r>
        <r>
          <rPr>
            <sz val="9"/>
            <color indexed="81"/>
            <rFont val="Tahoma"/>
            <family val="2"/>
          </rPr>
          <t xml:space="preserve">
Edital CPE nº 3/2017 (já com ajustes)</t>
        </r>
      </text>
    </comment>
    <comment ref="N143" authorId="0" shapeId="0" xr:uid="{00000000-0006-0000-0000-000007000000}">
      <text>
        <r>
          <rPr>
            <b/>
            <sz val="9"/>
            <color indexed="81"/>
            <rFont val="Tahoma"/>
            <family val="2"/>
          </rPr>
          <t>thiago.caldeira:</t>
        </r>
        <r>
          <rPr>
            <sz val="9"/>
            <color indexed="81"/>
            <rFont val="Tahoma"/>
            <family val="2"/>
          </rPr>
          <t xml:space="preserve">
Edital CPE nº 3/2017 (já com ajustes)</t>
        </r>
      </text>
    </comment>
  </commentList>
</comments>
</file>

<file path=xl/sharedStrings.xml><?xml version="1.0" encoding="utf-8"?>
<sst xmlns="http://schemas.openxmlformats.org/spreadsheetml/2006/main" count="550" uniqueCount="243">
  <si>
    <t>Estudo</t>
  </si>
  <si>
    <t>Tópico</t>
  </si>
  <si>
    <t>Descrição</t>
  </si>
  <si>
    <t>Estudo de Mercado</t>
  </si>
  <si>
    <t>Avaliação da demanda</t>
  </si>
  <si>
    <t>Estudo de Engenharia e afins</t>
  </si>
  <si>
    <t>Inventário das condições existentes</t>
  </si>
  <si>
    <t>Desenvolvimento do sítio aeroportuário</t>
  </si>
  <si>
    <t>Estimativas de CAPEX e OPEX</t>
  </si>
  <si>
    <t>Estudos Ambientais</t>
  </si>
  <si>
    <t>Relatório de estudos ambientais</t>
  </si>
  <si>
    <t>Avaliação Econômico-Financeira</t>
  </si>
  <si>
    <t>ITENS PARA AVALIAÇÃO</t>
  </si>
  <si>
    <t>Atende minimamente? (Sim = 1 / Não = 0)</t>
  </si>
  <si>
    <t>Nota qualitativa (0% a 100%)</t>
  </si>
  <si>
    <t>Comentários</t>
  </si>
  <si>
    <t>NOTAS FINAIS PARA SELEÇÃO DOS ESTUDOS</t>
  </si>
  <si>
    <t>Nota do item</t>
  </si>
  <si>
    <t>Demanda</t>
  </si>
  <si>
    <t>Ambiental</t>
  </si>
  <si>
    <t>Engenharia</t>
  </si>
  <si>
    <t>Financeiro</t>
  </si>
  <si>
    <t>Nota</t>
  </si>
  <si>
    <t>VALOR DE RESSARCIMENTO</t>
  </si>
  <si>
    <t>Valor do ressarcimento</t>
  </si>
  <si>
    <t>Valor Solicitado</t>
  </si>
  <si>
    <t xml:space="preserve"> </t>
  </si>
  <si>
    <t>É apresentada análise de possíveis restrições de tráfego aéreo e interferências entre as operações do aeroporto e de aeroportos próximos, para cada fase/etapa de planejamento, de acordo com a solução adotada e com as informações do DECEA.</t>
  </si>
  <si>
    <t>BLOCO SUL</t>
  </si>
  <si>
    <t>BLOCO NORTE</t>
  </si>
  <si>
    <t>BLOCO CENTRAL</t>
  </si>
  <si>
    <t>Curitiba</t>
  </si>
  <si>
    <t>Foz do Iguaçú</t>
  </si>
  <si>
    <t>Navegantes</t>
  </si>
  <si>
    <t>Londrina</t>
  </si>
  <si>
    <t>Joinville</t>
  </si>
  <si>
    <t>Bacacheri</t>
  </si>
  <si>
    <t>Pelotas</t>
  </si>
  <si>
    <t>Uruguaiana</t>
  </si>
  <si>
    <t>Bagé</t>
  </si>
  <si>
    <t>Manaus</t>
  </si>
  <si>
    <t>Porto Velho</t>
  </si>
  <si>
    <t>Rio Branco</t>
  </si>
  <si>
    <t>Cruzeiro do Sul</t>
  </si>
  <si>
    <t>Tabatinga</t>
  </si>
  <si>
    <t>Tefé</t>
  </si>
  <si>
    <t>Boa Vista</t>
  </si>
  <si>
    <t>Goiânia</t>
  </si>
  <si>
    <t>São Luís</t>
  </si>
  <si>
    <t>Teresina</t>
  </si>
  <si>
    <t>Palmas</t>
  </si>
  <si>
    <t>Petrolina</t>
  </si>
  <si>
    <t>Imperatriz</t>
  </si>
  <si>
    <t>Consórcio - PLANOS - BARUFI - TETRA - ENGIMIND - GEOTEC</t>
  </si>
  <si>
    <t>Participação Relatório - PLANOS - BARUFI - TETRA - ENGIMIND - GEOTEC</t>
  </si>
  <si>
    <t>Consórcio - BACCO - CPEA - INFRAWAY - MOYSÉS &amp; PIRES - PROFICENTER - TERRAFIRMA</t>
  </si>
  <si>
    <t>Consórcio - AEROQUIP - BF CAPITAL - BORELLI E MERIGO - JGP - LOGIT - QUEIROZ MALUF</t>
  </si>
  <si>
    <t>Participação Relatório -  AEROQUIP - BF CAPITAL - BORELLI E MERIGO - JGP - LOGIT - QUEIROZ MALUF</t>
  </si>
  <si>
    <t>Consórcio - HOUER</t>
  </si>
  <si>
    <t>Participação Relatório - HOUER</t>
  </si>
  <si>
    <t>Consórcio - HEBEI - FERNANDES - WALM - WINGSPLAN - COBRAPE ...</t>
  </si>
  <si>
    <t>Participação Relatório -  HEBEI - FERNANDES - WALM - WINGSPLAN - COBRAPE ...</t>
  </si>
  <si>
    <t>Consórcio - VALLYA</t>
  </si>
  <si>
    <t>Participação Relatório - VALLYA</t>
  </si>
  <si>
    <r>
      <t>AVALIAÇÃO -</t>
    </r>
    <r>
      <rPr>
        <b/>
        <sz val="11"/>
        <color rgb="FFFF0000"/>
        <rFont val="Times New Roman"/>
        <family val="1"/>
      </rPr>
      <t xml:space="preserve"> PLANOS - BARUFI - TETRA - ENGIMIND - GEOTEC</t>
    </r>
  </si>
  <si>
    <r>
      <t>AVALIAÇÃO -</t>
    </r>
    <r>
      <rPr>
        <b/>
        <sz val="11"/>
        <color rgb="FFFF0000"/>
        <rFont val="Times New Roman"/>
        <family val="1"/>
      </rPr>
      <t xml:space="preserve"> HOUER</t>
    </r>
  </si>
  <si>
    <r>
      <t xml:space="preserve">AVALIAÇÃO - </t>
    </r>
    <r>
      <rPr>
        <b/>
        <sz val="11"/>
        <color rgb="FFFF0000"/>
        <rFont val="Times New Roman"/>
        <family val="1"/>
      </rPr>
      <t xml:space="preserve"> HEBEI - FERNANDES - WALM - WINGSPLAN - COBRAPE ...</t>
    </r>
  </si>
  <si>
    <r>
      <t xml:space="preserve">AVALIAÇÃO -  </t>
    </r>
    <r>
      <rPr>
        <b/>
        <sz val="11"/>
        <color rgb="FFFF0000"/>
        <rFont val="Times New Roman"/>
        <family val="1"/>
      </rPr>
      <t>VALLYA</t>
    </r>
  </si>
  <si>
    <r>
      <t xml:space="preserve">AVALIAÇÃO - </t>
    </r>
    <r>
      <rPr>
        <b/>
        <sz val="11"/>
        <color rgb="FFFF0000"/>
        <rFont val="Times New Roman"/>
        <family val="1"/>
      </rPr>
      <t>AIR LIFT</t>
    </r>
  </si>
  <si>
    <t>Valor Autorizado</t>
  </si>
  <si>
    <t>Mercado</t>
  </si>
  <si>
    <t xml:space="preserve">Média dos relatórios </t>
  </si>
  <si>
    <t>São Gonçalo do Amarante</t>
  </si>
  <si>
    <t>Consórcio - BACCO - CPEA - INFRAWAY - MOYSÉS &amp; PIRES - TERRAFIRMA</t>
  </si>
  <si>
    <t>Consórcio (...) PROFICENTER - VALLYA</t>
  </si>
  <si>
    <t>O estudo analisa e considera nas projeções de demanda a inserção do aeroporto na malha de transportes local, evidenciando a sua interface com outros modais existentes e a integração desses modais aos serviços do aeroporto, e a delimitação das regiões de influência, levando em conta dados demográficos, socioeconômicos e análise de variáveis regionais.</t>
  </si>
  <si>
    <t>O estudo analisa e considera nas projeções de demanda as dinâmicas competitivas atuais e futuras às quais o aeroporto deverá enfrentar, em especial os impactos devidos à competição intramodal (entre aeroportos) e intermodal (demais modos de transporte) para os diferentes segmentos.</t>
  </si>
  <si>
    <t>O estudo analisa e considera nas projeções de demanda como o aeroporto poderá se inserir na malha aérea doméstica e internacional brasileira de passageiros e cargas após a concessão (previsão de modelo de negócio de serviços aéreos do aeroporto).</t>
  </si>
  <si>
    <t>O estudo apresenta de forma clara a metodologia adotada para a projeção de demanda futura do aeroporto por segmento, bem como os aspectos técnicos pertinentes à sua validade e integridade.</t>
  </si>
  <si>
    <t>O estudo apresenta de forma clara as variáveis explicativas consideradas no modelo adotado para projeção de demanda futura do aeroporto por segmento, bem como a metodologia adotada para suas projeções considerando o período sugerido de 30 anos.</t>
  </si>
  <si>
    <t>O estudo contempla adequadamente previsão de receitas tarifárias, indicando as premissas de modelagem, a metodologia empregada e os aspectos técnicos pertinentes, como adequação ao modelo regulatório ao qual o aeroporto estará submetido.</t>
  </si>
  <si>
    <t>Análise de receitas</t>
  </si>
  <si>
    <t>Estudo analisa e considera nas projeções de demanda e receita indicadores econômicos e operacionais relevantes de aeroportos com características similares ao aeroporto estudado.</t>
  </si>
  <si>
    <t>Avaliação de Receitas</t>
  </si>
  <si>
    <t>Estudo realiza análise do modelo de negócio proposto para o aeroporto para os diferentes segmentos e fontes de receita, avaliando potenciais forças, oportunidades, fraquezas e ameaças (SWOT).</t>
  </si>
  <si>
    <t>Avaliação do estado de conservação e do tempo de vida útil estimado para os principais equipamentos do aeroporto (escadas rolantes, elevadores, pontes de embarque), bem como dos sistema de pistas e de pátios de aeronave.</t>
  </si>
  <si>
    <t>Apresentação de limitações físicas/operacionais existentes e/ou não-conformidades no aeroporto, considerando a operação atual e o mínimo operacional definido para o aeroporto, bem como de compromissos de investimentos e/ou regularização de pendências firmados pelo operador aeroportuário atual com órgãos federais, estaduais ou municipais.</t>
  </si>
  <si>
    <t>Apresentação da relação de estudos, investigações, levantamentos, projetos, obras e despesas ou investimentos já efetuados ou em execução no aeroporto, pelo operador atual, com a discriminação dos custos correspondentes.</t>
  </si>
  <si>
    <t>Avaliação da capacidade instalada quanto ao(s) terminal(is) de passageiro(s) e suas estruturas associadas (vias de acesso e estacionamento de veículos).</t>
  </si>
  <si>
    <t>Avaliação da capacidade instalada quanto aos sistemas de pistas e de pátios de aeronaves.</t>
  </si>
  <si>
    <t>O anteprojeto contém elementos que permitam a plena caracterização das obras previstas em cada fase/etapa de implantação, como desenhos esquemáticos, croquis ou imagens e memórias de cálculo, além de investigações e ensaios, quando couber.</t>
  </si>
  <si>
    <t>São apresentadas investigações e ensaios geotécnicos recentes de modo a caracterizar o solo em áreas de expansão da infraestrutura.</t>
  </si>
  <si>
    <t>O estudo de engenharia indica o cronograma de execução das obras previstas em cada fase de expansão do aeroporto, incluindo todas as atividades previstas, embasando tecnicamente os prazos apresentados.</t>
  </si>
  <si>
    <t>É apresentada a determinação dos quantitativos dos investimentos, compatíveis com memória de cálculo de investimentos, referenciada nos elementos do anteprojeto utilizado, em quantidades agregadas principais.</t>
  </si>
  <si>
    <t>Os estudos ambientais contemplam uma adequada avaliação do histórico do aeroporto, diagnóstico e análise da regularidade ambiental e conformidade do aeroporto perante os órgãos fiscalizadores (municipais, estaduais e federais), outras autorizações, outorgas e licenças, bem como de processos judiciais e de contratos vigentes sob a temática ambiental</t>
  </si>
  <si>
    <t>Os estudos ambientais apresentam diagnóstico detalhado dos riscos, restrições e impactos
socioambientais do plano de desenvolvimento do sítio proposto no estudo de engenharia,
estratégias/medidas de mitigação específicas para cada risco identificado.</t>
  </si>
  <si>
    <t>Os estudos ambientais definem custo atinente ao licenciamento ambiental, incluindo passivos existentes e implantação de medidas mitigadoras, soluções e estratégias para viabilização do projeto do ponto de vista socioambiental.</t>
  </si>
  <si>
    <t>Estimativas de OPEX</t>
  </si>
  <si>
    <t>O estudo analisa e considera nas projeções de demanda o histórico de movimentação do aeroporto, considerando, separadamente, dados disponíveis para cada segmento (passageiros, aeronaves e cargas) e perfil (regular, não-regular, doméstica, internacional, conexão etc.) em diferentes níveis de agregação, bem como análise de suas variações sazonais ou ocorrência de períodos de pico para diferentes tipos de tráfego</t>
  </si>
  <si>
    <t>O estudo apresenta de forma clara as premissas de modelagem das projeções de demanda e de que forma os fatores característicos do aeroporto (região de influência, aspectos socioeconômicos, histórico de movimentação, dinâmica competitiva, inserção do aeroporto na malha aérea nacional e internacional, entre outros) afetam a projeção de demanda por segmento.</t>
  </si>
  <si>
    <t>O estudo apresenta separadamente a projeção de demanda irrestrita para cada segmento (passageiros, aeronaves e cargas) e perfil (regular, não-regular, doméstica, internacional, conexão etc.), bem como os resultados agregados ao longo de um período sugerido de projeção de 30 (trinta) anos.</t>
  </si>
  <si>
    <t>O estudo apresenta de forma clara a projeção de demanda de hora-pico para os diferentes componentes aeroportuários (pista, pátio, terminal de passageiros e estacionamento) ao longo de um período sugerido de projeção de 30 (trinta) anos, bem como a metodologia adotada e aspectos técnicos pertinentes.</t>
  </si>
  <si>
    <t>O estudo avalia a ocorrência de eventuais restrições operacionais apontadas nos estudos ambientais e de engenharia e afins, compatibiliza as projeções de demanda irrestrita e de hora-pico a tais restrições para diferentes tipos de tráfego, bem como apresenta a demanda projetada restrita para cada segmento e perfil para um período sugerido de projeção de 30 (trinta) anos.</t>
  </si>
  <si>
    <t>Estudo contempla adequadamente previsão de receitas não tarifárias, indicando as premissas de modelagem, a metodologia empregada e os aspectos técnicos pertinentes, como o due diligence comercial, especialmente quanto à assunção de obrigações relacionadas à sub-rogação ao futuro operador, e a aderência às práticas comerciais resultantes da análise de benchmarking com aeroportos comparáveis.</t>
  </si>
  <si>
    <t>Avaliação das instalações existentes do aeroporto, com descrição e detalhamento dos bens que constituirão a concessão, contemplando avaliação dos sistemas  existentes da infraestrutura aeroportuária (terminal de passageiros e de cargas, acesso viário, sistema de pistas e pátios, etc.) com imagens, desenhos esquemáticos, croquis ou demais elementos aplicáveis.</t>
  </si>
  <si>
    <t>Avaliação da situação patrimonial das áreas que compõem o atual sítio aeroportuário, contemplando a realização de due diligence imobiliária para levantamento da situação patrimonial do sítio. Apresentação, por meio de desenhos esquemáticos, imagens ou outros elementos aplicáveis, das cercas operacionais e patrimoniais existentes.</t>
  </si>
  <si>
    <t>Estudo apresenta avaliação do zoneamento civil/militar e funcional do aeroporto. Apresenta também avaliação do(s) plano(s) de proteção de obstáculos e do plano de zoneamento de ruído do aeroporto.</t>
  </si>
  <si>
    <t>Os custos operacionais estão baseados em referências de custos eficientes, inclusive com benchmarking de outros aeroportos semelhantes, nacionais e internacionais. Os custos operacionais estão apresentados em nível de desagregação que permite a compreensão da natureza dos custos necessários à operação do aeroporto, destacando, inclusive, mas não se limitando a, custos de manutenção e de capital, custos de pessoal, material de consumo, serviços públicos e serviços contratados ou terceirizados, compatíveis com as soluções adotadas para o desenvolvimento do sítio aeroportuário e
refletindo uma estrutura organizacional hipotética do operador. Foi feita análise dos contratos operacionais e comerciais vigentes, relacionados a operação do aeroporto, e avaliação dos impactos jurídicos (elaboração de due dilligence), destacando, quando aplicável, a existência de bens que o aeroporto utiliza em suas operações, mas que são de propriedade de terceiros, tais como aqueles decorrentes de contratos de arrendamento ou
aluguel.</t>
  </si>
  <si>
    <t>A modelagem econômico-financeira apresenta e utiliza premissas macroeconômicas e tributárias coerentes com o desenvolvimento proposto, bem como de eventuais benefícios fiscais afetos ao empreendimento.</t>
  </si>
  <si>
    <t>A modelagem econômico-financeira apresenta e utiliza corretamente premissas contábeis  de amortização e depreciação, conforme a legislação vigente, e melhores práticas contábeis e de modelagem econômica e financeira.</t>
  </si>
  <si>
    <t>A modelagem econômico-financeira apresenta e utiliza premissas e parâmetros adequados e atuais para a estrutura de financiamento do projeto.</t>
  </si>
  <si>
    <t>O relatório de avaliação econômico-financeira considera os resultados dos estudos de demanda, das estimativas de receitas, incluindo as acessórias, dos custos de operação, manutenção e expansão, dos custos ambientais, dos investimentos, dos impactos financeiros decorrentes das premissas estabelecidas e da análise de risco e jurídica, due dilligence e outros.</t>
  </si>
  <si>
    <t>O relatório de avaliação econômico-financeira contém a modelagem econômico-financeira, apresentada por meio de planilha eletrônica, pelo método de fluxo de caixa descontado, pelo período mínimo de 30 anos, com objetivo de avaliar a atratividade do projeto para o setor privado, focando na possibilidade de sua autossustentabilidade, contemplando elementos usualmente adotados no mercado para análise da viabilidade do projeto, como TIR, TIRM, VPL, payback, payback descontado, taxa de retorno do acionista entre outros. A planilha financeira permite cálculo do valor da outorga necessário a que o Valor Presente Líquido do projeto se torne zero.</t>
  </si>
  <si>
    <t>Os estudos ambientais apresentam as diretrizes e previsão de cronograma para o licenciamento ambiental do empreendimento pela futura concessionária, quando aplicável.</t>
  </si>
  <si>
    <t>Os estudos ambientais realizam adequada análise do uso e ocupação do solo, curvas de ruídos, emissões atmosféricas, cobertura vegetal e fauna no sítio aeroportuário e redondezas do sítio aeroportuário, apresentando ainda, diagnóstico e análise de todos os planos obrigatórios ao aeroporto.</t>
  </si>
  <si>
    <t>Há descrição dos sistemas/Planos de Gestão socioambientais propostos, com a apresentação de indicadores para avaliação do desempenho socioambiental dos operadores aeroportuários.</t>
  </si>
  <si>
    <t>Os estudos ambientais avaliam a adequação dos projetos de desenvolvimento do sítio aeroportuário quanto aos riscos, restrições e impactos socioambientais diagnosticados, bem como quanto às boas práticas nacionais e internacionais de sustentabilidade aplicáveis à gestão socioambiental dos aeroportos.</t>
  </si>
  <si>
    <t>Nas estimativas de CAPEX, os preços unitários estão baseados em sistemas oficiais de preço, em preços de mercado ou em valores referenciais admitidos pela Administração Pública Federal, principalmente pelos órgãos de fiscalização e controle.</t>
  </si>
  <si>
    <t>Nas estimativas de CAPEX, as estimativas de custo global dos investimentos são apresentadas para cada fase/etapa de implantação proposta, de acordo com o anteprojeto.</t>
  </si>
  <si>
    <t>Se verificada a necessidade de utilização de áreas externas aos limites do sítio aeroportuário para viabilizar a ampliação da infraestrutura aeroportuária ou de limitações administrativas adicionais em áreas próximas ao aeroporto (art. 43 da Lei n. 7.565, de 1986), o estudo apresenta os custos de desapropriação ou indenização referentes a cada caso.</t>
  </si>
  <si>
    <t>Se verificada a existência de obras inacabadas ou em execução no sítio aeroportuário, o estudo avalia as condições das obras (bem como as condições dos equipamentos e bens integrantes dessas obras) e quanto do executado ou em execução é possível de ser aproveitado na expansão prevista para o desenvolvimento do aeroporto.</t>
  </si>
  <si>
    <t>Para fins de dimensionamento do terminal de passageiros, foram considerados os parâmetros adotados pela ANAC na avaliação do nível de serviço dos componentes operacionais, apresentando anteprojeto do terminal de passageiros para cada fase/etapa de implantação da solução escolhida como mais adequada para o desenvolvimento do aeroporto, bem como são apresentados os cálculos e planilhas utilizados na elaboração do anteprojeto que evidenciam a utilização dos parâmetros da ANAC e da Associação Internacional de Transporte Aéreo (IATA), quando aplicável.</t>
  </si>
  <si>
    <t>É apresentado anteprojeto de engenharia, demonstrando claramente a implantação de acordo com as fases/etapas propostas, consistentes com as projeções de demanda, especificando a expansão prevista para cada fase/etapa, atendendo aos parâmetros e especificações técnicas mínimas e evidenciando o atendimento às normatizações da ANAC e, subsidiariamente, normas ABNT relativas a ruídos, ergonomia e conforto, quando existentes, bem como as demais normas técnicas aplicáveis às soluções de engenharia propostas.</t>
  </si>
  <si>
    <t>O estudo analisa alternativas possíveis para o desenvolvimento do aeroporto, abrangendo o Plano Diretor do aeroporto elaborado pelo operador aeroportuário atual, bem como os estudos e projetos existentes, apresentando-se a solução considerada mais adequada para o desenvolvimento do aeroporto, sob aspectos de eficiência e maximização do retorno esperado do projeto, em fases de implantação, contemplando uma concepção modular e balanceada.</t>
  </si>
  <si>
    <t>Avaliação da capacidade instalada dos seguintes sistemas: processamento de carga aérea (terminais de carga), aviação geral, áreas administrativas e manutenção, infraestrutura de apoio às operações e às companhias aéreas, infraestrutura básica (utilidades) e infraestrutura aeronáutica.</t>
  </si>
  <si>
    <t xml:space="preserve">_Inconsistência das informações apresentadas na Seção 3.7, "Figura 3-57: Projeção anual consolidada de passageiros" e "Tabela 3-28: Evolução projetada de passageiros totais". Os dados constantes na "Figura 3-57" e na "Tabela 3-28" não condizem com as projeções anteriormente encontradas para passageiros domésticos, internacionais e de aviação geral. Ademais, tal como apresentado na Seção 3.6, o número de passageiros em conexão foi considerado como zero e na "Tabela 3-28" o valor de conexão doméstica é diferente de zero.
_Não apresentou projeções de demanda irrestrita de passageiros nos agrupamentos “Regular” e “Não-Regular”.
_Não apresentou projeções de demanda irrestrita de aeronaves nos agrupamentos “Regular” e “Não-Regular”.
</t>
  </si>
  <si>
    <t>_Falta de clareza quanto à metodologia aplicada para a projeção de demanda de hora-pico para os diferentes componentes aeroportuários.
_Ausência de unidade de medida “Figura 111 – Projeção Movimento Pista por Hora” (Eixos X e Y).
_O estudo não apresentou a projeção de demanda de hora-pico para: pista, terminal de passageiros e estacionamento ao longo de um período sugerido de projeção de 30 anos. Há apenas a projeção para demanda de hora-pico do pátio (2022 – 2052).
_Não projetou tempo de permanência da aeronave no pátio, sendo que este afeta diretamente a demanda por posições de pátio na hora-pico, bem como a cobrança de tarifas aeroportuárias.</t>
  </si>
  <si>
    <t>_Não projetou tempo de permanência da aeronave no pátio, sendo que este componente afeta diretamente a demanda por posições de pátio na hora-pico, bem como a cobrança de tarifas aeroportuárias.</t>
  </si>
  <si>
    <r>
      <t>_Inconsistência da legenda da “</t>
    </r>
    <r>
      <rPr>
        <i/>
        <sz val="12"/>
        <color theme="1"/>
        <rFont val="Times New Roman"/>
        <family val="1"/>
      </rPr>
      <t>Figura 12-2: Comparativo entre hora-pico de pista (sem restrição) e capacidade anual pista</t>
    </r>
    <r>
      <rPr>
        <sz val="12"/>
        <color theme="1"/>
        <rFont val="Times New Roman"/>
        <family val="1"/>
      </rPr>
      <t>”  em relação ao conteúdo apresentado no texto. Além disso, no mesmo gráfico, não apresentou o total de anos correspondente ao período da concessão.</t>
    </r>
  </si>
  <si>
    <r>
      <t>_Quanto às receitas de armazenagem e capatazia, não considerou todas as diretrizes da SAC (Portal Único, Programa de Operadores Econômicos Autorizados, IN RFB n</t>
    </r>
    <r>
      <rPr>
        <vertAlign val="superscript"/>
        <sz val="12"/>
        <color theme="1"/>
        <rFont val="Times New Roman"/>
        <family val="1"/>
      </rPr>
      <t>o</t>
    </r>
    <r>
      <rPr>
        <sz val="12"/>
        <color theme="1"/>
        <rFont val="Times New Roman"/>
        <family val="1"/>
      </rPr>
      <t xml:space="preserve"> 1737).</t>
    </r>
  </si>
  <si>
    <t xml:space="preserve">
_Análise intramodal insuficiente em relação à competição na aviação geral, conexão de passageiros e em carga, especificamente, no que se refere a cargas domésticas e a cargas de importação. Análises não levam em consideração possíveis dinâmicas competitivas.
_Análise intermodal insuficiente e não considerada nas projeções. O capítulo 9.3 trata da competição intermodal de forma genérica, aplicada à casos de referência nacional ou até mesmo internacional, porém com pouca representatividade para as RI do aeroporto de Natal. 
</t>
  </si>
  <si>
    <t xml:space="preserve">_Histórico e Projeções com pouca desagregação de perfis. Movimentação não apresenta diferenciação por perfis regular e não regular (Capítulos IV e IX).
</t>
  </si>
  <si>
    <t xml:space="preserve">_Em geral, as projeções desconsideraram fatores característicos do aeroporto, optando por variáveis explicativas agregadas em nível nacional ou até mundial. As projeções levam em consideração basicamente dados de PIB, população e câmbio, que não estariam intrinsecamente ligados à competição intermodal (capítulos 7 - 10).
</t>
  </si>
  <si>
    <t>_Não foi feita análise segregada para passageiros de conexão, de modo a verificar a relevância dessa categoria no que tange à projeção total de passageiros para o período da concessão.
_Não apresentou projeção de demanda irrestrita de passageiros no agrupamento “Regular” e “Não-Regular". 
_Não apresentou projeção de demanda irrestrita de passageiros no agrupamento “Embarque” e “Desembarque”.
_Incoerência do título da “Tabela 54 – ATM INT”, visto que a informação dessa refere-se aos movimentos de aeronaves em âmbito doméstico e não internacional.
_Não apresentou projeção de demanda irrestrita de aeronaves no agrupamento “Regular” e “Não-Regular. 
_Não projetou passageiros de bordo (escala), com implicações para a projeção do movimento de aeronaves.</t>
  </si>
  <si>
    <t>_Não foi feita a avaliação quanto à existência ou não de restrições de ordem ambiental.
_Não foi abordado no relatório a existência de eventuais restrições operacionais sobre a demanda projetada do segmento de cargas.</t>
  </si>
  <si>
    <t xml:space="preserve">_Não foi feita a avaliação quanto à existência ou não de restrições de ordem ambiental.
_Não apresentou a demanda projetada restrita para cada segmento e perfil para um período sugerido de projeção de 30 (trinta) anos.
_O relatório apenas listou os potenciais fatores de restrição de demanda em cada um dos segmentos (aeronaves, alcance de rotas, passageiros e cargas), informando que a capacidade instalada após intervenção proposta é compatível com as projeções de demanda, mas não compatibilizou as projeções de demanda irrestrita e de hora-pico a tais restrições para diferentes tipos de tráfego. </t>
  </si>
  <si>
    <t>_Não comparou os custos operacionais e as necessidades de investimentos (CAPEX e OPEX) com aeroportos similares.</t>
  </si>
  <si>
    <t>_Análise insuficiente de benchmark de aeroportos, com um universo de amostragem muito limitado (apenas alguns nacionais). 
_Não comparou os custos operacionais e as necessidades de investimentos (CAPEX e OPEX) com aeroportos similares.</t>
  </si>
  <si>
    <t>_Não apresentou modelo de negócio proposto para o aeroporto para os diferentes segmentos e fontes de receita.
_Análise SWOT insuficiente, pois apresentou apenas alguns fatores externos e internos, com pouca interpretação e sem recomendações atreladas a um modelo de negócio. Elaborou a análise SWOT considerando apenas atividades complementares e não aprofundou sobre os diferentes segmentos e fontes de receita.</t>
  </si>
  <si>
    <t>_Não apresentou análise de aderência às práticas comerciais resultantes da análise de benchmarking com aeroportos comparáveis. 
_Análise insuficiente dos contratos comerciais disponibilizados no banco de dados do Minfra. Apresenta informações apenas sobre as condições de 18 contratos e aspectos jurídicos relacionados à sub-rogação ou não dos contratos. Não justifica porque não analisou todos os contratos disponibilizados.
_Não apresentou recomendações de ações que podem ser adotadas para a adequação das condições contratuais à concessão. 
_Receitas de combustíveis de aeronaves: apresentou premissas e fórmula de cálculo, mas não apresentou gráfico de projeção e não considerou o preço fixo relacionado à cessão do espaço. Não informou sobre os valores fixados nos contratos com a Petrobras e a Raízen. Não detalhou as condições dos contratos. Não analisou o contrato com a Raízen.</t>
  </si>
  <si>
    <t>_Não apresentou segmentação da RI. Utilizou a mesma RI para diferentes segmentos (carga, passageiros e aviação geral, por exemplo), o que impacta a projeção de demanda de cada um desses segmentos, diminuindo a acurácia dos resultados.</t>
  </si>
  <si>
    <r>
      <t xml:space="preserve">AVALIAÇÃO - </t>
    </r>
    <r>
      <rPr>
        <b/>
        <sz val="11"/>
        <rFont val="Times New Roman"/>
        <family val="1"/>
      </rPr>
      <t>BACCO/ CPEA/ INFRAWAY/ MOYSÉS &amp; PIRES/TERRAFIRMA/GILDAZIO COLPO FATURI / MICHELE BOMBACK / B R ROTHE EIRELI / SOLOCAP</t>
    </r>
  </si>
  <si>
    <t>AVALIAÇÃO - AEROQUIP - BF CAPITAL - BORELLI E MERIGO - JGP - LOGIT - QUEIROZ MALUF</t>
  </si>
  <si>
    <t>AVALIAÇÃO -  VALLYA / PROFICENTER / PIQUET, MAGALDI E GUEDES / AIRPORT CONSULTORIA EIRELI /SÉRGIO RODRIGUES ENGENHARIA EIRELI / THESSA CONSULTORIA - EIRELI / RUNWAY ENGENHARIA</t>
  </si>
  <si>
    <t xml:space="preserve">_Análise insuficiente em relação à interface com modal portuário/hidroviário (Indica que 5% do turismo entra em Natal via marítima, mas não realiza análise do setor). Ao tratar de competição intermodal, o estudo não trata da relevância do modal hidroviário para transporte de passageiros e trata do transporte de cargas de forma marginal.
_Análise insuficiente em relação ao tráfego de veículos e ao transporte intermunicipal de ônibus. Alegam falta de dados, considerando que as projeções de participação modal requereriam um conjunto de dados de difícil acesso e/ou restrito ou de custosa compilação, incluindo: matriz O/D para viagens de carros e de ônibus, tanto em abrangência interestadual como intermunicipal; contagens de tráfego nas diversas rodovias afetadas, etc.
</t>
  </si>
  <si>
    <t xml:space="preserve">_Análise insuficiente quanto à futura inserção do aeroporto na malha, visto que não analisa a possibilidade de criação de novas rotas.
</t>
  </si>
  <si>
    <t xml:space="preserve">_Modelagem para projeções do segmento de carga insuficiente, pois não apresentou modelo matemático adotado.
</t>
  </si>
  <si>
    <t>_Não especificou quais testes estatísticos são utilizados para a validação dos resultados de projeção de demanda de passageiros.
_Não apresentou de forma clara a metodologia para a projeção de demanda de passageiros internacionais, deixando de especificar o modelo matemático adotado, por exemplo, tal como fez com passageiros domésticos.
_Embora tenha sido argumentado que os passageiros em conexão foram considerados na projeção de demanda de passageiros, não foi apresentada metodologia clara para dimensionamento desse perfil de passageiros.
_Não apresentou de forma clara metodologia utilizada na projeção de carga aérea, deixando de especificar o modelo matemático adotado.
_Não apresentou aspectos técnicos pertinentes à validade e integridade da metodologia adotada para cargas aéreas.</t>
  </si>
  <si>
    <t>_Não apresentou de forma clara as variáveis explicativas utilizadas na projeção de passageiros na modalidade internacional. Na projeção de passageiros domésticos foi apresentado o modelo a ser utilizado, ao passo que para a projeção de passageiros internacionais não.
_Não apresentou de forma clara as variáveis explicativas utilizadas na projeção de carga aérea doméstica e internacional.</t>
  </si>
  <si>
    <t xml:space="preserve">_Realizou ajuste pela inflação no valor a ser considerado para a receita-teto por passageiro apontado em Diretriz da SAC, o que descaracterizou o parâmetro prescrito.
_A Tabela 91 - Preço CIF está ilegível. 
</t>
  </si>
  <si>
    <t xml:space="preserve">
_ Receitas de combustíveis de aeronaves: na projeção e cálculo de receita, não há informações sobre os valores fixados em contrato. Apenas mencionou o preço fixo mensal de cessão do espaço. Na metodologia de cálculo, não mencionou nem o preço fixo mensal de cessão do espaço, nem o preço fixo mensal por combustível vendido. Analisou, de forma insuficiente, apenas o contrato com a Petrobras. Não analisou o contrato com a Raízen. </t>
  </si>
  <si>
    <t>Apresenta avaliação das instalações existentes de forma bem ilustrada por fotos e bem organizada, por sistema. Descreve com detalhes as estruturas existentes, apresenta em planta a sua localização e ilustra pontos levantados com fotos. Apresenta o sistema de pistas e pátios, inclusive vias de serviços e área de equipamentos de rampa, com suas dimensões, croqui de localização, características do pavimento, descrição da sinalização, fluxo dos acessos e avaliação de suas instalações, com descrição das obras mais recentes na PPD. Não foi localizado registro das RESA de nenhuma das cabeceiras. Na avaliação do TPS, lista as áreas por componente, para cada pavimento, incluindo os estacionamentos de veículos, apresentando registro fotográfico e detalhes de suas condições. Apresenta ainda o fluxo de embarque de passageiros no aeroporto desde o acesso viário, bem como as condições da infraestrutura verificada. Na avaliação do TECA, apresenta as instalações, os acessos, estacionamento e equipamentos. Também foram apresentados e avaliados os componentes de infraestrutura aeronáutica verificados no aeroporto, tais como auxílios meteorológicos, DVOR/DME e ILS/DME na cabeceira 12. Na avaliação do sistema de aviação geral apresenta a localização das instalações dedicadas,  junto ao TPS (sala para recepção de passageiros), e fluxos de acesso. Sistema de administração e manutenção bem como sistemas industriais de apoio às operações e às companhias aéreas e, finalmente, serviços aeroportuários e sistema de infraestrutura básica também encontram-se apresentados, ilustrados e avaliados.</t>
  </si>
  <si>
    <r>
      <rPr>
        <b/>
        <sz val="12"/>
        <rFont val="Times New Roman"/>
        <family val="1"/>
      </rPr>
      <t>Capítulos 3, 4 e 5. Anexo 1.</t>
    </r>
    <r>
      <rPr>
        <sz val="12"/>
        <rFont val="Times New Roman"/>
        <family val="1"/>
      </rPr>
      <t xml:space="preserve"> 1) O Relatório não apresenta o histórico completo das licenças, autorizações e outorgas (Ex. LS nº 2013-064841/TEC-LS-0554; LS nº 2017.00425-3; IA nº 0393/SBSG/2014; RLO 030/2016 Localiza Rente a Car  LI nº 18992019 - Phoenix Tower Participações S.A.  </t>
    </r>
  </si>
  <si>
    <r>
      <rPr>
        <b/>
        <sz val="12"/>
        <rFont val="Times New Roman"/>
        <family val="1"/>
      </rPr>
      <t xml:space="preserve">Capítulos 2 e 3. </t>
    </r>
    <r>
      <rPr>
        <sz val="12"/>
        <rFont val="Times New Roman"/>
        <family val="1"/>
      </rPr>
      <t xml:space="preserve">1) O Relatório não apresenta o histórico completo das licenças, autorizações e outorgas. (Ex. Autorizações Especiais emitidas ao BEC nº 023/2012, nº 055/2013, nº 056/2013; ASV nº 2014-ASV-002; LI nº 18992019 - Phoenix Tower Participações S.A. 2) O Relatório não traz informações sobre a existênica ou não de processos no âmbito do Ministério Público e da justiça, sobre a temática ambiental. </t>
    </r>
  </si>
  <si>
    <r>
      <rPr>
        <b/>
        <sz val="12"/>
        <rFont val="Times New Roman"/>
        <family val="1"/>
      </rPr>
      <t>Capítulos 6 e 7</t>
    </r>
    <r>
      <rPr>
        <sz val="12"/>
        <rFont val="Times New Roman"/>
        <family val="1"/>
      </rPr>
      <t>. 1) O Relatório não analisa o histórico de licenças ambientais e autorizações já expedidas para o Aeroporto de forma completa (Ex: LS nº 2017.00425-3, ASV nº 2014-ASV-002, IA nº 0393/SBSG/2014; 2) O Relatório analisa de forma insuficiente as caracterísiticas e status das licenças ambientais mapeadas. 3) O Relatótio analisa de forma incompleta as condicionantes relativas à LO nº 225/2018, não tendo apresentado as condições padrões; 4) O Relatório não apresenta histórico, detalhamento e status dos autos de infração emitidos pela Anvisa para o Aeroporto, fazendo pesquisa tão somente da situação atual.</t>
    </r>
  </si>
  <si>
    <r>
      <rPr>
        <b/>
        <sz val="12"/>
        <rFont val="Times New Roman"/>
        <family val="1"/>
      </rPr>
      <t>Capítulo 10.</t>
    </r>
    <r>
      <rPr>
        <sz val="12"/>
        <rFont val="Times New Roman"/>
        <family val="1"/>
      </rPr>
      <t xml:space="preserve"> 1) O Relatório não identifica os impactos socioambientais e proposição de medidas mitigadoras para viabilização do projeto. De fato, o capítulo que corresponderia à essa análise não possui conteúdo (Capítulo 10. Item 10.4).</t>
    </r>
  </si>
  <si>
    <t xml:space="preserve">Capítulo 8. </t>
  </si>
  <si>
    <t>Capítulos 5 e 6.</t>
  </si>
  <si>
    <t>Os estudos ambientais definem, identificam, analisam os impactos sociais e econômicos e precificam os passivos existentes.</t>
  </si>
  <si>
    <t>Capítulo 6. Anexo 2.</t>
  </si>
  <si>
    <t xml:space="preserve">Capítulos 4, 6 e 8. Anexos 4 e 5. </t>
  </si>
  <si>
    <r>
      <rPr>
        <b/>
        <sz val="12"/>
        <rFont val="Times New Roman"/>
        <family val="1"/>
      </rPr>
      <t>Capítulo 8.</t>
    </r>
    <r>
      <rPr>
        <sz val="12"/>
        <rFont val="Times New Roman"/>
        <family val="1"/>
      </rPr>
      <t xml:space="preserve"> 1) O Relatório apresenta uma análise incompleta e insuficiente quanto ao mapeamento dos passivos existentes no Aeroporto; 2) Não há precificação dos passivos identificados no Relatório Ambiental. </t>
    </r>
  </si>
  <si>
    <r>
      <rPr>
        <b/>
        <sz val="12"/>
        <rFont val="Times New Roman"/>
        <family val="1"/>
      </rPr>
      <t xml:space="preserve">Capítulo 8. </t>
    </r>
    <r>
      <rPr>
        <sz val="12"/>
        <rFont val="Times New Roman"/>
        <family val="1"/>
      </rPr>
      <t>1) O Relatório apresenta análise e identificação menos abrangente quanto aos focos atrativos de fauna. (Ex: Delimitação do foco e coordenadas geográficas).</t>
    </r>
    <r>
      <rPr>
        <b/>
        <sz val="12"/>
        <color rgb="FFFF0000"/>
        <rFont val="Times New Roman"/>
        <family val="1"/>
      </rPr>
      <t xml:space="preserve"> </t>
    </r>
  </si>
  <si>
    <r>
      <rPr>
        <b/>
        <sz val="12"/>
        <rFont val="Times New Roman"/>
        <family val="1"/>
      </rPr>
      <t xml:space="preserve">Capítulos 5 e 6.  </t>
    </r>
    <r>
      <rPr>
        <sz val="12"/>
        <rFont val="Times New Roman"/>
        <family val="1"/>
      </rPr>
      <t>1) O Relatório apresenta análise e identificação insuficientes quanto ao panorama da Oferta de Insumos para a Construção Civil na região do ASGA (Ex. Disponibilidade de fornecedores, potencial poluidorm distâncias para o aeroporto, mapas e figuras).</t>
    </r>
  </si>
  <si>
    <r>
      <rPr>
        <b/>
        <sz val="12"/>
        <rFont val="Times New Roman"/>
        <family val="1"/>
      </rPr>
      <t xml:space="preserve">Capítulo 10. </t>
    </r>
    <r>
      <rPr>
        <sz val="12"/>
        <rFont val="Times New Roman"/>
        <family val="1"/>
      </rPr>
      <t>1) O estudo não identifica a disponibilidade de eventuais fornecedores de insumos e matérias primas necessárias para a implantação do Plano de Desenvolvimeno escolhido, que possui influência direta no custo da implantação; 2) O estudo não identifica locais de destinação de resíduos gerados na obra de ampliação.</t>
    </r>
    <r>
      <rPr>
        <b/>
        <sz val="12"/>
        <color rgb="FFFF0000"/>
        <rFont val="Times New Roman"/>
        <family val="1"/>
      </rPr>
      <t xml:space="preserve">  </t>
    </r>
  </si>
  <si>
    <t xml:space="preserve">Capítulo 10. </t>
  </si>
  <si>
    <t xml:space="preserve">Capítulos 6 e 9. </t>
  </si>
  <si>
    <t>Capítulo 12.</t>
  </si>
  <si>
    <r>
      <rPr>
        <b/>
        <sz val="12"/>
        <color theme="1"/>
        <rFont val="Times New Roman"/>
        <family val="1"/>
      </rPr>
      <t>Capítulo 3, 5 e 7.</t>
    </r>
    <r>
      <rPr>
        <sz val="12"/>
        <color theme="1"/>
        <rFont val="Times New Roman"/>
        <family val="1"/>
      </rPr>
      <t xml:space="preserve"> 1) O Relatório apresenta de forma menos abrangente as </t>
    </r>
    <r>
      <rPr>
        <sz val="12"/>
        <rFont val="Times New Roman"/>
        <family val="1"/>
      </rPr>
      <t>questões minerárias. (Ex: Raio de pesquisa, localização, mapas e tabelas apresentadas).</t>
    </r>
  </si>
  <si>
    <r>
      <rPr>
        <b/>
        <sz val="12"/>
        <rFont val="Times New Roman"/>
        <family val="1"/>
      </rPr>
      <t>Capítulos 2 e 5.</t>
    </r>
    <r>
      <rPr>
        <sz val="12"/>
        <rFont val="Times New Roman"/>
        <family val="1"/>
      </rPr>
      <t xml:space="preserve">  1) O Relatório apresenta de forma menos abrangente a caracterização sociambiental do Aeroporto e de seu entorno. (Ex. Informações geográficas relativas à vegetação, mapas, recursos hídricos e cobertura vegetal).</t>
    </r>
    <r>
      <rPr>
        <b/>
        <sz val="12"/>
        <rFont val="Times New Roman"/>
        <family val="1"/>
      </rPr>
      <t xml:space="preserve"> </t>
    </r>
  </si>
  <si>
    <r>
      <rPr>
        <b/>
        <sz val="12"/>
        <rFont val="Times New Roman"/>
        <family val="1"/>
      </rPr>
      <t>Capítulo 9.</t>
    </r>
    <r>
      <rPr>
        <sz val="12"/>
        <rFont val="Times New Roman"/>
        <family val="1"/>
      </rPr>
      <t xml:space="preserve"> 1) O Relatório apresenta de forma menos abrangente a caracterização do uso e ocupação do solo. (Ex. Informações geográficas reclacionadas à vegetação, zoneamento, mapas, recursos hídricos e cobertura vegetal). 2) O estudo não identifica os títulos minerários emitidos no sítio e no entorno imediato do Aeroporto, que demandará providências por parte do futuro operador.</t>
    </r>
  </si>
  <si>
    <r>
      <rPr>
        <b/>
        <sz val="12"/>
        <rFont val="Times New Roman"/>
        <family val="1"/>
      </rPr>
      <t xml:space="preserve">Capítulo 11. </t>
    </r>
    <r>
      <rPr>
        <sz val="12"/>
        <rFont val="Times New Roman"/>
        <family val="1"/>
      </rPr>
      <t>1)</t>
    </r>
    <r>
      <rPr>
        <b/>
        <sz val="12"/>
        <rFont val="Times New Roman"/>
        <family val="1"/>
      </rPr>
      <t xml:space="preserve"> </t>
    </r>
    <r>
      <rPr>
        <sz val="12"/>
        <rFont val="Times New Roman"/>
        <family val="1"/>
      </rPr>
      <t>O Relatório reconhece a necessidade de atualização/renovação de licenças ambientais, implantação de Planos, emissão de autorizações, renovação de outorgas e manifestação de órgãos, contudo, não apresenta o respectivo cronograma. Ressalta-se que, consta no relatório, um capítulo entitulado "11.2. CRONOGRAMA DO LICENCIAMENTO AMBIENTAL", mas que não há conteúdo.</t>
    </r>
  </si>
  <si>
    <r>
      <rPr>
        <b/>
        <sz val="12"/>
        <rFont val="Times New Roman"/>
        <family val="1"/>
      </rPr>
      <t>Capítulo 13.</t>
    </r>
    <r>
      <rPr>
        <sz val="12"/>
        <rFont val="Times New Roman"/>
        <family val="1"/>
      </rPr>
      <t xml:space="preserve"> 1) O Relatório não apresenta custos relativos à desapropriação da área necessária para adequação do ALS prevista no plano de desenvolvimento do Aeroporto. 2) O Relatório não precifica os passivos ambientais e não apresenta custos de recuperação/remediação dos passivos.</t>
    </r>
  </si>
  <si>
    <t>Capítulo 7. Anexo 10.</t>
  </si>
  <si>
    <r>
      <rPr>
        <b/>
        <sz val="12"/>
        <rFont val="Times New Roman"/>
        <family val="1"/>
      </rPr>
      <t>Capítulo 8. Anexos 11 e 12.</t>
    </r>
    <r>
      <rPr>
        <sz val="12"/>
        <rFont val="Times New Roman"/>
        <family val="1"/>
      </rPr>
      <t xml:space="preserve"> 1) O Relatório informa a necessidade de alteração/atualização do PBZPA. Há também, a constatação da necessidade de alterações no PZPANA do aeroporto, tendo sido encontradas inconsistências no Plano vigente. Contudo, não foi possível verificar custos relacionados a essas providências que deverão ser adotadas pela Concessionária.</t>
    </r>
  </si>
  <si>
    <t>Capítulo 9.</t>
  </si>
  <si>
    <t xml:space="preserve">Capítulo 11. Anexo 3. </t>
  </si>
  <si>
    <r>
      <t>Apresenta as condições gerais dos sistemas numa sequência funcional, com registros fotográficos. Para o sistema de pistas, afirma no texto que as RESAs de ambas as cabeceiras têm dimensões 240x150m mas na figura 2.40 a RESA da CAB 30 aparece como sendo 90x90m. Apresenta as condições gerais da pista, sem detalhamento desagregado, por exemplo, da área mais afetada pelo emborrachamento bem como da que foi objeto de intervenções pela concessionária em 2017. A informação do número de posições no pátio 3 (9) é diferente do disponível no "Aircraft Parking/Docking Chart - PDC" disponível no AISWEB (8).</t>
    </r>
    <r>
      <rPr>
        <b/>
        <sz val="12"/>
        <rFont val="Times New Roman"/>
        <family val="1"/>
      </rPr>
      <t xml:space="preserve"> </t>
    </r>
    <r>
      <rPr>
        <sz val="12"/>
        <rFont val="Times New Roman"/>
        <family val="1"/>
      </rPr>
      <t>Para as vias de serviço apresenta localização em planta na figura 2.49 e registro fotográfico somente das vias externas à cerca patrimonial. Para o Sistema Terminal de Passageiros indica algumas infraestruturas disponíveis e as avalia, com destaque para não conformidades identificadas e alguns registros fotográficos. No caderno de plantas, apresenta as áreas do terminal bem identificadas, com os fluxos de embarque e de desembarque, sendo observadas somente algumas inconsistências consideradas leves, tais como ponto de EMBALAGEM de bagagem onde hoje há totens de autoatendimento e sala vip doméstico mobilhada, quando na verdade o espaço está inoperante, sem intenção de retomada das obras pela concessionária. Não apresenta informações acerca das áreas de processamento do TPS. Na avaliação dos pátios delimita toda a área, inclusive a da taxilane, e a caracteriza como sendo pavimento flexível (PCN 70/F/A/X/T), quando na verdade a área das posições de pátio são em pavimento rígido, conforme esclarecido na planta MANUTENÇÃO DE PAVIMENTOS do Caderno de Pantas (Anexo 1). Para o sistema viário de acesso foi apresentada delimitação em planta, registro fotográfico dos meios-fios de embarque e de desembarque (em outra seção) e avaliação das condições observadas em visita. Foram avaliados e ilustrados ainda as áreas de equipamentos de rampa e o estacionamento de veículos. Na avaliação do TECA foram apresentadas as instalações e sua operação, com registros fotográficos detalhados das diversas áreas do terminal, inclusive estacionamento dedicado e viário de acesso. Também foram avaliados e ilustrados os equipamentos de auxílios à navegação aérea, as instalações utilizadas no processamento de aviação geral e os sistemas de administração e manutenção, de apoio às operações, SESCINC (não menciona a redução para categoria 7 durante a pandemia do novo coronavírus nem apresenta a planta da SCI.), sistema de apoio às companhias aéreas, sistema industrial de apoio e sistema de infraestrutura básica.</t>
    </r>
  </si>
  <si>
    <t xml:space="preserve">A avaliação dos principais equipamentos do aeroporto ocorre em especial na seção “b. Avaliação dos principais Equipamentos do Aeroporto”, além de outras ainda, dispersas ao longo do relatório. Para elevadores de passageiros e de carga, escadas rolantes, pontes de embarque, viaturas de combate a incêndio (características detalhadas dos veículos, pesados e leves, encontram-se no item “Seção Contra Incêndio (SCI)”) e de apoio operacional foram caracterizados, referenciados, localizados em planta, ilustrados em fotos e tiveram sua vida útil estimada. Para os equipamentos do sistema de pistas o estado de conservação das instalações foi apresentado e ilustrado em fotos, com descrição e bom detalhamento dos pavimentos desse sistema. O tempo de vida útil dependerá do plano de manutenção dos pavimentos adotado pela futura concessionária, conforme “Previsão de desempenho dos pavimentos” constante nos estudos. Para o sistema TPS apresenta o estado de conservação de forma geral por componente, com registros fotográficos de diversos equipamentos  mas silencia sobre sua estimativa de vida útil, como ocorre com os equipamentos de energia elétrica e aparelhos de raio-x, entre outros.      </t>
  </si>
  <si>
    <t>O estudo apresenta uma análise superficial acerca do quesito. Discorre brevemente acerca das processos judiciais referentes as desapropriações iniciadas em 1996, assim como do cercamento patrimonial e operacional. Não apresenta documentos relevantes como DUP Estadual, Termo de convênio celebrado entre a Infraero e o Gov do Estado do RN, Auto de Imissão na posse em favor do Estado do RN, Decretos e Leis Municipais e Matrículas Atualizadas.</t>
  </si>
  <si>
    <t>O estudo apresenta análises acerca do quesito, traz croquis e tabelas com informações que ilustram as situações descritas. No entanto, no item de zoneamento civil e militar não considera a sobreposição das áreas dos equipamentos de auxílio à navegação aérea, o que conduz a uma totalização de área a maior do que a área real do sítio aeroportuário. A descrição do zoneametno funcional é superficial e análises acerca do zoneamento de proteção de obstáculos e objetos projetados não foram apresentadas.</t>
  </si>
  <si>
    <t>Apresenta uma (01) não conformidade em relação às normas vigentes: RBAC 154 EMD 06 154.305(h) - comprimento do ALS.</t>
  </si>
  <si>
    <t>A seção “f. Estudos e investimentos do atual operador” busca atender ao item por meio do mapeamento dos projetos disponibilizados pela concessionária e sua respectiva localização nas pastas dispostas no data-room. Não há análise do material disponibilizado ou qualquer destacamento das principais informações disponibilizadas nesses estudos, investigações, levantamentos, projetos, obras e despesas ou investimentos realizados. Em adição, apresenta na Tabela 76 o cronograma das obras realizadas pelo consórcio construtor com percentual de execução mensal e valores de custos atualizados para a data base dos estudos, janeiro de 2020. Na tabela 77 apresenta os preços referenciais por área das obras realizadas (R$/m²) nas datas-base maio/2012 e janeiro/2020.</t>
  </si>
  <si>
    <t>O relatório é abrangente, porém apresenta problemas em sua estrutura e organização, carecendo de sequência lógica e dificultando a compreensão de alguns itens, repetindo e mesclando informações em várias seções. Há erros de redação em vários itens e erros de correspondência entre texto e ilustração/gráfico. Avaliação da capacidade do TPS e infraestruturas associadas foi realizada, em grande medida, utilizando as premissas estabelecidas, porém, há superestimação da capacidade em alguns itens, além do uso de "horas-pico alternativas" de menor ou maior duração que a hora rodada de 60 minutos, que é o padrão dos contratos para avaliação de alguns componentes, sem no entanto justificar essa abordagem. Além disso, foi realizada uma avaliação de capacidade instalada de "sala de embarque remota", sendo que o aeroporto não conta com este componente (em SBSG, passageiros que embarcam remoto e em ponte de embarque são atendidos na mesma sala de embarque), e pelo material apresentado, não foi possível determinar em que área do terminal baseou-se essa avaliação. As avaliações de componentes compartilhados doméstico/internacional (como os saguões) não realizaram ponderação entre os fluxos (Hora-pico simultânea), considerando a área total do componente para cada fluxo. É apresentada em diagramas em plantas baixas uma divisão fixa do terminal de passageiros em "área doméstica" e "área internacional" que não corresponde à realidade operacional do aeroporto, pois engloba áreas reversíveis e áreas compartilhadas. Por fim, não foi localizada avaliação de capacidade do sistema de cancelas presente dentro do sítio aeroportuário, como elemento potencialmente restritivo à capacidade do meio fio, por exemplo.</t>
  </si>
  <si>
    <r>
      <t xml:space="preserve">PISTA - Apresenta os dados da pista, incluindo distâncias (LDA, TODA, TODA e ASDA), sinalização e observações do estado de conservação. Entretanto, fragmenta algumas informações, como dimensões da RESA, que se encontram em capítulo diferente das instalações existentes. Não apresenta o método para cálculo da capacidade instalada, apresentando somente o resultado através de uma tabela com o mix de aeronaves previsto ao longo do período da concessão. Não há conclusão sobre a relação entre a capacidade e a demanda. Apresenta  levantamento detalhado da condição funcional dos pavimentos.
TAXI - Apresenta as especificações geométricas, mas não há correlação com a aeronave crítica em cada taxiway e nem conclusão definitiva sobre sua adequação em função da demanda.
PÁTIO - A avaliação da capacidade dos pátios é feita de forma unificada, sem levar em conta a vocação de cada um dos 3 pátios. Além disso, não há uma avaliação comparativa entre a capacidade estática e dinâmica dos pátios, somente o número de posições ocupadas totais conforme a Hora-Pico estimada e a eventual necessidade de pontes de embarque. </t>
    </r>
    <r>
      <rPr>
        <sz val="12"/>
        <rFont val="Times New Roman"/>
        <family val="1"/>
      </rPr>
      <t>Considera no cálculo da capacidade instalada informação do número de posições no pátio 3 (7) divergente do que consta no "Aircraft Parking/Docking Chart - PDC" disponível no AISWEB (8).</t>
    </r>
    <r>
      <rPr>
        <sz val="12"/>
        <rFont val="Times New Roman"/>
        <family val="1"/>
        <charset val="1"/>
      </rPr>
      <t xml:space="preserve"> Não explica a metodologia aplicada e não apresenta os resultados claramente, sem discussão de suas implicações.</t>
    </r>
  </si>
  <si>
    <t>Avaliação adequada para os sistemas, conforme os parâmetros e premissas estabelecidos. Não há menção ao fato de que há carros contraincêndio alugados na SCI. Ter essa informação mapeada mostra-se relevante para a composição de custos da concessão, por se tratar de equipamento de custo elevado. Ainda que não aborde a questão no corpo do estudo, prevê, no entanto, na planilha de CAPEX valor para aquisição de carros para SCI no início da concessão.</t>
  </si>
  <si>
    <t>O item “j. Estudo das alternativas para o desenvolvimento do Aeroporto” apresenta algumas premissas e diretrizes consideradas no plano diretor aprovado para o aeroporto, bem como alguns conteúdos, mas não apresenta possíveis alternativas para o desenvolvimento do aeroporto nem justifica sua ausência.</t>
  </si>
  <si>
    <t xml:space="preserve">O estudo analisa potencial restrição com relação ao ALS mais curto (690m) que o requerido (900m) e há apresentação de uma estimativa do movimento de aeronaves anual e da evolução deste movimento anual, mas o estudo não avalia a capacidade de movimentos/hora da pista considerando a realidade presente do aeroporto (como feito em outros estudos). Adicionalmente, não deixa clara a origem da estimativa dos dados apresentados. O espaço aéreo é mapeado e caracterizado, inclusive com relação a outros aeroportos na região (capazes de gerar restrição) estando detalhadas as ações por cada etapa. Entretanto, não há uma sistematização das questões que não envolvam exclusivamente obras em pistas, ou seja, outras restrições não foram abordadas e soluções para estas possíveis restrições não foram apresentadas (como foi feito por outros estudos). Além disso, as análises, em particular a análise OPEA, foram feitas usando mapas de menor precisão de elevação (enquanto outros estudos apresentaram análises com imagens de satélite de maior precisão quanto à elevação de objetos). </t>
  </si>
  <si>
    <t xml:space="preserve">O estudo inicia o anteprojeto de engenharia, com foco nas necessidades apontadas para os sistemas de pista, em detrimento dos demais elementos do sítio aeroportuário. Além disso, não está clara a ligação entre as obras e as projeções de demanda. Embora esta ligação possa ser inferida em alguns dos elementos e gráficos apresentados, a mesma deveria estar claramente demonstrada no documento. O anteprojeto mostra-se, essencialmente, como uma reestruturação de elementos do sítio aeroportuário, e as mudanças não são apresentadas por fase/etapa. Análise do "Cronograma de Execução de Obras Previstas" e do arquivo detalhando CAPEX ratificam essa observação. Nota-se também que são claramente informados os parâmetros e regulamentações que são/serão observados. Há um estudo detalhado quanto ao ruído do sítio, que considera inclusive a evolução do uso das pistas, momento em que se apresentam as normas aplicáveis a este elemento em questão. </t>
  </si>
  <si>
    <t>O estudo traz, no item relativo ao anteprojeto, a caracterização de obras previstas, por etapas, para os pavimentos, o que não é observado para os demais elementos aeroportuários. Apenas o TPS é mencionado no final do item que deveria tratar de todo o anteprojeto, e recebeu uma página de conteúdo não representativo de sua importância, assim como demais elementos que também não constam na seção. Como não há clara caracterização do que se pretende com relação aos demais elementos, fica prejudicada a compreensão do anteprojeto. Ao analisar as memórias de cálculo, presentes no arquivo de CAPEX, ficam evidenciados os elementos constitutivos, fases e etapas, bem como a indicação de um sistema referenciado de custos. Mas esta análise também fica prejudicada uma vez que arquivos de plantas não estão em formato DWG, dificultando sobremaneira a comparação com os quantitativos estimados na planta e os quantitativos apontados na planilha de CAPEX. Quanto a ensaios, como já mencionado, há um extensivo trabalho quanto ao elemento sistema de pistas, mas outros estudos/ensaios não foram apresentados (algo que foi feito por outros grupos).</t>
  </si>
  <si>
    <r>
      <t xml:space="preserve">Foram adotados os parâmetros da ANAC para TPS, e indicados os parâmetros IATA utilizados quando aplicável, porém propõem-se soluções qualitativamente questionáveis, nas quais baseia e dimensiona a expansão da infraestrutura. A transformação de corredor de desembarque em sala de embarque remoto, por exemplo, vai de encontro à boa prática em projetos de TPS, já que em terminais modernos, tende-se a atender passageiros que embarcam remoto na mesma sala de embarque dos que embarcam em ponte (como aliás já é feito hoje em SBSG), oferecendo assim, a todos os passageiros, o mesmo nível de serviço, conforto, facilidades em comércio e serviços. Quando, por alguma razão operacional, faz sentido segregar passageiros remotos em sala específica (grande volume de embarques remotos </t>
    </r>
    <r>
      <rPr>
        <b/>
        <sz val="12"/>
        <rFont val="Times New Roman"/>
        <family val="1"/>
      </rPr>
      <t>-</t>
    </r>
    <r>
      <rPr>
        <sz val="12"/>
        <rFont val="Times New Roman"/>
        <family val="1"/>
      </rPr>
      <t xml:space="preserve"> o que, pelos parâmetros da ANAC de % mínimo de passageiro embarcado em ponte, só ocorreria em terminais de porte bem maior que SBSG), isso é feito ao nível do pátio, facilitando assim o embarque direto nos ônibus ou até mesmo a pé até a aeronave, e não em pavimento intermediário, como proposto. Propõe também a eliminação de um corredor de serviço que é importante para o abastecimento das lojas na sala de embarque, para agregá-lo à área operacional, sem apresentar uma alternativa para o fluxo de abastecimento das lojas.</t>
    </r>
  </si>
  <si>
    <t xml:space="preserve">O relatório apresenta cronograma de obras por sistema e, na sequência, consolida as figuras no item “q. Cronograma de execução de obras previstas”, reproduzido na planilha de CAPEX (aba “crono. físico”. O cronograma está de acordo com algumas obras previstas no plano de desenvolvimento e com a vida útil considerada para os principais equipamentos, mas não está definido em fases de desenvolvimento bem estabelecidas, nem apresenta justificativa para tal ausência, apenas afirma que “As obras de adequações e ampliações para o Terminal de Passageiros previstas para o Aeroporto Internacional de Natal e as obras pertinentes a reforma e adequações no Sistema de Pistas e Pátios determinadas estão distribuídas temporalmente durante o período de concessão”. Não foi possível identificar com clareza no cronograma se as obras de expansão da sala de embarque e a implantação da nova ponte de embarque sugerida é a que aparece no cronograma acontecendo em 2047 nas rubricas “TPS – SUBSTITUIÇÕES DE EQUIPAMENTOS” e os 700m² na “Edificação - Reforma com estrutura”, uma vez que na Tabela 107 é identificada a necessidade de ponte no ano de 2040 e na tabela 94 a área disponível no componente “sala de embarque – posições próximas DOM” é majorada no ano de 2037. Também não foi localizada justificativa no texto do relatório para substituição dos 4 CCI no ano 1 da concessão.  </t>
  </si>
  <si>
    <t xml:space="preserve">Apresenta o escopo das obras já realizadas pela concessionária na PPD na seção “Avaliação do Sistema de pistas e pátios de aeronaves”. Em que pese afirmar no item “p. Obras inacabadas.”que “[C]onforme já demonstrado neste documento não foram detectadas obras inacabadas dentro das instalações pertinentes ao Aeroporto Internacional de Natal – Governador Aluízio Alves”, apresenta registro fotográfico das obras não finalizadas da sala VIP e menciona área prevista para o TAG, onde afirma ainda que “Na extremidade do lado oeste estão localizados o Restaurante principal do Terminal, a Sala VIP / de Aviação Geral e os Sanitários Públicos. (…) [a] Sala VIP /  Aviação Geral está inacabada, conforme (...) Figura 31 - Vista da área interna da Sala VIP / Aviação Regional a seguir.”. </t>
  </si>
  <si>
    <t>Não foi localizada memória técnica de cálculo do orçamento com as referências detalhadas de cálculo das quantidades. Não foi possível levantar os quantitativos em cada fase de investimento com base nos desenhos apresentados de modo que os quantitativos apresentados possuem rastreabilidade parcial. Em linhas gerais, os investimentos definidos no plano de investimentos previsto no anteprojeto estão contemplados na Planilha "SBSG_CAPEX_Planilha por Fase de Implantação" e são compatíveis com os investimentos previstos apontados nos demais volumes do anteprojeto.</t>
  </si>
  <si>
    <t>Propõe equivocadamente na metodologia apresentada no relatório de Estudos de Engenharia a aplicação do FIT - Fator de Interferência de Tráfego em obra aeroportuária. O BDI aplicado para obras de edificações (29,26%) está em desacordo com os valores estabelecidos no Acórdão do TCU n° 2.622/2013. Apresentou adequadamente cotação de fornecimento de material asfáltico e equipamentos.</t>
  </si>
  <si>
    <t>O Estudo indica a necessidade de desapropriação de área na cabeceira 12R (ALS), caracteriza a mesma com 2,66 ha e cobertura de vegetação nativa. Apresenta croqui com a localização da área a desapropriar e situação em relação ao área do sítio aeroportuário e avalia o custo pelo Método Involutivo conforme NBR 14.653-2. No entanto, não foram localizados arquivos com os dados de mercado utilizados na avaliação.</t>
  </si>
  <si>
    <t>Não foi localizada seção dedicada ao atendimento do item de avaliação, em especial com relação aos bens móveis localizados no aeroporto, mas somente algumas informações dispersas ao longo do relatório. Foram apresentadas estimativas de vida útil para os pavimentos dos sistemas de pistas e de pátios, definidas com base em estudo disponibilizado no data-room. Para os equipamentos exemplificados no item de avaliação, foi estimada a vida útil média para o conjunto de escadas rolantes, conjunto de elevadores e o mesmo para as pontes de embarque, mencionando seu estado de conservação na data da visita.</t>
  </si>
  <si>
    <t>O estudo apresenta uma mínima análise acerca do quesito. Discorre superficialmente acerca da área que compõe o Sítio Aeroportuário e dos processos judiciais referentes as desapropriações iniciadas em 1996, bem como do cercamento patrimonial e operacional. Não apresenta documentos relevantes como DUP Estadual, Termo de convênio celebrado entre a Infraero e o Gov do Estado do RN, Auto de Imissão na posse em favor do Estado do RN, Decretos e Leis Municipais e Matrículas Atualizadas. O croqui utilizado para ilustrar a área patrimonial não representa a atual situação da área.</t>
  </si>
  <si>
    <t xml:space="preserve">O estudo apresenta análises acerca dos itens que compõem o quesito, traz croquis e tabelas com informações que ilustram as situações descritas para o cenário atual e breves considerações para o cenário futuro. No entanto as análises acerca do zoneamento civil e militar e zoneamento funcional foram apresentadas de forma superficial. O estudo também não apresenta análises acerca das áreas especiais ocupadas por equipamentos de auxílio à navegação aérea.   </t>
  </si>
  <si>
    <t>Apresentadas somente não conformidades relativas à manutenção do TPS (piso tátil, forro e acabamento), localização inadequada de conteiner refrigerado no TECA e manutenção de fossas sépticas fora de operação.
Não foram identificadas não conformidades relacionadas ao atendimento de nenhum dos regulamentos da ANAC.</t>
  </si>
  <si>
    <t>A avaliação de capacidade é realizada de forma simplificada. Sustenta de forma taxativa que a infrestrutura de TPS e infraestruturas associadas atende à demanda até o final da concessão. Indica a utilização das premissas e parâmetros adequadamente. Algumas áreas apresentam capacidade superestimada na avaliação, como é o caso da inspeção de segurança doméstica, em que a capacidade estimada resultou muito superior à real capacidade do componente, possivelmente devido à superestimação da própria área computável para o cálculo. Nesse sentido, apresenta plantas de TPS que retratariam a situação existente, porém as mesmas estão desatualizadas, pois desconsideram reformas internas feitas pela atual concessionária, e que já reduziram a área de alguns componentes (mesmo assim, a área de fila de inspeção de segurança doméstica considerada no cálculo é ainda maior do que a que consta nessa planta, e não foi possível verificar sua origem). Por fim, não foi localizada avaliação de capacidade do sistema de cancelas presente dentro do sítio aeroportuário, como elemento potencialmente restritivo à capacidade do meio fio, por exemplo.</t>
  </si>
  <si>
    <r>
      <t xml:space="preserve">PISTA - Apresenta os dados da pista de forma clara, incluindo distâncias (LDA, TODA, TODA e ASDA), sinalização e observações do estado de conservação. Apresenta o método para cálculo da capacidade instalada (Manual COMAER MCA 100-14) e as premissas de forma concisa. Considera somente um tipo de aeronave no mix (100% cat. C). Fornece conclusão sobre a relação entre a capacidade e a demanda.
TAXI - Apresenta as especificações geométricas e faz a correlação com a aeronave crítica em cada taxiway, chegando a conclusão definitiva.
PÁTIO - Apresenta levantamento de informações de cada pátio separadamente. Entretanto, há erro de designação dos pátios, nominando o Pátio em frente ao terminal de carga (Pátio 1) como Pátio 3. </t>
    </r>
    <r>
      <rPr>
        <sz val="12"/>
        <rFont val="Times New Roman"/>
        <family val="1"/>
      </rPr>
      <t>Considera no cálculo da capacidade instalada do pátio 3 a informação do número de posições (9) diferente do que consta no "Aircraft Parking/Docking Chart - PDC", disponível no AISWEB (8).</t>
    </r>
    <r>
      <rPr>
        <sz val="12"/>
        <rFont val="Times New Roman"/>
        <family val="1"/>
        <charset val="1"/>
      </rPr>
      <t xml:space="preserve"> Não há uma avaliação comparativa entre a capacidade estática e dinâmica dos pátios, somente o número de posições ocupadas totais conforme a Hora-Pico. O estudo indica que a projeção de demanda é feita de forma consolidada para todos os pátios (item 3.1.3), não considerando suas especificidades, mas discorre sobre os pátios de carga (3.2.1.3.2) e aviação geral (3.2.1.4.3) de forma não concatenada. Não explica a metodologia aplicada e não apresenta os resultados claramente, sem discussão de suas implicações.</t>
    </r>
  </si>
  <si>
    <t>Avaliação adequada para os sistemas, conforme os parâmetros e premissas estabelecidos. Não há menção ao fato de que há carros contraincêndio alugados na SCI. Ter essa informação mapeada mostra-se relevante para a composição de custos da concessão, por se tratar de equipamento de custo elevado.</t>
  </si>
  <si>
    <t>O posicionamento do estudo é de que os esforços previstos para a operação do aeroporto serão concentrados majoritariamente em serviços de manutenção, não havendo intervenções significativas, conforme item “3.3 Estudos de Alternativas”, motivo pelo qual não apresenta alternativas para o desenvolvimento do sítio. Afirma ainda que “as iniciativas propostas pelo [presente] estudo devem observar estritamente as condições futuras constantes no plano [diretor]”, sem maior detalhamento.</t>
  </si>
  <si>
    <t>O estudo traz o levantamento da condição de pista, os movimentos/hora e o mix de aeronaves do aeroporto projetado no tempo e a caracterização do espaço aéreo. Entretanto, a análise qualitativa da condição de pista atual é pouco detalhada, e não é apresentado como este aspecto qualitativo será mantido, ou seja, como a manutenção da condição da pista é realizada ao longo da concessão considerando a movimentação estimada no tempo da concessão (aspecto que é demonstrado em outros estudos). Adicionalmente, o estudo não demonstra que a infraestrutura do ALS é de menor dimensão do que os 900m requeridos. Quanto à análise de interferências, o estudo apresenta possíveis interferências com outros aeroportos, e traz os efeitos adversos possíveis, mas não deixa claro como a evolução/aumento do tráfego aéreo, ao longo dos anos de concessão, poderia provocar restrições ou aumentar a criticidade das existentes. A análise OPEA usa mapas de menor precisão de elevação (outros estudos apresentaram análises com imagens de satélite de maior precisão quanto a elevação de objetos). O estudo traz soluções para as restrições de tráfego nas proximidades, e o faz de forma organizada e sistêmica, apresentando possíveis soluções.</t>
  </si>
  <si>
    <t>O anteprojeto traz a caracterização das obras previstas no plano de desenvolvimento, por etapas. Entretanto, o estudo apresentado considera que diversos elementos não necessitarão de intervenções, visão esta que não é considerada a mais precisa quando se observa o comportamento de uma operação aeroportuária. Neste sentido, entende-se que elementos importantes e necessários, que devem ser trocados/substituídos bem como intervenções que precisam ser realizadas ao longo da concessão não foram considerados. Quanto às memórias de cálculo, elas são apresentadas, ancoradas em sistemas de preços referenciais, e os esquemas/desenhos são apresentados em formato DWG, permitindo a comparação entre planos, medidas, custos e volumes presentes nas planilhas, mas como já dito, elementos importantes estão ausentes deste estudo de anteprojeto. Por fim, em que pese não prever implantação de elementos importantes no antiprojeto, conforme mencionado acima, o documento traz estudos geológicos, inclusive sondagens de solo, disponibilizados pela atual concessionária.</t>
  </si>
  <si>
    <t xml:space="preserve">O item relacionado ao desenvolvimento do sítio aeroportuário, traz a evolução da demanda no aeroporto e o comportamento de alguns elementos do sítio em função dessa demanda. Tais previsões de demanda são usadas como fundamento para a evolução das necessidades do aeroporto ao longo da concessão. A proposta baseia-se em ações de manutenção, já que o consórcio sustenta que a infraestrutura instalada atenderia a demanda até o final da concessão. Há especificação das ações por etapa/fase, entretanto, alguns elementos importantes não estão presentes na análise, em particular aqueles relativos à depreciação de equipamentos do TPS (entre outros: escadas rolantes, elevadores, esteiras de bagagem, pontes de embarque) e que devem ter sua substituição previstos em etapas/fases ao longo da concessão. Isso sugere que parâmetros e especificações não foram atentamente observados no plano, e não há menção clara de forma contrária, ou seja, não é explícito que isso foi considerado. O estudo apresentada a análise do atendimento de normas relativas a ruídos, bem como um estudo neste sentido. </t>
  </si>
  <si>
    <t>O estudo não prevê grandes intervenções em terminal de passageiros ao longo da concessão, sustentando que a gestão da infraestrutura focará sobretudo em ações de manutenção, o que se reflete no grau de detalhamento do anteprojeto. As necessidades de áreas dos componentes para TPS são apresentadas de forma razoavelmente detalhada em planilha e utilizam os parâmetros adequados.</t>
  </si>
  <si>
    <t>Não considera a existência de obras inacabadas, tais como a sala vip doméstico e o TAG, que está sendo utilizado como depósito de materiais e mobiliário. Afirma ainda que “não existem projetos e/ou obras em andamento passíveis de ter seu investimento quantificado neste item.”, conforme seção “4.1.6 Obras Inconclusas”.</t>
  </si>
  <si>
    <t>Foram apresentados os desenhos do aeroporto em DWG, os quais conferem algum nível de rastreabilidade dos quantitativos propostos, entretanto, não foi localizada memória técnica de cálculo do orçamento com as referências detalhadas de cálculo das quantidades e os quantitativos apresentados possuem rastreabilidade limitada devido ao baixo nível de detalhamento dos investimentos previstos na planilha CAPEX por meio CPUs. Em linhas gerais, os investimentos definidos no plano de investimentos previsto nos anteprojetos estão contemplados na Planilha "SBSG_CAPEX" e são compatíveis com os investimentos previstos apontados nos demais volumes do anteprojeto.</t>
  </si>
  <si>
    <t>Os BDIs apresentados na aba "Controle" das planilhas "CAPEX" e "PREÇOS UNITÁRIOS" estão em desacordo com os valores estabelecidos no Acórdão do TCU n° 2.622/2013. Os valores utilizados de BDI em cada serviço e fornecimento de material não ficou claramente demonstrada na planilha "CAPEX". Não foi possível rastrear nas planilhas apresentadas a origem e composição dos custos parametrizados apresentados obtidos a partir de contratos de obras públicas de referência.</t>
  </si>
  <si>
    <t>O estudo apresenta o atual contrato de concessão em que menciona 2 áreas a desapropriar. Cita um "Apendice B" com áreas a desapropriar, porem, tal documento não foi localizado. O estudo não apresenta a valoração das áreas a serem desapropriadas, assim como também não apresenta croqui da configuração futura da área patrimonial contemplando possíveis acréscimos de área.</t>
  </si>
  <si>
    <t xml:space="preserve">O consórcio buscou atender ao item por meio da seção “1.5 Avaliação dos Principais Equipamentos do Aeroporto”, onde consta a metodologia utilizada para avaliação dos equipamentos, que incluiu visita de campo para identificação dos principais equipamentos (base de dados); normas utilizadas, determinação da vida útil estimada, cálculo da vida útil residual e definição de nível de manutenção requerido. Os resultados foram consolidados em arquivo anexo ao relatório, contendo a caracterização dos principais bens, móveis e imóveis, além de registros fotográficos. Todas as informações são individuais, ou seja, para cada bem considerado relevante ao aeroporto. Sobre os sistemas de pista e de pátio, apesar de apresentar seção com detalhamento das condições dos pavimentos (2.7.2.1.1 Principais Pavimentos) não foram localizadas estimativas de vida útil desses equipamentos. </t>
  </si>
  <si>
    <t>Avaliação da capacidade realizada de forma extensiva e detalhada. Apresenta planilha dedicada à avaliação de capacidade, permitindo a verificação das premissas utilizadas. Na avaliação da capacidade instalada do terminal de passageiros, alguns itens apresentaram capacidade ligeiramente superestimada, como nas salas de embarque, onde não foi possível verificar, pelas plantas da situação existente de TPS, como se chegou à área considerada no cálculo, ou se foram feitos corretamente os descontos de áreas de circulação. Por fim, não foi localizada avaliação de capacidade do sistema de cancelas presente dentro do sítio aeroportuário, como elemento potencialmente restritivo à capacidade do meio fio, por exemplo.</t>
  </si>
  <si>
    <t>PISTA - Apresenta os dados da pista de forma clara, incluindo distâncias (LDA, TODA, TODA e ASDA), sinalização e observações do estado de conservação. Apresenta o método para cálculo da capacidade instalada (Manual COMAER MCA 100-14) e as premissas de forma concisa e com grandes detalhes, inclusive com as fórmulas matemáticas. Considera um mix variado de aeronaves (30% cat.B, 40% cat.C e 30% cat.D). Fornece conclusão sobre a relação entre a capacidade e a demanda. Apresenta  levantamento detalhado da condição funcional dos pavimentos.
TAXI - Apresenta as especificações geométricas e faz a correlação com a aeronave crítica em cada taxiway, chegando a conclusão definitiva.
PÁTIO - Apresenta a avaliação de capacidade de cada pátio separadamente. Entretanto, para efeitos do cálculo, a contagem do número de posições relativas aos Pátios 1 e 2 (no tópico 1.6.1.3) foi realizada de forma diferente do número de posições especificado no tópico 1.2.1.3 e no "Aircraft Parking/Docking Chart - PDC" disponível no AISWEB, não ficando claras as razões de terem sido utilizadas menos vagas do Pátio 1, em relação ao cadastro, no cálculo da capacidade de aeronaves de carga. Existe uma avaliação comparativa entre a capacidade estática e dinâmica dos pátios, considerando um mix variado de aeronaves. Explica a metodologia aplicada e apresenta os resultados de forma clara e concisa.</t>
  </si>
  <si>
    <t>Avaliação adequada para os sistemas, conforme os parâmetros e premissas estabelecidos. Apresenta detalhada avaliação dos principais equipamentos do aeroporto. Não há menção ao fato de que há carros contraincêndio alugados na SCI. Ter essa informação mapeada mostra-se relevante para a composição de custos da concessão, por se tratar de equipamento de custo elevado.</t>
  </si>
  <si>
    <r>
      <t>É apresentado um anteprojeto de engenharia, demonstrando a implantação das melhorias propostas, em fases/etapas, conforme observável a partir da p. 714. É feita uma análise detalhada dos componentes do aeroporto, e na p. 848 há o reagrupamento dos elementos detalhados por fase de implantação. Além disso, a p. 714 traz uma projeção de demanda focada no sistema de pistas.</t>
    </r>
    <r>
      <rPr>
        <b/>
        <sz val="12"/>
        <rFont val="Times New Roman"/>
        <family val="1"/>
      </rPr>
      <t xml:space="preserve"> N</t>
    </r>
    <r>
      <rPr>
        <sz val="12"/>
        <rFont val="Times New Roman"/>
        <family val="1"/>
      </rPr>
      <t xml:space="preserve">a p. 791, estão explicitados os parâmetros adotados (tanto ADRM como ANAC) e na p. 539 há explícita menção às normas usadas no dimensionamento da infraestrutura proposta. O estudo traz, a partir da p. 126, o estudo de ruído no sítio, bem como na p. 539, as normas aplicáveis quanto à ergonomia e conforto. É proposta implantação de uma área significativa, específica de atendimento à aviação geral no TPS, sem encontrar justificativa nas necessidades de infraestrutura decorrentes da avaliação da capacidade instalada, e sendo que a mesma já não foi finalizada e posta em operação pela concessionária atual justamente pela baixa demanda para esse público no aeroporto, tendência que deve se manter ao longo da próxima concessão (confirmada inclusive pelo próprio estudo de demanda deste grupo). </t>
    </r>
  </si>
  <si>
    <t>As necessidades de área dos componentes para TPS são apresentadas em planilha de forma bastante detalhada e condizentes com as fases de implantação propostas. Apresenta, para alguns itens de dimensionamento do terminal, parâmetros diferentes dos utilizados pela ANAC. Cálculos e planilhas apresentados, em grande medida coerentes, porém em alguns itens não foi possível reproduzir os mesmos resultados apresentados utilizando as fórmulas constantes das planilhas.</t>
  </si>
  <si>
    <t>Os quantitativos básicos de serviços e materiais previstos em cada fase de investimento podem ser estimados a partir dos desenhos e CPUs apresentadas, entretanto, não foi localizada memória técnica de cálculo do orçamento com as referências detalhadas de cálculo das quantidades. Em linhas gerais, os investimentos definidos no plano de investimentos previsto no anteprojeto estão contemplados na Planilha "SBSG_Engenharia_CAPEX_Custo de investimentos_1.00" e são compatíveis com os investimentos previstos apontados nos demais volumes do anteprojeto.</t>
  </si>
  <si>
    <t>Na aba CAPEX da Planilha "SBSG_Engenharia_CAPEX_CUSTOS DE PASSIVOS DE IRREGULARIDADES FÍSICAS_1.00", verificou-se que o BDI aplicado (20,13%) no fornecimento de materiais asfálticos referente à refoma do pavimento (Passivo P1) está em desacordo com o estabelecido no Memorando Circular n° 12/2012/DIREX/DNIT. Não foram identificados os orçamentos dos projetos utilizados como referência na obtenção dos parâmetros de engenharia e custos parametrizados utilizados pelo Consórcio. Alguns parâmetros de engenharia identificados na aba "PEN" da planilha "CAPEX_Custos de investmentos_1.00" referem-se a projetos diferentes dos relacionados no Relatório de Estudos de Engenharia e Afins (Pátio de Dourados-MS). Não foram apresentadas as referências de todas as cotações apresentadas na referida planilha de custos de investimentos, afetando, com isso, a rastreabilidade dos custos parametrizados, grosso modo, obtidos a partir de contratos de obras públicas de referência.</t>
  </si>
  <si>
    <t xml:space="preserve">O estudo apresenta de forma pormenorizada o limite patrimonial proposto, com a localização e caracterização de: área (m²), posse, titularidade e matrícula da área a desapropriar, assim como a localização e situação desta área de interesse em relação a gleba maior em que está inserida. Apresenta um histórico da matrícula da área desaproprianda e uma estimativa de valor desta área com a adoção de um valor médio/m² obtido por meio de pesquisa no mercado. No entanto, não apresenta os custos de desapropriação obtidos conforme métodos e normas técnicas aplicáveis ao tema. </t>
  </si>
  <si>
    <t>Em que pese o relatório mencionar a incorporação no modelo de efeitos de ótica mensal, em uma análise comparativa, realiza modelagem financeira em termos anuais e não mensais ocasionando em menor precisão do modelo e da análise de algumas contas do modelo, como por exemplo capital de giro, benefício fiscal do ISS, aportes necessários, etc.</t>
  </si>
  <si>
    <t>O prazo referente ao payback simples do projeto e do acionista, bem como o payback descontado do acionista estão incoerentes com o fluxo de caixa apresentado na planilha financeira.</t>
  </si>
  <si>
    <r>
      <t xml:space="preserve">Não observou diretriz emanada da SAC referente a sistemática para pagamento da contribuição variável, qual seja: </t>
    </r>
    <r>
      <rPr>
        <i/>
        <sz val="12"/>
        <rFont val="Times New Roman"/>
        <family val="1"/>
        <charset val="1"/>
      </rPr>
      <t>"10... c) A primeira Contribuição Variável deverá ter como base a receita bruta referente ao quinto ano-calendário completo da concessão, contado a partir da Data de Eficácia do Contrato. A partir de então, as alíquotas deverão ser linearmente crescentes nos 5 anos subsequentes, sendo as demais parcelas anuais calculadas a partir do percentual de contribuição variável definida. A contribuição variável apurada em um ano deverá ser paga pela Concessionária no ano subsequente".</t>
    </r>
    <r>
      <rPr>
        <sz val="12"/>
        <rFont val="Times New Roman"/>
        <family val="1"/>
        <charset val="1"/>
      </rPr>
      <t xml:space="preserve"> Isso porque, de forma equivocada, computa na DRE o registro da primeira parcela da outorga variável em 2026 e não em 2027, conforme se deriva da diretriz.  Igualmente, a modelagem econônimo-financeira, de forma equivocada, considera o pagamento da última parcela da outorga variável em 2052 e não em 2053, conforme se depreende da diretriz.
Em que pese a modelagem estar correta, o relatório informa na página 33 que apenas a partir da Fase II "a concessionária assumirá a operação plena do aeroporto e será responsável pelas despesas e fará jus às receitas tarifárias e comerciais". No entanto, a assunção das operações por parte da concessionária se dá ao final do estágio II da Fase I-A.</t>
    </r>
  </si>
  <si>
    <t xml:space="preserve">A sessão 3 do relatório afirma que a Fase I-B ao contrato de concessão teria duração de 60 meses em decorrência da necessidade de obras de expansão de grande vulto no lado ar do aeroporto, de forma incoerente ao cronograma de obras do relatório de engenharia.
Os gráficos de projeção de demanda de passageiros, carga e movimentos de aeronaves, apresentados na sessão 5 do relatório estão inconsistentes com as respectivas demandas projetadas apresentadas na planilha econômico-financeira.
A DRE apresentada na tabela 13.3 apresenta valores inconsistentes com a planilha financeira nas linhas Créditos PIS/COFINS, Outorga Variável e Custo de Construção. 
Em que pese os atuais contratos de concessão aeroportuária preverem a possibilidade de redução dos valores de capital social subscrito quando os fluxos de caixa futuros do projeto são suficientes para o cumprimento das obrigações contratuais, mantém o montante total de capital social subscrito até o fim da concessão. </t>
  </si>
  <si>
    <t>De forma equivocada, aponta para diretriz da SAC para não considerar benefícios  fiscais estabelecidos pelo Decreto 4.213 de 2002 para a região abrangida pelas áreas de atuação da extinta Superintendência do Desenvolvimento do Nordeste - SUDENE.</t>
  </si>
  <si>
    <t>Em que pese a modelagem admitir a possibilidade de utilização do regime de lucro presumido, o estudo enquadra a concessionária no regime de lucro real desde o primeiro ano da concessão, utilizando como justificativa a receita superior a 78 milhões (teto estabelecido na legislação). No entanto, segundo as próprias previsões do modelo, a receita bruta auferida no primeiro ano da concessão é inferior a 78 milhões.</t>
  </si>
  <si>
    <t xml:space="preserve">Traz uma análise demasiadamente simplificada para as receitas não tarifárias identificando apenas a rubrica de cessão de espaços. Dessa forma, deixa de considerar na base de cálculo do ISS rubricas da receita não tarifária nas quais incidem ISS.
Não considera benefícios  fiscais estabelecidos pelo Decreto 4.213 de 2002 para a região abrangida pelas áreas de atuação da extinta Superintendência do Desenvolvimento do Nordeste - SUDENE.
Não apresenta Provisão Estimada para Créditos de Liquidação Duvidosa (PECLD). 
Em que pese a modelagem admitir a possibilidade de utilização do regime de lucro presumido, o estudo enquadra a concessionária no regime de lucro real desde o primeiro ano da concessão, utilizando como justificativa a receita superior a 78 milhões (teto estabelecido na legislação). No entanto, segundo as próprias previsões do modelo, a receita bruta auferida no primeiro ano da concessão é inferior a 78 milhões.
</t>
  </si>
  <si>
    <t xml:space="preserve">O estudo não empreendeu ajustes em determinadas contas de modo a expurgar efeitos inflacionários indesejados em contas que não sofrem correção inflacionária, como por exemplo: capital de giro, capital social, receitas financeiras. 
</t>
  </si>
  <si>
    <t>Em que pese apresentar e analisar condições de financiamento para o projeto baseada em benchmarks das últimas concessões aeroportuárias, a modelagem não prevê financiamento para o projeto, pois afirma que o fluxo de caixa do projeto é capaz de suportar o CAPEX sem necessidade de dívida e que eventual financiamento pioraria a condição do acionista, entretanto, não há qualquer demonstração ou evidências para tal suposição.
Ademais, observou-se que, custos usualmente alocados, na modelagem econômico-financeira de projetos de concessão, ao chamado CAPEX de manutenção da concessionária - por aumentarem a vida útil da infraestrutura a ser explorada - foram considerados como OPEX, e assim, expurgados de valores que poderiam ser financiados pela concessionária.</t>
  </si>
  <si>
    <t>Nas simulações da estrutura de capital do projeto, não utilizou benchmarks de concessões aeroportuárias recentemente financiadas pelo BNDES e outros bancos. 
Ao versar sobre a política de dividendos da concessionária, assumiu-se que a concessionária deve sempre manter em caixa o valor mínimo de 10 milhões. Entretanto, a opção por esse valor não foi devidamente justificada, constando apenas que se trata de “valor bastante razoável, considerando o faturamento do projeto e as obrigações previstas”.</t>
  </si>
  <si>
    <t>O estudo estimou a evolução do gasto com bombeiros de modo linear, correlacionando-o com a projeção de passageiros processados no aeroporto. Entretanto, conforme o disposto no RBAC 153, Subparte G (Serviço de Salvamento e Combate a Incêndio), a projeção de passageiros para o aeroporto não exige mudança na estrutura de combate a incêndio disponível no aeroporto.</t>
  </si>
  <si>
    <t xml:space="preserve">De forma equivocada, inclui no custo de pessoal gastos referentes à EPTA e à Torre de Controle, as quais não são objeto da relicitação do aeroroporto. 
Não apresenta justificativa metodológica para as taxas de crescimento  dos custos apresentados baseada em dados e benchmarks de crescimento de outros aeroportos (elasticidade/WLU).
Não considera os ganhos de escala que a concessionária atual (Inframérica) verifica por operar mais de um a aeroporto no país (SBBR). </t>
  </si>
  <si>
    <r>
      <t>_Análise insuficiente em relação à interface com modal portuário/hidroviário. As previsões para passageiros (tanto domésticos, quanto internacionais), das quais derivam as demais projeções de outros segmentos, se baseiam em modelos que levam em consideração o PIB Brasil e o Yield Brasil. Embora o consórcio alegue que o Yield Brasil seria capaz de captar a probabilidade de migração para outros modais de transporte, o argumento apresentado é muito frágil.</t>
    </r>
    <r>
      <rPr>
        <sz val="12"/>
        <rFont val="Times New Roman"/>
        <family val="1"/>
      </rPr>
      <t xml:space="preserve">
_Análise insuficiente em relação ao custo de transporte rodoviário (não apresenta custos referentes a pedágio, gasolina, passagem de onibus, taxi/app</t>
    </r>
    <r>
      <rPr>
        <sz val="12"/>
        <color theme="1"/>
        <rFont val="Times New Roman"/>
        <family val="1"/>
      </rPr>
      <t xml:space="preserve">).
</t>
    </r>
  </si>
  <si>
    <t>ok</t>
  </si>
  <si>
    <t xml:space="preserve">_Não considerou a competição intermodal nas suas projeções. Projeções levam em consideração basicamente dados de PIB em diferentes agregações, passageiros de Natal, variação de viagens por população e renda do Estado e, eventualmente, o câmbio, conforme pode-se ver nas capítulos VII, IX, X, XI.  Destaca-se que as metodologias para as demais projeções derivam em algum grau da metodologia para passageiros, conforme destacado no início dos capítulos VII. 
_Análise de competição intramodal insuficiente, por considerar que o crescimento de rotas se dá por uma espécie de crescimento orgânico das operações, não levando em conta possíveis gatilhos demanda, o que impacta na projeção de demanda dos diferentes segmentos (capítulo VIII). 
</t>
  </si>
  <si>
    <t xml:space="preserve">
_O estudo realizou análise insuficiente da inserção na malha aerea, pois não aprofunda melhores formas de explorar as vocações identificadas para o aeroporto na seção (capítulos 8.2.4 e 8.2.1) e tampouco realiza estudo de novas rotas para o aeroporto. Com isso, não considerou nas projeções de demanda como o aeroporto poderá se inserir na malha aérea doméstica e internacional de passageiros e cargas.
</t>
  </si>
  <si>
    <t xml:space="preserve">O  relatório não segue uma ordem lógica, apresentando no mesmo item “II. Inventário das condições existentes” informações gerais sobre o aeroporto e sobre a região onde está inserido, avaliação das condições atuais com registros fotográficos e comparação entre a capacidade atual versus as necessidades futuras. Para o sistema de pistas foram identificados e caracterizados os bens (PPD, pistas de taxi, pátios e instalações associadas: área para equipamentos de rampa e vias de serviço), apresentada a localização em planta e avaliadas as condições observadas em visita. Apresenta número de posições no pátio 3 (7) divergente do que consta no "Aircraft Parking/Docking Chart - PDC" disponível no AISWEB (8). Não foi localizado registro sobre as RESAs de nenhuma das cabeceiras. Para o sistema terminal de passageiros apresenta descrição da edificação com segregação das áreas e detalhamento dos equipamentos por componente. O mesmo ocorre para o sistema terminal de cargas. Já para o sistema de aviação geral, não foram apresentadas as instalações utilizadas no momento para os serviços oferecidos à aviação executiva nem a área prevista para o TAG mas que atualmente serve como depósito de mobiliário. Sistema de administração e manutenção foi localizado em planta, sem detalhamentos. Sistema de apoio às operações foi apresentado, localizado em planta e ilustradas as condições verificadas em visita, com bom detalhamento das instalações da SESCINC, exceto por não ter sido mencionado sobre a redução para categoria 7 durante a pandemia do novo coronavírus. Sistema de apoio às companhias aéreas e sistema industrial de apoio foram apresentados sucintamente. Para o sistema de infraestrutura básica os bens foram apresentados com bom nível de detalhamento, com destaque para o sistema de energia elétrica. Os equipamentos do sistemas de infraestrutura de aeronáutica foram apresentados com bom nível de detalhamento, localizados em planta e ilustrados em fotos.    </t>
  </si>
  <si>
    <t>O estudo apresentado buscou atender ao item na seção “2.5 Estudos e Projetos”, onde descreve as fases de implantação previstas no Plano Diretor da Infraero, elaborado para o aeroporto e aprovado em 2008; bem como estudos preliminares de engenharia contratados pelo BNDES como etapa preliminar à elaboração dos EVTEA que subsidiaram a concessão do aeroporto. Não são apresentadas informações sobre as obras e investimentos realizados ou em andamento pela concessionária, e por consequência, também não apresenta as estimativas de custos, mas somente afirmativa de que “[D]e acordo com a visita realizada no Aeroporto Internacional de São Gonçalo do Amarante e com as “Respostas aos Questionamentos Enviados” (publicado no dataroom em 11/09/2020), não existem projetos e/ou obras em andamento passíveis de ter seu investimento quantificado neste item”, conforme seção 4.1.6 do relatório de engenharia.</t>
  </si>
  <si>
    <r>
      <t xml:space="preserve">O estudo apresenta seção dedicada às obras e investimentos realizados (1.4.3), na qual constam estimativas de custos gerais para as obras realizadas, tanto aquelas realizadas pelo 1º Batalhão de Engenharia de Construção, relacionadas à construção dos sistemas de pistas e pátios e parte do acesso viário para o aeroporto, bem como as demais, conduzidas pela atual concessionária, em especial, as edificações e intervenções no pavimento da PPD. </t>
    </r>
    <r>
      <rPr>
        <sz val="12"/>
        <rFont val="Times New Roman"/>
        <family val="1"/>
      </rPr>
      <t>A “tabela 1-117: Resumo de Investimentos Realizados para inauguração pela Inframérica” apresenta custos de projeto e de execução para cada serviço realizado pela concessionária e relaciona as obras ao cronograma físico financeiro. No entanto, a disposição dos serviços no cronograma não coincide com a da planilha, de modo que não foi possível identificar no cronograma, por exemplo, as obras de “Aviação Geral” (pátio de aeronaves + TAG), onde consta na tabela mencionada o valor de R$10,4milhões para o pátio e R$ 715mil para o TAG investido na rubrica, tampouco a destinação desses recursos, já que o aeroporto não possui TAG. Também foram relacionados levantamentos e investigações sobre geotecnia e to</t>
    </r>
    <r>
      <rPr>
        <sz val="12"/>
        <rFont val="Times New Roman"/>
        <family val="1"/>
        <charset val="1"/>
      </rPr>
      <t>pografia disponibilizados no data-room. Apresenta ainda, na Seção “2.1 Estudos e Projetos Existentes” as obras existentes (não concluídas) com sua localização e registro fotográfico, bem como o plano diretor vigente, com as respectivas intervenções previstas nas fases de desenvolvimento pensadas para o aeroporto. Lista, por sistema, todos os projetos e plantas disponibilizados pela concessionária constantes no data-room.</t>
    </r>
  </si>
  <si>
    <t xml:space="preserve">O cronograma está apresentado na planilha de Capex (SBSG – CAPEX), na ABA “Cronograma”, que faz referência aos dados de Capex constantes na aba “Analítico”, onde estão os fluxos financeiros na linha do tempo. Apresenta cronograma mensal e outro anual prevendo ações somente no TPS e para licenciamento ambiental descasadas com as etapas de projeto e de obras apresentadas na legenda (cores laranja e cinza) e previstas na aba “Analítico”. Apesar de afirmar que a vida útil dos principais equipamentos do aeroporto variam de 15 a 20 anos para pontes de embarque, e de 20 a 25 anos para elevadores e escadas rolantes, não há previsão no cronograma para substituição de nenhum deles. Em particular, para as pontes de embarque, de acordo com a planilha “Programa de áreas” anexa ao relatório, seria necessário o acréscimo de uma ponte de embarque no ano de 2042 e de outra em 2052, mas não foi localizada tal previsão nem no relatório nem no cronograma, tampouco a substituição das que operam hoje. </t>
  </si>
  <si>
    <t>_As projeções consideram de forma insuficiente a competição intermodal. Isso porque, as variáveis independentes utilizadas para as projeções (PIB, população e câmbio) não captam de forma adequada a competição intermodal.</t>
  </si>
  <si>
    <t>Consórcio PROFICENTER - VALLYA - PIQUET, MAGALDI E GUEDES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</si>
</sst>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_-* #,##0_-;\-* #,##0_-;_-* &quot;-&quot;??_-;_-@_-"/>
    <numFmt numFmtId="165" formatCode="_-* #,##0.000_-;\-* #,##0.000_-;_-* &quot;-&quot;??_-;_-@_-"/>
    <numFmt numFmtId="166" formatCode="_-* #,##0.000_-;\-* #,##0.000_-;_-* &quot;-&quot;???_-;_-@_-"/>
    <numFmt numFmtId="167" formatCode="_-* #,##0.0000_-;\-* #,##0.0000_-;_-* &quot;-&quot;??_-;_-@_-"/>
  </numFmts>
  <fonts count="22" x14ac:knownFonts="1">
    <font>
      <sz val="11"/>
      <color theme="1"/>
      <name val="Calibri"/>
      <family val="2"/>
      <scheme val="minor"/>
    </font>
    <font>
      <sz val="11"/>
      <color theme="1"/>
      <name val="Calibri"/>
      <family val="2"/>
      <scheme val="minor"/>
    </font>
    <font>
      <b/>
      <sz val="11"/>
      <color theme="1"/>
      <name val="Calibri"/>
      <family val="2"/>
      <scheme val="minor"/>
    </font>
    <font>
      <sz val="11"/>
      <color theme="1"/>
      <name val="Times New Roman"/>
      <family val="1"/>
    </font>
    <font>
      <b/>
      <sz val="11"/>
      <color theme="1"/>
      <name val="Times New Roman"/>
      <family val="1"/>
    </font>
    <font>
      <b/>
      <sz val="12"/>
      <color theme="1"/>
      <name val="Times New Roman"/>
      <family val="1"/>
    </font>
    <font>
      <b/>
      <sz val="11"/>
      <color rgb="FFFF0000"/>
      <name val="Times New Roman"/>
      <family val="1"/>
    </font>
    <font>
      <sz val="11"/>
      <name val="Times New Roman"/>
      <family val="1"/>
    </font>
    <font>
      <sz val="12"/>
      <name val="Times New Roman"/>
      <family val="1"/>
    </font>
    <font>
      <sz val="11"/>
      <color rgb="FFFF0000"/>
      <name val="Calibri"/>
      <family val="2"/>
      <scheme val="minor"/>
    </font>
    <font>
      <sz val="9"/>
      <color indexed="81"/>
      <name val="Tahoma"/>
      <family val="2"/>
    </font>
    <font>
      <b/>
      <sz val="9"/>
      <color indexed="81"/>
      <name val="Tahoma"/>
      <family val="2"/>
    </font>
    <font>
      <sz val="11"/>
      <name val="Calibri"/>
      <family val="2"/>
      <scheme val="minor"/>
    </font>
    <font>
      <b/>
      <sz val="11"/>
      <name val="Times New Roman"/>
      <family val="1"/>
    </font>
    <font>
      <sz val="12"/>
      <color theme="1"/>
      <name val="Times New Roman"/>
      <family val="1"/>
    </font>
    <font>
      <i/>
      <sz val="12"/>
      <color theme="1"/>
      <name val="Times New Roman"/>
      <family val="1"/>
    </font>
    <font>
      <vertAlign val="superscript"/>
      <sz val="12"/>
      <color theme="1"/>
      <name val="Times New Roman"/>
      <family val="1"/>
    </font>
    <font>
      <b/>
      <sz val="12"/>
      <name val="Times New Roman"/>
      <family val="1"/>
    </font>
    <font>
      <b/>
      <sz val="12"/>
      <color rgb="FFFF0000"/>
      <name val="Times New Roman"/>
      <family val="1"/>
    </font>
    <font>
      <sz val="12"/>
      <name val="Times New Roman"/>
      <family val="1"/>
      <charset val="1"/>
    </font>
    <font>
      <i/>
      <sz val="12"/>
      <name val="Times New Roman"/>
      <family val="1"/>
      <charset val="1"/>
    </font>
    <font>
      <b/>
      <sz val="11"/>
      <name val="Calibri"/>
      <family val="2"/>
      <scheme val="minor"/>
    </font>
  </fonts>
  <fills count="9">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darkGrid">
        <bgColor theme="0"/>
      </patternFill>
    </fill>
    <fill>
      <patternFill patternType="darkGrid">
        <bgColor theme="0" tint="-4.9989318521683403E-2"/>
      </patternFill>
    </fill>
    <fill>
      <patternFill patternType="solid">
        <fgColor rgb="FFFFFFFF"/>
        <bgColor indexed="64"/>
      </patternFill>
    </fill>
    <fill>
      <patternFill patternType="solid">
        <fgColor theme="8" tint="0.79998168889431442"/>
        <bgColor indexed="64"/>
      </patternFill>
    </fill>
    <fill>
      <patternFill patternType="darkGrid">
        <bgColor theme="8" tint="0.79998168889431442"/>
      </patternFill>
    </fill>
  </fills>
  <borders count="3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thin">
        <color auto="1"/>
      </left>
      <right style="medium">
        <color auto="1"/>
      </right>
      <top style="thin">
        <color auto="1"/>
      </top>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auto="1"/>
      </left>
      <right/>
      <top style="thin">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medium">
        <color auto="1"/>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auto="1"/>
      </left>
      <right style="thin">
        <color auto="1"/>
      </right>
      <top style="thin">
        <color auto="1"/>
      </top>
      <bottom/>
      <diagonal/>
    </border>
    <border>
      <left style="thin">
        <color auto="1"/>
      </left>
      <right/>
      <top style="thin">
        <color auto="1"/>
      </top>
      <bottom/>
      <diagonal/>
    </border>
    <border>
      <left/>
      <right style="medium">
        <color auto="1"/>
      </right>
      <top style="thin">
        <color auto="1"/>
      </top>
      <bottom style="thin">
        <color auto="1"/>
      </bottom>
      <diagonal/>
    </border>
    <border>
      <left style="medium">
        <color auto="1"/>
      </left>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s>
  <cellStyleXfs count="3">
    <xf numFmtId="0" fontId="0" fillId="0" borderId="0"/>
    <xf numFmtId="9" fontId="1" fillId="0" borderId="0" applyFont="0" applyFill="0" applyBorder="0" applyAlignment="0" applyProtection="0"/>
    <xf numFmtId="43" fontId="1" fillId="0" borderId="0" applyFont="0" applyFill="0" applyBorder="0" applyAlignment="0" applyProtection="0"/>
  </cellStyleXfs>
  <cellXfs count="186">
    <xf numFmtId="0" fontId="0" fillId="0" borderId="0" xfId="0"/>
    <xf numFmtId="0" fontId="0" fillId="3" borderId="0" xfId="0" applyFill="1"/>
    <xf numFmtId="0" fontId="0" fillId="3" borderId="2" xfId="0" applyFill="1" applyBorder="1"/>
    <xf numFmtId="0" fontId="0" fillId="3" borderId="6" xfId="0" applyFill="1" applyBorder="1"/>
    <xf numFmtId="0" fontId="0" fillId="3" borderId="9" xfId="0" applyFill="1" applyBorder="1"/>
    <xf numFmtId="43" fontId="0" fillId="3" borderId="10" xfId="2" applyFont="1" applyFill="1" applyBorder="1"/>
    <xf numFmtId="0" fontId="0" fillId="3" borderId="0" xfId="0" applyFill="1" applyBorder="1"/>
    <xf numFmtId="0" fontId="0" fillId="3" borderId="11" xfId="0" applyFill="1" applyBorder="1"/>
    <xf numFmtId="10" fontId="0" fillId="3" borderId="1" xfId="0" applyNumberFormat="1" applyFill="1" applyBorder="1"/>
    <xf numFmtId="0" fontId="2" fillId="2" borderId="8" xfId="0" applyFont="1" applyFill="1" applyBorder="1" applyAlignment="1">
      <alignment horizontal="center"/>
    </xf>
    <xf numFmtId="43" fontId="2" fillId="2" borderId="10" xfId="2" applyFont="1" applyFill="1" applyBorder="1" applyAlignment="1">
      <alignment horizontal="center"/>
    </xf>
    <xf numFmtId="43" fontId="2" fillId="2" borderId="13" xfId="2" applyFont="1" applyFill="1" applyBorder="1" applyAlignment="1">
      <alignment horizontal="center"/>
    </xf>
    <xf numFmtId="43" fontId="0" fillId="2" borderId="16" xfId="0" applyNumberFormat="1" applyFill="1" applyBorder="1"/>
    <xf numFmtId="43" fontId="0" fillId="2" borderId="17" xfId="0" applyNumberFormat="1" applyFill="1" applyBorder="1"/>
    <xf numFmtId="0" fontId="2" fillId="2" borderId="1" xfId="0" applyFont="1" applyFill="1" applyBorder="1" applyAlignment="1">
      <alignment horizontal="center" wrapText="1"/>
    </xf>
    <xf numFmtId="0" fontId="0" fillId="3" borderId="10" xfId="0" applyFill="1" applyBorder="1" applyAlignment="1">
      <alignment horizontal="center"/>
    </xf>
    <xf numFmtId="10" fontId="0" fillId="3" borderId="12" xfId="0" applyNumberFormat="1" applyFill="1" applyBorder="1"/>
    <xf numFmtId="165" fontId="2" fillId="2" borderId="10" xfId="2" applyNumberFormat="1" applyFont="1" applyFill="1" applyBorder="1" applyAlignment="1">
      <alignment horizontal="center"/>
    </xf>
    <xf numFmtId="166" fontId="0" fillId="3" borderId="0" xfId="0" applyNumberFormat="1" applyFill="1"/>
    <xf numFmtId="164" fontId="0" fillId="3" borderId="0" xfId="2" applyNumberFormat="1" applyFont="1" applyFill="1"/>
    <xf numFmtId="43" fontId="0" fillId="3" borderId="0" xfId="0" applyNumberFormat="1" applyFill="1"/>
    <xf numFmtId="0" fontId="0" fillId="4" borderId="9" xfId="0" applyFill="1" applyBorder="1"/>
    <xf numFmtId="10" fontId="0" fillId="4" borderId="1" xfId="0" applyNumberFormat="1" applyFill="1" applyBorder="1"/>
    <xf numFmtId="165" fontId="2" fillId="5" borderId="10" xfId="2" applyNumberFormat="1" applyFont="1" applyFill="1" applyBorder="1" applyAlignment="1">
      <alignment horizontal="center"/>
    </xf>
    <xf numFmtId="0" fontId="0" fillId="6" borderId="0" xfId="0" applyFill="1" applyBorder="1"/>
    <xf numFmtId="10" fontId="0" fillId="6" borderId="0" xfId="0" applyNumberFormat="1" applyFill="1" applyBorder="1"/>
    <xf numFmtId="43" fontId="2" fillId="6" borderId="0" xfId="2" applyFont="1" applyFill="1" applyBorder="1" applyAlignment="1">
      <alignment horizontal="center"/>
    </xf>
    <xf numFmtId="10" fontId="9" fillId="6" borderId="0" xfId="0" applyNumberFormat="1" applyFont="1" applyFill="1" applyBorder="1"/>
    <xf numFmtId="43" fontId="0" fillId="6" borderId="0" xfId="0" applyNumberFormat="1" applyFill="1" applyBorder="1"/>
    <xf numFmtId="164" fontId="0" fillId="3" borderId="0" xfId="2" applyNumberFormat="1" applyFont="1" applyFill="1" applyBorder="1"/>
    <xf numFmtId="43" fontId="0" fillId="3" borderId="13" xfId="2" applyFont="1" applyFill="1" applyBorder="1"/>
    <xf numFmtId="9" fontId="0" fillId="3" borderId="9" xfId="1" applyFont="1" applyFill="1" applyBorder="1"/>
    <xf numFmtId="10" fontId="12" fillId="3" borderId="1" xfId="0" applyNumberFormat="1" applyFont="1" applyFill="1" applyBorder="1"/>
    <xf numFmtId="10" fontId="0" fillId="3" borderId="9" xfId="1" applyNumberFormat="1" applyFont="1" applyFill="1" applyBorder="1"/>
    <xf numFmtId="10" fontId="0" fillId="3" borderId="1" xfId="1" applyNumberFormat="1" applyFont="1" applyFill="1" applyBorder="1"/>
    <xf numFmtId="0" fontId="0" fillId="3" borderId="24" xfId="0" applyFill="1" applyBorder="1"/>
    <xf numFmtId="10" fontId="0" fillId="3" borderId="2" xfId="0" applyNumberFormat="1" applyFill="1" applyBorder="1"/>
    <xf numFmtId="165" fontId="2" fillId="2" borderId="8" xfId="2" applyNumberFormat="1" applyFont="1" applyFill="1" applyBorder="1" applyAlignment="1">
      <alignment horizontal="center"/>
    </xf>
    <xf numFmtId="43" fontId="0" fillId="2" borderId="25" xfId="0" applyNumberFormat="1" applyFill="1" applyBorder="1"/>
    <xf numFmtId="43" fontId="0" fillId="3" borderId="8" xfId="2" applyFont="1" applyFill="1" applyBorder="1"/>
    <xf numFmtId="10" fontId="0" fillId="3" borderId="24" xfId="1" applyNumberFormat="1" applyFont="1" applyFill="1" applyBorder="1"/>
    <xf numFmtId="10" fontId="0" fillId="3" borderId="2" xfId="1" applyNumberFormat="1" applyFont="1" applyFill="1" applyBorder="1"/>
    <xf numFmtId="43" fontId="0" fillId="3" borderId="0" xfId="2" applyFont="1" applyFill="1"/>
    <xf numFmtId="10" fontId="0" fillId="3" borderId="0" xfId="1" applyNumberFormat="1" applyFont="1" applyFill="1"/>
    <xf numFmtId="0" fontId="2" fillId="7" borderId="9" xfId="0" applyFont="1" applyFill="1" applyBorder="1" applyAlignment="1">
      <alignment horizontal="right"/>
    </xf>
    <xf numFmtId="0" fontId="7" fillId="0" borderId="0" xfId="0" applyFont="1" applyFill="1"/>
    <xf numFmtId="0" fontId="3" fillId="0" borderId="0" xfId="0" applyFont="1" applyFill="1"/>
    <xf numFmtId="0" fontId="5" fillId="0" borderId="1" xfId="0" applyFont="1" applyFill="1" applyBorder="1" applyAlignment="1">
      <alignment horizontal="center"/>
    </xf>
    <xf numFmtId="0" fontId="8" fillId="0" borderId="0" xfId="0" applyFont="1" applyFill="1" applyAlignment="1">
      <alignment horizontal="center" vertical="center"/>
    </xf>
    <xf numFmtId="0" fontId="8" fillId="0" borderId="1"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8" fillId="0" borderId="1" xfId="0" applyFont="1" applyFill="1" applyBorder="1" applyAlignment="1">
      <alignment horizontal="center" vertical="center"/>
    </xf>
    <xf numFmtId="9" fontId="8" fillId="0" borderId="1" xfId="1" applyNumberFormat="1" applyFont="1" applyFill="1" applyBorder="1" applyAlignment="1">
      <alignment horizontal="center" vertical="center"/>
    </xf>
    <xf numFmtId="9" fontId="8" fillId="0" borderId="1" xfId="1" applyFont="1" applyFill="1" applyBorder="1" applyAlignment="1" applyProtection="1">
      <alignment horizontal="center" vertical="center"/>
    </xf>
    <xf numFmtId="0" fontId="8" fillId="0" borderId="2" xfId="0" applyFont="1" applyFill="1" applyBorder="1" applyAlignment="1">
      <alignment horizontal="center" vertical="center" wrapText="1"/>
    </xf>
    <xf numFmtId="0" fontId="8" fillId="0" borderId="2" xfId="0" applyFont="1" applyFill="1" applyBorder="1" applyAlignment="1">
      <alignment horizontal="left" vertical="center" wrapText="1"/>
    </xf>
    <xf numFmtId="0" fontId="8" fillId="0" borderId="0" xfId="0" applyFont="1" applyFill="1" applyAlignment="1">
      <alignment horizontal="center" vertical="center" wrapText="1"/>
    </xf>
    <xf numFmtId="0" fontId="3" fillId="0" borderId="0" xfId="0" applyFont="1" applyFill="1" applyAlignment="1">
      <alignment wrapText="1"/>
    </xf>
    <xf numFmtId="0" fontId="13" fillId="0" borderId="0" xfId="0" applyFont="1" applyFill="1"/>
    <xf numFmtId="0" fontId="4" fillId="0" borderId="0" xfId="0" applyFont="1" applyFill="1"/>
    <xf numFmtId="0" fontId="4" fillId="0" borderId="1" xfId="0" applyFont="1" applyFill="1" applyBorder="1" applyAlignment="1">
      <alignment horizontal="center" wrapText="1"/>
    </xf>
    <xf numFmtId="0" fontId="0" fillId="7" borderId="9" xfId="0" applyFill="1" applyBorder="1"/>
    <xf numFmtId="0" fontId="0" fillId="7" borderId="1" xfId="0" applyFill="1" applyBorder="1"/>
    <xf numFmtId="0" fontId="2" fillId="7" borderId="1" xfId="0" applyFont="1" applyFill="1" applyBorder="1" applyAlignment="1">
      <alignment horizontal="center" wrapText="1"/>
    </xf>
    <xf numFmtId="0" fontId="0" fillId="7" borderId="10" xfId="0" applyFill="1" applyBorder="1" applyAlignment="1">
      <alignment horizontal="center"/>
    </xf>
    <xf numFmtId="10" fontId="12" fillId="7" borderId="9" xfId="0" applyNumberFormat="1" applyFont="1" applyFill="1" applyBorder="1"/>
    <xf numFmtId="10" fontId="12" fillId="7" borderId="1" xfId="0" applyNumberFormat="1" applyFont="1" applyFill="1" applyBorder="1"/>
    <xf numFmtId="43" fontId="0" fillId="7" borderId="16" xfId="0" applyNumberFormat="1" applyFill="1" applyBorder="1"/>
    <xf numFmtId="43" fontId="0" fillId="7" borderId="10" xfId="2" applyFont="1" applyFill="1" applyBorder="1"/>
    <xf numFmtId="0" fontId="0" fillId="8" borderId="9" xfId="0" applyFill="1" applyBorder="1"/>
    <xf numFmtId="10" fontId="0" fillId="8" borderId="1" xfId="0" applyNumberFormat="1" applyFill="1" applyBorder="1"/>
    <xf numFmtId="165" fontId="2" fillId="8" borderId="10" xfId="2" applyNumberFormat="1" applyFont="1" applyFill="1" applyBorder="1" applyAlignment="1">
      <alignment horizontal="center"/>
    </xf>
    <xf numFmtId="10" fontId="9" fillId="7" borderId="0" xfId="0" applyNumberFormat="1" applyFont="1" applyFill="1" applyBorder="1"/>
    <xf numFmtId="43" fontId="0" fillId="7" borderId="0" xfId="0" applyNumberFormat="1" applyFill="1" applyBorder="1"/>
    <xf numFmtId="43" fontId="0" fillId="7" borderId="0" xfId="2" applyFont="1" applyFill="1" applyBorder="1"/>
    <xf numFmtId="0" fontId="0" fillId="7" borderId="15" xfId="0" applyFill="1" applyBorder="1"/>
    <xf numFmtId="0" fontId="2" fillId="7" borderId="16" xfId="0" applyFont="1" applyFill="1" applyBorder="1" applyAlignment="1">
      <alignment horizontal="center" wrapText="1"/>
    </xf>
    <xf numFmtId="0" fontId="0" fillId="7" borderId="0" xfId="0" applyFill="1"/>
    <xf numFmtId="0" fontId="0" fillId="7" borderId="14" xfId="0" applyFill="1" applyBorder="1"/>
    <xf numFmtId="10" fontId="9" fillId="7" borderId="9" xfId="0" applyNumberFormat="1" applyFont="1" applyFill="1" applyBorder="1"/>
    <xf numFmtId="10" fontId="9" fillId="7" borderId="1" xfId="0" applyNumberFormat="1" applyFont="1" applyFill="1" applyBorder="1"/>
    <xf numFmtId="10" fontId="12" fillId="7" borderId="24" xfId="0" applyNumberFormat="1" applyFont="1" applyFill="1" applyBorder="1"/>
    <xf numFmtId="10" fontId="12" fillId="7" borderId="2" xfId="0" applyNumberFormat="1" applyFont="1" applyFill="1" applyBorder="1"/>
    <xf numFmtId="43" fontId="0" fillId="7" borderId="25" xfId="0" applyNumberFormat="1" applyFill="1" applyBorder="1"/>
    <xf numFmtId="43" fontId="0" fillId="7" borderId="8" xfId="2" applyFont="1" applyFill="1" applyBorder="1"/>
    <xf numFmtId="10" fontId="9" fillId="7" borderId="11" xfId="0" applyNumberFormat="1" applyFont="1" applyFill="1" applyBorder="1"/>
    <xf numFmtId="10" fontId="9" fillId="7" borderId="12" xfId="0" applyNumberFormat="1" applyFont="1" applyFill="1" applyBorder="1"/>
    <xf numFmtId="43" fontId="0" fillId="7" borderId="17" xfId="0" applyNumberFormat="1" applyFill="1" applyBorder="1"/>
    <xf numFmtId="43" fontId="0" fillId="7" borderId="13" xfId="2" applyFont="1" applyFill="1" applyBorder="1"/>
    <xf numFmtId="0" fontId="14" fillId="0" borderId="1" xfId="0" applyFont="1" applyFill="1" applyBorder="1" applyAlignment="1">
      <alignment horizontal="left" vertical="top" wrapText="1"/>
    </xf>
    <xf numFmtId="0" fontId="14" fillId="0" borderId="1" xfId="0" applyFont="1" applyFill="1" applyBorder="1" applyAlignment="1">
      <alignment horizontal="left" vertical="center" wrapText="1"/>
    </xf>
    <xf numFmtId="0" fontId="14" fillId="3" borderId="1" xfId="0" applyFont="1" applyFill="1" applyBorder="1" applyAlignment="1">
      <alignment horizontal="left" vertical="center" wrapText="1"/>
    </xf>
    <xf numFmtId="0" fontId="14" fillId="0" borderId="1" xfId="0" applyFont="1" applyBorder="1" applyAlignment="1">
      <alignment vertical="center" wrapText="1"/>
    </xf>
    <xf numFmtId="0" fontId="14" fillId="0" borderId="1" xfId="0" applyFont="1" applyBorder="1" applyAlignment="1">
      <alignment horizontal="left" vertical="center" wrapText="1"/>
    </xf>
    <xf numFmtId="0" fontId="14" fillId="3" borderId="1" xfId="0" applyFont="1" applyFill="1" applyBorder="1" applyAlignment="1">
      <alignment horizontal="left" vertical="top" wrapText="1"/>
    </xf>
    <xf numFmtId="0" fontId="14" fillId="3" borderId="1" xfId="0" applyFont="1" applyFill="1" applyBorder="1" applyAlignment="1">
      <alignment vertical="center" wrapText="1"/>
    </xf>
    <xf numFmtId="10" fontId="8" fillId="0" borderId="1" xfId="0" applyNumberFormat="1" applyFont="1" applyFill="1" applyBorder="1" applyAlignment="1">
      <alignment horizontal="center" vertical="center"/>
    </xf>
    <xf numFmtId="10" fontId="8" fillId="3" borderId="1" xfId="0" applyNumberFormat="1" applyFont="1" applyFill="1" applyBorder="1" applyAlignment="1">
      <alignment horizontal="center" vertical="center"/>
    </xf>
    <xf numFmtId="9" fontId="8" fillId="3" borderId="1" xfId="1" applyFont="1" applyFill="1" applyBorder="1" applyAlignment="1" applyProtection="1">
      <alignment horizontal="center" vertical="center"/>
    </xf>
    <xf numFmtId="0" fontId="8" fillId="3" borderId="1" xfId="0" applyFont="1" applyFill="1" applyBorder="1" applyAlignment="1">
      <alignment horizontal="left" vertical="center" wrapText="1"/>
    </xf>
    <xf numFmtId="9" fontId="8" fillId="0" borderId="1" xfId="1" applyFont="1" applyFill="1" applyBorder="1" applyAlignment="1">
      <alignment horizontal="center" vertical="center"/>
    </xf>
    <xf numFmtId="0" fontId="8" fillId="0" borderId="1" xfId="0" applyFont="1" applyBorder="1" applyAlignment="1">
      <alignment horizontal="left" vertical="center" wrapText="1"/>
    </xf>
    <xf numFmtId="0" fontId="5" fillId="0" borderId="1" xfId="0" applyFont="1" applyBorder="1" applyAlignment="1">
      <alignment horizontal="left" vertical="center" wrapText="1"/>
    </xf>
    <xf numFmtId="0" fontId="17" fillId="0" borderId="1" xfId="0" applyFont="1" applyBorder="1" applyAlignment="1">
      <alignment horizontal="left" vertical="center" wrapText="1"/>
    </xf>
    <xf numFmtId="0" fontId="19" fillId="0" borderId="1" xfId="0" applyFont="1" applyBorder="1" applyAlignment="1">
      <alignment horizontal="left" vertical="center" wrapText="1"/>
    </xf>
    <xf numFmtId="0" fontId="8" fillId="0" borderId="0" xfId="0" applyFont="1" applyAlignment="1">
      <alignment horizontal="left" vertical="center" wrapText="1"/>
    </xf>
    <xf numFmtId="9" fontId="19" fillId="0" borderId="1" xfId="0" applyNumberFormat="1" applyFont="1" applyBorder="1" applyAlignment="1">
      <alignment horizontal="center" vertical="center"/>
    </xf>
    <xf numFmtId="9" fontId="19" fillId="0" borderId="1" xfId="1" applyFont="1" applyBorder="1" applyAlignment="1" applyProtection="1">
      <alignment horizontal="center" vertical="center"/>
    </xf>
    <xf numFmtId="9" fontId="8" fillId="0" borderId="1" xfId="0" applyNumberFormat="1" applyFont="1" applyBorder="1" applyAlignment="1">
      <alignment horizontal="center" vertical="center"/>
    </xf>
    <xf numFmtId="0" fontId="8" fillId="0" borderId="1" xfId="0" applyFont="1" applyBorder="1" applyAlignment="1">
      <alignment horizontal="left" vertical="top" wrapText="1"/>
    </xf>
    <xf numFmtId="0" fontId="8" fillId="0" borderId="1" xfId="0" applyNumberFormat="1" applyFont="1" applyFill="1" applyBorder="1" applyAlignment="1">
      <alignment horizontal="left" vertical="center" wrapText="1"/>
    </xf>
    <xf numFmtId="0" fontId="19" fillId="3" borderId="1" xfId="0" applyFont="1" applyFill="1" applyBorder="1" applyAlignment="1">
      <alignment horizontal="left" vertical="center" wrapText="1"/>
    </xf>
    <xf numFmtId="0" fontId="0" fillId="3" borderId="3" xfId="0" applyFill="1" applyBorder="1" applyAlignment="1">
      <alignment horizontal="center"/>
    </xf>
    <xf numFmtId="0" fontId="0" fillId="3" borderId="4" xfId="0" applyFill="1" applyBorder="1" applyAlignment="1">
      <alignment horizontal="center"/>
    </xf>
    <xf numFmtId="0" fontId="0" fillId="3" borderId="5" xfId="0" applyFill="1" applyBorder="1" applyAlignment="1">
      <alignment horizontal="center"/>
    </xf>
    <xf numFmtId="0" fontId="0" fillId="7" borderId="28" xfId="0" applyFill="1" applyBorder="1" applyAlignment="1">
      <alignment horizontal="center"/>
    </xf>
    <xf numFmtId="0" fontId="0" fillId="7" borderId="29" xfId="0" applyFont="1" applyFill="1" applyBorder="1" applyAlignment="1">
      <alignment horizontal="center"/>
    </xf>
    <xf numFmtId="0" fontId="0" fillId="7" borderId="30" xfId="0" applyFont="1" applyFill="1" applyBorder="1" applyAlignment="1">
      <alignment horizontal="center"/>
    </xf>
    <xf numFmtId="10" fontId="2" fillId="7" borderId="16" xfId="0" applyNumberFormat="1" applyFont="1" applyFill="1" applyBorder="1" applyAlignment="1">
      <alignment horizontal="right"/>
    </xf>
    <xf numFmtId="10" fontId="2" fillId="7" borderId="22" xfId="0" applyNumberFormat="1" applyFont="1" applyFill="1" applyBorder="1" applyAlignment="1">
      <alignment horizontal="right"/>
    </xf>
    <xf numFmtId="10" fontId="2" fillId="7" borderId="26" xfId="0" applyNumberFormat="1" applyFont="1" applyFill="1" applyBorder="1" applyAlignment="1">
      <alignment horizontal="right"/>
    </xf>
    <xf numFmtId="10" fontId="9" fillId="7" borderId="27" xfId="0" applyNumberFormat="1" applyFont="1" applyFill="1" applyBorder="1" applyAlignment="1">
      <alignment horizontal="center"/>
    </xf>
    <xf numFmtId="10" fontId="9" fillId="7" borderId="22" xfId="0" applyNumberFormat="1" applyFont="1" applyFill="1" applyBorder="1" applyAlignment="1">
      <alignment horizontal="center"/>
    </xf>
    <xf numFmtId="10" fontId="9" fillId="7" borderId="26" xfId="0" applyNumberFormat="1" applyFont="1" applyFill="1" applyBorder="1" applyAlignment="1">
      <alignment horizontal="center"/>
    </xf>
    <xf numFmtId="0" fontId="2" fillId="3" borderId="18" xfId="0" applyFont="1" applyFill="1" applyBorder="1" applyAlignment="1">
      <alignment horizontal="center"/>
    </xf>
    <xf numFmtId="0" fontId="2" fillId="3" borderId="19" xfId="0" applyFont="1" applyFill="1" applyBorder="1" applyAlignment="1">
      <alignment horizontal="center"/>
    </xf>
    <xf numFmtId="0" fontId="2" fillId="3" borderId="20" xfId="0" applyFont="1" applyFill="1" applyBorder="1" applyAlignment="1">
      <alignment horizontal="center"/>
    </xf>
    <xf numFmtId="0" fontId="2" fillId="7" borderId="18" xfId="0" applyFont="1" applyFill="1" applyBorder="1" applyAlignment="1">
      <alignment horizontal="center"/>
    </xf>
    <xf numFmtId="0" fontId="2" fillId="7" borderId="19" xfId="0" applyFont="1" applyFill="1" applyBorder="1" applyAlignment="1">
      <alignment horizontal="center"/>
    </xf>
    <xf numFmtId="0" fontId="2" fillId="7" borderId="20" xfId="0" applyFont="1" applyFill="1" applyBorder="1" applyAlignment="1">
      <alignment horizontal="center"/>
    </xf>
    <xf numFmtId="0" fontId="0" fillId="3" borderId="6" xfId="0" applyFill="1" applyBorder="1" applyAlignment="1">
      <alignment horizontal="center"/>
    </xf>
    <xf numFmtId="0" fontId="0" fillId="3" borderId="0" xfId="0" applyFill="1" applyBorder="1" applyAlignment="1">
      <alignment horizontal="center"/>
    </xf>
    <xf numFmtId="0" fontId="0" fillId="3" borderId="7" xfId="0" applyFill="1" applyBorder="1" applyAlignment="1">
      <alignment horizontal="center"/>
    </xf>
    <xf numFmtId="0" fontId="0" fillId="7" borderId="3" xfId="0" applyFill="1" applyBorder="1" applyAlignment="1">
      <alignment horizontal="center"/>
    </xf>
    <xf numFmtId="0" fontId="0" fillId="7" borderId="4" xfId="0" applyFill="1" applyBorder="1" applyAlignment="1">
      <alignment horizontal="center"/>
    </xf>
    <xf numFmtId="0" fontId="0" fillId="7" borderId="5" xfId="0" applyFill="1" applyBorder="1" applyAlignment="1">
      <alignment horizontal="center"/>
    </xf>
    <xf numFmtId="0" fontId="0" fillId="7" borderId="14" xfId="0" applyFill="1" applyBorder="1" applyAlignment="1">
      <alignment horizontal="center"/>
    </xf>
    <xf numFmtId="0" fontId="0" fillId="7" borderId="15" xfId="0" applyFont="1" applyFill="1" applyBorder="1" applyAlignment="1">
      <alignment horizontal="center"/>
    </xf>
    <xf numFmtId="0" fontId="0" fillId="7" borderId="21" xfId="0" applyFont="1" applyFill="1" applyBorder="1" applyAlignment="1">
      <alignment horizontal="center"/>
    </xf>
    <xf numFmtId="10" fontId="12" fillId="7" borderId="27" xfId="0" applyNumberFormat="1" applyFont="1" applyFill="1" applyBorder="1" applyAlignment="1">
      <alignment horizontal="center"/>
    </xf>
    <xf numFmtId="10" fontId="12" fillId="7" borderId="22" xfId="0" applyNumberFormat="1" applyFont="1" applyFill="1" applyBorder="1" applyAlignment="1">
      <alignment horizontal="center"/>
    </xf>
    <xf numFmtId="10" fontId="12" fillId="7" borderId="26" xfId="0" applyNumberFormat="1" applyFont="1" applyFill="1" applyBorder="1" applyAlignment="1">
      <alignment horizontal="center"/>
    </xf>
    <xf numFmtId="0" fontId="4" fillId="0" borderId="1" xfId="0" applyFont="1" applyFill="1" applyBorder="1" applyAlignment="1">
      <alignment horizontal="center"/>
    </xf>
    <xf numFmtId="0" fontId="13" fillId="0" borderId="1" xfId="0" applyFont="1" applyFill="1" applyBorder="1" applyAlignment="1">
      <alignment horizontal="center" vertical="center"/>
    </xf>
    <xf numFmtId="0" fontId="4" fillId="0" borderId="16" xfId="0" applyFont="1" applyFill="1" applyBorder="1" applyAlignment="1">
      <alignment horizontal="center" vertical="center" wrapText="1"/>
    </xf>
    <xf numFmtId="0" fontId="4" fillId="0" borderId="22" xfId="0" applyFont="1" applyFill="1" applyBorder="1" applyAlignment="1">
      <alignment horizontal="center" vertical="center" wrapText="1"/>
    </xf>
    <xf numFmtId="0" fontId="4" fillId="0" borderId="23" xfId="0" applyFont="1" applyFill="1" applyBorder="1" applyAlignment="1">
      <alignment horizontal="center" vertical="center" wrapText="1"/>
    </xf>
    <xf numFmtId="0" fontId="4" fillId="0" borderId="1" xfId="0" applyFont="1" applyFill="1" applyBorder="1" applyAlignment="1">
      <alignment horizontal="center" vertical="center"/>
    </xf>
    <xf numFmtId="0" fontId="12" fillId="3" borderId="3" xfId="0" applyFont="1" applyFill="1" applyBorder="1"/>
    <xf numFmtId="0" fontId="12" fillId="3" borderId="28" xfId="0" applyFont="1" applyFill="1" applyBorder="1"/>
    <xf numFmtId="0" fontId="12" fillId="3" borderId="31" xfId="0" applyFont="1" applyFill="1" applyBorder="1"/>
    <xf numFmtId="0" fontId="21" fillId="3" borderId="32" xfId="0" applyFont="1" applyFill="1" applyBorder="1" applyAlignment="1">
      <alignment horizontal="center"/>
    </xf>
    <xf numFmtId="0" fontId="12" fillId="3" borderId="9" xfId="0" applyFont="1" applyFill="1" applyBorder="1"/>
    <xf numFmtId="165" fontId="21" fillId="3" borderId="10" xfId="2" applyNumberFormat="1" applyFont="1" applyFill="1" applyBorder="1" applyAlignment="1">
      <alignment horizontal="center"/>
    </xf>
    <xf numFmtId="0" fontId="21" fillId="3" borderId="27" xfId="0" applyFont="1" applyFill="1" applyBorder="1" applyAlignment="1">
      <alignment horizontal="center"/>
    </xf>
    <xf numFmtId="0" fontId="21" fillId="3" borderId="22" xfId="0" applyFont="1" applyFill="1" applyBorder="1" applyAlignment="1">
      <alignment horizontal="center"/>
    </xf>
    <xf numFmtId="0" fontId="21" fillId="3" borderId="26" xfId="0" applyFont="1" applyFill="1" applyBorder="1" applyAlignment="1">
      <alignment horizontal="center"/>
    </xf>
    <xf numFmtId="0" fontId="21" fillId="7" borderId="9" xfId="0" applyFont="1" applyFill="1" applyBorder="1" applyAlignment="1">
      <alignment horizontal="right"/>
    </xf>
    <xf numFmtId="10" fontId="21" fillId="7" borderId="16" xfId="0" applyNumberFormat="1" applyFont="1" applyFill="1" applyBorder="1" applyAlignment="1">
      <alignment horizontal="right"/>
    </xf>
    <xf numFmtId="10" fontId="21" fillId="7" borderId="22" xfId="0" applyNumberFormat="1" applyFont="1" applyFill="1" applyBorder="1" applyAlignment="1">
      <alignment horizontal="right"/>
    </xf>
    <xf numFmtId="10" fontId="21" fillId="7" borderId="26" xfId="0" applyNumberFormat="1" applyFont="1" applyFill="1" applyBorder="1" applyAlignment="1">
      <alignment horizontal="right"/>
    </xf>
    <xf numFmtId="0" fontId="12" fillId="4" borderId="9" xfId="0" applyFont="1" applyFill="1" applyBorder="1"/>
    <xf numFmtId="10" fontId="12" fillId="4" borderId="1" xfId="0" applyNumberFormat="1" applyFont="1" applyFill="1" applyBorder="1"/>
    <xf numFmtId="165" fontId="21" fillId="5" borderId="10" xfId="2" applyNumberFormat="1" applyFont="1" applyFill="1" applyBorder="1" applyAlignment="1">
      <alignment horizontal="center"/>
    </xf>
    <xf numFmtId="0" fontId="12" fillId="3" borderId="0" xfId="0" applyFont="1" applyFill="1" applyBorder="1"/>
    <xf numFmtId="10" fontId="12" fillId="3" borderId="0" xfId="0" applyNumberFormat="1" applyFont="1" applyFill="1" applyBorder="1"/>
    <xf numFmtId="167" fontId="21" fillId="3" borderId="0" xfId="2" applyNumberFormat="1" applyFont="1" applyFill="1" applyBorder="1" applyAlignment="1">
      <alignment horizontal="center"/>
    </xf>
    <xf numFmtId="0" fontId="21" fillId="3" borderId="18" xfId="0" applyFont="1" applyFill="1" applyBorder="1" applyAlignment="1">
      <alignment horizontal="center"/>
    </xf>
    <xf numFmtId="0" fontId="21" fillId="3" borderId="19" xfId="0" applyFont="1" applyFill="1" applyBorder="1" applyAlignment="1">
      <alignment horizontal="center"/>
    </xf>
    <xf numFmtId="0" fontId="21" fillId="3" borderId="20" xfId="0" applyFont="1" applyFill="1" applyBorder="1" applyAlignment="1">
      <alignment horizontal="center"/>
    </xf>
    <xf numFmtId="0" fontId="12" fillId="3" borderId="3" xfId="0" applyFont="1" applyFill="1" applyBorder="1" applyAlignment="1">
      <alignment horizontal="center"/>
    </xf>
    <xf numFmtId="0" fontId="12" fillId="3" borderId="4" xfId="0" applyFont="1" applyFill="1" applyBorder="1" applyAlignment="1">
      <alignment horizontal="center"/>
    </xf>
    <xf numFmtId="0" fontId="12" fillId="3" borderId="5" xfId="0" applyFont="1" applyFill="1" applyBorder="1" applyAlignment="1">
      <alignment horizontal="center"/>
    </xf>
    <xf numFmtId="0" fontId="12" fillId="3" borderId="6" xfId="0" applyFont="1" applyFill="1" applyBorder="1"/>
    <xf numFmtId="0" fontId="12" fillId="3" borderId="2" xfId="0" applyFont="1" applyFill="1" applyBorder="1"/>
    <xf numFmtId="0" fontId="21" fillId="2" borderId="8" xfId="0" applyFont="1" applyFill="1" applyBorder="1" applyAlignment="1">
      <alignment horizontal="center"/>
    </xf>
    <xf numFmtId="0" fontId="12" fillId="3" borderId="0" xfId="0" applyFont="1" applyFill="1"/>
    <xf numFmtId="165" fontId="21" fillId="2" borderId="10" xfId="2" applyNumberFormat="1" applyFont="1" applyFill="1" applyBorder="1" applyAlignment="1">
      <alignment horizontal="center"/>
    </xf>
    <xf numFmtId="43" fontId="21" fillId="2" borderId="10" xfId="2" applyFont="1" applyFill="1" applyBorder="1" applyAlignment="1">
      <alignment horizontal="center"/>
    </xf>
    <xf numFmtId="10" fontId="12" fillId="3" borderId="2" xfId="0" applyNumberFormat="1" applyFont="1" applyFill="1" applyBorder="1"/>
    <xf numFmtId="165" fontId="21" fillId="2" borderId="8" xfId="2" applyNumberFormat="1" applyFont="1" applyFill="1" applyBorder="1" applyAlignment="1">
      <alignment horizontal="center"/>
    </xf>
    <xf numFmtId="0" fontId="12" fillId="3" borderId="24" xfId="0" applyFont="1" applyFill="1" applyBorder="1"/>
    <xf numFmtId="0" fontId="12" fillId="3" borderId="11" xfId="0" applyFont="1" applyFill="1" applyBorder="1"/>
    <xf numFmtId="10" fontId="12" fillId="3" borderId="12" xfId="0" applyNumberFormat="1" applyFont="1" applyFill="1" applyBorder="1"/>
    <xf numFmtId="43" fontId="21" fillId="2" borderId="13" xfId="2" applyFont="1" applyFill="1" applyBorder="1" applyAlignment="1">
      <alignment horizontal="center"/>
    </xf>
    <xf numFmtId="43" fontId="2" fillId="7" borderId="16" xfId="0" applyNumberFormat="1" applyFont="1" applyFill="1" applyBorder="1"/>
  </cellXfs>
  <cellStyles count="3">
    <cellStyle name="Normal" xfId="0" builtinId="0"/>
    <cellStyle name="Porcentagem" xfId="1" builtinId="5"/>
    <cellStyle name="Vírgula" xfId="2" builtinId="3"/>
  </cellStyles>
  <dxfs count="0"/>
  <tableStyles count="0" defaultTableStyle="TableStyleMedium2"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Escritório">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S146"/>
  <sheetViews>
    <sheetView tabSelected="1" zoomScaleNormal="68" zoomScalePageLayoutView="68" workbookViewId="0">
      <selection activeCell="M36" sqref="M36"/>
    </sheetView>
  </sheetViews>
  <sheetFormatPr defaultColWidth="9.140625" defaultRowHeight="15" x14ac:dyDescent="0.25"/>
  <cols>
    <col min="1" max="1" width="2.28515625" style="1" customWidth="1"/>
    <col min="2" max="2" width="30.42578125" style="1" bestFit="1" customWidth="1"/>
    <col min="3" max="3" width="10.140625" style="1" bestFit="1" customWidth="1"/>
    <col min="4" max="4" width="10.85546875" style="1" bestFit="1" customWidth="1"/>
    <col min="5" max="5" width="10.28515625" style="1" bestFit="1" customWidth="1"/>
    <col min="6" max="6" width="10.28515625" style="1" customWidth="1"/>
    <col min="7" max="7" width="15.140625" style="1" customWidth="1"/>
    <col min="8" max="8" width="1.85546875" style="1" customWidth="1"/>
    <col min="9" max="12" width="13" style="1" customWidth="1"/>
    <col min="13" max="13" width="21.85546875" style="1" bestFit="1" customWidth="1"/>
    <col min="14" max="14" width="18.28515625" style="1" customWidth="1"/>
    <col min="15" max="15" width="15.28515625" style="1" bestFit="1" customWidth="1"/>
    <col min="16" max="16" width="11.5703125" style="1" bestFit="1" customWidth="1"/>
    <col min="17" max="17" width="13.28515625" style="1" customWidth="1"/>
    <col min="18" max="18" width="11.7109375" style="1" customWidth="1"/>
    <col min="19" max="19" width="12.42578125" style="1" customWidth="1"/>
    <col min="20" max="20" width="10.28515625" style="1" customWidth="1"/>
    <col min="21" max="16384" width="9.140625" style="1"/>
  </cols>
  <sheetData>
    <row r="1" spans="2:15" ht="11.25" customHeight="1" thickBot="1" x14ac:dyDescent="0.3"/>
    <row r="2" spans="2:15" ht="15.75" hidden="1" thickBot="1" x14ac:dyDescent="0.3">
      <c r="B2" s="124" t="s">
        <v>16</v>
      </c>
      <c r="C2" s="125"/>
      <c r="D2" s="125"/>
      <c r="E2" s="125"/>
      <c r="F2" s="125"/>
      <c r="G2" s="126"/>
      <c r="I2" s="124" t="s">
        <v>23</v>
      </c>
      <c r="J2" s="125"/>
      <c r="K2" s="125"/>
      <c r="L2" s="125"/>
      <c r="M2" s="125"/>
      <c r="N2" s="126"/>
    </row>
    <row r="3" spans="2:15" ht="15.75" hidden="1" thickBot="1" x14ac:dyDescent="0.3">
      <c r="B3" s="112" t="s">
        <v>53</v>
      </c>
      <c r="C3" s="113"/>
      <c r="D3" s="113"/>
      <c r="E3" s="113"/>
      <c r="F3" s="113"/>
      <c r="G3" s="114"/>
      <c r="I3" s="130" t="s">
        <v>54</v>
      </c>
      <c r="J3" s="131"/>
      <c r="K3" s="131"/>
      <c r="L3" s="131"/>
      <c r="M3" s="131"/>
      <c r="N3" s="132"/>
    </row>
    <row r="4" spans="2:15" ht="15.75" hidden="1" thickBot="1" x14ac:dyDescent="0.3">
      <c r="B4" s="3"/>
      <c r="C4" s="2" t="s">
        <v>18</v>
      </c>
      <c r="D4" s="2" t="s">
        <v>20</v>
      </c>
      <c r="E4" s="2" t="s">
        <v>19</v>
      </c>
      <c r="F4" s="2" t="s">
        <v>21</v>
      </c>
      <c r="G4" s="9" t="s">
        <v>22</v>
      </c>
      <c r="I4" s="4" t="s">
        <v>18</v>
      </c>
      <c r="J4" s="2" t="s">
        <v>20</v>
      </c>
      <c r="K4" s="2" t="s">
        <v>19</v>
      </c>
      <c r="L4" s="2" t="s">
        <v>21</v>
      </c>
      <c r="M4" s="14" t="s">
        <v>24</v>
      </c>
      <c r="N4" s="15" t="s">
        <v>25</v>
      </c>
    </row>
    <row r="5" spans="2:15" ht="15.75" hidden="1" thickBot="1" x14ac:dyDescent="0.3">
      <c r="B5" s="4" t="s">
        <v>31</v>
      </c>
      <c r="C5" s="8"/>
      <c r="D5" s="8"/>
      <c r="E5" s="8"/>
      <c r="F5" s="8"/>
      <c r="G5" s="17">
        <f t="shared" ref="G5:G10" si="0">SUM(C5:F5)</f>
        <v>0</v>
      </c>
      <c r="H5" s="18"/>
      <c r="I5" s="33"/>
      <c r="J5" s="33"/>
      <c r="K5" s="33"/>
      <c r="L5" s="33"/>
      <c r="M5" s="12">
        <f>(I5*C5+J5*D5+K5*E5+L5*F5)*N5</f>
        <v>0</v>
      </c>
      <c r="N5" s="5">
        <v>5626787.29</v>
      </c>
      <c r="O5" s="20"/>
    </row>
    <row r="6" spans="2:15" ht="15.75" hidden="1" thickBot="1" x14ac:dyDescent="0.3">
      <c r="B6" s="4" t="s">
        <v>32</v>
      </c>
      <c r="C6" s="8"/>
      <c r="D6" s="8"/>
      <c r="E6" s="8"/>
      <c r="F6" s="8"/>
      <c r="G6" s="17">
        <f t="shared" si="0"/>
        <v>0</v>
      </c>
      <c r="I6" s="33"/>
      <c r="J6" s="33"/>
      <c r="K6" s="33"/>
      <c r="L6" s="33"/>
      <c r="M6" s="12">
        <f t="shared" ref="M6:M13" si="1">(I6*C6+J6*D6+K6*E6+L6*F6)*N6</f>
        <v>0</v>
      </c>
      <c r="N6" s="5">
        <v>4271201.54</v>
      </c>
      <c r="O6" s="20"/>
    </row>
    <row r="7" spans="2:15" ht="15.75" hidden="1" thickBot="1" x14ac:dyDescent="0.3">
      <c r="B7" s="4" t="s">
        <v>33</v>
      </c>
      <c r="C7" s="8"/>
      <c r="D7" s="8"/>
      <c r="E7" s="8"/>
      <c r="F7" s="8"/>
      <c r="G7" s="17">
        <f t="shared" si="0"/>
        <v>0</v>
      </c>
      <c r="I7" s="33"/>
      <c r="J7" s="33"/>
      <c r="K7" s="33"/>
      <c r="L7" s="33"/>
      <c r="M7" s="12">
        <f t="shared" si="1"/>
        <v>0</v>
      </c>
      <c r="N7" s="5">
        <v>3683517.22</v>
      </c>
      <c r="O7" s="20"/>
    </row>
    <row r="8" spans="2:15" ht="15.75" hidden="1" thickBot="1" x14ac:dyDescent="0.3">
      <c r="B8" s="4" t="s">
        <v>34</v>
      </c>
      <c r="C8" s="8"/>
      <c r="D8" s="8"/>
      <c r="E8" s="8"/>
      <c r="F8" s="8"/>
      <c r="G8" s="17">
        <f t="shared" si="0"/>
        <v>0</v>
      </c>
      <c r="I8" s="33"/>
      <c r="J8" s="33"/>
      <c r="K8" s="33"/>
      <c r="L8" s="33"/>
      <c r="M8" s="12">
        <f t="shared" si="1"/>
        <v>0</v>
      </c>
      <c r="N8" s="5">
        <v>3683517.22</v>
      </c>
      <c r="O8" s="20"/>
    </row>
    <row r="9" spans="2:15" ht="15.75" hidden="1" thickBot="1" x14ac:dyDescent="0.3">
      <c r="B9" s="4" t="s">
        <v>35</v>
      </c>
      <c r="C9" s="8"/>
      <c r="D9" s="8"/>
      <c r="E9" s="8"/>
      <c r="F9" s="8"/>
      <c r="G9" s="17">
        <f t="shared" si="0"/>
        <v>0</v>
      </c>
      <c r="I9" s="33"/>
      <c r="J9" s="33"/>
      <c r="K9" s="33"/>
      <c r="L9" s="33"/>
      <c r="M9" s="12">
        <f t="shared" si="1"/>
        <v>0</v>
      </c>
      <c r="N9" s="5">
        <v>3496225.12</v>
      </c>
      <c r="O9" s="20"/>
    </row>
    <row r="10" spans="2:15" ht="15.75" hidden="1" thickBot="1" x14ac:dyDescent="0.3">
      <c r="B10" s="4" t="s">
        <v>36</v>
      </c>
      <c r="C10" s="8"/>
      <c r="D10" s="8"/>
      <c r="E10" s="8"/>
      <c r="F10" s="8"/>
      <c r="G10" s="17">
        <f t="shared" si="0"/>
        <v>0</v>
      </c>
      <c r="I10" s="33"/>
      <c r="J10" s="33"/>
      <c r="K10" s="33"/>
      <c r="L10" s="33"/>
      <c r="M10" s="12">
        <f t="shared" si="1"/>
        <v>0</v>
      </c>
      <c r="N10" s="5">
        <v>2988995.52</v>
      </c>
      <c r="O10" s="20"/>
    </row>
    <row r="11" spans="2:15" ht="15.75" hidden="1" thickBot="1" x14ac:dyDescent="0.3">
      <c r="B11" s="4" t="s">
        <v>37</v>
      </c>
      <c r="C11" s="32"/>
      <c r="D11" s="32"/>
      <c r="E11" s="32"/>
      <c r="F11" s="32"/>
      <c r="G11" s="17"/>
      <c r="I11" s="33"/>
      <c r="J11" s="33"/>
      <c r="K11" s="33"/>
      <c r="L11" s="33"/>
      <c r="M11" s="12">
        <f t="shared" si="1"/>
        <v>0</v>
      </c>
      <c r="N11" s="5">
        <v>2768002.81</v>
      </c>
      <c r="O11" s="20"/>
    </row>
    <row r="12" spans="2:15" ht="15.75" hidden="1" thickBot="1" x14ac:dyDescent="0.3">
      <c r="B12" s="4" t="s">
        <v>38</v>
      </c>
      <c r="C12" s="32"/>
      <c r="D12" s="32"/>
      <c r="E12" s="32"/>
      <c r="F12" s="32"/>
      <c r="G12" s="17"/>
      <c r="I12" s="33"/>
      <c r="J12" s="33"/>
      <c r="K12" s="33"/>
      <c r="L12" s="33"/>
      <c r="M12" s="12">
        <f t="shared" si="1"/>
        <v>0</v>
      </c>
      <c r="N12" s="5">
        <v>2768002.81</v>
      </c>
      <c r="O12" s="20"/>
    </row>
    <row r="13" spans="2:15" ht="15.75" hidden="1" thickBot="1" x14ac:dyDescent="0.3">
      <c r="B13" s="4" t="s">
        <v>39</v>
      </c>
      <c r="C13" s="32"/>
      <c r="D13" s="32"/>
      <c r="E13" s="32"/>
      <c r="F13" s="32"/>
      <c r="G13" s="17"/>
      <c r="I13" s="33"/>
      <c r="J13" s="33"/>
      <c r="K13" s="33"/>
      <c r="L13" s="33"/>
      <c r="M13" s="12">
        <f t="shared" si="1"/>
        <v>0</v>
      </c>
      <c r="N13" s="5">
        <v>2768002.81</v>
      </c>
      <c r="O13" s="20"/>
    </row>
    <row r="14" spans="2:15" ht="15.75" hidden="1" thickBot="1" x14ac:dyDescent="0.3">
      <c r="B14" s="4" t="s">
        <v>28</v>
      </c>
      <c r="C14" s="8"/>
      <c r="D14" s="8"/>
      <c r="E14" s="8"/>
      <c r="F14" s="8"/>
      <c r="G14" s="10">
        <f>SUM(G5:G10)</f>
        <v>0</v>
      </c>
      <c r="I14" s="31"/>
      <c r="J14" s="8"/>
      <c r="K14" s="8"/>
      <c r="L14" s="8"/>
      <c r="M14" s="12">
        <f>SUM(M5:M13)</f>
        <v>0</v>
      </c>
      <c r="N14" s="5">
        <f>SUM(N5:N13)</f>
        <v>32054252.339999996</v>
      </c>
    </row>
    <row r="15" spans="2:15" ht="15.75" hidden="1" thickBot="1" x14ac:dyDescent="0.3">
      <c r="B15" s="21"/>
      <c r="C15" s="22"/>
      <c r="D15" s="22"/>
      <c r="E15" s="22"/>
      <c r="F15" s="22"/>
      <c r="G15" s="23"/>
      <c r="I15" s="21"/>
      <c r="J15" s="22"/>
      <c r="K15" s="22"/>
      <c r="L15" s="22"/>
      <c r="M15" s="22"/>
      <c r="N15" s="23"/>
      <c r="O15" s="20"/>
    </row>
    <row r="16" spans="2:15" ht="15.75" hidden="1" thickBot="1" x14ac:dyDescent="0.3">
      <c r="B16" s="4" t="s">
        <v>40</v>
      </c>
      <c r="C16" s="8"/>
      <c r="D16" s="8"/>
      <c r="E16" s="8"/>
      <c r="F16" s="8"/>
      <c r="G16" s="17">
        <f>SUM(C16:F16)</f>
        <v>0</v>
      </c>
      <c r="I16" s="33"/>
      <c r="J16" s="34"/>
      <c r="K16" s="34"/>
      <c r="L16" s="34"/>
      <c r="M16" s="12">
        <f>(I16*C16+J16*D16+K16*E16+L16*F16)*N16</f>
        <v>0</v>
      </c>
      <c r="N16" s="5">
        <v>4842914.4000000004</v>
      </c>
      <c r="O16" s="20"/>
    </row>
    <row r="17" spans="2:15" ht="15.75" hidden="1" thickBot="1" x14ac:dyDescent="0.3">
      <c r="B17" s="4" t="s">
        <v>41</v>
      </c>
      <c r="C17" s="8"/>
      <c r="D17" s="8"/>
      <c r="E17" s="8"/>
      <c r="F17" s="8"/>
      <c r="G17" s="17">
        <f>SUM(C17:F17)</f>
        <v>0</v>
      </c>
      <c r="I17" s="33"/>
      <c r="J17" s="34"/>
      <c r="K17" s="34"/>
      <c r="L17" s="34"/>
      <c r="M17" s="12">
        <f>(I17*C17+J17*D17+K17*E17+L17*F17)*N17</f>
        <v>0</v>
      </c>
      <c r="N17" s="5">
        <v>3683517.22</v>
      </c>
      <c r="O17" s="20"/>
    </row>
    <row r="18" spans="2:15" ht="15.75" hidden="1" thickBot="1" x14ac:dyDescent="0.3">
      <c r="B18" s="4" t="s">
        <v>42</v>
      </c>
      <c r="C18" s="8"/>
      <c r="D18" s="8"/>
      <c r="E18" s="8"/>
      <c r="F18" s="8"/>
      <c r="G18" s="17">
        <f>SUM(C18:F18)</f>
        <v>0</v>
      </c>
      <c r="I18" s="33"/>
      <c r="J18" s="34"/>
      <c r="K18" s="34"/>
      <c r="L18" s="34"/>
      <c r="M18" s="12">
        <f>(I18*C18+J18*D18+K18*E18+L18*F18)*N18</f>
        <v>0</v>
      </c>
      <c r="N18" s="5">
        <v>3683517.22</v>
      </c>
    </row>
    <row r="19" spans="2:15" ht="15.75" hidden="1" thickBot="1" x14ac:dyDescent="0.3">
      <c r="B19" s="4" t="s">
        <v>43</v>
      </c>
      <c r="C19" s="8"/>
      <c r="D19" s="8"/>
      <c r="E19" s="8"/>
      <c r="F19" s="8"/>
      <c r="G19" s="17">
        <f>SUM(C19:F19)</f>
        <v>0</v>
      </c>
      <c r="I19" s="33"/>
      <c r="J19" s="34"/>
      <c r="K19" s="34"/>
      <c r="L19" s="34"/>
      <c r="M19" s="12">
        <f>(I19*C19+J19*D19+K19*E19+L19*F19)*N19</f>
        <v>0</v>
      </c>
      <c r="N19" s="5">
        <v>3675155.03</v>
      </c>
      <c r="O19" s="20"/>
    </row>
    <row r="20" spans="2:15" ht="15.75" hidden="1" thickBot="1" x14ac:dyDescent="0.3">
      <c r="B20" s="4" t="s">
        <v>44</v>
      </c>
      <c r="C20" s="8"/>
      <c r="D20" s="8"/>
      <c r="E20" s="8"/>
      <c r="F20" s="8"/>
      <c r="G20" s="17">
        <f>SUM(C20:F20)</f>
        <v>0</v>
      </c>
      <c r="I20" s="33"/>
      <c r="J20" s="34"/>
      <c r="K20" s="34"/>
      <c r="L20" s="34"/>
      <c r="M20" s="12">
        <f>(I20*C20+J20*D20+K20*E20+L20*F20)*N20</f>
        <v>0</v>
      </c>
      <c r="N20" s="5">
        <v>3496225.12</v>
      </c>
      <c r="O20" s="20"/>
    </row>
    <row r="21" spans="2:15" ht="15.75" hidden="1" thickBot="1" x14ac:dyDescent="0.3">
      <c r="B21" s="4" t="s">
        <v>45</v>
      </c>
      <c r="C21" s="8"/>
      <c r="D21" s="8"/>
      <c r="E21" s="8"/>
      <c r="F21" s="8"/>
      <c r="G21" s="17"/>
      <c r="I21" s="33"/>
      <c r="J21" s="34"/>
      <c r="K21" s="34"/>
      <c r="L21" s="34"/>
      <c r="M21" s="12"/>
      <c r="N21" s="5">
        <v>2768002.81</v>
      </c>
      <c r="O21" s="20"/>
    </row>
    <row r="22" spans="2:15" ht="15.75" hidden="1" thickBot="1" x14ac:dyDescent="0.3">
      <c r="B22" s="4" t="s">
        <v>46</v>
      </c>
      <c r="C22" s="8"/>
      <c r="D22" s="8"/>
      <c r="E22" s="8"/>
      <c r="F22" s="8"/>
      <c r="G22" s="17"/>
      <c r="I22" s="33"/>
      <c r="J22" s="34"/>
      <c r="K22" s="34"/>
      <c r="L22" s="34"/>
      <c r="M22" s="12"/>
      <c r="N22" s="5">
        <v>2988995.52</v>
      </c>
      <c r="O22" s="20"/>
    </row>
    <row r="23" spans="2:15" ht="15.75" hidden="1" thickBot="1" x14ac:dyDescent="0.3">
      <c r="B23" s="4" t="s">
        <v>29</v>
      </c>
      <c r="C23" s="8"/>
      <c r="D23" s="8"/>
      <c r="E23" s="8"/>
      <c r="F23" s="8"/>
      <c r="G23" s="10">
        <f>SUM(G16:G20)</f>
        <v>0</v>
      </c>
      <c r="I23" s="4"/>
      <c r="J23" s="8"/>
      <c r="K23" s="8"/>
      <c r="L23" s="8"/>
      <c r="M23" s="12">
        <f>SUM(M16:M20)</f>
        <v>0</v>
      </c>
      <c r="N23" s="5">
        <f>SUM(N16:N22)</f>
        <v>25138327.32</v>
      </c>
      <c r="O23" s="20"/>
    </row>
    <row r="24" spans="2:15" ht="15.75" hidden="1" thickBot="1" x14ac:dyDescent="0.3">
      <c r="B24" s="21"/>
      <c r="C24" s="22"/>
      <c r="D24" s="22"/>
      <c r="E24" s="22"/>
      <c r="F24" s="22"/>
      <c r="G24" s="23"/>
      <c r="I24" s="21"/>
      <c r="J24" s="22"/>
      <c r="K24" s="22"/>
      <c r="L24" s="22"/>
      <c r="M24" s="22"/>
      <c r="N24" s="23"/>
      <c r="O24" s="20"/>
    </row>
    <row r="25" spans="2:15" ht="15.75" hidden="1" thickBot="1" x14ac:dyDescent="0.3">
      <c r="B25" s="4" t="s">
        <v>47</v>
      </c>
      <c r="C25" s="8"/>
      <c r="D25" s="8"/>
      <c r="E25" s="8"/>
      <c r="F25" s="8"/>
      <c r="G25" s="17">
        <f>SUM(C25:F25)</f>
        <v>0</v>
      </c>
      <c r="I25" s="33"/>
      <c r="J25" s="34"/>
      <c r="K25" s="34"/>
      <c r="L25" s="34"/>
      <c r="M25" s="12">
        <f>(I25*C25+J25*D25+K25*E25+L25*F25)*N25</f>
        <v>0</v>
      </c>
      <c r="N25" s="5">
        <v>4842914.4000000004</v>
      </c>
      <c r="O25" s="20"/>
    </row>
    <row r="26" spans="2:15" ht="15.75" hidden="1" thickBot="1" x14ac:dyDescent="0.3">
      <c r="B26" s="4" t="s">
        <v>48</v>
      </c>
      <c r="C26" s="8"/>
      <c r="D26" s="8"/>
      <c r="E26" s="8"/>
      <c r="F26" s="8"/>
      <c r="G26" s="17"/>
      <c r="I26" s="33"/>
      <c r="J26" s="34"/>
      <c r="K26" s="34"/>
      <c r="L26" s="34"/>
      <c r="M26" s="12"/>
      <c r="N26" s="5">
        <v>4271201.54</v>
      </c>
      <c r="O26" s="20"/>
    </row>
    <row r="27" spans="2:15" ht="15.75" hidden="1" thickBot="1" x14ac:dyDescent="0.3">
      <c r="B27" s="4" t="s">
        <v>49</v>
      </c>
      <c r="C27" s="8"/>
      <c r="D27" s="8"/>
      <c r="E27" s="8"/>
      <c r="F27" s="8"/>
      <c r="G27" s="17">
        <f>SUM(C27:F27)</f>
        <v>0</v>
      </c>
      <c r="I27" s="33"/>
      <c r="J27" s="34"/>
      <c r="K27" s="34"/>
      <c r="L27" s="34"/>
      <c r="M27" s="12">
        <f>(I27*C27+J27*D27+K27*E27+L27*F27)*N27</f>
        <v>0</v>
      </c>
      <c r="N27" s="5">
        <v>4271201.54</v>
      </c>
      <c r="O27" s="20"/>
    </row>
    <row r="28" spans="2:15" ht="15.75" hidden="1" thickBot="1" x14ac:dyDescent="0.3">
      <c r="B28" s="35" t="s">
        <v>50</v>
      </c>
      <c r="C28" s="36"/>
      <c r="D28" s="36"/>
      <c r="E28" s="36"/>
      <c r="F28" s="36"/>
      <c r="G28" s="37"/>
      <c r="I28" s="40"/>
      <c r="J28" s="41"/>
      <c r="K28" s="41"/>
      <c r="L28" s="41"/>
      <c r="M28" s="38"/>
      <c r="N28" s="39">
        <v>3496225.12</v>
      </c>
      <c r="O28" s="20"/>
    </row>
    <row r="29" spans="2:15" ht="15.75" hidden="1" thickBot="1" x14ac:dyDescent="0.3">
      <c r="B29" s="35" t="s">
        <v>51</v>
      </c>
      <c r="C29" s="36"/>
      <c r="D29" s="36"/>
      <c r="E29" s="36"/>
      <c r="F29" s="36"/>
      <c r="G29" s="37"/>
      <c r="I29" s="40"/>
      <c r="J29" s="41"/>
      <c r="K29" s="41"/>
      <c r="L29" s="41"/>
      <c r="M29" s="38"/>
      <c r="N29" s="39">
        <v>2988995.52</v>
      </c>
      <c r="O29" s="20"/>
    </row>
    <row r="30" spans="2:15" ht="15.75" hidden="1" thickBot="1" x14ac:dyDescent="0.3">
      <c r="B30" s="35" t="s">
        <v>52</v>
      </c>
      <c r="C30" s="36"/>
      <c r="D30" s="36"/>
      <c r="E30" s="36"/>
      <c r="F30" s="36"/>
      <c r="G30" s="37"/>
      <c r="I30" s="40"/>
      <c r="J30" s="41"/>
      <c r="K30" s="41"/>
      <c r="L30" s="41"/>
      <c r="M30" s="38"/>
      <c r="N30" s="39">
        <v>2988995.52</v>
      </c>
      <c r="O30" s="20"/>
    </row>
    <row r="31" spans="2:15" ht="15.75" hidden="1" thickBot="1" x14ac:dyDescent="0.3">
      <c r="B31" s="7" t="s">
        <v>30</v>
      </c>
      <c r="C31" s="16"/>
      <c r="D31" s="16"/>
      <c r="E31" s="16"/>
      <c r="F31" s="16"/>
      <c r="G31" s="11">
        <f>SUM(G25:G27)</f>
        <v>0</v>
      </c>
      <c r="I31" s="7"/>
      <c r="J31" s="16"/>
      <c r="K31" s="16"/>
      <c r="L31" s="16"/>
      <c r="M31" s="13">
        <f>SUM(M25:M27)</f>
        <v>0</v>
      </c>
      <c r="N31" s="30">
        <f>SUM(N25:N30)</f>
        <v>22859533.640000001</v>
      </c>
    </row>
    <row r="32" spans="2:15" s="24" customFormat="1" ht="15.75" hidden="1" thickBot="1" x14ac:dyDescent="0.3">
      <c r="C32" s="25"/>
      <c r="D32" s="25"/>
      <c r="E32" s="25"/>
      <c r="F32" s="25"/>
      <c r="G32" s="26"/>
      <c r="I32" s="27"/>
      <c r="J32" s="27"/>
      <c r="K32" s="27"/>
      <c r="L32" s="27"/>
      <c r="M32" s="28"/>
      <c r="N32" s="28"/>
    </row>
    <row r="33" spans="2:19" s="24" customFormat="1" ht="15.75" thickBot="1" x14ac:dyDescent="0.3">
      <c r="B33" s="124" t="s">
        <v>16</v>
      </c>
      <c r="C33" s="125"/>
      <c r="D33" s="125"/>
      <c r="E33" s="125"/>
      <c r="F33" s="125"/>
      <c r="G33" s="126"/>
      <c r="I33" s="127" t="s">
        <v>23</v>
      </c>
      <c r="J33" s="128"/>
      <c r="K33" s="128"/>
      <c r="L33" s="128"/>
      <c r="M33" s="128"/>
      <c r="N33" s="129"/>
    </row>
    <row r="34" spans="2:19" ht="15.75" thickBot="1" x14ac:dyDescent="0.3">
      <c r="B34" s="112" t="s">
        <v>73</v>
      </c>
      <c r="C34" s="113"/>
      <c r="D34" s="113"/>
      <c r="E34" s="113"/>
      <c r="F34" s="113"/>
      <c r="G34" s="114"/>
      <c r="I34" s="133" t="s">
        <v>55</v>
      </c>
      <c r="J34" s="134"/>
      <c r="K34" s="134"/>
      <c r="L34" s="134"/>
      <c r="M34" s="134"/>
      <c r="N34" s="135"/>
    </row>
    <row r="35" spans="2:19" x14ac:dyDescent="0.25">
      <c r="B35" s="148"/>
      <c r="C35" s="149" t="s">
        <v>70</v>
      </c>
      <c r="D35" s="150" t="s">
        <v>20</v>
      </c>
      <c r="E35" s="150" t="s">
        <v>19</v>
      </c>
      <c r="F35" s="150" t="s">
        <v>21</v>
      </c>
      <c r="G35" s="151" t="s">
        <v>22</v>
      </c>
      <c r="I35" s="61" t="s">
        <v>70</v>
      </c>
      <c r="J35" s="62" t="s">
        <v>20</v>
      </c>
      <c r="K35" s="62" t="s">
        <v>19</v>
      </c>
      <c r="L35" s="62" t="s">
        <v>21</v>
      </c>
      <c r="M35" s="63" t="s">
        <v>24</v>
      </c>
      <c r="N35" s="64" t="s">
        <v>69</v>
      </c>
      <c r="O35" s="42"/>
    </row>
    <row r="36" spans="2:19" x14ac:dyDescent="0.25">
      <c r="B36" s="152" t="s">
        <v>72</v>
      </c>
      <c r="C36" s="32">
        <f>AVERAGE('São Gonçalo do Amarante'!M4:M17)</f>
        <v>0.97499999999999987</v>
      </c>
      <c r="D36" s="32">
        <f>AVERAGE('São Gonçalo do Amarante'!M18:M38)</f>
        <v>0.94666666666666677</v>
      </c>
      <c r="E36" s="32">
        <f>AVERAGE('São Gonçalo do Amarante'!M39:M46)</f>
        <v>0.98874999999999991</v>
      </c>
      <c r="F36" s="32">
        <f>AVERAGE('São Gonçalo do Amarante'!M47:M52)</f>
        <v>0.94166666666666676</v>
      </c>
      <c r="G36" s="153">
        <f t="shared" ref="G36" si="2">SUM(C36:F36)</f>
        <v>3.8520833333333333</v>
      </c>
      <c r="I36" s="65">
        <f>901204.34/4593481.67</f>
        <v>0.19619199656020397</v>
      </c>
      <c r="J36" s="66">
        <f>1982825.37/4593481.67</f>
        <v>0.43166066884512028</v>
      </c>
      <c r="K36" s="66">
        <f>971952.39/4593481.67</f>
        <v>0.21159383226623391</v>
      </c>
      <c r="L36" s="66">
        <f>737499.57/4593481.67</f>
        <v>0.16055350232844184</v>
      </c>
      <c r="M36" s="185">
        <f>(I36*C36+J36*D36+K36*E36+L36*F36)*N36</f>
        <v>4411245.6024624994</v>
      </c>
      <c r="N36" s="68">
        <v>4593481.67</v>
      </c>
      <c r="O36" s="43"/>
      <c r="P36" s="20"/>
      <c r="Q36" s="20"/>
      <c r="R36" s="20"/>
      <c r="S36" s="20"/>
    </row>
    <row r="37" spans="2:19" x14ac:dyDescent="0.25">
      <c r="B37" s="154"/>
      <c r="C37" s="155"/>
      <c r="D37" s="155"/>
      <c r="E37" s="155"/>
      <c r="F37" s="155"/>
      <c r="G37" s="156"/>
      <c r="I37" s="121"/>
      <c r="J37" s="122"/>
      <c r="K37" s="122"/>
      <c r="L37" s="122"/>
      <c r="M37" s="122"/>
      <c r="N37" s="123"/>
      <c r="O37" s="19"/>
    </row>
    <row r="38" spans="2:19" x14ac:dyDescent="0.25">
      <c r="B38" s="157" t="s">
        <v>71</v>
      </c>
      <c r="C38" s="158">
        <f>AVERAGE(C36:F36)</f>
        <v>0.96302083333333333</v>
      </c>
      <c r="D38" s="159"/>
      <c r="E38" s="159"/>
      <c r="F38" s="159"/>
      <c r="G38" s="160"/>
      <c r="I38" s="121"/>
      <c r="J38" s="122"/>
      <c r="K38" s="122"/>
      <c r="L38" s="122"/>
      <c r="M38" s="122"/>
      <c r="N38" s="123"/>
      <c r="O38" s="43"/>
    </row>
    <row r="39" spans="2:19" x14ac:dyDescent="0.25">
      <c r="B39" s="161"/>
      <c r="C39" s="162"/>
      <c r="D39" s="162"/>
      <c r="E39" s="162"/>
      <c r="F39" s="162"/>
      <c r="G39" s="163"/>
      <c r="I39" s="69"/>
      <c r="J39" s="70"/>
      <c r="K39" s="70"/>
      <c r="L39" s="70"/>
      <c r="M39" s="70"/>
      <c r="N39" s="71"/>
      <c r="O39" s="19"/>
    </row>
    <row r="40" spans="2:19" s="6" customFormat="1" ht="15.75" thickBot="1" x14ac:dyDescent="0.3">
      <c r="B40" s="164"/>
      <c r="C40" s="165"/>
      <c r="D40" s="165"/>
      <c r="E40" s="165"/>
      <c r="F40" s="165"/>
      <c r="G40" s="166"/>
      <c r="I40" s="72"/>
      <c r="J40" s="72"/>
      <c r="K40" s="72"/>
      <c r="L40" s="72"/>
      <c r="M40" s="73"/>
      <c r="N40" s="74"/>
      <c r="O40" s="29"/>
    </row>
    <row r="41" spans="2:19" s="24" customFormat="1" ht="15.75" thickBot="1" x14ac:dyDescent="0.3">
      <c r="B41" s="167" t="s">
        <v>16</v>
      </c>
      <c r="C41" s="168"/>
      <c r="D41" s="168"/>
      <c r="E41" s="168"/>
      <c r="F41" s="168"/>
      <c r="G41" s="169"/>
      <c r="I41" s="127" t="s">
        <v>23</v>
      </c>
      <c r="J41" s="128"/>
      <c r="K41" s="128"/>
      <c r="L41" s="128"/>
      <c r="M41" s="128"/>
      <c r="N41" s="129"/>
    </row>
    <row r="42" spans="2:19" x14ac:dyDescent="0.25">
      <c r="B42" s="170" t="s">
        <v>56</v>
      </c>
      <c r="C42" s="171"/>
      <c r="D42" s="171"/>
      <c r="E42" s="171"/>
      <c r="F42" s="171"/>
      <c r="G42" s="172"/>
      <c r="I42" s="136" t="s">
        <v>57</v>
      </c>
      <c r="J42" s="137"/>
      <c r="K42" s="137"/>
      <c r="L42" s="137"/>
      <c r="M42" s="137"/>
      <c r="N42" s="138"/>
    </row>
    <row r="43" spans="2:19" x14ac:dyDescent="0.25">
      <c r="B43" s="173"/>
      <c r="C43" s="152" t="s">
        <v>70</v>
      </c>
      <c r="D43" s="174" t="s">
        <v>20</v>
      </c>
      <c r="E43" s="174" t="s">
        <v>19</v>
      </c>
      <c r="F43" s="174" t="s">
        <v>21</v>
      </c>
      <c r="G43" s="175" t="s">
        <v>22</v>
      </c>
      <c r="I43" s="61" t="s">
        <v>70</v>
      </c>
      <c r="J43" s="75" t="s">
        <v>20</v>
      </c>
      <c r="K43" s="75" t="s">
        <v>19</v>
      </c>
      <c r="L43" s="75" t="s">
        <v>21</v>
      </c>
      <c r="M43" s="76" t="s">
        <v>24</v>
      </c>
      <c r="N43" s="64" t="s">
        <v>69</v>
      </c>
    </row>
    <row r="44" spans="2:19" x14ac:dyDescent="0.25">
      <c r="B44" s="152" t="s">
        <v>72</v>
      </c>
      <c r="C44" s="32">
        <f>AVERAGE('São Gonçalo do Amarante'!R4:R17)</f>
        <v>0.9107142857142857</v>
      </c>
      <c r="D44" s="32">
        <f>AVERAGE('São Gonçalo do Amarante'!R18:R38)</f>
        <v>0.63809523809523805</v>
      </c>
      <c r="E44" s="32">
        <f>AVERAGE('São Gonçalo do Amarante'!R39:R46)</f>
        <v>0.97125000000000006</v>
      </c>
      <c r="F44" s="32">
        <f>AVERAGE('São Gonçalo do Amarante'!R47:R52)</f>
        <v>0.8833333333333333</v>
      </c>
      <c r="G44" s="153">
        <f t="shared" ref="G44" si="3">SUM(C44:F44)</f>
        <v>3.4033928571428569</v>
      </c>
      <c r="I44" s="65">
        <f>1011989.8/4586661.81</f>
        <v>0.22063754467216762</v>
      </c>
      <c r="J44" s="66">
        <f>1741581.63/4586661.81</f>
        <v>0.37970569929593306</v>
      </c>
      <c r="K44" s="66">
        <f>851931.49/4586661.81</f>
        <v>0.18574107385519231</v>
      </c>
      <c r="L44" s="66">
        <f>981158.89/4586661.81</f>
        <v>0.21391568217670709</v>
      </c>
      <c r="M44" s="67">
        <f>(I44*C44+J44*D44+K44*E44+L44*F44)*N44</f>
        <v>3727057.3252101187</v>
      </c>
      <c r="N44" s="68">
        <v>4586661.8099999996</v>
      </c>
      <c r="P44" s="20"/>
      <c r="Q44" s="20"/>
      <c r="R44" s="20"/>
      <c r="S44" s="20"/>
    </row>
    <row r="45" spans="2:19" x14ac:dyDescent="0.25">
      <c r="B45" s="157" t="s">
        <v>71</v>
      </c>
      <c r="C45" s="158">
        <f>AVERAGE(C44:F44)</f>
        <v>0.85084821428571422</v>
      </c>
      <c r="D45" s="159"/>
      <c r="E45" s="159"/>
      <c r="F45" s="159"/>
      <c r="G45" s="160"/>
      <c r="I45" s="139"/>
      <c r="J45" s="140"/>
      <c r="K45" s="140"/>
      <c r="L45" s="140"/>
      <c r="M45" s="140"/>
      <c r="N45" s="141"/>
    </row>
    <row r="46" spans="2:19" x14ac:dyDescent="0.25">
      <c r="B46" s="161"/>
      <c r="C46" s="162"/>
      <c r="D46" s="162"/>
      <c r="E46" s="162"/>
      <c r="F46" s="162"/>
      <c r="G46" s="163"/>
      <c r="I46" s="69"/>
      <c r="J46" s="70"/>
      <c r="K46" s="70"/>
      <c r="L46" s="70"/>
      <c r="M46" s="70"/>
      <c r="N46" s="71"/>
    </row>
    <row r="47" spans="2:19" hidden="1" x14ac:dyDescent="0.25">
      <c r="B47" s="176"/>
      <c r="C47" s="176"/>
      <c r="D47" s="176"/>
      <c r="E47" s="176"/>
      <c r="F47" s="176"/>
      <c r="G47" s="176"/>
      <c r="I47" s="77"/>
      <c r="J47" s="77"/>
      <c r="K47" s="77"/>
      <c r="L47" s="77"/>
      <c r="M47" s="77"/>
      <c r="N47" s="77"/>
    </row>
    <row r="48" spans="2:19" ht="15.75" hidden="1" thickBot="1" x14ac:dyDescent="0.3">
      <c r="B48" s="167" t="s">
        <v>16</v>
      </c>
      <c r="C48" s="168"/>
      <c r="D48" s="168"/>
      <c r="E48" s="168"/>
      <c r="F48" s="168"/>
      <c r="G48" s="169"/>
      <c r="H48" s="24"/>
      <c r="I48" s="127" t="s">
        <v>23</v>
      </c>
      <c r="J48" s="128"/>
      <c r="K48" s="128"/>
      <c r="L48" s="128"/>
      <c r="M48" s="128"/>
      <c r="N48" s="129"/>
    </row>
    <row r="49" spans="2:14" hidden="1" x14ac:dyDescent="0.25">
      <c r="B49" s="170" t="s">
        <v>58</v>
      </c>
      <c r="C49" s="171"/>
      <c r="D49" s="171"/>
      <c r="E49" s="171"/>
      <c r="F49" s="171"/>
      <c r="G49" s="172"/>
      <c r="I49" s="136" t="s">
        <v>59</v>
      </c>
      <c r="J49" s="137"/>
      <c r="K49" s="137"/>
      <c r="L49" s="137"/>
      <c r="M49" s="137"/>
      <c r="N49" s="138"/>
    </row>
    <row r="50" spans="2:14" hidden="1" x14ac:dyDescent="0.25">
      <c r="B50" s="173"/>
      <c r="C50" s="174" t="s">
        <v>18</v>
      </c>
      <c r="D50" s="174" t="s">
        <v>20</v>
      </c>
      <c r="E50" s="174" t="s">
        <v>19</v>
      </c>
      <c r="F50" s="174" t="s">
        <v>21</v>
      </c>
      <c r="G50" s="175" t="s">
        <v>22</v>
      </c>
      <c r="I50" s="78" t="s">
        <v>18</v>
      </c>
      <c r="J50" s="75" t="s">
        <v>20</v>
      </c>
      <c r="K50" s="75" t="s">
        <v>19</v>
      </c>
      <c r="L50" s="75" t="s">
        <v>21</v>
      </c>
      <c r="M50" s="76" t="s">
        <v>24</v>
      </c>
      <c r="N50" s="64" t="s">
        <v>25</v>
      </c>
    </row>
    <row r="51" spans="2:14" hidden="1" x14ac:dyDescent="0.25">
      <c r="B51" s="152" t="s">
        <v>31</v>
      </c>
      <c r="C51" s="32"/>
      <c r="D51" s="32"/>
      <c r="E51" s="32"/>
      <c r="F51" s="32"/>
      <c r="G51" s="177">
        <f t="shared" ref="G51:G56" si="4">SUM(C51:F51)</f>
        <v>0</v>
      </c>
      <c r="I51" s="65"/>
      <c r="J51" s="66"/>
      <c r="K51" s="66"/>
      <c r="L51" s="66"/>
      <c r="M51" s="67">
        <f t="shared" ref="M51:M56" si="5">(I51*C51+J51*D51+K51*E51+L51*F51)*N51</f>
        <v>0</v>
      </c>
      <c r="N51" s="68">
        <v>3616366</v>
      </c>
    </row>
    <row r="52" spans="2:14" hidden="1" x14ac:dyDescent="0.25">
      <c r="B52" s="152" t="s">
        <v>32</v>
      </c>
      <c r="C52" s="32"/>
      <c r="D52" s="32"/>
      <c r="E52" s="32"/>
      <c r="F52" s="32"/>
      <c r="G52" s="177">
        <f t="shared" si="4"/>
        <v>0</v>
      </c>
      <c r="I52" s="65"/>
      <c r="J52" s="66"/>
      <c r="K52" s="66"/>
      <c r="L52" s="66"/>
      <c r="M52" s="67">
        <f t="shared" si="5"/>
        <v>0</v>
      </c>
      <c r="N52" s="68">
        <v>2602541</v>
      </c>
    </row>
    <row r="53" spans="2:14" hidden="1" x14ac:dyDescent="0.25">
      <c r="B53" s="152" t="s">
        <v>33</v>
      </c>
      <c r="C53" s="32"/>
      <c r="D53" s="32"/>
      <c r="E53" s="32"/>
      <c r="F53" s="32"/>
      <c r="G53" s="177">
        <f t="shared" si="4"/>
        <v>0</v>
      </c>
      <c r="I53" s="65"/>
      <c r="J53" s="66"/>
      <c r="K53" s="66"/>
      <c r="L53" s="66"/>
      <c r="M53" s="67">
        <f t="shared" si="5"/>
        <v>0</v>
      </c>
      <c r="N53" s="68">
        <v>2601153</v>
      </c>
    </row>
    <row r="54" spans="2:14" hidden="1" x14ac:dyDescent="0.25">
      <c r="B54" s="152" t="s">
        <v>34</v>
      </c>
      <c r="C54" s="32"/>
      <c r="D54" s="32"/>
      <c r="E54" s="32"/>
      <c r="F54" s="32"/>
      <c r="G54" s="177">
        <f t="shared" si="4"/>
        <v>0</v>
      </c>
      <c r="I54" s="65"/>
      <c r="J54" s="66"/>
      <c r="K54" s="66"/>
      <c r="L54" s="66"/>
      <c r="M54" s="67">
        <f t="shared" si="5"/>
        <v>0</v>
      </c>
      <c r="N54" s="68">
        <v>2601153</v>
      </c>
    </row>
    <row r="55" spans="2:14" hidden="1" x14ac:dyDescent="0.25">
      <c r="B55" s="152" t="s">
        <v>35</v>
      </c>
      <c r="C55" s="32"/>
      <c r="D55" s="32"/>
      <c r="E55" s="32"/>
      <c r="F55" s="32"/>
      <c r="G55" s="177">
        <f t="shared" si="4"/>
        <v>0</v>
      </c>
      <c r="I55" s="65"/>
      <c r="J55" s="66"/>
      <c r="K55" s="66"/>
      <c r="L55" s="66"/>
      <c r="M55" s="67">
        <f t="shared" si="5"/>
        <v>0</v>
      </c>
      <c r="N55" s="68">
        <v>2601153</v>
      </c>
    </row>
    <row r="56" spans="2:14" hidden="1" x14ac:dyDescent="0.25">
      <c r="B56" s="152" t="s">
        <v>36</v>
      </c>
      <c r="C56" s="32"/>
      <c r="D56" s="32"/>
      <c r="E56" s="32"/>
      <c r="F56" s="32"/>
      <c r="G56" s="177">
        <f t="shared" si="4"/>
        <v>0</v>
      </c>
      <c r="I56" s="65"/>
      <c r="J56" s="66"/>
      <c r="K56" s="66"/>
      <c r="L56" s="66"/>
      <c r="M56" s="67">
        <f t="shared" si="5"/>
        <v>0</v>
      </c>
      <c r="N56" s="68">
        <v>2160525</v>
      </c>
    </row>
    <row r="57" spans="2:14" hidden="1" x14ac:dyDescent="0.25">
      <c r="B57" s="152" t="s">
        <v>37</v>
      </c>
      <c r="C57" s="32"/>
      <c r="D57" s="32"/>
      <c r="E57" s="32"/>
      <c r="F57" s="32"/>
      <c r="G57" s="177"/>
      <c r="I57" s="65"/>
      <c r="J57" s="66"/>
      <c r="K57" s="66"/>
      <c r="L57" s="66"/>
      <c r="M57" s="67"/>
      <c r="N57" s="68">
        <v>2160525</v>
      </c>
    </row>
    <row r="58" spans="2:14" hidden="1" x14ac:dyDescent="0.25">
      <c r="B58" s="152" t="s">
        <v>38</v>
      </c>
      <c r="C58" s="32"/>
      <c r="D58" s="32"/>
      <c r="E58" s="32"/>
      <c r="F58" s="32"/>
      <c r="G58" s="177"/>
      <c r="I58" s="65"/>
      <c r="J58" s="66"/>
      <c r="K58" s="66"/>
      <c r="L58" s="66"/>
      <c r="M58" s="67"/>
      <c r="N58" s="68">
        <v>2160525</v>
      </c>
    </row>
    <row r="59" spans="2:14" hidden="1" x14ac:dyDescent="0.25">
      <c r="B59" s="152" t="s">
        <v>39</v>
      </c>
      <c r="C59" s="32"/>
      <c r="D59" s="32"/>
      <c r="E59" s="32"/>
      <c r="F59" s="32"/>
      <c r="G59" s="177"/>
      <c r="I59" s="65"/>
      <c r="J59" s="66"/>
      <c r="K59" s="66"/>
      <c r="L59" s="66"/>
      <c r="M59" s="67"/>
      <c r="N59" s="68">
        <v>2160525</v>
      </c>
    </row>
    <row r="60" spans="2:14" hidden="1" x14ac:dyDescent="0.25">
      <c r="B60" s="152" t="s">
        <v>28</v>
      </c>
      <c r="C60" s="32"/>
      <c r="D60" s="32"/>
      <c r="E60" s="32"/>
      <c r="F60" s="32"/>
      <c r="G60" s="178">
        <f>SUM(G51:G56)</f>
        <v>0</v>
      </c>
      <c r="I60" s="65"/>
      <c r="J60" s="66"/>
      <c r="K60" s="66"/>
      <c r="L60" s="66"/>
      <c r="M60" s="67">
        <f>SUM(M51:M56)</f>
        <v>0</v>
      </c>
      <c r="N60" s="68">
        <f>SUM(N51:N59)</f>
        <v>22664466</v>
      </c>
    </row>
    <row r="61" spans="2:14" hidden="1" x14ac:dyDescent="0.25">
      <c r="B61" s="161"/>
      <c r="C61" s="162"/>
      <c r="D61" s="162"/>
      <c r="E61" s="162"/>
      <c r="F61" s="162"/>
      <c r="G61" s="163"/>
      <c r="I61" s="69"/>
      <c r="J61" s="70"/>
      <c r="K61" s="70"/>
      <c r="L61" s="70"/>
      <c r="M61" s="70"/>
      <c r="N61" s="71"/>
    </row>
    <row r="62" spans="2:14" hidden="1" x14ac:dyDescent="0.25">
      <c r="B62" s="152" t="s">
        <v>40</v>
      </c>
      <c r="C62" s="32"/>
      <c r="D62" s="32"/>
      <c r="E62" s="32"/>
      <c r="F62" s="32"/>
      <c r="G62" s="177">
        <f>SUM(C62:F62)</f>
        <v>0</v>
      </c>
      <c r="I62" s="65"/>
      <c r="J62" s="66"/>
      <c r="K62" s="66"/>
      <c r="L62" s="66"/>
      <c r="M62" s="67">
        <f>(I62*C62+J62*D62+K62*E62+L62*F62)*N62</f>
        <v>0</v>
      </c>
      <c r="N62" s="68">
        <v>3708873</v>
      </c>
    </row>
    <row r="63" spans="2:14" hidden="1" x14ac:dyDescent="0.25">
      <c r="B63" s="152" t="s">
        <v>41</v>
      </c>
      <c r="C63" s="32"/>
      <c r="D63" s="32"/>
      <c r="E63" s="32"/>
      <c r="F63" s="32"/>
      <c r="G63" s="177">
        <f>SUM(C63:F63)</f>
        <v>0</v>
      </c>
      <c r="I63" s="65"/>
      <c r="J63" s="66"/>
      <c r="K63" s="66"/>
      <c r="L63" s="66"/>
      <c r="M63" s="67">
        <f>(I63*C63+J63*D63+K63*E63+L63*F63)*N63</f>
        <v>0</v>
      </c>
      <c r="N63" s="68">
        <v>2690486</v>
      </c>
    </row>
    <row r="64" spans="2:14" hidden="1" x14ac:dyDescent="0.25">
      <c r="B64" s="152" t="s">
        <v>42</v>
      </c>
      <c r="C64" s="32"/>
      <c r="D64" s="32"/>
      <c r="E64" s="32"/>
      <c r="F64" s="32"/>
      <c r="G64" s="177">
        <f>SUM(C64:F64)</f>
        <v>0</v>
      </c>
      <c r="I64" s="65"/>
      <c r="J64" s="66"/>
      <c r="K64" s="66"/>
      <c r="L64" s="66"/>
      <c r="M64" s="67">
        <f>(I64*C64+J64*D64+K64*E64+L64*F64)*N64</f>
        <v>0</v>
      </c>
      <c r="N64" s="68">
        <v>2690486</v>
      </c>
    </row>
    <row r="65" spans="2:14" hidden="1" x14ac:dyDescent="0.25">
      <c r="B65" s="152" t="s">
        <v>43</v>
      </c>
      <c r="C65" s="32"/>
      <c r="D65" s="32"/>
      <c r="E65" s="32"/>
      <c r="F65" s="32"/>
      <c r="G65" s="177">
        <f>SUM(C65:F65)</f>
        <v>0</v>
      </c>
      <c r="I65" s="65"/>
      <c r="J65" s="66"/>
      <c r="K65" s="66"/>
      <c r="L65" s="66"/>
      <c r="M65" s="67">
        <f>(I65*C65+J65*D65+K65*E65+L65*F65)*N65</f>
        <v>0</v>
      </c>
      <c r="N65" s="68">
        <v>2250457</v>
      </c>
    </row>
    <row r="66" spans="2:14" hidden="1" x14ac:dyDescent="0.25">
      <c r="B66" s="152" t="s">
        <v>44</v>
      </c>
      <c r="C66" s="32"/>
      <c r="D66" s="32"/>
      <c r="E66" s="32"/>
      <c r="F66" s="32"/>
      <c r="G66" s="177">
        <f>SUM(C66:F66)</f>
        <v>0</v>
      </c>
      <c r="I66" s="65"/>
      <c r="J66" s="66"/>
      <c r="K66" s="66"/>
      <c r="L66" s="66"/>
      <c r="M66" s="67">
        <f>(I66*C66+J66*D66+K66*E66+L66*F66)*N66</f>
        <v>0</v>
      </c>
      <c r="N66" s="68">
        <v>2249856</v>
      </c>
    </row>
    <row r="67" spans="2:14" hidden="1" x14ac:dyDescent="0.25">
      <c r="B67" s="152" t="s">
        <v>45</v>
      </c>
      <c r="C67" s="32"/>
      <c r="D67" s="32"/>
      <c r="E67" s="32"/>
      <c r="F67" s="32"/>
      <c r="G67" s="177"/>
      <c r="I67" s="65"/>
      <c r="J67" s="66"/>
      <c r="K67" s="66"/>
      <c r="L67" s="66"/>
      <c r="M67" s="67"/>
      <c r="N67" s="68">
        <v>2249856</v>
      </c>
    </row>
    <row r="68" spans="2:14" hidden="1" x14ac:dyDescent="0.25">
      <c r="B68" s="152" t="s">
        <v>46</v>
      </c>
      <c r="C68" s="32"/>
      <c r="D68" s="32"/>
      <c r="E68" s="32"/>
      <c r="F68" s="32"/>
      <c r="G68" s="177"/>
      <c r="I68" s="65"/>
      <c r="J68" s="66"/>
      <c r="K68" s="66"/>
      <c r="L68" s="66"/>
      <c r="M68" s="67"/>
      <c r="N68" s="68">
        <v>2249856</v>
      </c>
    </row>
    <row r="69" spans="2:14" hidden="1" x14ac:dyDescent="0.25">
      <c r="B69" s="152" t="s">
        <v>29</v>
      </c>
      <c r="C69" s="32"/>
      <c r="D69" s="32"/>
      <c r="E69" s="32"/>
      <c r="F69" s="32"/>
      <c r="G69" s="178">
        <f>SUM(G62:G66)</f>
        <v>0</v>
      </c>
      <c r="I69" s="79"/>
      <c r="J69" s="80"/>
      <c r="K69" s="80"/>
      <c r="L69" s="80"/>
      <c r="M69" s="67">
        <f>SUM(M62:M66)</f>
        <v>0</v>
      </c>
      <c r="N69" s="68">
        <f>SUM(N62:N68)</f>
        <v>18089870</v>
      </c>
    </row>
    <row r="70" spans="2:14" hidden="1" x14ac:dyDescent="0.25">
      <c r="B70" s="161"/>
      <c r="C70" s="162"/>
      <c r="D70" s="162"/>
      <c r="E70" s="162"/>
      <c r="F70" s="162"/>
      <c r="G70" s="163"/>
      <c r="I70" s="69"/>
      <c r="J70" s="70"/>
      <c r="K70" s="70"/>
      <c r="L70" s="70"/>
      <c r="M70" s="70"/>
      <c r="N70" s="71"/>
    </row>
    <row r="71" spans="2:14" hidden="1" x14ac:dyDescent="0.25">
      <c r="B71" s="152" t="s">
        <v>47</v>
      </c>
      <c r="C71" s="32"/>
      <c r="D71" s="32"/>
      <c r="E71" s="32"/>
      <c r="F71" s="32"/>
      <c r="G71" s="177">
        <f>SUM(C71:F71)</f>
        <v>0</v>
      </c>
      <c r="I71" s="65"/>
      <c r="J71" s="66"/>
      <c r="K71" s="66"/>
      <c r="L71" s="66"/>
      <c r="M71" s="67">
        <f>(I71*C71+J71*D71+K71*E71+L71*F71)*N71</f>
        <v>0</v>
      </c>
      <c r="N71" s="68">
        <v>3905756</v>
      </c>
    </row>
    <row r="72" spans="2:14" hidden="1" x14ac:dyDescent="0.25">
      <c r="B72" s="152" t="s">
        <v>48</v>
      </c>
      <c r="C72" s="32"/>
      <c r="D72" s="32"/>
      <c r="E72" s="32"/>
      <c r="F72" s="32"/>
      <c r="G72" s="177">
        <f>SUM(C72:F72)</f>
        <v>0</v>
      </c>
      <c r="I72" s="65"/>
      <c r="J72" s="66"/>
      <c r="K72" s="66"/>
      <c r="L72" s="66"/>
      <c r="M72" s="67">
        <f>(I72*C72+J72*D72+K72*E72+L72*F72)*N72</f>
        <v>0</v>
      </c>
      <c r="N72" s="68">
        <v>3905756</v>
      </c>
    </row>
    <row r="73" spans="2:14" hidden="1" x14ac:dyDescent="0.25">
      <c r="B73" s="152" t="s">
        <v>49</v>
      </c>
      <c r="C73" s="179"/>
      <c r="D73" s="179"/>
      <c r="E73" s="179"/>
      <c r="F73" s="179"/>
      <c r="G73" s="180"/>
      <c r="I73" s="81"/>
      <c r="J73" s="82"/>
      <c r="K73" s="82"/>
      <c r="L73" s="82"/>
      <c r="M73" s="83"/>
      <c r="N73" s="84">
        <v>3905756</v>
      </c>
    </row>
    <row r="74" spans="2:14" hidden="1" x14ac:dyDescent="0.25">
      <c r="B74" s="181" t="s">
        <v>50</v>
      </c>
      <c r="C74" s="179"/>
      <c r="D74" s="179"/>
      <c r="E74" s="179"/>
      <c r="F74" s="179"/>
      <c r="G74" s="180"/>
      <c r="I74" s="81"/>
      <c r="J74" s="82"/>
      <c r="K74" s="82"/>
      <c r="L74" s="82"/>
      <c r="M74" s="83"/>
      <c r="N74" s="84">
        <v>3905756</v>
      </c>
    </row>
    <row r="75" spans="2:14" hidden="1" x14ac:dyDescent="0.25">
      <c r="B75" s="181" t="s">
        <v>51</v>
      </c>
      <c r="C75" s="179"/>
      <c r="D75" s="179"/>
      <c r="E75" s="179"/>
      <c r="F75" s="179"/>
      <c r="G75" s="180"/>
      <c r="I75" s="81"/>
      <c r="J75" s="82"/>
      <c r="K75" s="82"/>
      <c r="L75" s="82"/>
      <c r="M75" s="83"/>
      <c r="N75" s="84">
        <v>3117221</v>
      </c>
    </row>
    <row r="76" spans="2:14" hidden="1" x14ac:dyDescent="0.25">
      <c r="B76" s="181" t="s">
        <v>52</v>
      </c>
      <c r="C76" s="179"/>
      <c r="D76" s="179"/>
      <c r="E76" s="179"/>
      <c r="F76" s="179"/>
      <c r="G76" s="180"/>
      <c r="I76" s="81"/>
      <c r="J76" s="82"/>
      <c r="K76" s="82"/>
      <c r="L76" s="82"/>
      <c r="M76" s="83"/>
      <c r="N76" s="84">
        <v>3117221</v>
      </c>
    </row>
    <row r="77" spans="2:14" ht="15.75" hidden="1" thickBot="1" x14ac:dyDescent="0.3">
      <c r="B77" s="182" t="s">
        <v>30</v>
      </c>
      <c r="C77" s="183"/>
      <c r="D77" s="183"/>
      <c r="E77" s="183"/>
      <c r="F77" s="183"/>
      <c r="G77" s="184">
        <f>SUM(G71:G72)</f>
        <v>0</v>
      </c>
      <c r="I77" s="85"/>
      <c r="J77" s="86"/>
      <c r="K77" s="86"/>
      <c r="L77" s="86"/>
      <c r="M77" s="87">
        <f>SUM(M71:M72)</f>
        <v>0</v>
      </c>
      <c r="N77" s="88">
        <f>SUM(N71:N76)</f>
        <v>21857466</v>
      </c>
    </row>
    <row r="78" spans="2:14" hidden="1" x14ac:dyDescent="0.25">
      <c r="B78" s="176"/>
      <c r="C78" s="176"/>
      <c r="D78" s="176"/>
      <c r="E78" s="176"/>
      <c r="F78" s="176"/>
      <c r="G78" s="176"/>
      <c r="I78" s="77"/>
      <c r="J78" s="77"/>
      <c r="K78" s="77"/>
      <c r="L78" s="77"/>
      <c r="M78" s="77"/>
      <c r="N78" s="77"/>
    </row>
    <row r="79" spans="2:14" ht="15.75" hidden="1" thickBot="1" x14ac:dyDescent="0.3">
      <c r="B79" s="167" t="s">
        <v>16</v>
      </c>
      <c r="C79" s="168"/>
      <c r="D79" s="168"/>
      <c r="E79" s="168"/>
      <c r="F79" s="168"/>
      <c r="G79" s="169"/>
      <c r="H79" s="24"/>
      <c r="I79" s="127" t="s">
        <v>23</v>
      </c>
      <c r="J79" s="128"/>
      <c r="K79" s="128"/>
      <c r="L79" s="128"/>
      <c r="M79" s="128"/>
      <c r="N79" s="129"/>
    </row>
    <row r="80" spans="2:14" hidden="1" x14ac:dyDescent="0.25">
      <c r="B80" s="170" t="s">
        <v>60</v>
      </c>
      <c r="C80" s="171"/>
      <c r="D80" s="171"/>
      <c r="E80" s="171"/>
      <c r="F80" s="171"/>
      <c r="G80" s="172"/>
      <c r="I80" s="136" t="s">
        <v>61</v>
      </c>
      <c r="J80" s="137"/>
      <c r="K80" s="137"/>
      <c r="L80" s="137"/>
      <c r="M80" s="137"/>
      <c r="N80" s="138"/>
    </row>
    <row r="81" spans="2:14" hidden="1" x14ac:dyDescent="0.25">
      <c r="B81" s="173"/>
      <c r="C81" s="174" t="s">
        <v>18</v>
      </c>
      <c r="D81" s="174" t="s">
        <v>20</v>
      </c>
      <c r="E81" s="174" t="s">
        <v>19</v>
      </c>
      <c r="F81" s="174" t="s">
        <v>21</v>
      </c>
      <c r="G81" s="175" t="s">
        <v>22</v>
      </c>
      <c r="I81" s="78" t="s">
        <v>18</v>
      </c>
      <c r="J81" s="75" t="s">
        <v>20</v>
      </c>
      <c r="K81" s="75" t="s">
        <v>19</v>
      </c>
      <c r="L81" s="75" t="s">
        <v>21</v>
      </c>
      <c r="M81" s="76" t="s">
        <v>24</v>
      </c>
      <c r="N81" s="64" t="s">
        <v>25</v>
      </c>
    </row>
    <row r="82" spans="2:14" hidden="1" x14ac:dyDescent="0.25">
      <c r="B82" s="152" t="s">
        <v>31</v>
      </c>
      <c r="C82" s="32"/>
      <c r="D82" s="32"/>
      <c r="E82" s="32"/>
      <c r="F82" s="32"/>
      <c r="G82" s="177">
        <f t="shared" ref="G82:G87" si="6">SUM(C82:F82)</f>
        <v>0</v>
      </c>
      <c r="I82" s="65"/>
      <c r="J82" s="66"/>
      <c r="K82" s="66"/>
      <c r="L82" s="66"/>
      <c r="M82" s="67">
        <f t="shared" ref="M82:M87" si="7">(I82*C82+J82*D82+K82*E82+L82*F82)*N82</f>
        <v>0</v>
      </c>
      <c r="N82" s="68">
        <v>4501056.1500000004</v>
      </c>
    </row>
    <row r="83" spans="2:14" hidden="1" x14ac:dyDescent="0.25">
      <c r="B83" s="152" t="s">
        <v>32</v>
      </c>
      <c r="C83" s="32"/>
      <c r="D83" s="32"/>
      <c r="E83" s="32"/>
      <c r="F83" s="32"/>
      <c r="G83" s="177">
        <f t="shared" si="6"/>
        <v>0</v>
      </c>
      <c r="I83" s="65"/>
      <c r="J83" s="66"/>
      <c r="K83" s="66"/>
      <c r="L83" s="66"/>
      <c r="M83" s="67">
        <f t="shared" si="7"/>
        <v>0</v>
      </c>
      <c r="N83" s="68">
        <v>3401261.92</v>
      </c>
    </row>
    <row r="84" spans="2:14" hidden="1" x14ac:dyDescent="0.25">
      <c r="B84" s="152" t="s">
        <v>33</v>
      </c>
      <c r="C84" s="32"/>
      <c r="D84" s="32"/>
      <c r="E84" s="32"/>
      <c r="F84" s="32"/>
      <c r="G84" s="177">
        <f t="shared" si="6"/>
        <v>0</v>
      </c>
      <c r="I84" s="65"/>
      <c r="J84" s="66"/>
      <c r="K84" s="66"/>
      <c r="L84" s="66"/>
      <c r="M84" s="67">
        <f t="shared" si="7"/>
        <v>0</v>
      </c>
      <c r="N84" s="68">
        <v>4501056.1500000004</v>
      </c>
    </row>
    <row r="85" spans="2:14" hidden="1" x14ac:dyDescent="0.25">
      <c r="B85" s="152" t="s">
        <v>34</v>
      </c>
      <c r="C85" s="32"/>
      <c r="D85" s="32"/>
      <c r="E85" s="32"/>
      <c r="F85" s="32"/>
      <c r="G85" s="177">
        <f t="shared" si="6"/>
        <v>0</v>
      </c>
      <c r="I85" s="65"/>
      <c r="J85" s="66"/>
      <c r="K85" s="66"/>
      <c r="L85" s="66"/>
      <c r="M85" s="67">
        <f t="shared" si="7"/>
        <v>0</v>
      </c>
      <c r="N85" s="68">
        <v>3801233.8</v>
      </c>
    </row>
    <row r="86" spans="2:14" hidden="1" x14ac:dyDescent="0.25">
      <c r="B86" s="152" t="s">
        <v>35</v>
      </c>
      <c r="C86" s="32"/>
      <c r="D86" s="32"/>
      <c r="E86" s="32"/>
      <c r="F86" s="32"/>
      <c r="G86" s="177">
        <f t="shared" si="6"/>
        <v>0</v>
      </c>
      <c r="I86" s="65"/>
      <c r="J86" s="66"/>
      <c r="K86" s="66"/>
      <c r="L86" s="66"/>
      <c r="M86" s="67">
        <f t="shared" si="7"/>
        <v>0</v>
      </c>
      <c r="N86" s="68">
        <v>3801233.8</v>
      </c>
    </row>
    <row r="87" spans="2:14" hidden="1" x14ac:dyDescent="0.25">
      <c r="B87" s="152" t="s">
        <v>36</v>
      </c>
      <c r="C87" s="32"/>
      <c r="D87" s="32"/>
      <c r="E87" s="32"/>
      <c r="F87" s="32"/>
      <c r="G87" s="177">
        <f t="shared" si="6"/>
        <v>0</v>
      </c>
      <c r="I87" s="65"/>
      <c r="J87" s="66"/>
      <c r="K87" s="66"/>
      <c r="L87" s="66"/>
      <c r="M87" s="67">
        <f t="shared" si="7"/>
        <v>0</v>
      </c>
      <c r="N87" s="68">
        <v>3401261.92</v>
      </c>
    </row>
    <row r="88" spans="2:14" hidden="1" x14ac:dyDescent="0.25">
      <c r="B88" s="152" t="s">
        <v>37</v>
      </c>
      <c r="C88" s="32"/>
      <c r="D88" s="32"/>
      <c r="E88" s="32"/>
      <c r="F88" s="32"/>
      <c r="G88" s="177"/>
      <c r="I88" s="65"/>
      <c r="J88" s="66"/>
      <c r="K88" s="66"/>
      <c r="L88" s="66"/>
      <c r="M88" s="67"/>
      <c r="N88" s="68">
        <v>3401261.92</v>
      </c>
    </row>
    <row r="89" spans="2:14" hidden="1" x14ac:dyDescent="0.25">
      <c r="B89" s="152" t="s">
        <v>38</v>
      </c>
      <c r="C89" s="32"/>
      <c r="D89" s="32"/>
      <c r="E89" s="32"/>
      <c r="F89" s="32"/>
      <c r="G89" s="177"/>
      <c r="I89" s="65"/>
      <c r="J89" s="66"/>
      <c r="K89" s="66"/>
      <c r="L89" s="66"/>
      <c r="M89" s="67"/>
      <c r="N89" s="68">
        <v>3401261.92</v>
      </c>
    </row>
    <row r="90" spans="2:14" hidden="1" x14ac:dyDescent="0.25">
      <c r="B90" s="152" t="s">
        <v>39</v>
      </c>
      <c r="C90" s="32"/>
      <c r="D90" s="32"/>
      <c r="E90" s="32"/>
      <c r="F90" s="32"/>
      <c r="G90" s="177"/>
      <c r="I90" s="65"/>
      <c r="J90" s="66"/>
      <c r="K90" s="66"/>
      <c r="L90" s="66"/>
      <c r="M90" s="67"/>
      <c r="N90" s="68">
        <v>3401261.92</v>
      </c>
    </row>
    <row r="91" spans="2:14" hidden="1" x14ac:dyDescent="0.25">
      <c r="B91" s="152" t="s">
        <v>28</v>
      </c>
      <c r="C91" s="32"/>
      <c r="D91" s="32"/>
      <c r="E91" s="32"/>
      <c r="F91" s="32"/>
      <c r="G91" s="178">
        <f>SUM(G82:G87)</f>
        <v>0</v>
      </c>
      <c r="I91" s="65"/>
      <c r="J91" s="66"/>
      <c r="K91" s="66"/>
      <c r="L91" s="66"/>
      <c r="M91" s="67">
        <f>SUM(M82:M87)</f>
        <v>0</v>
      </c>
      <c r="N91" s="68">
        <f>SUM(N82:N90)</f>
        <v>33610889.500000007</v>
      </c>
    </row>
    <row r="92" spans="2:14" hidden="1" x14ac:dyDescent="0.25">
      <c r="B92" s="161"/>
      <c r="C92" s="162"/>
      <c r="D92" s="162"/>
      <c r="E92" s="162"/>
      <c r="F92" s="162"/>
      <c r="G92" s="163"/>
      <c r="I92" s="69"/>
      <c r="J92" s="70"/>
      <c r="K92" s="70"/>
      <c r="L92" s="70"/>
      <c r="M92" s="70"/>
      <c r="N92" s="71"/>
    </row>
    <row r="93" spans="2:14" hidden="1" x14ac:dyDescent="0.25">
      <c r="B93" s="152" t="s">
        <v>40</v>
      </c>
      <c r="C93" s="32"/>
      <c r="D93" s="32"/>
      <c r="E93" s="32"/>
      <c r="F93" s="32"/>
      <c r="G93" s="177">
        <f>SUM(C93:F93)</f>
        <v>0</v>
      </c>
      <c r="I93" s="65"/>
      <c r="J93" s="66"/>
      <c r="K93" s="66"/>
      <c r="L93" s="66"/>
      <c r="M93" s="67">
        <f>(I93*C93+J93*D93+K93*E93+L93*F93)*N93</f>
        <v>0</v>
      </c>
      <c r="N93" s="68">
        <v>4401267.08</v>
      </c>
    </row>
    <row r="94" spans="2:14" hidden="1" x14ac:dyDescent="0.25">
      <c r="B94" s="152" t="s">
        <v>41</v>
      </c>
      <c r="C94" s="32"/>
      <c r="D94" s="32"/>
      <c r="E94" s="32"/>
      <c r="F94" s="32"/>
      <c r="G94" s="177">
        <f>SUM(C94:F94)</f>
        <v>0</v>
      </c>
      <c r="I94" s="65"/>
      <c r="J94" s="66"/>
      <c r="K94" s="66"/>
      <c r="L94" s="66"/>
      <c r="M94" s="67">
        <f>(I94*C94+J94*D94+K94*E94+L94*F94)*N94</f>
        <v>0</v>
      </c>
      <c r="N94" s="68">
        <v>4000871.37</v>
      </c>
    </row>
    <row r="95" spans="2:14" hidden="1" x14ac:dyDescent="0.25">
      <c r="B95" s="152" t="s">
        <v>42</v>
      </c>
      <c r="C95" s="32"/>
      <c r="D95" s="32"/>
      <c r="E95" s="32"/>
      <c r="F95" s="32"/>
      <c r="G95" s="177">
        <f>SUM(C95:F95)</f>
        <v>0</v>
      </c>
      <c r="I95" s="65"/>
      <c r="J95" s="66"/>
      <c r="K95" s="66"/>
      <c r="L95" s="66"/>
      <c r="M95" s="67">
        <f>(I95*C95+J95*D95+K95*E95+L95*F95)*N95</f>
        <v>0</v>
      </c>
      <c r="N95" s="68">
        <v>4000871.38</v>
      </c>
    </row>
    <row r="96" spans="2:14" hidden="1" x14ac:dyDescent="0.25">
      <c r="B96" s="152" t="s">
        <v>43</v>
      </c>
      <c r="C96" s="32"/>
      <c r="D96" s="32"/>
      <c r="E96" s="32"/>
      <c r="F96" s="32"/>
      <c r="G96" s="177">
        <f>SUM(C96:F96)</f>
        <v>0</v>
      </c>
      <c r="I96" s="65"/>
      <c r="J96" s="66"/>
      <c r="K96" s="66"/>
      <c r="L96" s="66"/>
      <c r="M96" s="67">
        <f>(I96*C96+J96*D96+K96*E96+L96*F96)*N96</f>
        <v>0</v>
      </c>
      <c r="N96" s="68">
        <v>3401261.92</v>
      </c>
    </row>
    <row r="97" spans="2:14" hidden="1" x14ac:dyDescent="0.25">
      <c r="B97" s="152" t="s">
        <v>44</v>
      </c>
      <c r="C97" s="32"/>
      <c r="D97" s="32"/>
      <c r="E97" s="32"/>
      <c r="F97" s="32"/>
      <c r="G97" s="177">
        <f>SUM(C97:F97)</f>
        <v>0</v>
      </c>
      <c r="I97" s="65"/>
      <c r="J97" s="66"/>
      <c r="K97" s="66"/>
      <c r="L97" s="66"/>
      <c r="M97" s="67">
        <f>(I97*C97+J97*D97+K97*E97+L97*F97)*N97</f>
        <v>0</v>
      </c>
      <c r="N97" s="68">
        <v>3401261.92</v>
      </c>
    </row>
    <row r="98" spans="2:14" hidden="1" x14ac:dyDescent="0.25">
      <c r="B98" s="152" t="s">
        <v>45</v>
      </c>
      <c r="C98" s="32"/>
      <c r="D98" s="32"/>
      <c r="E98" s="32"/>
      <c r="F98" s="32"/>
      <c r="G98" s="177"/>
      <c r="I98" s="65"/>
      <c r="J98" s="66"/>
      <c r="K98" s="66"/>
      <c r="L98" s="66"/>
      <c r="M98" s="67"/>
      <c r="N98" s="68">
        <v>3401261.92</v>
      </c>
    </row>
    <row r="99" spans="2:14" hidden="1" x14ac:dyDescent="0.25">
      <c r="B99" s="152" t="s">
        <v>46</v>
      </c>
      <c r="C99" s="32"/>
      <c r="D99" s="32"/>
      <c r="E99" s="32"/>
      <c r="F99" s="32"/>
      <c r="G99" s="177"/>
      <c r="I99" s="65"/>
      <c r="J99" s="66"/>
      <c r="K99" s="66"/>
      <c r="L99" s="66"/>
      <c r="M99" s="67"/>
      <c r="N99" s="68">
        <v>4000871.37</v>
      </c>
    </row>
    <row r="100" spans="2:14" hidden="1" x14ac:dyDescent="0.25">
      <c r="B100" s="152" t="s">
        <v>29</v>
      </c>
      <c r="C100" s="32"/>
      <c r="D100" s="32"/>
      <c r="E100" s="32"/>
      <c r="F100" s="32"/>
      <c r="G100" s="178">
        <f>SUM(G93:G97)</f>
        <v>0</v>
      </c>
      <c r="I100" s="79"/>
      <c r="J100" s="80"/>
      <c r="K100" s="80"/>
      <c r="L100" s="80"/>
      <c r="M100" s="67">
        <f>SUM(M93:M97)</f>
        <v>0</v>
      </c>
      <c r="N100" s="68">
        <f>SUM(N93:N99)</f>
        <v>26607666.959999997</v>
      </c>
    </row>
    <row r="101" spans="2:14" hidden="1" x14ac:dyDescent="0.25">
      <c r="B101" s="161"/>
      <c r="C101" s="162"/>
      <c r="D101" s="162"/>
      <c r="E101" s="162"/>
      <c r="F101" s="162"/>
      <c r="G101" s="163"/>
      <c r="I101" s="69"/>
      <c r="J101" s="70"/>
      <c r="K101" s="70"/>
      <c r="L101" s="70"/>
      <c r="M101" s="70"/>
      <c r="N101" s="71"/>
    </row>
    <row r="102" spans="2:14" hidden="1" x14ac:dyDescent="0.25">
      <c r="B102" s="152" t="s">
        <v>47</v>
      </c>
      <c r="C102" s="32"/>
      <c r="D102" s="32"/>
      <c r="E102" s="32"/>
      <c r="F102" s="32"/>
      <c r="G102" s="177">
        <f>SUM(C102:F102)</f>
        <v>0</v>
      </c>
      <c r="I102" s="65"/>
      <c r="J102" s="66"/>
      <c r="K102" s="66"/>
      <c r="L102" s="66"/>
      <c r="M102" s="67">
        <f>(I102*C102+J102*D102+K102*E102+L102*F102)*N102</f>
        <v>0</v>
      </c>
      <c r="N102" s="68">
        <v>4501056.1500000004</v>
      </c>
    </row>
    <row r="103" spans="2:14" hidden="1" x14ac:dyDescent="0.25">
      <c r="B103" s="152" t="s">
        <v>48</v>
      </c>
      <c r="C103" s="32"/>
      <c r="D103" s="32"/>
      <c r="E103" s="32"/>
      <c r="F103" s="32"/>
      <c r="G103" s="177">
        <f>SUM(C103:F103)</f>
        <v>0</v>
      </c>
      <c r="I103" s="65"/>
      <c r="J103" s="66"/>
      <c r="K103" s="66"/>
      <c r="L103" s="66"/>
      <c r="M103" s="67">
        <f>(I103*C103+J103*D103+K103*E103+L103*F103)*N103</f>
        <v>0</v>
      </c>
      <c r="N103" s="68">
        <v>4501056.1500000004</v>
      </c>
    </row>
    <row r="104" spans="2:14" hidden="1" x14ac:dyDescent="0.25">
      <c r="B104" s="152" t="s">
        <v>49</v>
      </c>
      <c r="C104" s="179"/>
      <c r="D104" s="179"/>
      <c r="E104" s="179"/>
      <c r="F104" s="179"/>
      <c r="G104" s="180"/>
      <c r="I104" s="81"/>
      <c r="J104" s="82"/>
      <c r="K104" s="82"/>
      <c r="L104" s="82"/>
      <c r="M104" s="83"/>
      <c r="N104" s="84">
        <v>4501056.1500000004</v>
      </c>
    </row>
    <row r="105" spans="2:14" hidden="1" x14ac:dyDescent="0.25">
      <c r="B105" s="181" t="s">
        <v>50</v>
      </c>
      <c r="C105" s="179"/>
      <c r="D105" s="179"/>
      <c r="E105" s="179"/>
      <c r="F105" s="179"/>
      <c r="G105" s="180"/>
      <c r="I105" s="81"/>
      <c r="J105" s="82"/>
      <c r="K105" s="82"/>
      <c r="L105" s="82"/>
      <c r="M105" s="83"/>
      <c r="N105" s="84">
        <v>4401267.08</v>
      </c>
    </row>
    <row r="106" spans="2:14" hidden="1" x14ac:dyDescent="0.25">
      <c r="B106" s="181" t="s">
        <v>51</v>
      </c>
      <c r="C106" s="179"/>
      <c r="D106" s="179"/>
      <c r="E106" s="179"/>
      <c r="F106" s="179"/>
      <c r="G106" s="180"/>
      <c r="I106" s="81"/>
      <c r="J106" s="82"/>
      <c r="K106" s="82"/>
      <c r="L106" s="82"/>
      <c r="M106" s="83"/>
      <c r="N106" s="84">
        <v>3401261.92</v>
      </c>
    </row>
    <row r="107" spans="2:14" hidden="1" x14ac:dyDescent="0.25">
      <c r="B107" s="181" t="s">
        <v>52</v>
      </c>
      <c r="C107" s="179"/>
      <c r="D107" s="179"/>
      <c r="E107" s="179"/>
      <c r="F107" s="179"/>
      <c r="G107" s="180"/>
      <c r="I107" s="81"/>
      <c r="J107" s="82"/>
      <c r="K107" s="82"/>
      <c r="L107" s="82"/>
      <c r="M107" s="83"/>
      <c r="N107" s="84">
        <v>3401261.92</v>
      </c>
    </row>
    <row r="108" spans="2:14" ht="15.75" hidden="1" thickBot="1" x14ac:dyDescent="0.3">
      <c r="B108" s="182" t="s">
        <v>30</v>
      </c>
      <c r="C108" s="183"/>
      <c r="D108" s="183"/>
      <c r="E108" s="183"/>
      <c r="F108" s="183"/>
      <c r="G108" s="184">
        <f>SUM(G102:G103)</f>
        <v>0</v>
      </c>
      <c r="I108" s="85"/>
      <c r="J108" s="86"/>
      <c r="K108" s="86"/>
      <c r="L108" s="86"/>
      <c r="M108" s="87">
        <f>SUM(M102:M103)</f>
        <v>0</v>
      </c>
      <c r="N108" s="88">
        <f>SUM(N102:N107)</f>
        <v>24706959.370000005</v>
      </c>
    </row>
    <row r="109" spans="2:14" hidden="1" x14ac:dyDescent="0.25">
      <c r="B109" s="176"/>
      <c r="C109" s="176"/>
      <c r="D109" s="176"/>
      <c r="E109" s="176"/>
      <c r="F109" s="176"/>
      <c r="G109" s="176"/>
      <c r="I109" s="77"/>
      <c r="J109" s="77"/>
      <c r="K109" s="77"/>
      <c r="L109" s="77"/>
      <c r="M109" s="77"/>
      <c r="N109" s="77"/>
    </row>
    <row r="110" spans="2:14" ht="15.75" hidden="1" thickBot="1" x14ac:dyDescent="0.3">
      <c r="B110" s="167" t="s">
        <v>16</v>
      </c>
      <c r="C110" s="168"/>
      <c r="D110" s="168"/>
      <c r="E110" s="168"/>
      <c r="F110" s="168"/>
      <c r="G110" s="169"/>
      <c r="H110" s="24"/>
      <c r="I110" s="127" t="s">
        <v>23</v>
      </c>
      <c r="J110" s="128"/>
      <c r="K110" s="128"/>
      <c r="L110" s="128"/>
      <c r="M110" s="128"/>
      <c r="N110" s="129"/>
    </row>
    <row r="111" spans="2:14" hidden="1" x14ac:dyDescent="0.25">
      <c r="B111" s="170" t="s">
        <v>62</v>
      </c>
      <c r="C111" s="171"/>
      <c r="D111" s="171"/>
      <c r="E111" s="171"/>
      <c r="F111" s="171"/>
      <c r="G111" s="172"/>
      <c r="I111" s="136" t="s">
        <v>63</v>
      </c>
      <c r="J111" s="137"/>
      <c r="K111" s="137"/>
      <c r="L111" s="137"/>
      <c r="M111" s="137"/>
      <c r="N111" s="138"/>
    </row>
    <row r="112" spans="2:14" hidden="1" x14ac:dyDescent="0.25">
      <c r="B112" s="173"/>
      <c r="C112" s="174" t="s">
        <v>18</v>
      </c>
      <c r="D112" s="174" t="s">
        <v>20</v>
      </c>
      <c r="E112" s="174" t="s">
        <v>19</v>
      </c>
      <c r="F112" s="174" t="s">
        <v>21</v>
      </c>
      <c r="G112" s="175" t="s">
        <v>22</v>
      </c>
      <c r="I112" s="78" t="s">
        <v>18</v>
      </c>
      <c r="J112" s="75" t="s">
        <v>20</v>
      </c>
      <c r="K112" s="75" t="s">
        <v>19</v>
      </c>
      <c r="L112" s="75" t="s">
        <v>21</v>
      </c>
      <c r="M112" s="76" t="s">
        <v>24</v>
      </c>
      <c r="N112" s="64" t="s">
        <v>25</v>
      </c>
    </row>
    <row r="113" spans="2:14" hidden="1" x14ac:dyDescent="0.25">
      <c r="B113" s="152" t="s">
        <v>31</v>
      </c>
      <c r="C113" s="32"/>
      <c r="D113" s="32"/>
      <c r="E113" s="32"/>
      <c r="F113" s="32"/>
      <c r="G113" s="177">
        <f t="shared" ref="G113:G118" si="8">SUM(C113:F113)</f>
        <v>0</v>
      </c>
      <c r="I113" s="65"/>
      <c r="J113" s="66"/>
      <c r="K113" s="66"/>
      <c r="L113" s="66"/>
      <c r="M113" s="67">
        <f t="shared" ref="M113:M118" si="9">(I113*C113+J113*D113+K113*E113+L113*F113)*N113</f>
        <v>0</v>
      </c>
      <c r="N113" s="68">
        <v>5725607.0899999999</v>
      </c>
    </row>
    <row r="114" spans="2:14" hidden="1" x14ac:dyDescent="0.25">
      <c r="B114" s="152" t="s">
        <v>32</v>
      </c>
      <c r="C114" s="32"/>
      <c r="D114" s="32"/>
      <c r="E114" s="32"/>
      <c r="F114" s="32"/>
      <c r="G114" s="177">
        <f t="shared" si="8"/>
        <v>0</v>
      </c>
      <c r="I114" s="65"/>
      <c r="J114" s="66"/>
      <c r="K114" s="66"/>
      <c r="L114" s="66"/>
      <c r="M114" s="67">
        <f t="shared" si="9"/>
        <v>0</v>
      </c>
      <c r="N114" s="68">
        <v>4769904.1500000004</v>
      </c>
    </row>
    <row r="115" spans="2:14" hidden="1" x14ac:dyDescent="0.25">
      <c r="B115" s="152" t="s">
        <v>33</v>
      </c>
      <c r="C115" s="32"/>
      <c r="D115" s="32"/>
      <c r="E115" s="32"/>
      <c r="F115" s="32"/>
      <c r="G115" s="177">
        <f t="shared" si="8"/>
        <v>0</v>
      </c>
      <c r="I115" s="65"/>
      <c r="J115" s="66"/>
      <c r="K115" s="66"/>
      <c r="L115" s="66"/>
      <c r="M115" s="67">
        <f t="shared" si="9"/>
        <v>0</v>
      </c>
      <c r="N115" s="68">
        <v>4516198.1100000003</v>
      </c>
    </row>
    <row r="116" spans="2:14" hidden="1" x14ac:dyDescent="0.25">
      <c r="B116" s="152" t="s">
        <v>34</v>
      </c>
      <c r="C116" s="32"/>
      <c r="D116" s="32"/>
      <c r="E116" s="32"/>
      <c r="F116" s="32"/>
      <c r="G116" s="177">
        <f t="shared" si="8"/>
        <v>0</v>
      </c>
      <c r="I116" s="65"/>
      <c r="J116" s="66"/>
      <c r="K116" s="66"/>
      <c r="L116" s="66"/>
      <c r="M116" s="67">
        <f t="shared" si="9"/>
        <v>0</v>
      </c>
      <c r="N116" s="68">
        <v>4854472.83</v>
      </c>
    </row>
    <row r="117" spans="2:14" hidden="1" x14ac:dyDescent="0.25">
      <c r="B117" s="152" t="s">
        <v>35</v>
      </c>
      <c r="C117" s="32"/>
      <c r="D117" s="32"/>
      <c r="E117" s="32"/>
      <c r="F117" s="32"/>
      <c r="G117" s="177">
        <f t="shared" si="8"/>
        <v>0</v>
      </c>
      <c r="I117" s="65"/>
      <c r="J117" s="66"/>
      <c r="K117" s="66"/>
      <c r="L117" s="66"/>
      <c r="M117" s="67">
        <f t="shared" si="9"/>
        <v>0</v>
      </c>
      <c r="N117" s="68">
        <v>4854472.83</v>
      </c>
    </row>
    <row r="118" spans="2:14" hidden="1" x14ac:dyDescent="0.25">
      <c r="B118" s="152" t="s">
        <v>36</v>
      </c>
      <c r="C118" s="32"/>
      <c r="D118" s="32"/>
      <c r="E118" s="32"/>
      <c r="F118" s="32"/>
      <c r="G118" s="177">
        <f t="shared" si="8"/>
        <v>0</v>
      </c>
      <c r="I118" s="65"/>
      <c r="J118" s="66"/>
      <c r="K118" s="66"/>
      <c r="L118" s="66"/>
      <c r="M118" s="67">
        <f t="shared" si="9"/>
        <v>0</v>
      </c>
      <c r="N118" s="68">
        <v>2266517.4900000002</v>
      </c>
    </row>
    <row r="119" spans="2:14" hidden="1" x14ac:dyDescent="0.25">
      <c r="B119" s="152" t="s">
        <v>37</v>
      </c>
      <c r="C119" s="32"/>
      <c r="D119" s="32"/>
      <c r="E119" s="32"/>
      <c r="F119" s="32"/>
      <c r="G119" s="177"/>
      <c r="I119" s="65"/>
      <c r="J119" s="66"/>
      <c r="K119" s="66"/>
      <c r="L119" s="66"/>
      <c r="M119" s="67"/>
      <c r="N119" s="68">
        <v>2266517.4900000002</v>
      </c>
    </row>
    <row r="120" spans="2:14" hidden="1" x14ac:dyDescent="0.25">
      <c r="B120" s="152" t="s">
        <v>38</v>
      </c>
      <c r="C120" s="32"/>
      <c r="D120" s="32"/>
      <c r="E120" s="32"/>
      <c r="F120" s="32"/>
      <c r="G120" s="177"/>
      <c r="I120" s="65"/>
      <c r="J120" s="66"/>
      <c r="K120" s="66"/>
      <c r="L120" s="66"/>
      <c r="M120" s="67"/>
      <c r="N120" s="68">
        <v>2266517.4900000002</v>
      </c>
    </row>
    <row r="121" spans="2:14" hidden="1" x14ac:dyDescent="0.25">
      <c r="B121" s="152" t="s">
        <v>39</v>
      </c>
      <c r="C121" s="32"/>
      <c r="D121" s="32"/>
      <c r="E121" s="32"/>
      <c r="F121" s="32"/>
      <c r="G121" s="177"/>
      <c r="I121" s="65"/>
      <c r="J121" s="66"/>
      <c r="K121" s="66"/>
      <c r="L121" s="66"/>
      <c r="M121" s="67"/>
      <c r="N121" s="68">
        <v>2266517.4900000002</v>
      </c>
    </row>
    <row r="122" spans="2:14" hidden="1" x14ac:dyDescent="0.25">
      <c r="B122" s="152" t="s">
        <v>28</v>
      </c>
      <c r="C122" s="32"/>
      <c r="D122" s="32"/>
      <c r="E122" s="32"/>
      <c r="F122" s="32"/>
      <c r="G122" s="178">
        <f>SUM(G113:G118)</f>
        <v>0</v>
      </c>
      <c r="I122" s="65"/>
      <c r="J122" s="66"/>
      <c r="K122" s="66"/>
      <c r="L122" s="66"/>
      <c r="M122" s="67">
        <f>SUM(M113:M118)</f>
        <v>0</v>
      </c>
      <c r="N122" s="68">
        <f>SUM(N113:N121)</f>
        <v>33786724.970000006</v>
      </c>
    </row>
    <row r="123" spans="2:14" hidden="1" x14ac:dyDescent="0.25">
      <c r="B123" s="161"/>
      <c r="C123" s="162"/>
      <c r="D123" s="162"/>
      <c r="E123" s="162"/>
      <c r="F123" s="162"/>
      <c r="G123" s="163"/>
      <c r="I123" s="69"/>
      <c r="J123" s="70"/>
      <c r="K123" s="70"/>
      <c r="L123" s="70"/>
      <c r="M123" s="70"/>
      <c r="N123" s="71"/>
    </row>
    <row r="124" spans="2:14" hidden="1" x14ac:dyDescent="0.25">
      <c r="B124" s="152" t="s">
        <v>40</v>
      </c>
      <c r="C124" s="32"/>
      <c r="D124" s="32"/>
      <c r="E124" s="32"/>
      <c r="F124" s="32"/>
      <c r="G124" s="177">
        <f>SUM(C124:F124)</f>
        <v>0</v>
      </c>
      <c r="I124" s="65"/>
      <c r="J124" s="66"/>
      <c r="K124" s="66"/>
      <c r="L124" s="66"/>
      <c r="M124" s="67">
        <f>(I124*C124+J124*D124+K124*E124+L124*F124)*N124</f>
        <v>0</v>
      </c>
      <c r="N124" s="68">
        <v>10482657.119999999</v>
      </c>
    </row>
    <row r="125" spans="2:14" hidden="1" x14ac:dyDescent="0.25">
      <c r="B125" s="152" t="s">
        <v>41</v>
      </c>
      <c r="C125" s="32"/>
      <c r="D125" s="32"/>
      <c r="E125" s="32"/>
      <c r="F125" s="32"/>
      <c r="G125" s="177">
        <f>SUM(C125:F125)</f>
        <v>0</v>
      </c>
      <c r="I125" s="65"/>
      <c r="J125" s="66"/>
      <c r="K125" s="66"/>
      <c r="L125" s="66"/>
      <c r="M125" s="67">
        <f>(I125*C125+J125*D125+K125*E125+L125*F125)*N125</f>
        <v>0</v>
      </c>
      <c r="N125" s="68">
        <v>3778618.69</v>
      </c>
    </row>
    <row r="126" spans="2:14" hidden="1" x14ac:dyDescent="0.25">
      <c r="B126" s="152" t="s">
        <v>42</v>
      </c>
      <c r="C126" s="32"/>
      <c r="D126" s="32"/>
      <c r="E126" s="32"/>
      <c r="F126" s="32"/>
      <c r="G126" s="177">
        <f>SUM(C126:F126)</f>
        <v>0</v>
      </c>
      <c r="I126" s="65"/>
      <c r="J126" s="66"/>
      <c r="K126" s="66"/>
      <c r="L126" s="66"/>
      <c r="M126" s="67">
        <f>(I126*C126+J126*D126+K126*E126+L126*F126)*N126</f>
        <v>0</v>
      </c>
      <c r="N126" s="68">
        <v>3100012.63</v>
      </c>
    </row>
    <row r="127" spans="2:14" hidden="1" x14ac:dyDescent="0.25">
      <c r="B127" s="152" t="s">
        <v>43</v>
      </c>
      <c r="C127" s="32"/>
      <c r="D127" s="32"/>
      <c r="E127" s="32"/>
      <c r="F127" s="32"/>
      <c r="G127" s="177">
        <f>SUM(C127:F127)</f>
        <v>0</v>
      </c>
      <c r="I127" s="65"/>
      <c r="J127" s="66"/>
      <c r="K127" s="66"/>
      <c r="L127" s="66"/>
      <c r="M127" s="67">
        <f>(I127*C127+J127*D127+K127*E127+L127*F127)*N127</f>
        <v>0</v>
      </c>
      <c r="N127" s="68">
        <v>2164272.06</v>
      </c>
    </row>
    <row r="128" spans="2:14" hidden="1" x14ac:dyDescent="0.25">
      <c r="B128" s="152" t="s">
        <v>44</v>
      </c>
      <c r="C128" s="32"/>
      <c r="D128" s="32"/>
      <c r="E128" s="32"/>
      <c r="F128" s="32"/>
      <c r="G128" s="177">
        <f>SUM(C128:F128)</f>
        <v>0</v>
      </c>
      <c r="I128" s="65"/>
      <c r="J128" s="66"/>
      <c r="K128" s="66"/>
      <c r="L128" s="66"/>
      <c r="M128" s="67">
        <f>(I128*C128+J128*D128+K128*E128+L128*F128)*N128</f>
        <v>0</v>
      </c>
      <c r="N128" s="68">
        <v>2021419.56</v>
      </c>
    </row>
    <row r="129" spans="2:19" hidden="1" x14ac:dyDescent="0.25">
      <c r="B129" s="152" t="s">
        <v>45</v>
      </c>
      <c r="C129" s="32"/>
      <c r="D129" s="32"/>
      <c r="E129" s="32"/>
      <c r="F129" s="32"/>
      <c r="G129" s="177"/>
      <c r="I129" s="65"/>
      <c r="J129" s="66"/>
      <c r="K129" s="66"/>
      <c r="L129" s="66"/>
      <c r="M129" s="67"/>
      <c r="N129" s="68">
        <v>2021419.56</v>
      </c>
    </row>
    <row r="130" spans="2:19" hidden="1" x14ac:dyDescent="0.25">
      <c r="B130" s="152" t="s">
        <v>46</v>
      </c>
      <c r="C130" s="32"/>
      <c r="D130" s="32"/>
      <c r="E130" s="32"/>
      <c r="F130" s="32"/>
      <c r="G130" s="177"/>
      <c r="I130" s="65"/>
      <c r="J130" s="66"/>
      <c r="K130" s="66"/>
      <c r="L130" s="66"/>
      <c r="M130" s="67"/>
      <c r="N130" s="68">
        <v>2957160.13</v>
      </c>
    </row>
    <row r="131" spans="2:19" hidden="1" x14ac:dyDescent="0.25">
      <c r="B131" s="152" t="s">
        <v>29</v>
      </c>
      <c r="C131" s="32"/>
      <c r="D131" s="32"/>
      <c r="E131" s="32"/>
      <c r="F131" s="32"/>
      <c r="G131" s="178">
        <f>SUM(G124:G128)</f>
        <v>0</v>
      </c>
      <c r="I131" s="79"/>
      <c r="J131" s="80"/>
      <c r="K131" s="80"/>
      <c r="L131" s="80"/>
      <c r="M131" s="67">
        <f>SUM(M124:M128)</f>
        <v>0</v>
      </c>
      <c r="N131" s="68">
        <f>SUM(N124:N130)</f>
        <v>26525559.749999993</v>
      </c>
    </row>
    <row r="132" spans="2:19" hidden="1" x14ac:dyDescent="0.25">
      <c r="B132" s="161"/>
      <c r="C132" s="162"/>
      <c r="D132" s="162"/>
      <c r="E132" s="162"/>
      <c r="F132" s="162"/>
      <c r="G132" s="163"/>
      <c r="I132" s="69"/>
      <c r="J132" s="70"/>
      <c r="K132" s="70"/>
      <c r="L132" s="70"/>
      <c r="M132" s="70"/>
      <c r="N132" s="71"/>
    </row>
    <row r="133" spans="2:19" hidden="1" x14ac:dyDescent="0.25">
      <c r="B133" s="152" t="s">
        <v>47</v>
      </c>
      <c r="C133" s="32"/>
      <c r="D133" s="32"/>
      <c r="E133" s="32"/>
      <c r="F133" s="32"/>
      <c r="G133" s="177">
        <f>SUM(C133:F133)</f>
        <v>0</v>
      </c>
      <c r="I133" s="65"/>
      <c r="J133" s="66"/>
      <c r="K133" s="66"/>
      <c r="L133" s="66"/>
      <c r="M133" s="67">
        <f>(I133*C133+J133*D133+K133*E133+L133*F133)*N133</f>
        <v>0</v>
      </c>
      <c r="N133" s="68">
        <v>7493010.4400000004</v>
      </c>
    </row>
    <row r="134" spans="2:19" hidden="1" x14ac:dyDescent="0.25">
      <c r="B134" s="152" t="s">
        <v>48</v>
      </c>
      <c r="C134" s="32"/>
      <c r="D134" s="32"/>
      <c r="E134" s="32"/>
      <c r="F134" s="32"/>
      <c r="G134" s="177">
        <f>SUM(C134:F134)</f>
        <v>0</v>
      </c>
      <c r="I134" s="65"/>
      <c r="J134" s="66"/>
      <c r="K134" s="66"/>
      <c r="L134" s="66"/>
      <c r="M134" s="67">
        <f>(I134*C134+J134*D134+K134*E134+L134*F134)*N134</f>
        <v>0</v>
      </c>
      <c r="N134" s="68">
        <v>4971493.75</v>
      </c>
    </row>
    <row r="135" spans="2:19" hidden="1" x14ac:dyDescent="0.25">
      <c r="B135" s="152" t="s">
        <v>49</v>
      </c>
      <c r="C135" s="179"/>
      <c r="D135" s="179"/>
      <c r="E135" s="179"/>
      <c r="F135" s="179"/>
      <c r="G135" s="180"/>
      <c r="I135" s="81"/>
      <c r="J135" s="82"/>
      <c r="K135" s="82"/>
      <c r="L135" s="82"/>
      <c r="M135" s="83"/>
      <c r="N135" s="84">
        <v>4800070.75</v>
      </c>
    </row>
    <row r="136" spans="2:19" hidden="1" x14ac:dyDescent="0.25">
      <c r="B136" s="181" t="s">
        <v>50</v>
      </c>
      <c r="C136" s="179"/>
      <c r="D136" s="179"/>
      <c r="E136" s="179"/>
      <c r="F136" s="179"/>
      <c r="G136" s="180"/>
      <c r="I136" s="81"/>
      <c r="J136" s="82"/>
      <c r="K136" s="82"/>
      <c r="L136" s="82"/>
      <c r="M136" s="83"/>
      <c r="N136" s="84">
        <v>4092894.19</v>
      </c>
    </row>
    <row r="137" spans="2:19" hidden="1" x14ac:dyDescent="0.25">
      <c r="B137" s="181" t="s">
        <v>51</v>
      </c>
      <c r="C137" s="179"/>
      <c r="D137" s="179"/>
      <c r="E137" s="179"/>
      <c r="F137" s="179"/>
      <c r="G137" s="180"/>
      <c r="I137" s="81"/>
      <c r="J137" s="82"/>
      <c r="K137" s="82"/>
      <c r="L137" s="82"/>
      <c r="M137" s="83"/>
      <c r="N137" s="84">
        <v>1878567.06</v>
      </c>
    </row>
    <row r="138" spans="2:19" hidden="1" x14ac:dyDescent="0.25">
      <c r="B138" s="181" t="s">
        <v>52</v>
      </c>
      <c r="C138" s="179"/>
      <c r="D138" s="179"/>
      <c r="E138" s="179"/>
      <c r="F138" s="179"/>
      <c r="G138" s="180"/>
      <c r="I138" s="81"/>
      <c r="J138" s="82"/>
      <c r="K138" s="82"/>
      <c r="L138" s="82"/>
      <c r="M138" s="83"/>
      <c r="N138" s="84">
        <v>1650003.06</v>
      </c>
    </row>
    <row r="139" spans="2:19" ht="15.75" hidden="1" thickBot="1" x14ac:dyDescent="0.3">
      <c r="B139" s="182" t="s">
        <v>30</v>
      </c>
      <c r="C139" s="183"/>
      <c r="D139" s="183"/>
      <c r="E139" s="183"/>
      <c r="F139" s="183"/>
      <c r="G139" s="184">
        <f>SUM(G133:G134)</f>
        <v>0</v>
      </c>
      <c r="I139" s="85"/>
      <c r="J139" s="86"/>
      <c r="K139" s="86"/>
      <c r="L139" s="86"/>
      <c r="M139" s="87">
        <f>SUM(M133:M134)</f>
        <v>0</v>
      </c>
      <c r="N139" s="88">
        <f>SUM(N133:N138)</f>
        <v>24886039.25</v>
      </c>
    </row>
    <row r="140" spans="2:19" ht="15.75" thickBot="1" x14ac:dyDescent="0.3">
      <c r="B140" s="176"/>
      <c r="C140" s="176"/>
      <c r="D140" s="176"/>
      <c r="E140" s="176"/>
      <c r="F140" s="176"/>
      <c r="G140" s="176"/>
      <c r="I140" s="77"/>
      <c r="J140" s="77"/>
      <c r="K140" s="77"/>
      <c r="L140" s="77"/>
      <c r="M140" s="77"/>
      <c r="N140" s="77"/>
    </row>
    <row r="141" spans="2:19" ht="15.75" thickBot="1" x14ac:dyDescent="0.3">
      <c r="B141" s="167" t="s">
        <v>16</v>
      </c>
      <c r="C141" s="168"/>
      <c r="D141" s="168"/>
      <c r="E141" s="168"/>
      <c r="F141" s="168"/>
      <c r="G141" s="169"/>
      <c r="H141" s="24"/>
      <c r="I141" s="127" t="s">
        <v>23</v>
      </c>
      <c r="J141" s="128"/>
      <c r="K141" s="128"/>
      <c r="L141" s="128"/>
      <c r="M141" s="128"/>
      <c r="N141" s="129"/>
    </row>
    <row r="142" spans="2:19" x14ac:dyDescent="0.25">
      <c r="B142" s="170" t="s">
        <v>242</v>
      </c>
      <c r="C142" s="171"/>
      <c r="D142" s="171"/>
      <c r="E142" s="171"/>
      <c r="F142" s="171"/>
      <c r="G142" s="172"/>
      <c r="I142" s="115" t="s">
        <v>74</v>
      </c>
      <c r="J142" s="116"/>
      <c r="K142" s="116"/>
      <c r="L142" s="116"/>
      <c r="M142" s="116"/>
      <c r="N142" s="117"/>
    </row>
    <row r="143" spans="2:19" x14ac:dyDescent="0.25">
      <c r="B143" s="173"/>
      <c r="C143" s="152" t="s">
        <v>70</v>
      </c>
      <c r="D143" s="174" t="s">
        <v>20</v>
      </c>
      <c r="E143" s="174" t="s">
        <v>19</v>
      </c>
      <c r="F143" s="174" t="s">
        <v>21</v>
      </c>
      <c r="G143" s="175" t="s">
        <v>22</v>
      </c>
      <c r="I143" s="61" t="s">
        <v>70</v>
      </c>
      <c r="J143" s="75" t="s">
        <v>20</v>
      </c>
      <c r="K143" s="75" t="s">
        <v>19</v>
      </c>
      <c r="L143" s="75" t="s">
        <v>21</v>
      </c>
      <c r="M143" s="76" t="s">
        <v>24</v>
      </c>
      <c r="N143" s="64" t="s">
        <v>69</v>
      </c>
    </row>
    <row r="144" spans="2:19" x14ac:dyDescent="0.25">
      <c r="B144" s="152" t="s">
        <v>72</v>
      </c>
      <c r="C144" s="32">
        <f>AVERAGE('São Gonçalo do Amarante'!AQ4:AQ17)</f>
        <v>0.7092857142857143</v>
      </c>
      <c r="D144" s="32">
        <f>AVERAGE('São Gonçalo do Amarante'!AQ18:AQ38)</f>
        <v>0.72142857142857131</v>
      </c>
      <c r="E144" s="32">
        <f>AVERAGE('São Gonçalo do Amarante'!AQ39:AQ46)</f>
        <v>0.70374999999999999</v>
      </c>
      <c r="F144" s="32">
        <f>AVERAGE('São Gonçalo do Amarante'!AQ47:AQ52)</f>
        <v>0.82500000000000007</v>
      </c>
      <c r="G144" s="153">
        <f t="shared" ref="G144" si="10">SUM(C144:F144)</f>
        <v>2.9594642857142857</v>
      </c>
      <c r="I144" s="66">
        <f>768333.8/4508671.92</f>
        <v>0.17041244376015721</v>
      </c>
      <c r="J144" s="66">
        <f>2265677/4508671.92</f>
        <v>0.50251538373189064</v>
      </c>
      <c r="K144" s="66">
        <f>834210.72/4508671.92</f>
        <v>0.18502360224959549</v>
      </c>
      <c r="L144" s="66">
        <f>640450.4/4508671.92</f>
        <v>0.14204857025835671</v>
      </c>
      <c r="M144" s="67">
        <f>(I144*C144+J144*D144+K144*E144+L144*F144)*N144</f>
        <v>3294939.6837714287</v>
      </c>
      <c r="N144" s="68">
        <v>4508671.92</v>
      </c>
      <c r="P144" s="20"/>
      <c r="Q144" s="20"/>
      <c r="R144" s="20"/>
      <c r="S144" s="20"/>
    </row>
    <row r="145" spans="2:14" x14ac:dyDescent="0.25">
      <c r="B145" s="44" t="s">
        <v>71</v>
      </c>
      <c r="C145" s="118">
        <f>AVERAGE(C144:F144)</f>
        <v>0.73986607142857141</v>
      </c>
      <c r="D145" s="119"/>
      <c r="E145" s="119"/>
      <c r="F145" s="119"/>
      <c r="G145" s="120"/>
      <c r="I145" s="121"/>
      <c r="J145" s="122"/>
      <c r="K145" s="122"/>
      <c r="L145" s="122"/>
      <c r="M145" s="122"/>
      <c r="N145" s="123"/>
    </row>
    <row r="146" spans="2:14" x14ac:dyDescent="0.25">
      <c r="B146" s="21"/>
      <c r="C146" s="22"/>
      <c r="D146" s="22"/>
      <c r="E146" s="22"/>
      <c r="F146" s="22"/>
      <c r="G146" s="23"/>
      <c r="I146" s="69"/>
      <c r="J146" s="70"/>
      <c r="K146" s="70"/>
      <c r="L146" s="70"/>
      <c r="M146" s="70"/>
      <c r="N146" s="71"/>
    </row>
  </sheetData>
  <mergeCells count="36">
    <mergeCell ref="B37:G37"/>
    <mergeCell ref="I37:N37"/>
    <mergeCell ref="I38:N38"/>
    <mergeCell ref="I45:N45"/>
    <mergeCell ref="I42:N42"/>
    <mergeCell ref="C45:G45"/>
    <mergeCell ref="B48:G48"/>
    <mergeCell ref="I48:N48"/>
    <mergeCell ref="B49:G49"/>
    <mergeCell ref="I49:N49"/>
    <mergeCell ref="B79:G79"/>
    <mergeCell ref="I79:N79"/>
    <mergeCell ref="B141:G141"/>
    <mergeCell ref="I141:N141"/>
    <mergeCell ref="B80:G80"/>
    <mergeCell ref="I80:N80"/>
    <mergeCell ref="B110:G110"/>
    <mergeCell ref="I110:N110"/>
    <mergeCell ref="B111:G111"/>
    <mergeCell ref="I111:N111"/>
    <mergeCell ref="B142:G142"/>
    <mergeCell ref="I142:N142"/>
    <mergeCell ref="C145:G145"/>
    <mergeCell ref="I145:N145"/>
    <mergeCell ref="B2:G2"/>
    <mergeCell ref="I33:N33"/>
    <mergeCell ref="I2:N2"/>
    <mergeCell ref="I3:N3"/>
    <mergeCell ref="I34:N34"/>
    <mergeCell ref="B34:G34"/>
    <mergeCell ref="B3:G3"/>
    <mergeCell ref="B33:G33"/>
    <mergeCell ref="B41:G41"/>
    <mergeCell ref="I41:N41"/>
    <mergeCell ref="B42:G42"/>
    <mergeCell ref="C38:G38"/>
  </mergeCells>
  <pageMargins left="0.511811024" right="0.511811024" top="0.78740157499999996" bottom="0.78740157499999996" header="0.31496062000000002" footer="0.31496062000000002"/>
  <pageSetup paperSize="9" orientation="portrait" horizontalDpi="200" verticalDpi="200"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R57"/>
  <sheetViews>
    <sheetView zoomScale="80" zoomScaleNormal="80" zoomScalePageLayoutView="80" workbookViewId="0">
      <pane xSplit="9" ySplit="3" topLeftCell="M4" activePane="bottomRight" state="frozen"/>
      <selection pane="topRight" activeCell="J1" sqref="J1"/>
      <selection pane="bottomLeft" activeCell="A4" sqref="A4"/>
      <selection pane="bottomRight" activeCell="N6" sqref="N6"/>
    </sheetView>
  </sheetViews>
  <sheetFormatPr defaultColWidth="9.140625" defaultRowHeight="15" x14ac:dyDescent="0.25"/>
  <cols>
    <col min="1" max="1" width="4.42578125" style="45" customWidth="1"/>
    <col min="2" max="2" width="18.28515625" style="46" customWidth="1"/>
    <col min="3" max="3" width="21.42578125" style="46" customWidth="1"/>
    <col min="4" max="4" width="50.85546875" style="46" customWidth="1"/>
    <col min="5" max="5" width="6.7109375" style="46" hidden="1" customWidth="1"/>
    <col min="6" max="6" width="20.140625" style="46" hidden="1" customWidth="1"/>
    <col min="7" max="7" width="14.28515625" style="46" hidden="1" customWidth="1"/>
    <col min="8" max="8" width="9.140625" style="46" hidden="1" customWidth="1"/>
    <col min="9" max="9" width="52.85546875" style="57" hidden="1" customWidth="1"/>
    <col min="10" max="10" width="1.85546875" style="46" customWidth="1"/>
    <col min="11" max="11" width="11.42578125" style="46" customWidth="1"/>
    <col min="12" max="12" width="11" style="46" customWidth="1"/>
    <col min="13" max="13" width="9.140625" style="46" customWidth="1"/>
    <col min="14" max="14" width="116.7109375" style="46" customWidth="1"/>
    <col min="15" max="15" width="1.42578125" style="46" customWidth="1"/>
    <col min="16" max="16" width="20.140625" style="46" customWidth="1"/>
    <col min="17" max="17" width="14.28515625" style="46" bestFit="1" customWidth="1"/>
    <col min="18" max="18" width="9" style="46" bestFit="1" customWidth="1"/>
    <col min="19" max="19" width="131" style="46" customWidth="1"/>
    <col min="20" max="20" width="6.85546875" style="46" hidden="1" customWidth="1"/>
    <col min="21" max="21" width="17.85546875" style="46" hidden="1" customWidth="1"/>
    <col min="22" max="22" width="18.42578125" style="46" hidden="1" customWidth="1"/>
    <col min="23" max="23" width="14.140625" style="46" hidden="1" customWidth="1"/>
    <col min="24" max="24" width="55.140625" style="46" hidden="1" customWidth="1"/>
    <col min="25" max="25" width="0" style="46" hidden="1" customWidth="1"/>
    <col min="26" max="26" width="14.85546875" style="46" hidden="1" customWidth="1"/>
    <col min="27" max="27" width="16" style="46" hidden="1" customWidth="1"/>
    <col min="28" max="28" width="0" style="46" hidden="1" customWidth="1"/>
    <col min="29" max="29" width="66.42578125" style="46" hidden="1" customWidth="1"/>
    <col min="30" max="30" width="0" style="46" hidden="1" customWidth="1"/>
    <col min="31" max="31" width="16.42578125" style="46" hidden="1" customWidth="1"/>
    <col min="32" max="32" width="17.85546875" style="46" hidden="1" customWidth="1"/>
    <col min="33" max="33" width="0" style="46" hidden="1" customWidth="1"/>
    <col min="34" max="34" width="60.28515625" style="46" hidden="1" customWidth="1"/>
    <col min="35" max="35" width="3.42578125" style="46" customWidth="1"/>
    <col min="36" max="36" width="17" style="46" hidden="1" customWidth="1"/>
    <col min="37" max="37" width="18" style="46" hidden="1" customWidth="1"/>
    <col min="38" max="38" width="0" style="46" hidden="1" customWidth="1"/>
    <col min="39" max="39" width="61" style="46" hidden="1" customWidth="1"/>
    <col min="40" max="40" width="7.28515625" style="46" hidden="1" customWidth="1"/>
    <col min="41" max="41" width="19.42578125" style="46" bestFit="1" customWidth="1"/>
    <col min="42" max="42" width="14.28515625" style="46" bestFit="1" customWidth="1"/>
    <col min="43" max="43" width="9" style="46" bestFit="1" customWidth="1"/>
    <col min="44" max="44" width="132.85546875" style="46" customWidth="1"/>
    <col min="45" max="16384" width="9.140625" style="46"/>
  </cols>
  <sheetData>
    <row r="1" spans="1:44" x14ac:dyDescent="0.25">
      <c r="I1" s="46"/>
    </row>
    <row r="2" spans="1:44" s="59" customFormat="1" ht="64.5" customHeight="1" x14ac:dyDescent="0.2">
      <c r="A2" s="58"/>
      <c r="B2" s="147" t="s">
        <v>12</v>
      </c>
      <c r="C2" s="147"/>
      <c r="D2" s="147"/>
      <c r="F2" s="142" t="s">
        <v>64</v>
      </c>
      <c r="G2" s="142"/>
      <c r="H2" s="142"/>
      <c r="I2" s="142"/>
      <c r="K2" s="144" t="s">
        <v>141</v>
      </c>
      <c r="L2" s="145"/>
      <c r="M2" s="145"/>
      <c r="N2" s="146"/>
      <c r="P2" s="143" t="s">
        <v>142</v>
      </c>
      <c r="Q2" s="143"/>
      <c r="R2" s="143"/>
      <c r="S2" s="143"/>
      <c r="U2" s="142" t="s">
        <v>65</v>
      </c>
      <c r="V2" s="142"/>
      <c r="W2" s="142"/>
      <c r="X2" s="142"/>
      <c r="Z2" s="142" t="s">
        <v>66</v>
      </c>
      <c r="AA2" s="142"/>
      <c r="AB2" s="142"/>
      <c r="AC2" s="142"/>
      <c r="AE2" s="142" t="s">
        <v>67</v>
      </c>
      <c r="AF2" s="142"/>
      <c r="AG2" s="142"/>
      <c r="AH2" s="142"/>
      <c r="AJ2" s="142" t="s">
        <v>68</v>
      </c>
      <c r="AK2" s="142"/>
      <c r="AL2" s="142"/>
      <c r="AM2" s="142"/>
      <c r="AO2" s="143" t="s">
        <v>143</v>
      </c>
      <c r="AP2" s="143"/>
      <c r="AQ2" s="143"/>
      <c r="AR2" s="143"/>
    </row>
    <row r="3" spans="1:44" s="59" customFormat="1" ht="72" x14ac:dyDescent="0.25">
      <c r="A3" s="58"/>
      <c r="B3" s="47" t="s">
        <v>0</v>
      </c>
      <c r="C3" s="47" t="s">
        <v>1</v>
      </c>
      <c r="D3" s="47" t="s">
        <v>2</v>
      </c>
      <c r="F3" s="60" t="s">
        <v>13</v>
      </c>
      <c r="G3" s="60" t="s">
        <v>14</v>
      </c>
      <c r="H3" s="60" t="s">
        <v>17</v>
      </c>
      <c r="I3" s="60" t="s">
        <v>15</v>
      </c>
      <c r="K3" s="60" t="s">
        <v>13</v>
      </c>
      <c r="L3" s="60" t="s">
        <v>14</v>
      </c>
      <c r="M3" s="60" t="s">
        <v>17</v>
      </c>
      <c r="N3" s="60" t="s">
        <v>15</v>
      </c>
      <c r="P3" s="60" t="s">
        <v>13</v>
      </c>
      <c r="Q3" s="60" t="s">
        <v>14</v>
      </c>
      <c r="R3" s="60" t="s">
        <v>17</v>
      </c>
      <c r="S3" s="60" t="s">
        <v>15</v>
      </c>
      <c r="U3" s="60" t="s">
        <v>13</v>
      </c>
      <c r="V3" s="60" t="s">
        <v>14</v>
      </c>
      <c r="W3" s="60" t="s">
        <v>17</v>
      </c>
      <c r="X3" s="60" t="s">
        <v>15</v>
      </c>
      <c r="Z3" s="60" t="s">
        <v>13</v>
      </c>
      <c r="AA3" s="60" t="s">
        <v>14</v>
      </c>
      <c r="AB3" s="60" t="s">
        <v>17</v>
      </c>
      <c r="AC3" s="60" t="s">
        <v>15</v>
      </c>
      <c r="AE3" s="60" t="s">
        <v>13</v>
      </c>
      <c r="AF3" s="60" t="s">
        <v>14</v>
      </c>
      <c r="AG3" s="60" t="s">
        <v>17</v>
      </c>
      <c r="AH3" s="60" t="s">
        <v>15</v>
      </c>
      <c r="AJ3" s="60" t="s">
        <v>13</v>
      </c>
      <c r="AK3" s="60" t="s">
        <v>14</v>
      </c>
      <c r="AL3" s="60" t="s">
        <v>17</v>
      </c>
      <c r="AM3" s="60" t="s">
        <v>15</v>
      </c>
      <c r="AO3" s="60" t="s">
        <v>13</v>
      </c>
      <c r="AP3" s="60" t="s">
        <v>14</v>
      </c>
      <c r="AQ3" s="60" t="s">
        <v>17</v>
      </c>
      <c r="AR3" s="60" t="s">
        <v>15</v>
      </c>
    </row>
    <row r="4" spans="1:44" s="48" customFormat="1" ht="154.5" customHeight="1" x14ac:dyDescent="0.25">
      <c r="A4" s="48">
        <v>1</v>
      </c>
      <c r="B4" s="49" t="s">
        <v>3</v>
      </c>
      <c r="C4" s="49" t="s">
        <v>4</v>
      </c>
      <c r="D4" s="50" t="s">
        <v>75</v>
      </c>
      <c r="F4" s="51"/>
      <c r="G4" s="52"/>
      <c r="H4" s="53">
        <v>0</v>
      </c>
      <c r="I4" s="49"/>
      <c r="K4" s="51">
        <v>1</v>
      </c>
      <c r="L4" s="96">
        <v>0.9</v>
      </c>
      <c r="M4" s="53">
        <v>0.9</v>
      </c>
      <c r="N4" s="94" t="s">
        <v>144</v>
      </c>
      <c r="P4" s="51">
        <v>1</v>
      </c>
      <c r="Q4" s="96">
        <v>0.9</v>
      </c>
      <c r="R4" s="53">
        <f>P4*Q4</f>
        <v>0.9</v>
      </c>
      <c r="S4" s="89" t="s">
        <v>233</v>
      </c>
      <c r="U4" s="51"/>
      <c r="V4" s="52"/>
      <c r="W4" s="53">
        <f>U4*V4</f>
        <v>0</v>
      </c>
      <c r="X4" s="49"/>
      <c r="Z4" s="51"/>
      <c r="AA4" s="52"/>
      <c r="AB4" s="53">
        <f>Z4*AA4</f>
        <v>0</v>
      </c>
      <c r="AC4" s="49"/>
      <c r="AE4" s="51"/>
      <c r="AF4" s="52"/>
      <c r="AG4" s="53">
        <f>AE4*AF4</f>
        <v>0</v>
      </c>
      <c r="AH4" s="49"/>
      <c r="AJ4" s="51"/>
      <c r="AK4" s="52"/>
      <c r="AL4" s="53">
        <f>AJ4*AK4</f>
        <v>0</v>
      </c>
      <c r="AM4" s="49"/>
      <c r="AO4" s="51">
        <v>1</v>
      </c>
      <c r="AP4" s="96">
        <v>0.9</v>
      </c>
      <c r="AQ4" s="53">
        <f>AO4*AP4</f>
        <v>0.9</v>
      </c>
      <c r="AR4" s="89" t="s">
        <v>140</v>
      </c>
    </row>
    <row r="5" spans="1:44" s="48" customFormat="1" ht="158.25" customHeight="1" x14ac:dyDescent="0.25">
      <c r="A5" s="48">
        <v>2</v>
      </c>
      <c r="B5" s="49" t="s">
        <v>3</v>
      </c>
      <c r="C5" s="49" t="s">
        <v>4</v>
      </c>
      <c r="D5" s="50" t="s">
        <v>98</v>
      </c>
      <c r="F5" s="51"/>
      <c r="G5" s="52"/>
      <c r="H5" s="53">
        <v>0</v>
      </c>
      <c r="I5" s="49"/>
      <c r="K5" s="51">
        <v>1</v>
      </c>
      <c r="L5" s="96">
        <v>1</v>
      </c>
      <c r="M5" s="53">
        <f t="shared" ref="M5:M52" si="0">K5*L5</f>
        <v>1</v>
      </c>
      <c r="N5" s="90" t="s">
        <v>234</v>
      </c>
      <c r="P5" s="51">
        <v>1</v>
      </c>
      <c r="Q5" s="96">
        <v>1</v>
      </c>
      <c r="R5" s="53">
        <f t="shared" ref="R5:R52" si="1">P5*Q5</f>
        <v>1</v>
      </c>
      <c r="S5" s="90" t="s">
        <v>234</v>
      </c>
      <c r="U5" s="51"/>
      <c r="V5" s="52"/>
      <c r="W5" s="53">
        <f t="shared" ref="W5:W52" si="2">U5*V5</f>
        <v>0</v>
      </c>
      <c r="X5" s="49"/>
      <c r="Z5" s="51"/>
      <c r="AA5" s="52"/>
      <c r="AB5" s="53">
        <f t="shared" ref="AB5:AB52" si="3">Z5*AA5</f>
        <v>0</v>
      </c>
      <c r="AC5" s="49"/>
      <c r="AE5" s="51"/>
      <c r="AF5" s="52"/>
      <c r="AG5" s="53">
        <f t="shared" ref="AG5:AG52" si="4">AE5*AF5</f>
        <v>0</v>
      </c>
      <c r="AH5" s="49"/>
      <c r="AJ5" s="51"/>
      <c r="AK5" s="52"/>
      <c r="AL5" s="53">
        <f t="shared" ref="AL5:AL52" si="5">AJ5*AK5</f>
        <v>0</v>
      </c>
      <c r="AM5" s="49"/>
      <c r="AO5" s="51">
        <v>1</v>
      </c>
      <c r="AP5" s="96">
        <v>0.9</v>
      </c>
      <c r="AQ5" s="53">
        <v>0.9</v>
      </c>
      <c r="AR5" s="90" t="s">
        <v>131</v>
      </c>
    </row>
    <row r="6" spans="1:44" s="48" customFormat="1" ht="150.75" customHeight="1" x14ac:dyDescent="0.25">
      <c r="A6" s="48">
        <v>3</v>
      </c>
      <c r="B6" s="49" t="s">
        <v>3</v>
      </c>
      <c r="C6" s="49" t="s">
        <v>4</v>
      </c>
      <c r="D6" s="50" t="s">
        <v>76</v>
      </c>
      <c r="F6" s="51"/>
      <c r="G6" s="52"/>
      <c r="H6" s="53">
        <v>0</v>
      </c>
      <c r="I6" s="49"/>
      <c r="K6" s="51">
        <v>1</v>
      </c>
      <c r="L6" s="96">
        <v>0.95</v>
      </c>
      <c r="M6" s="53">
        <v>0.95</v>
      </c>
      <c r="N6" s="91" t="s">
        <v>241</v>
      </c>
      <c r="P6" s="51">
        <v>1</v>
      </c>
      <c r="Q6" s="96">
        <v>0.75</v>
      </c>
      <c r="R6" s="53">
        <v>0.75</v>
      </c>
      <c r="S6" s="93" t="s">
        <v>130</v>
      </c>
      <c r="U6" s="51"/>
      <c r="V6" s="52"/>
      <c r="W6" s="53">
        <f t="shared" si="2"/>
        <v>0</v>
      </c>
      <c r="X6" s="49"/>
      <c r="Z6" s="51"/>
      <c r="AA6" s="52"/>
      <c r="AB6" s="53">
        <f t="shared" si="3"/>
        <v>0</v>
      </c>
      <c r="AC6" s="49"/>
      <c r="AE6" s="51"/>
      <c r="AF6" s="52"/>
      <c r="AG6" s="53">
        <f t="shared" si="4"/>
        <v>0</v>
      </c>
      <c r="AH6" s="49"/>
      <c r="AJ6" s="51"/>
      <c r="AK6" s="52"/>
      <c r="AL6" s="53">
        <f t="shared" si="5"/>
        <v>0</v>
      </c>
      <c r="AM6" s="49"/>
      <c r="AO6" s="51">
        <v>1</v>
      </c>
      <c r="AP6" s="96">
        <v>0.8</v>
      </c>
      <c r="AQ6" s="53">
        <v>0.8</v>
      </c>
      <c r="AR6" s="93" t="s">
        <v>235</v>
      </c>
    </row>
    <row r="7" spans="1:44" s="48" customFormat="1" ht="132" customHeight="1" x14ac:dyDescent="0.25">
      <c r="A7" s="48">
        <v>4</v>
      </c>
      <c r="B7" s="49" t="s">
        <v>3</v>
      </c>
      <c r="C7" s="49" t="s">
        <v>4</v>
      </c>
      <c r="D7" s="50" t="s">
        <v>77</v>
      </c>
      <c r="F7" s="51"/>
      <c r="G7" s="52"/>
      <c r="H7" s="53">
        <v>0</v>
      </c>
      <c r="I7" s="49"/>
      <c r="K7" s="51">
        <v>1</v>
      </c>
      <c r="L7" s="96">
        <v>1</v>
      </c>
      <c r="M7" s="53">
        <f t="shared" si="0"/>
        <v>1</v>
      </c>
      <c r="N7" s="90" t="s">
        <v>234</v>
      </c>
      <c r="P7" s="51">
        <v>1</v>
      </c>
      <c r="Q7" s="96">
        <v>0.7</v>
      </c>
      <c r="R7" s="53">
        <f t="shared" si="1"/>
        <v>0.7</v>
      </c>
      <c r="S7" s="90" t="s">
        <v>236</v>
      </c>
      <c r="U7" s="51"/>
      <c r="V7" s="52"/>
      <c r="W7" s="53">
        <f t="shared" si="2"/>
        <v>0</v>
      </c>
      <c r="X7" s="49"/>
      <c r="Z7" s="51"/>
      <c r="AA7" s="52"/>
      <c r="AB7" s="53">
        <f t="shared" si="3"/>
        <v>0</v>
      </c>
      <c r="AC7" s="49"/>
      <c r="AE7" s="51"/>
      <c r="AF7" s="52"/>
      <c r="AG7" s="53">
        <f t="shared" si="4"/>
        <v>0</v>
      </c>
      <c r="AH7" s="49"/>
      <c r="AJ7" s="51"/>
      <c r="AK7" s="52"/>
      <c r="AL7" s="53">
        <f t="shared" si="5"/>
        <v>0</v>
      </c>
      <c r="AM7" s="49"/>
      <c r="AO7" s="51">
        <v>1</v>
      </c>
      <c r="AP7" s="96">
        <v>0.95</v>
      </c>
      <c r="AQ7" s="53">
        <v>0.95</v>
      </c>
      <c r="AR7" s="90" t="s">
        <v>145</v>
      </c>
    </row>
    <row r="8" spans="1:44" s="48" customFormat="1" ht="147.75" customHeight="1" x14ac:dyDescent="0.25">
      <c r="A8" s="48">
        <v>5</v>
      </c>
      <c r="B8" s="49" t="s">
        <v>3</v>
      </c>
      <c r="C8" s="49" t="s">
        <v>4</v>
      </c>
      <c r="D8" s="50" t="s">
        <v>99</v>
      </c>
      <c r="F8" s="51"/>
      <c r="G8" s="52"/>
      <c r="H8" s="53">
        <v>0</v>
      </c>
      <c r="I8" s="49"/>
      <c r="K8" s="51">
        <v>1</v>
      </c>
      <c r="L8" s="96">
        <v>0.95</v>
      </c>
      <c r="M8" s="53">
        <v>0.95</v>
      </c>
      <c r="N8" s="90" t="s">
        <v>132</v>
      </c>
      <c r="P8" s="51">
        <v>1</v>
      </c>
      <c r="Q8" s="96">
        <v>1</v>
      </c>
      <c r="R8" s="53">
        <f t="shared" si="1"/>
        <v>1</v>
      </c>
      <c r="S8" s="90" t="s">
        <v>234</v>
      </c>
      <c r="U8" s="51"/>
      <c r="V8" s="52"/>
      <c r="W8" s="53">
        <f t="shared" si="2"/>
        <v>0</v>
      </c>
      <c r="X8" s="49"/>
      <c r="Z8" s="51"/>
      <c r="AA8" s="52"/>
      <c r="AB8" s="53">
        <f t="shared" si="3"/>
        <v>0</v>
      </c>
      <c r="AC8" s="49"/>
      <c r="AE8" s="51"/>
      <c r="AF8" s="52"/>
      <c r="AG8" s="53">
        <f t="shared" si="4"/>
        <v>0</v>
      </c>
      <c r="AH8" s="49"/>
      <c r="AJ8" s="51"/>
      <c r="AK8" s="52"/>
      <c r="AL8" s="53">
        <f t="shared" si="5"/>
        <v>0</v>
      </c>
      <c r="AM8" s="49"/>
      <c r="AO8" s="51">
        <v>1</v>
      </c>
      <c r="AP8" s="96">
        <v>0.95</v>
      </c>
      <c r="AQ8" s="53">
        <v>0.95</v>
      </c>
      <c r="AR8" s="90" t="s">
        <v>146</v>
      </c>
    </row>
    <row r="9" spans="1:44" s="48" customFormat="1" ht="126" customHeight="1" x14ac:dyDescent="0.25">
      <c r="A9" s="48">
        <v>6</v>
      </c>
      <c r="B9" s="49" t="s">
        <v>3</v>
      </c>
      <c r="C9" s="49" t="s">
        <v>4</v>
      </c>
      <c r="D9" s="50" t="s">
        <v>78</v>
      </c>
      <c r="F9" s="51"/>
      <c r="G9" s="52"/>
      <c r="H9" s="53">
        <v>0</v>
      </c>
      <c r="I9" s="49"/>
      <c r="K9" s="51">
        <v>1</v>
      </c>
      <c r="L9" s="96">
        <v>1</v>
      </c>
      <c r="M9" s="53">
        <f t="shared" si="0"/>
        <v>1</v>
      </c>
      <c r="N9" s="90" t="s">
        <v>234</v>
      </c>
      <c r="P9" s="51">
        <v>1</v>
      </c>
      <c r="Q9" s="96">
        <v>1</v>
      </c>
      <c r="R9" s="53">
        <f t="shared" si="1"/>
        <v>1</v>
      </c>
      <c r="S9" s="90" t="s">
        <v>234</v>
      </c>
      <c r="U9" s="51"/>
      <c r="V9" s="52"/>
      <c r="W9" s="53">
        <f t="shared" si="2"/>
        <v>0</v>
      </c>
      <c r="X9" s="49"/>
      <c r="Z9" s="51"/>
      <c r="AA9" s="52"/>
      <c r="AB9" s="53">
        <f t="shared" si="3"/>
        <v>0</v>
      </c>
      <c r="AC9" s="49"/>
      <c r="AE9" s="51"/>
      <c r="AF9" s="52"/>
      <c r="AG9" s="53">
        <f t="shared" si="4"/>
        <v>0</v>
      </c>
      <c r="AH9" s="49"/>
      <c r="AJ9" s="51"/>
      <c r="AK9" s="52"/>
      <c r="AL9" s="53">
        <f t="shared" si="5"/>
        <v>0</v>
      </c>
      <c r="AM9" s="49"/>
      <c r="AO9" s="51">
        <v>1</v>
      </c>
      <c r="AP9" s="96">
        <v>0.7</v>
      </c>
      <c r="AQ9" s="53">
        <f t="shared" ref="AQ9:AQ52" si="6">AO9*AP9</f>
        <v>0.7</v>
      </c>
      <c r="AR9" s="91" t="s">
        <v>147</v>
      </c>
    </row>
    <row r="10" spans="1:44" s="48" customFormat="1" ht="100.5" customHeight="1" x14ac:dyDescent="0.25">
      <c r="A10" s="48">
        <v>7</v>
      </c>
      <c r="B10" s="49" t="s">
        <v>3</v>
      </c>
      <c r="C10" s="49" t="s">
        <v>4</v>
      </c>
      <c r="D10" s="50" t="s">
        <v>79</v>
      </c>
      <c r="F10" s="51"/>
      <c r="G10" s="52"/>
      <c r="H10" s="53">
        <v>0</v>
      </c>
      <c r="I10" s="49"/>
      <c r="K10" s="51">
        <v>1</v>
      </c>
      <c r="L10" s="96">
        <v>1</v>
      </c>
      <c r="M10" s="53">
        <f t="shared" si="0"/>
        <v>1</v>
      </c>
      <c r="N10" s="90" t="s">
        <v>234</v>
      </c>
      <c r="P10" s="51">
        <v>1</v>
      </c>
      <c r="Q10" s="96">
        <v>1</v>
      </c>
      <c r="R10" s="53">
        <f t="shared" si="1"/>
        <v>1</v>
      </c>
      <c r="S10" s="90" t="s">
        <v>234</v>
      </c>
      <c r="U10" s="51"/>
      <c r="V10" s="52"/>
      <c r="W10" s="53">
        <f t="shared" si="2"/>
        <v>0</v>
      </c>
      <c r="X10" s="49"/>
      <c r="Z10" s="51"/>
      <c r="AA10" s="52"/>
      <c r="AB10" s="53">
        <f t="shared" si="3"/>
        <v>0</v>
      </c>
      <c r="AC10" s="49"/>
      <c r="AE10" s="51"/>
      <c r="AF10" s="52"/>
      <c r="AG10" s="53">
        <f t="shared" si="4"/>
        <v>0</v>
      </c>
      <c r="AH10" s="49"/>
      <c r="AJ10" s="51"/>
      <c r="AK10" s="52"/>
      <c r="AL10" s="53">
        <f t="shared" si="5"/>
        <v>0</v>
      </c>
      <c r="AM10" s="49"/>
      <c r="AO10" s="51">
        <v>1</v>
      </c>
      <c r="AP10" s="96">
        <v>0.85</v>
      </c>
      <c r="AQ10" s="53">
        <v>0.85</v>
      </c>
      <c r="AR10" s="91" t="s">
        <v>148</v>
      </c>
    </row>
    <row r="11" spans="1:44" s="48" customFormat="1" ht="143.25" customHeight="1" x14ac:dyDescent="0.25">
      <c r="A11" s="48">
        <v>8</v>
      </c>
      <c r="B11" s="49" t="s">
        <v>3</v>
      </c>
      <c r="C11" s="49" t="s">
        <v>4</v>
      </c>
      <c r="D11" s="50" t="s">
        <v>100</v>
      </c>
      <c r="F11" s="51"/>
      <c r="G11" s="52"/>
      <c r="H11" s="53">
        <v>0</v>
      </c>
      <c r="I11" s="49"/>
      <c r="K11" s="51">
        <v>1</v>
      </c>
      <c r="L11" s="96">
        <v>1</v>
      </c>
      <c r="M11" s="53">
        <f t="shared" si="0"/>
        <v>1</v>
      </c>
      <c r="N11" s="90" t="s">
        <v>234</v>
      </c>
      <c r="P11" s="51">
        <v>1</v>
      </c>
      <c r="Q11" s="96">
        <v>0.75</v>
      </c>
      <c r="R11" s="53">
        <v>0.75</v>
      </c>
      <c r="S11" s="91" t="s">
        <v>125</v>
      </c>
      <c r="U11" s="51"/>
      <c r="V11" s="52"/>
      <c r="W11" s="53">
        <f t="shared" si="2"/>
        <v>0</v>
      </c>
      <c r="X11" s="49"/>
      <c r="Z11" s="51"/>
      <c r="AA11" s="52"/>
      <c r="AB11" s="53">
        <f t="shared" si="3"/>
        <v>0</v>
      </c>
      <c r="AC11" s="49"/>
      <c r="AE11" s="51"/>
      <c r="AF11" s="52"/>
      <c r="AG11" s="53">
        <f t="shared" si="4"/>
        <v>0</v>
      </c>
      <c r="AH11" s="49"/>
      <c r="AJ11" s="51"/>
      <c r="AK11" s="52"/>
      <c r="AL11" s="53">
        <f t="shared" si="5"/>
        <v>0</v>
      </c>
      <c r="AM11" s="49"/>
      <c r="AO11" s="51">
        <v>1</v>
      </c>
      <c r="AP11" s="96">
        <v>0.5</v>
      </c>
      <c r="AQ11" s="53">
        <f t="shared" si="6"/>
        <v>0.5</v>
      </c>
      <c r="AR11" s="91" t="s">
        <v>133</v>
      </c>
    </row>
    <row r="12" spans="1:44" s="48" customFormat="1" ht="141.75" customHeight="1" x14ac:dyDescent="0.25">
      <c r="A12" s="48">
        <v>9</v>
      </c>
      <c r="B12" s="49" t="s">
        <v>3</v>
      </c>
      <c r="C12" s="49" t="s">
        <v>4</v>
      </c>
      <c r="D12" s="50" t="s">
        <v>101</v>
      </c>
      <c r="F12" s="51"/>
      <c r="G12" s="52"/>
      <c r="H12" s="53">
        <v>0</v>
      </c>
      <c r="I12" s="49"/>
      <c r="K12" s="51">
        <v>1</v>
      </c>
      <c r="L12" s="96">
        <v>0.95</v>
      </c>
      <c r="M12" s="53">
        <f t="shared" si="0"/>
        <v>0.95</v>
      </c>
      <c r="N12" s="91" t="s">
        <v>127</v>
      </c>
      <c r="P12" s="51">
        <v>1</v>
      </c>
      <c r="Q12" s="96">
        <v>1</v>
      </c>
      <c r="R12" s="53">
        <f t="shared" si="1"/>
        <v>1</v>
      </c>
      <c r="S12" s="99" t="s">
        <v>234</v>
      </c>
      <c r="U12" s="51"/>
      <c r="V12" s="52"/>
      <c r="W12" s="53">
        <f t="shared" si="2"/>
        <v>0</v>
      </c>
      <c r="X12" s="49"/>
      <c r="Z12" s="51"/>
      <c r="AA12" s="52"/>
      <c r="AB12" s="53">
        <f t="shared" si="3"/>
        <v>0</v>
      </c>
      <c r="AC12" s="49"/>
      <c r="AE12" s="51"/>
      <c r="AF12" s="52"/>
      <c r="AG12" s="53">
        <f t="shared" si="4"/>
        <v>0</v>
      </c>
      <c r="AH12" s="49"/>
      <c r="AJ12" s="51"/>
      <c r="AK12" s="52"/>
      <c r="AL12" s="53">
        <f t="shared" si="5"/>
        <v>0</v>
      </c>
      <c r="AM12" s="49"/>
      <c r="AO12" s="51">
        <v>1</v>
      </c>
      <c r="AP12" s="96">
        <v>0.25</v>
      </c>
      <c r="AQ12" s="53">
        <f t="shared" si="6"/>
        <v>0.25</v>
      </c>
      <c r="AR12" s="91" t="s">
        <v>126</v>
      </c>
    </row>
    <row r="13" spans="1:44" s="48" customFormat="1" ht="153.75" customHeight="1" x14ac:dyDescent="0.25">
      <c r="A13" s="48">
        <v>10</v>
      </c>
      <c r="B13" s="49" t="s">
        <v>3</v>
      </c>
      <c r="C13" s="49" t="s">
        <v>4</v>
      </c>
      <c r="D13" s="50" t="s">
        <v>102</v>
      </c>
      <c r="F13" s="51"/>
      <c r="G13" s="52"/>
      <c r="H13" s="53">
        <v>0</v>
      </c>
      <c r="I13" s="49"/>
      <c r="K13" s="51">
        <v>1</v>
      </c>
      <c r="L13" s="96">
        <v>0.95</v>
      </c>
      <c r="M13" s="53">
        <v>0.95</v>
      </c>
      <c r="N13" s="91" t="s">
        <v>128</v>
      </c>
      <c r="P13" s="51">
        <v>1</v>
      </c>
      <c r="Q13" s="96">
        <v>0.85</v>
      </c>
      <c r="R13" s="53">
        <f t="shared" si="1"/>
        <v>0.85</v>
      </c>
      <c r="S13" s="91" t="s">
        <v>134</v>
      </c>
      <c r="U13" s="51"/>
      <c r="V13" s="52"/>
      <c r="W13" s="53">
        <f t="shared" si="2"/>
        <v>0</v>
      </c>
      <c r="X13" s="49"/>
      <c r="Z13" s="51"/>
      <c r="AA13" s="52"/>
      <c r="AB13" s="53">
        <f t="shared" si="3"/>
        <v>0</v>
      </c>
      <c r="AC13" s="49"/>
      <c r="AE13" s="51"/>
      <c r="AF13" s="52"/>
      <c r="AG13" s="53">
        <f t="shared" si="4"/>
        <v>0</v>
      </c>
      <c r="AH13" s="49"/>
      <c r="AJ13" s="51"/>
      <c r="AK13" s="52"/>
      <c r="AL13" s="53">
        <f t="shared" si="5"/>
        <v>0</v>
      </c>
      <c r="AM13" s="49"/>
      <c r="AO13" s="51">
        <v>1</v>
      </c>
      <c r="AP13" s="96">
        <v>0.5</v>
      </c>
      <c r="AQ13" s="53">
        <f t="shared" si="6"/>
        <v>0.5</v>
      </c>
      <c r="AR13" s="91" t="s">
        <v>135</v>
      </c>
    </row>
    <row r="14" spans="1:44" s="48" customFormat="1" ht="120.75" customHeight="1" x14ac:dyDescent="0.25">
      <c r="A14" s="48">
        <v>11</v>
      </c>
      <c r="B14" s="49" t="s">
        <v>3</v>
      </c>
      <c r="C14" s="49" t="s">
        <v>81</v>
      </c>
      <c r="D14" s="50" t="s">
        <v>80</v>
      </c>
      <c r="F14" s="51"/>
      <c r="G14" s="52"/>
      <c r="H14" s="53">
        <v>0</v>
      </c>
      <c r="I14" s="49"/>
      <c r="K14" s="51">
        <v>1</v>
      </c>
      <c r="L14" s="96">
        <v>1</v>
      </c>
      <c r="M14" s="53">
        <f t="shared" si="0"/>
        <v>1</v>
      </c>
      <c r="N14" s="90" t="s">
        <v>234</v>
      </c>
      <c r="P14" s="51">
        <v>1</v>
      </c>
      <c r="Q14" s="96">
        <v>0.9</v>
      </c>
      <c r="R14" s="53">
        <f t="shared" si="1"/>
        <v>0.9</v>
      </c>
      <c r="S14" s="92" t="s">
        <v>129</v>
      </c>
      <c r="U14" s="51"/>
      <c r="V14" s="52"/>
      <c r="W14" s="53">
        <f t="shared" si="2"/>
        <v>0</v>
      </c>
      <c r="X14" s="49"/>
      <c r="Z14" s="51"/>
      <c r="AA14" s="52"/>
      <c r="AB14" s="53">
        <f t="shared" si="3"/>
        <v>0</v>
      </c>
      <c r="AC14" s="49"/>
      <c r="AE14" s="51"/>
      <c r="AF14" s="52"/>
      <c r="AG14" s="53">
        <f t="shared" si="4"/>
        <v>0</v>
      </c>
      <c r="AH14" s="49"/>
      <c r="AJ14" s="51"/>
      <c r="AK14" s="52"/>
      <c r="AL14" s="53">
        <f t="shared" si="5"/>
        <v>0</v>
      </c>
      <c r="AM14" s="49"/>
      <c r="AO14" s="51">
        <v>1</v>
      </c>
      <c r="AP14" s="96">
        <v>0.88</v>
      </c>
      <c r="AQ14" s="53">
        <v>0.88</v>
      </c>
      <c r="AR14" s="92" t="s">
        <v>149</v>
      </c>
    </row>
    <row r="15" spans="1:44" s="48" customFormat="1" ht="174" customHeight="1" x14ac:dyDescent="0.25">
      <c r="A15" s="48">
        <v>12</v>
      </c>
      <c r="B15" s="49" t="s">
        <v>3</v>
      </c>
      <c r="C15" s="49" t="s">
        <v>81</v>
      </c>
      <c r="D15" s="50" t="s">
        <v>103</v>
      </c>
      <c r="F15" s="51"/>
      <c r="G15" s="52"/>
      <c r="H15" s="53">
        <v>0</v>
      </c>
      <c r="I15" s="49"/>
      <c r="K15" s="51">
        <v>1</v>
      </c>
      <c r="L15" s="96">
        <v>1</v>
      </c>
      <c r="M15" s="53">
        <f t="shared" si="0"/>
        <v>1</v>
      </c>
      <c r="N15" s="90" t="s">
        <v>234</v>
      </c>
      <c r="P15" s="51">
        <v>1</v>
      </c>
      <c r="Q15" s="97">
        <v>0.9</v>
      </c>
      <c r="R15" s="98">
        <v>0.9</v>
      </c>
      <c r="S15" s="91" t="s">
        <v>150</v>
      </c>
      <c r="U15" s="51"/>
      <c r="V15" s="52"/>
      <c r="W15" s="53">
        <f t="shared" si="2"/>
        <v>0</v>
      </c>
      <c r="X15" s="49"/>
      <c r="Z15" s="51"/>
      <c r="AA15" s="52"/>
      <c r="AB15" s="53">
        <f t="shared" si="3"/>
        <v>0</v>
      </c>
      <c r="AC15" s="49"/>
      <c r="AE15" s="51"/>
      <c r="AF15" s="52"/>
      <c r="AG15" s="53">
        <f t="shared" si="4"/>
        <v>0</v>
      </c>
      <c r="AH15" s="49"/>
      <c r="AJ15" s="51"/>
      <c r="AK15" s="52"/>
      <c r="AL15" s="53">
        <f t="shared" si="5"/>
        <v>0</v>
      </c>
      <c r="AM15" s="49"/>
      <c r="AO15" s="51">
        <v>1</v>
      </c>
      <c r="AP15" s="97">
        <v>0.65</v>
      </c>
      <c r="AQ15" s="98">
        <v>0.65</v>
      </c>
      <c r="AR15" s="95" t="s">
        <v>139</v>
      </c>
    </row>
    <row r="16" spans="1:44" s="48" customFormat="1" ht="111" customHeight="1" x14ac:dyDescent="0.25">
      <c r="A16" s="48">
        <v>13</v>
      </c>
      <c r="B16" s="49" t="s">
        <v>3</v>
      </c>
      <c r="C16" s="49" t="s">
        <v>83</v>
      </c>
      <c r="D16" s="50" t="s">
        <v>82</v>
      </c>
      <c r="F16" s="51"/>
      <c r="G16" s="52"/>
      <c r="H16" s="53">
        <f t="shared" ref="H16:H52" si="7">F16*G16</f>
        <v>0</v>
      </c>
      <c r="I16" s="49"/>
      <c r="K16" s="51">
        <v>1</v>
      </c>
      <c r="L16" s="96">
        <v>0.95</v>
      </c>
      <c r="M16" s="53">
        <f t="shared" si="0"/>
        <v>0.95</v>
      </c>
      <c r="N16" s="92" t="s">
        <v>136</v>
      </c>
      <c r="P16" s="51">
        <v>1</v>
      </c>
      <c r="Q16" s="52">
        <v>1</v>
      </c>
      <c r="R16" s="53">
        <f t="shared" si="1"/>
        <v>1</v>
      </c>
      <c r="S16" s="90" t="s">
        <v>234</v>
      </c>
      <c r="U16" s="51"/>
      <c r="V16" s="52"/>
      <c r="W16" s="53">
        <f t="shared" si="2"/>
        <v>0</v>
      </c>
      <c r="X16" s="49"/>
      <c r="Z16" s="51"/>
      <c r="AA16" s="52"/>
      <c r="AB16" s="53">
        <f t="shared" si="3"/>
        <v>0</v>
      </c>
      <c r="AC16" s="49"/>
      <c r="AE16" s="51"/>
      <c r="AF16" s="52"/>
      <c r="AG16" s="53">
        <f t="shared" si="4"/>
        <v>0</v>
      </c>
      <c r="AH16" s="49"/>
      <c r="AJ16" s="51"/>
      <c r="AK16" s="52"/>
      <c r="AL16" s="53">
        <f t="shared" si="5"/>
        <v>0</v>
      </c>
      <c r="AM16" s="49"/>
      <c r="AO16" s="51">
        <v>1</v>
      </c>
      <c r="AP16" s="96">
        <v>0.85</v>
      </c>
      <c r="AQ16" s="53">
        <f t="shared" si="6"/>
        <v>0.85</v>
      </c>
      <c r="AR16" s="92" t="s">
        <v>137</v>
      </c>
    </row>
    <row r="17" spans="1:44" s="48" customFormat="1" ht="126.75" customHeight="1" x14ac:dyDescent="0.25">
      <c r="A17" s="48">
        <v>14</v>
      </c>
      <c r="B17" s="49" t="s">
        <v>3</v>
      </c>
      <c r="C17" s="49" t="s">
        <v>83</v>
      </c>
      <c r="D17" s="50" t="s">
        <v>84</v>
      </c>
      <c r="F17" s="51"/>
      <c r="G17" s="52"/>
      <c r="H17" s="53">
        <f t="shared" si="7"/>
        <v>0</v>
      </c>
      <c r="I17" s="49"/>
      <c r="K17" s="51">
        <v>1</v>
      </c>
      <c r="L17" s="96">
        <v>1</v>
      </c>
      <c r="M17" s="53">
        <f t="shared" si="0"/>
        <v>1</v>
      </c>
      <c r="N17" s="90" t="s">
        <v>234</v>
      </c>
      <c r="P17" s="51">
        <v>1</v>
      </c>
      <c r="Q17" s="52">
        <v>1</v>
      </c>
      <c r="R17" s="53">
        <f t="shared" si="1"/>
        <v>1</v>
      </c>
      <c r="S17" s="90" t="s">
        <v>234</v>
      </c>
      <c r="U17" s="51"/>
      <c r="V17" s="52"/>
      <c r="W17" s="53">
        <f t="shared" si="2"/>
        <v>0</v>
      </c>
      <c r="X17" s="49"/>
      <c r="Z17" s="51"/>
      <c r="AA17" s="52"/>
      <c r="AB17" s="53">
        <f t="shared" si="3"/>
        <v>0</v>
      </c>
      <c r="AC17" s="49"/>
      <c r="AE17" s="51"/>
      <c r="AF17" s="52"/>
      <c r="AG17" s="53">
        <f t="shared" si="4"/>
        <v>0</v>
      </c>
      <c r="AH17" s="49"/>
      <c r="AJ17" s="51"/>
      <c r="AK17" s="52"/>
      <c r="AL17" s="53">
        <f t="shared" si="5"/>
        <v>0</v>
      </c>
      <c r="AM17" s="49"/>
      <c r="AO17" s="51">
        <v>1</v>
      </c>
      <c r="AP17" s="96">
        <v>0.25</v>
      </c>
      <c r="AQ17" s="100">
        <f t="shared" si="6"/>
        <v>0.25</v>
      </c>
      <c r="AR17" s="92" t="s">
        <v>138</v>
      </c>
    </row>
    <row r="18" spans="1:44" s="48" customFormat="1" ht="342.75" customHeight="1" x14ac:dyDescent="0.25">
      <c r="A18" s="48">
        <v>15</v>
      </c>
      <c r="B18" s="49" t="s">
        <v>5</v>
      </c>
      <c r="C18" s="49" t="s">
        <v>6</v>
      </c>
      <c r="D18" s="50" t="s">
        <v>104</v>
      </c>
      <c r="F18" s="51"/>
      <c r="G18" s="52"/>
      <c r="H18" s="53">
        <f t="shared" si="7"/>
        <v>0</v>
      </c>
      <c r="I18" s="49"/>
      <c r="K18" s="51">
        <v>1</v>
      </c>
      <c r="L18" s="96">
        <v>0.98</v>
      </c>
      <c r="M18" s="53">
        <f t="shared" si="0"/>
        <v>0.98</v>
      </c>
      <c r="N18" s="101" t="s">
        <v>151</v>
      </c>
      <c r="P18" s="51">
        <v>1</v>
      </c>
      <c r="Q18" s="52">
        <v>0.85</v>
      </c>
      <c r="R18" s="53">
        <f t="shared" si="1"/>
        <v>0.85</v>
      </c>
      <c r="S18" s="101" t="s">
        <v>177</v>
      </c>
      <c r="U18" s="51"/>
      <c r="V18" s="52"/>
      <c r="W18" s="53">
        <f t="shared" si="2"/>
        <v>0</v>
      </c>
      <c r="X18" s="49"/>
      <c r="Z18" s="51"/>
      <c r="AA18" s="52"/>
      <c r="AB18" s="53">
        <f t="shared" si="3"/>
        <v>0</v>
      </c>
      <c r="AC18" s="49"/>
      <c r="AE18" s="51"/>
      <c r="AF18" s="52"/>
      <c r="AG18" s="53">
        <f t="shared" si="4"/>
        <v>0</v>
      </c>
      <c r="AH18" s="49"/>
      <c r="AJ18" s="51"/>
      <c r="AK18" s="52"/>
      <c r="AL18" s="53">
        <f t="shared" si="5"/>
        <v>0</v>
      </c>
      <c r="AM18" s="49"/>
      <c r="AO18" s="51">
        <v>1</v>
      </c>
      <c r="AP18" s="96">
        <v>0.92</v>
      </c>
      <c r="AQ18" s="53">
        <f t="shared" si="6"/>
        <v>0.92</v>
      </c>
      <c r="AR18" s="101" t="s">
        <v>237</v>
      </c>
    </row>
    <row r="19" spans="1:44" s="48" customFormat="1" ht="161.25" customHeight="1" x14ac:dyDescent="0.25">
      <c r="A19" s="48">
        <v>16</v>
      </c>
      <c r="B19" s="49" t="s">
        <v>5</v>
      </c>
      <c r="C19" s="49" t="s">
        <v>6</v>
      </c>
      <c r="D19" s="50" t="s">
        <v>85</v>
      </c>
      <c r="F19" s="51"/>
      <c r="G19" s="52"/>
      <c r="H19" s="53">
        <f t="shared" si="7"/>
        <v>0</v>
      </c>
      <c r="I19" s="49"/>
      <c r="K19" s="51">
        <v>1</v>
      </c>
      <c r="L19" s="96">
        <v>0.98</v>
      </c>
      <c r="M19" s="53">
        <f t="shared" si="0"/>
        <v>0.98</v>
      </c>
      <c r="N19" s="101" t="s">
        <v>212</v>
      </c>
      <c r="P19" s="51">
        <v>1</v>
      </c>
      <c r="Q19" s="52">
        <v>0.5</v>
      </c>
      <c r="R19" s="53">
        <f t="shared" si="1"/>
        <v>0.5</v>
      </c>
      <c r="S19" s="101" t="s">
        <v>196</v>
      </c>
      <c r="U19" s="51"/>
      <c r="V19" s="52"/>
      <c r="W19" s="53">
        <f t="shared" si="2"/>
        <v>0</v>
      </c>
      <c r="X19" s="49"/>
      <c r="Z19" s="51"/>
      <c r="AA19" s="52"/>
      <c r="AB19" s="53">
        <f t="shared" si="3"/>
        <v>0</v>
      </c>
      <c r="AC19" s="49"/>
      <c r="AE19" s="51"/>
      <c r="AF19" s="52"/>
      <c r="AG19" s="53">
        <f t="shared" si="4"/>
        <v>0</v>
      </c>
      <c r="AH19" s="49"/>
      <c r="AJ19" s="51"/>
      <c r="AK19" s="52"/>
      <c r="AL19" s="53">
        <f t="shared" si="5"/>
        <v>0</v>
      </c>
      <c r="AM19" s="49"/>
      <c r="AO19" s="51">
        <v>1</v>
      </c>
      <c r="AP19" s="96">
        <v>0.96</v>
      </c>
      <c r="AQ19" s="53">
        <f t="shared" si="6"/>
        <v>0.96</v>
      </c>
      <c r="AR19" s="101" t="s">
        <v>178</v>
      </c>
    </row>
    <row r="20" spans="1:44" s="48" customFormat="1" ht="129.75" customHeight="1" x14ac:dyDescent="0.25">
      <c r="A20" s="48">
        <v>17</v>
      </c>
      <c r="B20" s="49" t="s">
        <v>5</v>
      </c>
      <c r="C20" s="49" t="s">
        <v>6</v>
      </c>
      <c r="D20" s="50" t="s">
        <v>105</v>
      </c>
      <c r="F20" s="51"/>
      <c r="G20" s="52"/>
      <c r="H20" s="53">
        <f t="shared" si="7"/>
        <v>0</v>
      </c>
      <c r="I20" s="49"/>
      <c r="K20" s="51">
        <v>1</v>
      </c>
      <c r="L20" s="96">
        <v>1</v>
      </c>
      <c r="M20" s="53">
        <f t="shared" si="0"/>
        <v>1</v>
      </c>
      <c r="N20" s="50" t="s">
        <v>234</v>
      </c>
      <c r="P20" s="51">
        <v>1</v>
      </c>
      <c r="Q20" s="52">
        <v>0.3</v>
      </c>
      <c r="R20" s="53">
        <f t="shared" si="1"/>
        <v>0.3</v>
      </c>
      <c r="S20" s="104" t="s">
        <v>197</v>
      </c>
      <c r="U20" s="51"/>
      <c r="V20" s="52"/>
      <c r="W20" s="53">
        <f t="shared" si="2"/>
        <v>0</v>
      </c>
      <c r="X20" s="49"/>
      <c r="Z20" s="51"/>
      <c r="AA20" s="52"/>
      <c r="AB20" s="53">
        <f t="shared" si="3"/>
        <v>0</v>
      </c>
      <c r="AC20" s="49"/>
      <c r="AE20" s="51"/>
      <c r="AF20" s="52"/>
      <c r="AG20" s="53">
        <f t="shared" si="4"/>
        <v>0</v>
      </c>
      <c r="AH20" s="49"/>
      <c r="AJ20" s="51"/>
      <c r="AK20" s="52"/>
      <c r="AL20" s="53">
        <f t="shared" si="5"/>
        <v>0</v>
      </c>
      <c r="AM20" s="49"/>
      <c r="AO20" s="51">
        <v>1</v>
      </c>
      <c r="AP20" s="96">
        <v>0.45</v>
      </c>
      <c r="AQ20" s="53">
        <f>AO20*AP20</f>
        <v>0.45</v>
      </c>
      <c r="AR20" s="104" t="s">
        <v>179</v>
      </c>
    </row>
    <row r="21" spans="1:44" s="48" customFormat="1" ht="120" customHeight="1" x14ac:dyDescent="0.25">
      <c r="A21" s="48">
        <v>18</v>
      </c>
      <c r="B21" s="49" t="s">
        <v>5</v>
      </c>
      <c r="C21" s="49" t="s">
        <v>6</v>
      </c>
      <c r="D21" s="50" t="s">
        <v>106</v>
      </c>
      <c r="F21" s="51"/>
      <c r="G21" s="52"/>
      <c r="H21" s="53">
        <f t="shared" si="7"/>
        <v>0</v>
      </c>
      <c r="I21" s="49"/>
      <c r="K21" s="51">
        <v>1</v>
      </c>
      <c r="L21" s="96">
        <v>1</v>
      </c>
      <c r="M21" s="53">
        <f t="shared" si="0"/>
        <v>1</v>
      </c>
      <c r="N21" s="50" t="s">
        <v>234</v>
      </c>
      <c r="P21" s="51">
        <v>1</v>
      </c>
      <c r="Q21" s="52">
        <v>0.75</v>
      </c>
      <c r="R21" s="53">
        <f t="shared" si="1"/>
        <v>0.75</v>
      </c>
      <c r="S21" s="101" t="s">
        <v>198</v>
      </c>
      <c r="U21" s="51"/>
      <c r="V21" s="52"/>
      <c r="W21" s="53">
        <f t="shared" si="2"/>
        <v>0</v>
      </c>
      <c r="X21" s="49"/>
      <c r="Z21" s="51"/>
      <c r="AA21" s="52"/>
      <c r="AB21" s="53">
        <f t="shared" si="3"/>
        <v>0</v>
      </c>
      <c r="AC21" s="49"/>
      <c r="AE21" s="51"/>
      <c r="AF21" s="52"/>
      <c r="AG21" s="53">
        <f t="shared" si="4"/>
        <v>0</v>
      </c>
      <c r="AH21" s="49"/>
      <c r="AJ21" s="51"/>
      <c r="AK21" s="52"/>
      <c r="AL21" s="53">
        <f t="shared" si="5"/>
        <v>0</v>
      </c>
      <c r="AM21" s="49"/>
      <c r="AO21" s="51">
        <v>1</v>
      </c>
      <c r="AP21" s="96">
        <v>0.8</v>
      </c>
      <c r="AQ21" s="53">
        <f t="shared" ref="AQ21:AQ23" si="8">AO21*AP21</f>
        <v>0.8</v>
      </c>
      <c r="AR21" s="101" t="s">
        <v>180</v>
      </c>
    </row>
    <row r="22" spans="1:44" s="48" customFormat="1" ht="142.5" customHeight="1" x14ac:dyDescent="0.25">
      <c r="A22" s="48">
        <v>19</v>
      </c>
      <c r="B22" s="49" t="s">
        <v>5</v>
      </c>
      <c r="C22" s="49" t="s">
        <v>6</v>
      </c>
      <c r="D22" s="50" t="s">
        <v>86</v>
      </c>
      <c r="F22" s="51"/>
      <c r="G22" s="52"/>
      <c r="H22" s="53">
        <f t="shared" si="7"/>
        <v>0</v>
      </c>
      <c r="I22" s="49"/>
      <c r="K22" s="51">
        <v>1</v>
      </c>
      <c r="L22" s="96">
        <v>1</v>
      </c>
      <c r="M22" s="53">
        <f t="shared" si="0"/>
        <v>1</v>
      </c>
      <c r="N22" s="50" t="s">
        <v>234</v>
      </c>
      <c r="P22" s="51">
        <v>1</v>
      </c>
      <c r="Q22" s="52">
        <v>0.4</v>
      </c>
      <c r="R22" s="53">
        <f t="shared" si="1"/>
        <v>0.4</v>
      </c>
      <c r="S22" s="104" t="s">
        <v>199</v>
      </c>
      <c r="U22" s="51"/>
      <c r="V22" s="52"/>
      <c r="W22" s="53">
        <f t="shared" si="2"/>
        <v>0</v>
      </c>
      <c r="X22" s="49"/>
      <c r="Z22" s="51"/>
      <c r="AA22" s="52"/>
      <c r="AB22" s="53">
        <f t="shared" si="3"/>
        <v>0</v>
      </c>
      <c r="AC22" s="49"/>
      <c r="AE22" s="51"/>
      <c r="AF22" s="52"/>
      <c r="AG22" s="53">
        <f t="shared" si="4"/>
        <v>0</v>
      </c>
      <c r="AH22" s="49"/>
      <c r="AJ22" s="51"/>
      <c r="AK22" s="52"/>
      <c r="AL22" s="53">
        <f t="shared" si="5"/>
        <v>0</v>
      </c>
      <c r="AM22" s="49"/>
      <c r="AO22" s="51">
        <v>1</v>
      </c>
      <c r="AP22" s="96">
        <v>0.5</v>
      </c>
      <c r="AQ22" s="53">
        <f t="shared" si="8"/>
        <v>0.5</v>
      </c>
      <c r="AR22" s="104" t="s">
        <v>181</v>
      </c>
    </row>
    <row r="23" spans="1:44" s="48" customFormat="1" ht="243.75" customHeight="1" x14ac:dyDescent="0.25">
      <c r="A23" s="48">
        <v>20</v>
      </c>
      <c r="B23" s="49" t="s">
        <v>5</v>
      </c>
      <c r="C23" s="49" t="s">
        <v>6</v>
      </c>
      <c r="D23" s="50" t="s">
        <v>87</v>
      </c>
      <c r="F23" s="51"/>
      <c r="G23" s="52"/>
      <c r="H23" s="53">
        <f t="shared" si="7"/>
        <v>0</v>
      </c>
      <c r="I23" s="49"/>
      <c r="K23" s="51">
        <v>1</v>
      </c>
      <c r="L23" s="96">
        <v>0.95</v>
      </c>
      <c r="M23" s="53">
        <f t="shared" si="0"/>
        <v>0.95</v>
      </c>
      <c r="N23" s="104" t="s">
        <v>239</v>
      </c>
      <c r="P23" s="51">
        <v>1</v>
      </c>
      <c r="Q23" s="52">
        <v>0.5</v>
      </c>
      <c r="R23" s="53">
        <f t="shared" si="1"/>
        <v>0.5</v>
      </c>
      <c r="S23" s="104" t="s">
        <v>238</v>
      </c>
      <c r="U23" s="51"/>
      <c r="V23" s="52"/>
      <c r="W23" s="53">
        <f t="shared" si="2"/>
        <v>0</v>
      </c>
      <c r="X23" s="49"/>
      <c r="Z23" s="51"/>
      <c r="AA23" s="52"/>
      <c r="AB23" s="53">
        <f t="shared" si="3"/>
        <v>0</v>
      </c>
      <c r="AC23" s="49"/>
      <c r="AE23" s="51"/>
      <c r="AF23" s="52"/>
      <c r="AG23" s="53">
        <f t="shared" si="4"/>
        <v>0</v>
      </c>
      <c r="AH23" s="49"/>
      <c r="AJ23" s="51"/>
      <c r="AK23" s="52"/>
      <c r="AL23" s="53">
        <f t="shared" si="5"/>
        <v>0</v>
      </c>
      <c r="AM23" s="49"/>
      <c r="AO23" s="51">
        <v>1</v>
      </c>
      <c r="AP23" s="96">
        <v>0.85</v>
      </c>
      <c r="AQ23" s="53">
        <f t="shared" si="8"/>
        <v>0.85</v>
      </c>
      <c r="AR23" s="104" t="s">
        <v>182</v>
      </c>
    </row>
    <row r="24" spans="1:44" s="48" customFormat="1" ht="237.75" customHeight="1" x14ac:dyDescent="0.25">
      <c r="A24" s="48">
        <v>21</v>
      </c>
      <c r="B24" s="49" t="s">
        <v>5</v>
      </c>
      <c r="C24" s="49" t="s">
        <v>6</v>
      </c>
      <c r="D24" s="50" t="s">
        <v>88</v>
      </c>
      <c r="F24" s="51"/>
      <c r="G24" s="52"/>
      <c r="H24" s="53">
        <f t="shared" si="7"/>
        <v>0</v>
      </c>
      <c r="I24" s="49"/>
      <c r="J24" s="48" t="s">
        <v>26</v>
      </c>
      <c r="K24" s="51">
        <v>1</v>
      </c>
      <c r="L24" s="96">
        <v>0.9</v>
      </c>
      <c r="M24" s="53">
        <f t="shared" si="0"/>
        <v>0.9</v>
      </c>
      <c r="N24" s="104" t="s">
        <v>213</v>
      </c>
      <c r="P24" s="51">
        <v>1</v>
      </c>
      <c r="Q24" s="52">
        <v>0.7</v>
      </c>
      <c r="R24" s="53">
        <f t="shared" si="1"/>
        <v>0.7</v>
      </c>
      <c r="S24" s="101" t="s">
        <v>200</v>
      </c>
      <c r="U24" s="51"/>
      <c r="V24" s="52"/>
      <c r="W24" s="53">
        <f t="shared" si="2"/>
        <v>0</v>
      </c>
      <c r="X24" s="49"/>
      <c r="Z24" s="51"/>
      <c r="AA24" s="52"/>
      <c r="AB24" s="53">
        <f t="shared" si="3"/>
        <v>0</v>
      </c>
      <c r="AC24" s="49"/>
      <c r="AE24" s="51"/>
      <c r="AF24" s="52"/>
      <c r="AG24" s="53">
        <f t="shared" si="4"/>
        <v>0</v>
      </c>
      <c r="AH24" s="49"/>
      <c r="AJ24" s="51"/>
      <c r="AK24" s="52"/>
      <c r="AL24" s="53">
        <f t="shared" si="5"/>
        <v>0</v>
      </c>
      <c r="AM24" s="49"/>
      <c r="AO24" s="51">
        <v>1</v>
      </c>
      <c r="AP24" s="96">
        <v>0.6</v>
      </c>
      <c r="AQ24" s="53">
        <f t="shared" si="6"/>
        <v>0.6</v>
      </c>
      <c r="AR24" s="101" t="s">
        <v>183</v>
      </c>
    </row>
    <row r="25" spans="1:44" s="48" customFormat="1" ht="243.75" customHeight="1" x14ac:dyDescent="0.25">
      <c r="A25" s="48">
        <v>22</v>
      </c>
      <c r="B25" s="49" t="s">
        <v>5</v>
      </c>
      <c r="C25" s="49" t="s">
        <v>6</v>
      </c>
      <c r="D25" s="50" t="s">
        <v>89</v>
      </c>
      <c r="F25" s="51"/>
      <c r="G25" s="52"/>
      <c r="H25" s="53">
        <f t="shared" si="7"/>
        <v>0</v>
      </c>
      <c r="I25" s="49"/>
      <c r="K25" s="51">
        <v>1</v>
      </c>
      <c r="L25" s="106">
        <v>0.95</v>
      </c>
      <c r="M25" s="107">
        <f t="shared" si="0"/>
        <v>0.95</v>
      </c>
      <c r="N25" s="104" t="s">
        <v>214</v>
      </c>
      <c r="P25" s="51">
        <v>1</v>
      </c>
      <c r="Q25" s="52">
        <v>0.7</v>
      </c>
      <c r="R25" s="53">
        <f t="shared" si="1"/>
        <v>0.7</v>
      </c>
      <c r="S25" s="104" t="s">
        <v>201</v>
      </c>
      <c r="U25" s="51"/>
      <c r="V25" s="52"/>
      <c r="W25" s="53">
        <f t="shared" si="2"/>
        <v>0</v>
      </c>
      <c r="X25" s="49"/>
      <c r="Z25" s="51"/>
      <c r="AA25" s="52"/>
      <c r="AB25" s="53">
        <f t="shared" si="3"/>
        <v>0</v>
      </c>
      <c r="AC25" s="49"/>
      <c r="AE25" s="51"/>
      <c r="AF25" s="52"/>
      <c r="AG25" s="53">
        <f t="shared" si="4"/>
        <v>0</v>
      </c>
      <c r="AH25" s="49"/>
      <c r="AJ25" s="51"/>
      <c r="AK25" s="52"/>
      <c r="AL25" s="53">
        <f t="shared" si="5"/>
        <v>0</v>
      </c>
      <c r="AM25" s="49"/>
      <c r="AO25" s="51">
        <v>1</v>
      </c>
      <c r="AP25" s="96">
        <v>0.5</v>
      </c>
      <c r="AQ25" s="53">
        <f t="shared" si="6"/>
        <v>0.5</v>
      </c>
      <c r="AR25" s="104" t="s">
        <v>184</v>
      </c>
    </row>
    <row r="26" spans="1:44" s="48" customFormat="1" ht="140.25" customHeight="1" x14ac:dyDescent="0.25">
      <c r="A26" s="48">
        <v>23</v>
      </c>
      <c r="B26" s="49" t="s">
        <v>5</v>
      </c>
      <c r="C26" s="49" t="s">
        <v>6</v>
      </c>
      <c r="D26" s="50" t="s">
        <v>124</v>
      </c>
      <c r="F26" s="51"/>
      <c r="G26" s="52"/>
      <c r="H26" s="53">
        <f t="shared" si="7"/>
        <v>0</v>
      </c>
      <c r="I26" s="49"/>
      <c r="K26" s="51">
        <v>1</v>
      </c>
      <c r="L26" s="106">
        <v>0.95</v>
      </c>
      <c r="M26" s="107">
        <f t="shared" si="0"/>
        <v>0.95</v>
      </c>
      <c r="N26" s="101" t="s">
        <v>215</v>
      </c>
      <c r="P26" s="51">
        <v>1</v>
      </c>
      <c r="Q26" s="52">
        <v>0.85</v>
      </c>
      <c r="R26" s="53">
        <f t="shared" si="1"/>
        <v>0.85</v>
      </c>
      <c r="S26" s="104" t="s">
        <v>202</v>
      </c>
      <c r="U26" s="51"/>
      <c r="V26" s="52"/>
      <c r="W26" s="53">
        <f t="shared" si="2"/>
        <v>0</v>
      </c>
      <c r="X26" s="49"/>
      <c r="Z26" s="51"/>
      <c r="AA26" s="52"/>
      <c r="AB26" s="53">
        <f t="shared" si="3"/>
        <v>0</v>
      </c>
      <c r="AC26" s="49"/>
      <c r="AE26" s="51"/>
      <c r="AF26" s="52"/>
      <c r="AG26" s="53">
        <f t="shared" si="4"/>
        <v>0</v>
      </c>
      <c r="AH26" s="49"/>
      <c r="AJ26" s="51"/>
      <c r="AK26" s="52"/>
      <c r="AL26" s="53">
        <f t="shared" si="5"/>
        <v>0</v>
      </c>
      <c r="AM26" s="49"/>
      <c r="AO26" s="51">
        <v>1</v>
      </c>
      <c r="AP26" s="96">
        <v>0.9</v>
      </c>
      <c r="AQ26" s="53">
        <f t="shared" si="6"/>
        <v>0.9</v>
      </c>
      <c r="AR26" s="104" t="s">
        <v>185</v>
      </c>
    </row>
    <row r="27" spans="1:44" s="48" customFormat="1" ht="201" customHeight="1" x14ac:dyDescent="0.25">
      <c r="A27" s="48">
        <v>24</v>
      </c>
      <c r="B27" s="49" t="s">
        <v>5</v>
      </c>
      <c r="C27" s="49" t="s">
        <v>7</v>
      </c>
      <c r="D27" s="50" t="s">
        <v>123</v>
      </c>
      <c r="F27" s="51"/>
      <c r="G27" s="52"/>
      <c r="H27" s="53">
        <f t="shared" si="7"/>
        <v>0</v>
      </c>
      <c r="I27" s="49"/>
      <c r="K27" s="51">
        <v>1</v>
      </c>
      <c r="L27" s="106">
        <v>1</v>
      </c>
      <c r="M27" s="107">
        <f t="shared" si="0"/>
        <v>1</v>
      </c>
      <c r="N27" s="50" t="s">
        <v>234</v>
      </c>
      <c r="P27" s="51">
        <v>1</v>
      </c>
      <c r="Q27" s="52">
        <v>0.6</v>
      </c>
      <c r="R27" s="53">
        <f t="shared" si="1"/>
        <v>0.6</v>
      </c>
      <c r="S27" s="104" t="s">
        <v>203</v>
      </c>
      <c r="U27" s="51"/>
      <c r="V27" s="52"/>
      <c r="W27" s="53">
        <f t="shared" si="2"/>
        <v>0</v>
      </c>
      <c r="X27" s="49"/>
      <c r="Z27" s="51"/>
      <c r="AA27" s="52"/>
      <c r="AB27" s="53">
        <f t="shared" si="3"/>
        <v>0</v>
      </c>
      <c r="AC27" s="49"/>
      <c r="AE27" s="51"/>
      <c r="AF27" s="52"/>
      <c r="AG27" s="53">
        <f t="shared" si="4"/>
        <v>0</v>
      </c>
      <c r="AH27" s="49"/>
      <c r="AJ27" s="51"/>
      <c r="AK27" s="52"/>
      <c r="AL27" s="53">
        <f t="shared" si="5"/>
        <v>0</v>
      </c>
      <c r="AM27" s="49"/>
      <c r="AO27" s="51">
        <v>1</v>
      </c>
      <c r="AP27" s="96">
        <v>0.5</v>
      </c>
      <c r="AQ27" s="53">
        <f t="shared" si="6"/>
        <v>0.5</v>
      </c>
      <c r="AR27" s="104" t="s">
        <v>186</v>
      </c>
    </row>
    <row r="28" spans="1:44" s="48" customFormat="1" ht="171.75" customHeight="1" x14ac:dyDescent="0.25">
      <c r="A28" s="48">
        <v>25</v>
      </c>
      <c r="B28" s="49" t="s">
        <v>5</v>
      </c>
      <c r="C28" s="49" t="s">
        <v>7</v>
      </c>
      <c r="D28" s="50" t="s">
        <v>27</v>
      </c>
      <c r="F28" s="51"/>
      <c r="G28" s="52"/>
      <c r="H28" s="53">
        <f t="shared" si="7"/>
        <v>0</v>
      </c>
      <c r="I28" s="49"/>
      <c r="K28" s="51">
        <v>1</v>
      </c>
      <c r="L28" s="106">
        <v>1</v>
      </c>
      <c r="M28" s="107">
        <f t="shared" si="0"/>
        <v>1</v>
      </c>
      <c r="N28" s="50" t="s">
        <v>234</v>
      </c>
      <c r="P28" s="51">
        <v>1</v>
      </c>
      <c r="Q28" s="52">
        <v>0.7</v>
      </c>
      <c r="R28" s="53">
        <f t="shared" si="1"/>
        <v>0.7</v>
      </c>
      <c r="S28" s="101" t="s">
        <v>204</v>
      </c>
      <c r="U28" s="51"/>
      <c r="V28" s="52"/>
      <c r="W28" s="53">
        <f t="shared" si="2"/>
        <v>0</v>
      </c>
      <c r="X28" s="49"/>
      <c r="Z28" s="51"/>
      <c r="AA28" s="52"/>
      <c r="AB28" s="53">
        <f t="shared" si="3"/>
        <v>0</v>
      </c>
      <c r="AC28" s="49"/>
      <c r="AE28" s="51"/>
      <c r="AF28" s="52"/>
      <c r="AG28" s="53">
        <f t="shared" si="4"/>
        <v>0</v>
      </c>
      <c r="AH28" s="49"/>
      <c r="AJ28" s="51"/>
      <c r="AK28" s="52"/>
      <c r="AL28" s="53">
        <f t="shared" si="5"/>
        <v>0</v>
      </c>
      <c r="AM28" s="49"/>
      <c r="AO28" s="51">
        <v>1</v>
      </c>
      <c r="AP28" s="96">
        <v>0.8</v>
      </c>
      <c r="AQ28" s="53">
        <f t="shared" si="6"/>
        <v>0.8</v>
      </c>
      <c r="AR28" s="101" t="s">
        <v>187</v>
      </c>
    </row>
    <row r="29" spans="1:44" s="48" customFormat="1" ht="228" customHeight="1" x14ac:dyDescent="0.25">
      <c r="A29" s="48">
        <v>26</v>
      </c>
      <c r="B29" s="49" t="s">
        <v>5</v>
      </c>
      <c r="C29" s="49" t="s">
        <v>7</v>
      </c>
      <c r="D29" s="50" t="s">
        <v>122</v>
      </c>
      <c r="F29" s="51"/>
      <c r="G29" s="52"/>
      <c r="H29" s="53">
        <f t="shared" si="7"/>
        <v>0</v>
      </c>
      <c r="I29" s="49"/>
      <c r="K29" s="51">
        <v>1</v>
      </c>
      <c r="L29" s="108">
        <v>0.95</v>
      </c>
      <c r="M29" s="107">
        <f t="shared" si="0"/>
        <v>0.95</v>
      </c>
      <c r="N29" s="101" t="s">
        <v>216</v>
      </c>
      <c r="P29" s="51">
        <v>1</v>
      </c>
      <c r="Q29" s="52">
        <v>0.6</v>
      </c>
      <c r="R29" s="53">
        <f t="shared" si="1"/>
        <v>0.6</v>
      </c>
      <c r="S29" s="104" t="s">
        <v>206</v>
      </c>
      <c r="U29" s="51"/>
      <c r="V29" s="52"/>
      <c r="W29" s="53">
        <f t="shared" si="2"/>
        <v>0</v>
      </c>
      <c r="X29" s="49"/>
      <c r="Z29" s="51"/>
      <c r="AA29" s="52"/>
      <c r="AB29" s="53">
        <f t="shared" si="3"/>
        <v>0</v>
      </c>
      <c r="AC29" s="49"/>
      <c r="AE29" s="51"/>
      <c r="AF29" s="52"/>
      <c r="AG29" s="53">
        <f t="shared" si="4"/>
        <v>0</v>
      </c>
      <c r="AH29" s="49"/>
      <c r="AJ29" s="51"/>
      <c r="AK29" s="52"/>
      <c r="AL29" s="53">
        <f t="shared" si="5"/>
        <v>0</v>
      </c>
      <c r="AM29" s="49"/>
      <c r="AO29" s="51">
        <v>1</v>
      </c>
      <c r="AP29" s="96">
        <v>0.7</v>
      </c>
      <c r="AQ29" s="53">
        <f t="shared" si="6"/>
        <v>0.7</v>
      </c>
      <c r="AR29" s="101" t="s">
        <v>188</v>
      </c>
    </row>
    <row r="30" spans="1:44" s="48" customFormat="1" ht="156.75" customHeight="1" x14ac:dyDescent="0.25">
      <c r="A30" s="48">
        <v>27</v>
      </c>
      <c r="B30" s="49" t="s">
        <v>5</v>
      </c>
      <c r="C30" s="49" t="s">
        <v>7</v>
      </c>
      <c r="D30" s="50" t="s">
        <v>90</v>
      </c>
      <c r="F30" s="51"/>
      <c r="G30" s="52"/>
      <c r="H30" s="53">
        <f t="shared" si="7"/>
        <v>0</v>
      </c>
      <c r="I30" s="49"/>
      <c r="K30" s="51">
        <v>1</v>
      </c>
      <c r="L30" s="106">
        <v>1</v>
      </c>
      <c r="M30" s="107">
        <f t="shared" si="0"/>
        <v>1</v>
      </c>
      <c r="N30" s="50" t="s">
        <v>234</v>
      </c>
      <c r="P30" s="51">
        <v>1</v>
      </c>
      <c r="Q30" s="52">
        <v>0.5</v>
      </c>
      <c r="R30" s="53">
        <f t="shared" si="1"/>
        <v>0.5</v>
      </c>
      <c r="S30" s="101" t="s">
        <v>205</v>
      </c>
      <c r="U30" s="51"/>
      <c r="V30" s="52"/>
      <c r="W30" s="53">
        <f t="shared" si="2"/>
        <v>0</v>
      </c>
      <c r="X30" s="49"/>
      <c r="Z30" s="51"/>
      <c r="AA30" s="52"/>
      <c r="AB30" s="53">
        <f t="shared" si="3"/>
        <v>0</v>
      </c>
      <c r="AC30" s="49"/>
      <c r="AE30" s="51"/>
      <c r="AF30" s="52"/>
      <c r="AG30" s="53">
        <f t="shared" si="4"/>
        <v>0</v>
      </c>
      <c r="AH30" s="49"/>
      <c r="AJ30" s="51"/>
      <c r="AK30" s="52"/>
      <c r="AL30" s="53">
        <f t="shared" si="5"/>
        <v>0</v>
      </c>
      <c r="AM30" s="49"/>
      <c r="AO30" s="51">
        <v>1</v>
      </c>
      <c r="AP30" s="96">
        <v>0.6</v>
      </c>
      <c r="AQ30" s="53">
        <f t="shared" si="6"/>
        <v>0.6</v>
      </c>
      <c r="AR30" s="101" t="s">
        <v>189</v>
      </c>
    </row>
    <row r="31" spans="1:44" s="48" customFormat="1" ht="228.75" customHeight="1" x14ac:dyDescent="0.25">
      <c r="A31" s="48">
        <v>28</v>
      </c>
      <c r="B31" s="49" t="s">
        <v>5</v>
      </c>
      <c r="C31" s="49" t="s">
        <v>7</v>
      </c>
      <c r="D31" s="50" t="s">
        <v>121</v>
      </c>
      <c r="F31" s="51"/>
      <c r="G31" s="52"/>
      <c r="H31" s="53">
        <f t="shared" si="7"/>
        <v>0</v>
      </c>
      <c r="I31" s="49"/>
      <c r="K31" s="51">
        <v>1</v>
      </c>
      <c r="L31" s="106">
        <v>0.9</v>
      </c>
      <c r="M31" s="107">
        <f t="shared" si="0"/>
        <v>0.9</v>
      </c>
      <c r="N31" s="111" t="s">
        <v>217</v>
      </c>
      <c r="P31" s="51">
        <v>1</v>
      </c>
      <c r="Q31" s="52">
        <v>0.8</v>
      </c>
      <c r="R31" s="53">
        <f t="shared" si="1"/>
        <v>0.8</v>
      </c>
      <c r="S31" s="104" t="s">
        <v>207</v>
      </c>
      <c r="U31" s="51"/>
      <c r="V31" s="52"/>
      <c r="W31" s="53">
        <f t="shared" si="2"/>
        <v>0</v>
      </c>
      <c r="X31" s="49"/>
      <c r="Z31" s="51"/>
      <c r="AA31" s="52"/>
      <c r="AB31" s="53">
        <f t="shared" si="3"/>
        <v>0</v>
      </c>
      <c r="AC31" s="49"/>
      <c r="AE31" s="51"/>
      <c r="AF31" s="52"/>
      <c r="AG31" s="53">
        <f t="shared" si="4"/>
        <v>0</v>
      </c>
      <c r="AH31" s="49"/>
      <c r="AJ31" s="51"/>
      <c r="AK31" s="52"/>
      <c r="AL31" s="53">
        <f t="shared" si="5"/>
        <v>0</v>
      </c>
      <c r="AM31" s="49"/>
      <c r="AO31" s="51">
        <v>1</v>
      </c>
      <c r="AP31" s="96">
        <v>0.7</v>
      </c>
      <c r="AQ31" s="53">
        <f t="shared" si="6"/>
        <v>0.7</v>
      </c>
      <c r="AR31" s="105" t="s">
        <v>190</v>
      </c>
    </row>
    <row r="32" spans="1:44" s="48" customFormat="1" ht="84" customHeight="1" x14ac:dyDescent="0.25">
      <c r="A32" s="48">
        <v>29</v>
      </c>
      <c r="B32" s="49" t="s">
        <v>5</v>
      </c>
      <c r="C32" s="49" t="s">
        <v>7</v>
      </c>
      <c r="D32" s="50" t="s">
        <v>91</v>
      </c>
      <c r="F32" s="51"/>
      <c r="G32" s="52"/>
      <c r="H32" s="53">
        <f t="shared" si="7"/>
        <v>0</v>
      </c>
      <c r="I32" s="49"/>
      <c r="K32" s="51">
        <v>1</v>
      </c>
      <c r="L32" s="108">
        <v>1</v>
      </c>
      <c r="M32" s="107">
        <f t="shared" si="0"/>
        <v>1</v>
      </c>
      <c r="N32" s="50" t="s">
        <v>234</v>
      </c>
      <c r="P32" s="51">
        <v>1</v>
      </c>
      <c r="Q32" s="52">
        <v>1</v>
      </c>
      <c r="R32" s="53">
        <f t="shared" si="1"/>
        <v>1</v>
      </c>
      <c r="S32" s="50" t="s">
        <v>234</v>
      </c>
      <c r="U32" s="51"/>
      <c r="V32" s="52"/>
      <c r="W32" s="53">
        <f t="shared" si="2"/>
        <v>0</v>
      </c>
      <c r="X32" s="49"/>
      <c r="Z32" s="51"/>
      <c r="AA32" s="52"/>
      <c r="AB32" s="53">
        <f t="shared" si="3"/>
        <v>0</v>
      </c>
      <c r="AC32" s="49"/>
      <c r="AE32" s="51"/>
      <c r="AF32" s="52"/>
      <c r="AG32" s="53">
        <f t="shared" si="4"/>
        <v>0</v>
      </c>
      <c r="AH32" s="49"/>
      <c r="AJ32" s="51"/>
      <c r="AK32" s="52"/>
      <c r="AL32" s="53">
        <f t="shared" si="5"/>
        <v>0</v>
      </c>
      <c r="AM32" s="49"/>
      <c r="AO32" s="51">
        <v>1</v>
      </c>
      <c r="AP32" s="96">
        <v>1</v>
      </c>
      <c r="AQ32" s="53">
        <f t="shared" si="6"/>
        <v>1</v>
      </c>
      <c r="AR32" s="50" t="s">
        <v>234</v>
      </c>
    </row>
    <row r="33" spans="1:44" s="48" customFormat="1" ht="141" customHeight="1" x14ac:dyDescent="0.25">
      <c r="A33" s="48">
        <v>30</v>
      </c>
      <c r="B33" s="49" t="s">
        <v>5</v>
      </c>
      <c r="C33" s="49" t="s">
        <v>7</v>
      </c>
      <c r="D33" s="50" t="s">
        <v>120</v>
      </c>
      <c r="F33" s="51"/>
      <c r="G33" s="52"/>
      <c r="H33" s="53">
        <f t="shared" si="7"/>
        <v>0</v>
      </c>
      <c r="I33" s="49"/>
      <c r="K33" s="51">
        <v>1</v>
      </c>
      <c r="L33" s="106">
        <v>1</v>
      </c>
      <c r="M33" s="107">
        <f t="shared" si="0"/>
        <v>1</v>
      </c>
      <c r="N33" s="50" t="s">
        <v>234</v>
      </c>
      <c r="P33" s="51">
        <v>1</v>
      </c>
      <c r="Q33" s="52">
        <v>0.7</v>
      </c>
      <c r="R33" s="53">
        <f t="shared" si="1"/>
        <v>0.7</v>
      </c>
      <c r="S33" s="104" t="s">
        <v>208</v>
      </c>
      <c r="U33" s="51"/>
      <c r="V33" s="52"/>
      <c r="W33" s="53">
        <f t="shared" si="2"/>
        <v>0</v>
      </c>
      <c r="X33" s="49"/>
      <c r="Z33" s="51"/>
      <c r="AA33" s="52"/>
      <c r="AB33" s="53">
        <f t="shared" si="3"/>
        <v>0</v>
      </c>
      <c r="AC33" s="49"/>
      <c r="AE33" s="51"/>
      <c r="AF33" s="52"/>
      <c r="AG33" s="53">
        <f t="shared" si="4"/>
        <v>0</v>
      </c>
      <c r="AH33" s="49"/>
      <c r="AJ33" s="51"/>
      <c r="AK33" s="52"/>
      <c r="AL33" s="53">
        <f t="shared" si="5"/>
        <v>0</v>
      </c>
      <c r="AM33" s="49"/>
      <c r="AO33" s="51">
        <v>1</v>
      </c>
      <c r="AP33" s="96">
        <v>0.8</v>
      </c>
      <c r="AQ33" s="53">
        <f t="shared" si="6"/>
        <v>0.8</v>
      </c>
      <c r="AR33" s="104" t="s">
        <v>192</v>
      </c>
    </row>
    <row r="34" spans="1:44" s="48" customFormat="1" ht="189" customHeight="1" x14ac:dyDescent="0.25">
      <c r="A34" s="48">
        <v>31</v>
      </c>
      <c r="B34" s="54" t="s">
        <v>5</v>
      </c>
      <c r="C34" s="49" t="s">
        <v>7</v>
      </c>
      <c r="D34" s="55" t="s">
        <v>92</v>
      </c>
      <c r="F34" s="51"/>
      <c r="G34" s="52"/>
      <c r="H34" s="53">
        <f t="shared" si="7"/>
        <v>0</v>
      </c>
      <c r="I34" s="49"/>
      <c r="K34" s="51">
        <v>1</v>
      </c>
      <c r="L34" s="106">
        <v>1</v>
      </c>
      <c r="M34" s="107">
        <f t="shared" si="0"/>
        <v>1</v>
      </c>
      <c r="N34" s="50" t="s">
        <v>234</v>
      </c>
      <c r="P34" s="51">
        <v>1</v>
      </c>
      <c r="Q34" s="52">
        <v>0.5</v>
      </c>
      <c r="R34" s="53">
        <f t="shared" si="1"/>
        <v>0.5</v>
      </c>
      <c r="S34" s="104" t="s">
        <v>240</v>
      </c>
      <c r="U34" s="51"/>
      <c r="V34" s="52"/>
      <c r="W34" s="53">
        <f t="shared" si="2"/>
        <v>0</v>
      </c>
      <c r="X34" s="49"/>
      <c r="Z34" s="51"/>
      <c r="AA34" s="52"/>
      <c r="AB34" s="53">
        <f t="shared" si="3"/>
        <v>0</v>
      </c>
      <c r="AC34" s="49"/>
      <c r="AE34" s="51"/>
      <c r="AF34" s="52"/>
      <c r="AG34" s="53">
        <f t="shared" si="4"/>
        <v>0</v>
      </c>
      <c r="AH34" s="49"/>
      <c r="AJ34" s="51"/>
      <c r="AK34" s="52"/>
      <c r="AL34" s="53">
        <f t="shared" si="5"/>
        <v>0</v>
      </c>
      <c r="AM34" s="49"/>
      <c r="AO34" s="51">
        <v>1</v>
      </c>
      <c r="AP34" s="96">
        <v>0.6</v>
      </c>
      <c r="AQ34" s="53">
        <f t="shared" si="6"/>
        <v>0.6</v>
      </c>
      <c r="AR34" s="104" t="s">
        <v>191</v>
      </c>
    </row>
    <row r="35" spans="1:44" s="48" customFormat="1" ht="108.75" customHeight="1" x14ac:dyDescent="0.25">
      <c r="A35" s="48">
        <v>32</v>
      </c>
      <c r="B35" s="49" t="s">
        <v>5</v>
      </c>
      <c r="C35" s="49" t="s">
        <v>8</v>
      </c>
      <c r="D35" s="50" t="s">
        <v>93</v>
      </c>
      <c r="F35" s="51"/>
      <c r="G35" s="52"/>
      <c r="H35" s="53">
        <f t="shared" si="7"/>
        <v>0</v>
      </c>
      <c r="I35" s="49"/>
      <c r="K35" s="51">
        <v>1</v>
      </c>
      <c r="L35" s="106">
        <v>0.75</v>
      </c>
      <c r="M35" s="107">
        <f t="shared" si="0"/>
        <v>0.75</v>
      </c>
      <c r="N35" s="99" t="s">
        <v>218</v>
      </c>
      <c r="P35" s="51">
        <v>1</v>
      </c>
      <c r="Q35" s="52">
        <v>0.6</v>
      </c>
      <c r="R35" s="53">
        <f t="shared" si="1"/>
        <v>0.6</v>
      </c>
      <c r="S35" s="99" t="s">
        <v>209</v>
      </c>
      <c r="U35" s="51"/>
      <c r="V35" s="52"/>
      <c r="W35" s="53">
        <f t="shared" si="2"/>
        <v>0</v>
      </c>
      <c r="X35" s="49"/>
      <c r="Z35" s="51"/>
      <c r="AA35" s="52"/>
      <c r="AB35" s="53">
        <f t="shared" si="3"/>
        <v>0</v>
      </c>
      <c r="AC35" s="49"/>
      <c r="AE35" s="51"/>
      <c r="AF35" s="52"/>
      <c r="AG35" s="53">
        <f t="shared" si="4"/>
        <v>0</v>
      </c>
      <c r="AH35" s="49"/>
      <c r="AJ35" s="51"/>
      <c r="AK35" s="52"/>
      <c r="AL35" s="53">
        <f t="shared" si="5"/>
        <v>0</v>
      </c>
      <c r="AM35" s="49"/>
      <c r="AO35" s="51">
        <v>1</v>
      </c>
      <c r="AP35" s="96">
        <v>0.5</v>
      </c>
      <c r="AQ35" s="53">
        <f t="shared" si="6"/>
        <v>0.5</v>
      </c>
      <c r="AR35" s="99" t="s">
        <v>193</v>
      </c>
    </row>
    <row r="36" spans="1:44" s="48" customFormat="1" ht="156.75" customHeight="1" x14ac:dyDescent="0.25">
      <c r="A36" s="48">
        <v>33</v>
      </c>
      <c r="B36" s="49" t="s">
        <v>5</v>
      </c>
      <c r="C36" s="49" t="s">
        <v>8</v>
      </c>
      <c r="D36" s="50" t="s">
        <v>117</v>
      </c>
      <c r="F36" s="51"/>
      <c r="G36" s="52"/>
      <c r="H36" s="53">
        <f t="shared" si="7"/>
        <v>0</v>
      </c>
      <c r="I36" s="49"/>
      <c r="K36" s="51">
        <v>1</v>
      </c>
      <c r="L36" s="106">
        <v>0.8</v>
      </c>
      <c r="M36" s="107">
        <f t="shared" si="0"/>
        <v>0.8</v>
      </c>
      <c r="N36" s="99" t="s">
        <v>219</v>
      </c>
      <c r="P36" s="51">
        <v>1</v>
      </c>
      <c r="Q36" s="52">
        <v>0.6</v>
      </c>
      <c r="R36" s="53">
        <f t="shared" si="1"/>
        <v>0.6</v>
      </c>
      <c r="S36" s="99" t="s">
        <v>210</v>
      </c>
      <c r="U36" s="51"/>
      <c r="V36" s="52"/>
      <c r="W36" s="53">
        <f t="shared" si="2"/>
        <v>0</v>
      </c>
      <c r="X36" s="49"/>
      <c r="Z36" s="51"/>
      <c r="AA36" s="52"/>
      <c r="AB36" s="53">
        <f t="shared" si="3"/>
        <v>0</v>
      </c>
      <c r="AC36" s="49"/>
      <c r="AE36" s="51"/>
      <c r="AF36" s="52"/>
      <c r="AG36" s="53">
        <f t="shared" si="4"/>
        <v>0</v>
      </c>
      <c r="AH36" s="49"/>
      <c r="AJ36" s="51"/>
      <c r="AK36" s="52"/>
      <c r="AL36" s="53">
        <f t="shared" si="5"/>
        <v>0</v>
      </c>
      <c r="AM36" s="49"/>
      <c r="AO36" s="51">
        <v>1</v>
      </c>
      <c r="AP36" s="96">
        <v>0.7</v>
      </c>
      <c r="AQ36" s="53">
        <f t="shared" si="6"/>
        <v>0.7</v>
      </c>
      <c r="AR36" s="99" t="s">
        <v>194</v>
      </c>
    </row>
    <row r="37" spans="1:44" s="48" customFormat="1" ht="84.75" customHeight="1" x14ac:dyDescent="0.25">
      <c r="A37" s="48">
        <v>34</v>
      </c>
      <c r="B37" s="49" t="s">
        <v>5</v>
      </c>
      <c r="C37" s="49" t="s">
        <v>8</v>
      </c>
      <c r="D37" s="50" t="s">
        <v>118</v>
      </c>
      <c r="F37" s="51"/>
      <c r="G37" s="52"/>
      <c r="H37" s="53">
        <f t="shared" si="7"/>
        <v>0</v>
      </c>
      <c r="I37" s="49"/>
      <c r="K37" s="51">
        <v>1</v>
      </c>
      <c r="L37" s="106">
        <v>1</v>
      </c>
      <c r="M37" s="107">
        <f t="shared" si="0"/>
        <v>1</v>
      </c>
      <c r="N37" s="50" t="s">
        <v>234</v>
      </c>
      <c r="P37" s="51">
        <v>1</v>
      </c>
      <c r="Q37" s="52">
        <v>1</v>
      </c>
      <c r="R37" s="53">
        <f t="shared" si="1"/>
        <v>1</v>
      </c>
      <c r="S37" s="50" t="s">
        <v>234</v>
      </c>
      <c r="U37" s="51"/>
      <c r="V37" s="52"/>
      <c r="W37" s="53">
        <f t="shared" si="2"/>
        <v>0</v>
      </c>
      <c r="X37" s="49"/>
      <c r="Z37" s="51"/>
      <c r="AA37" s="52"/>
      <c r="AB37" s="53">
        <f t="shared" si="3"/>
        <v>0</v>
      </c>
      <c r="AC37" s="49"/>
      <c r="AE37" s="51"/>
      <c r="AF37" s="52"/>
      <c r="AG37" s="53">
        <f t="shared" si="4"/>
        <v>0</v>
      </c>
      <c r="AH37" s="49"/>
      <c r="AJ37" s="51"/>
      <c r="AK37" s="52"/>
      <c r="AL37" s="53">
        <f t="shared" si="5"/>
        <v>0</v>
      </c>
      <c r="AM37" s="49"/>
      <c r="AO37" s="51">
        <v>1</v>
      </c>
      <c r="AP37" s="96">
        <v>1</v>
      </c>
      <c r="AQ37" s="53">
        <f t="shared" si="6"/>
        <v>1</v>
      </c>
      <c r="AR37" s="50" t="s">
        <v>234</v>
      </c>
    </row>
    <row r="38" spans="1:44" s="48" customFormat="1" ht="137.25" customHeight="1" x14ac:dyDescent="0.25">
      <c r="A38" s="48">
        <v>35</v>
      </c>
      <c r="B38" s="49" t="s">
        <v>5</v>
      </c>
      <c r="C38" s="49" t="s">
        <v>8</v>
      </c>
      <c r="D38" s="50" t="s">
        <v>119</v>
      </c>
      <c r="F38" s="51"/>
      <c r="G38" s="52"/>
      <c r="H38" s="53">
        <f t="shared" si="7"/>
        <v>0</v>
      </c>
      <c r="I38" s="49"/>
      <c r="K38" s="51">
        <v>1</v>
      </c>
      <c r="L38" s="108">
        <v>0.77</v>
      </c>
      <c r="M38" s="107">
        <f>K38*L38</f>
        <v>0.77</v>
      </c>
      <c r="N38" s="101" t="s">
        <v>220</v>
      </c>
      <c r="P38" s="51">
        <v>1</v>
      </c>
      <c r="Q38" s="52">
        <v>0.25</v>
      </c>
      <c r="R38" s="53">
        <f t="shared" si="1"/>
        <v>0.25</v>
      </c>
      <c r="S38" s="104" t="s">
        <v>211</v>
      </c>
      <c r="U38" s="51"/>
      <c r="V38" s="52"/>
      <c r="W38" s="53">
        <f t="shared" si="2"/>
        <v>0</v>
      </c>
      <c r="X38" s="49"/>
      <c r="Z38" s="51"/>
      <c r="AA38" s="52"/>
      <c r="AB38" s="53">
        <f t="shared" si="3"/>
        <v>0</v>
      </c>
      <c r="AC38" s="49"/>
      <c r="AE38" s="51"/>
      <c r="AF38" s="52"/>
      <c r="AG38" s="53">
        <f t="shared" si="4"/>
        <v>0</v>
      </c>
      <c r="AH38" s="49"/>
      <c r="AJ38" s="51"/>
      <c r="AK38" s="52"/>
      <c r="AL38" s="53">
        <f t="shared" si="5"/>
        <v>0</v>
      </c>
      <c r="AM38" s="49"/>
      <c r="AO38" s="51">
        <v>1</v>
      </c>
      <c r="AP38" s="96">
        <v>0.77</v>
      </c>
      <c r="AQ38" s="53">
        <f t="shared" si="6"/>
        <v>0.77</v>
      </c>
      <c r="AR38" s="50" t="s">
        <v>195</v>
      </c>
    </row>
    <row r="39" spans="1:44" s="48" customFormat="1" ht="153.75" customHeight="1" x14ac:dyDescent="0.25">
      <c r="A39" s="48">
        <v>36</v>
      </c>
      <c r="B39" s="49" t="s">
        <v>9</v>
      </c>
      <c r="C39" s="49" t="s">
        <v>10</v>
      </c>
      <c r="D39" s="50" t="s">
        <v>94</v>
      </c>
      <c r="F39" s="51"/>
      <c r="G39" s="52"/>
      <c r="H39" s="53">
        <f t="shared" si="7"/>
        <v>0</v>
      </c>
      <c r="I39" s="49"/>
      <c r="K39" s="51">
        <v>1</v>
      </c>
      <c r="L39" s="96">
        <v>0.97</v>
      </c>
      <c r="M39" s="53">
        <f t="shared" si="0"/>
        <v>0.97</v>
      </c>
      <c r="N39" s="99" t="s">
        <v>152</v>
      </c>
      <c r="P39" s="51">
        <v>1</v>
      </c>
      <c r="Q39" s="52">
        <v>0.93</v>
      </c>
      <c r="R39" s="53">
        <f t="shared" si="1"/>
        <v>0.93</v>
      </c>
      <c r="S39" s="101" t="s">
        <v>153</v>
      </c>
      <c r="U39" s="51"/>
      <c r="V39" s="52"/>
      <c r="W39" s="53">
        <f t="shared" si="2"/>
        <v>0</v>
      </c>
      <c r="X39" s="49"/>
      <c r="Z39" s="51"/>
      <c r="AA39" s="52"/>
      <c r="AB39" s="53">
        <f t="shared" si="3"/>
        <v>0</v>
      </c>
      <c r="AC39" s="49"/>
      <c r="AE39" s="51"/>
      <c r="AF39" s="52"/>
      <c r="AG39" s="53">
        <f t="shared" si="4"/>
        <v>0</v>
      </c>
      <c r="AH39" s="49"/>
      <c r="AJ39" s="51"/>
      <c r="AK39" s="52"/>
      <c r="AL39" s="53">
        <f t="shared" si="5"/>
        <v>0</v>
      </c>
      <c r="AM39" s="49"/>
      <c r="AO39" s="51">
        <v>1</v>
      </c>
      <c r="AP39" s="96">
        <v>0.9</v>
      </c>
      <c r="AQ39" s="53">
        <f t="shared" si="6"/>
        <v>0.9</v>
      </c>
      <c r="AR39" s="101" t="s">
        <v>154</v>
      </c>
    </row>
    <row r="40" spans="1:44" s="48" customFormat="1" ht="105" customHeight="1" x14ac:dyDescent="0.25">
      <c r="A40" s="48">
        <v>37</v>
      </c>
      <c r="B40" s="49" t="s">
        <v>9</v>
      </c>
      <c r="C40" s="49" t="s">
        <v>10</v>
      </c>
      <c r="D40" s="50" t="s">
        <v>95</v>
      </c>
      <c r="F40" s="51"/>
      <c r="G40" s="52"/>
      <c r="H40" s="53">
        <f t="shared" si="7"/>
        <v>0</v>
      </c>
      <c r="I40" s="49"/>
      <c r="K40" s="51">
        <v>1</v>
      </c>
      <c r="L40" s="96">
        <v>1</v>
      </c>
      <c r="M40" s="53">
        <f t="shared" si="0"/>
        <v>1</v>
      </c>
      <c r="N40" s="102" t="s">
        <v>156</v>
      </c>
      <c r="P40" s="51">
        <v>1</v>
      </c>
      <c r="Q40" s="52">
        <v>1</v>
      </c>
      <c r="R40" s="53">
        <f t="shared" si="1"/>
        <v>1</v>
      </c>
      <c r="S40" s="103" t="s">
        <v>157</v>
      </c>
      <c r="U40" s="51"/>
      <c r="V40" s="52"/>
      <c r="W40" s="53">
        <f t="shared" si="2"/>
        <v>0</v>
      </c>
      <c r="X40" s="49"/>
      <c r="Z40" s="51"/>
      <c r="AA40" s="52"/>
      <c r="AB40" s="53">
        <f t="shared" si="3"/>
        <v>0</v>
      </c>
      <c r="AC40" s="49"/>
      <c r="AE40" s="51"/>
      <c r="AF40" s="52"/>
      <c r="AG40" s="53">
        <f t="shared" si="4"/>
        <v>0</v>
      </c>
      <c r="AH40" s="49"/>
      <c r="AJ40" s="51"/>
      <c r="AK40" s="52"/>
      <c r="AL40" s="53">
        <f t="shared" si="5"/>
        <v>0</v>
      </c>
      <c r="AM40" s="49"/>
      <c r="AO40" s="51">
        <v>1</v>
      </c>
      <c r="AP40" s="96">
        <v>0.5</v>
      </c>
      <c r="AQ40" s="53">
        <f t="shared" si="6"/>
        <v>0.5</v>
      </c>
      <c r="AR40" s="101" t="s">
        <v>155</v>
      </c>
    </row>
    <row r="41" spans="1:44" s="48" customFormat="1" ht="97.5" customHeight="1" x14ac:dyDescent="0.25">
      <c r="A41" s="48">
        <v>38</v>
      </c>
      <c r="B41" s="49" t="s">
        <v>9</v>
      </c>
      <c r="C41" s="49" t="s">
        <v>10</v>
      </c>
      <c r="D41" s="50" t="s">
        <v>158</v>
      </c>
      <c r="F41" s="51"/>
      <c r="G41" s="52"/>
      <c r="H41" s="53">
        <f t="shared" si="7"/>
        <v>0</v>
      </c>
      <c r="I41" s="49"/>
      <c r="K41" s="51">
        <v>1</v>
      </c>
      <c r="L41" s="96">
        <v>1</v>
      </c>
      <c r="M41" s="53">
        <f t="shared" si="0"/>
        <v>1</v>
      </c>
      <c r="N41" s="103" t="s">
        <v>159</v>
      </c>
      <c r="P41" s="51">
        <v>1</v>
      </c>
      <c r="Q41" s="52">
        <v>1</v>
      </c>
      <c r="R41" s="53">
        <f t="shared" si="1"/>
        <v>1</v>
      </c>
      <c r="S41" s="103" t="s">
        <v>160</v>
      </c>
      <c r="U41" s="51"/>
      <c r="V41" s="52"/>
      <c r="W41" s="53">
        <f t="shared" si="2"/>
        <v>0</v>
      </c>
      <c r="X41" s="49"/>
      <c r="Z41" s="51"/>
      <c r="AA41" s="52"/>
      <c r="AB41" s="53">
        <f t="shared" si="3"/>
        <v>0</v>
      </c>
      <c r="AC41" s="49"/>
      <c r="AE41" s="51"/>
      <c r="AF41" s="52"/>
      <c r="AG41" s="53">
        <f t="shared" si="4"/>
        <v>0</v>
      </c>
      <c r="AH41" s="49"/>
      <c r="AJ41" s="51"/>
      <c r="AK41" s="52"/>
      <c r="AL41" s="53">
        <f t="shared" si="5"/>
        <v>0</v>
      </c>
      <c r="AM41" s="49"/>
      <c r="AO41" s="51">
        <v>1</v>
      </c>
      <c r="AP41" s="96">
        <v>0.4</v>
      </c>
      <c r="AQ41" s="53">
        <f t="shared" si="6"/>
        <v>0.4</v>
      </c>
      <c r="AR41" s="101" t="s">
        <v>161</v>
      </c>
    </row>
    <row r="42" spans="1:44" s="48" customFormat="1" ht="153" customHeight="1" x14ac:dyDescent="0.25">
      <c r="A42" s="48">
        <v>39</v>
      </c>
      <c r="B42" s="49" t="s">
        <v>9</v>
      </c>
      <c r="C42" s="49" t="s">
        <v>10</v>
      </c>
      <c r="D42" s="50" t="s">
        <v>116</v>
      </c>
      <c r="F42" s="51"/>
      <c r="G42" s="52"/>
      <c r="H42" s="53">
        <f t="shared" si="7"/>
        <v>0</v>
      </c>
      <c r="I42" s="49"/>
      <c r="K42" s="51">
        <v>1</v>
      </c>
      <c r="L42" s="96">
        <v>0.97</v>
      </c>
      <c r="M42" s="53">
        <f t="shared" si="0"/>
        <v>0.97</v>
      </c>
      <c r="N42" s="101" t="s">
        <v>162</v>
      </c>
      <c r="P42" s="51">
        <v>1</v>
      </c>
      <c r="Q42" s="52">
        <v>0.97</v>
      </c>
      <c r="R42" s="53">
        <f t="shared" si="1"/>
        <v>0.97</v>
      </c>
      <c r="S42" s="101" t="s">
        <v>163</v>
      </c>
      <c r="U42" s="51"/>
      <c r="V42" s="52"/>
      <c r="W42" s="53">
        <f t="shared" si="2"/>
        <v>0</v>
      </c>
      <c r="X42" s="49"/>
      <c r="Z42" s="51"/>
      <c r="AA42" s="52"/>
      <c r="AB42" s="53">
        <f t="shared" si="3"/>
        <v>0</v>
      </c>
      <c r="AC42" s="49"/>
      <c r="AE42" s="51"/>
      <c r="AF42" s="52"/>
      <c r="AG42" s="53">
        <f t="shared" si="4"/>
        <v>0</v>
      </c>
      <c r="AH42" s="49"/>
      <c r="AJ42" s="51"/>
      <c r="AK42" s="52"/>
      <c r="AL42" s="53">
        <f t="shared" si="5"/>
        <v>0</v>
      </c>
      <c r="AM42" s="49"/>
      <c r="AO42" s="51">
        <v>1</v>
      </c>
      <c r="AP42" s="96">
        <v>0.9</v>
      </c>
      <c r="AQ42" s="53">
        <f t="shared" si="6"/>
        <v>0.9</v>
      </c>
      <c r="AR42" s="99" t="s">
        <v>164</v>
      </c>
    </row>
    <row r="43" spans="1:44" s="48" customFormat="1" ht="105" customHeight="1" x14ac:dyDescent="0.25">
      <c r="A43" s="48">
        <v>40</v>
      </c>
      <c r="B43" s="49" t="s">
        <v>9</v>
      </c>
      <c r="C43" s="49" t="s">
        <v>10</v>
      </c>
      <c r="D43" s="50" t="s">
        <v>115</v>
      </c>
      <c r="F43" s="51"/>
      <c r="G43" s="52"/>
      <c r="H43" s="53">
        <f t="shared" si="7"/>
        <v>0</v>
      </c>
      <c r="I43" s="49"/>
      <c r="K43" s="51">
        <v>1</v>
      </c>
      <c r="L43" s="96">
        <v>1</v>
      </c>
      <c r="M43" s="53">
        <f t="shared" si="0"/>
        <v>1</v>
      </c>
      <c r="N43" s="103" t="s">
        <v>165</v>
      </c>
      <c r="P43" s="51">
        <v>1</v>
      </c>
      <c r="Q43" s="52">
        <v>1</v>
      </c>
      <c r="R43" s="53">
        <f t="shared" si="1"/>
        <v>1</v>
      </c>
      <c r="S43" s="103" t="s">
        <v>166</v>
      </c>
      <c r="U43" s="51"/>
      <c r="V43" s="52"/>
      <c r="W43" s="53">
        <f t="shared" si="2"/>
        <v>0</v>
      </c>
      <c r="X43" s="49"/>
      <c r="Z43" s="51"/>
      <c r="AA43" s="52"/>
      <c r="AB43" s="53">
        <f t="shared" si="3"/>
        <v>0</v>
      </c>
      <c r="AC43" s="49"/>
      <c r="AE43" s="51"/>
      <c r="AF43" s="52"/>
      <c r="AG43" s="53">
        <f t="shared" si="4"/>
        <v>0</v>
      </c>
      <c r="AH43" s="49"/>
      <c r="AJ43" s="51"/>
      <c r="AK43" s="52"/>
      <c r="AL43" s="53">
        <f t="shared" si="5"/>
        <v>0</v>
      </c>
      <c r="AM43" s="49"/>
      <c r="AO43" s="51">
        <v>1</v>
      </c>
      <c r="AP43" s="96">
        <v>1</v>
      </c>
      <c r="AQ43" s="53">
        <f t="shared" si="6"/>
        <v>1</v>
      </c>
      <c r="AR43" s="103" t="s">
        <v>167</v>
      </c>
    </row>
    <row r="44" spans="1:44" s="48" customFormat="1" ht="128.25" customHeight="1" x14ac:dyDescent="0.25">
      <c r="A44" s="48">
        <v>41</v>
      </c>
      <c r="B44" s="49" t="s">
        <v>9</v>
      </c>
      <c r="C44" s="49" t="s">
        <v>10</v>
      </c>
      <c r="D44" s="50" t="s">
        <v>114</v>
      </c>
      <c r="F44" s="51"/>
      <c r="G44" s="52"/>
      <c r="H44" s="53">
        <f t="shared" si="7"/>
        <v>0</v>
      </c>
      <c r="I44" s="49"/>
      <c r="K44" s="51">
        <v>1</v>
      </c>
      <c r="L44" s="96">
        <v>0.97</v>
      </c>
      <c r="M44" s="53">
        <f t="shared" si="0"/>
        <v>0.97</v>
      </c>
      <c r="N44" s="93" t="s">
        <v>168</v>
      </c>
      <c r="P44" s="51">
        <v>1</v>
      </c>
      <c r="Q44" s="52">
        <v>0.97</v>
      </c>
      <c r="R44" s="53">
        <f t="shared" si="1"/>
        <v>0.97</v>
      </c>
      <c r="S44" s="99" t="s">
        <v>169</v>
      </c>
      <c r="U44" s="51"/>
      <c r="V44" s="52"/>
      <c r="W44" s="53">
        <f t="shared" si="2"/>
        <v>0</v>
      </c>
      <c r="X44" s="49"/>
      <c r="Z44" s="51"/>
      <c r="AA44" s="52"/>
      <c r="AB44" s="53">
        <f t="shared" si="3"/>
        <v>0</v>
      </c>
      <c r="AC44" s="49"/>
      <c r="AE44" s="51"/>
      <c r="AF44" s="52"/>
      <c r="AG44" s="53">
        <f t="shared" si="4"/>
        <v>0</v>
      </c>
      <c r="AH44" s="49"/>
      <c r="AJ44" s="51"/>
      <c r="AK44" s="52"/>
      <c r="AL44" s="53">
        <f t="shared" si="5"/>
        <v>0</v>
      </c>
      <c r="AM44" s="49"/>
      <c r="AO44" s="51">
        <v>1</v>
      </c>
      <c r="AP44" s="96">
        <v>0.93</v>
      </c>
      <c r="AQ44" s="53">
        <f t="shared" si="6"/>
        <v>0.93</v>
      </c>
      <c r="AR44" s="99" t="s">
        <v>170</v>
      </c>
    </row>
    <row r="45" spans="1:44" s="48" customFormat="1" ht="91.5" customHeight="1" x14ac:dyDescent="0.25">
      <c r="A45" s="48">
        <v>42</v>
      </c>
      <c r="B45" s="49" t="s">
        <v>9</v>
      </c>
      <c r="C45" s="49" t="s">
        <v>10</v>
      </c>
      <c r="D45" s="50" t="s">
        <v>113</v>
      </c>
      <c r="F45" s="51"/>
      <c r="G45" s="52"/>
      <c r="H45" s="53">
        <f t="shared" si="7"/>
        <v>0</v>
      </c>
      <c r="I45" s="49"/>
      <c r="K45" s="51">
        <v>1</v>
      </c>
      <c r="L45" s="96">
        <v>1</v>
      </c>
      <c r="M45" s="53">
        <f t="shared" si="0"/>
        <v>1</v>
      </c>
      <c r="N45" s="103" t="s">
        <v>175</v>
      </c>
      <c r="P45" s="51">
        <v>1</v>
      </c>
      <c r="Q45" s="52">
        <v>1</v>
      </c>
      <c r="R45" s="53">
        <f t="shared" si="1"/>
        <v>1</v>
      </c>
      <c r="S45" s="103" t="s">
        <v>173</v>
      </c>
      <c r="U45" s="51"/>
      <c r="V45" s="52"/>
      <c r="W45" s="53">
        <f t="shared" si="2"/>
        <v>0</v>
      </c>
      <c r="X45" s="49"/>
      <c r="Z45" s="51"/>
      <c r="AA45" s="52"/>
      <c r="AB45" s="53">
        <f t="shared" si="3"/>
        <v>0</v>
      </c>
      <c r="AC45" s="49"/>
      <c r="AE45" s="51"/>
      <c r="AF45" s="52"/>
      <c r="AG45" s="53">
        <f t="shared" si="4"/>
        <v>0</v>
      </c>
      <c r="AH45" s="49"/>
      <c r="AJ45" s="51"/>
      <c r="AK45" s="52"/>
      <c r="AL45" s="53">
        <f t="shared" si="5"/>
        <v>0</v>
      </c>
      <c r="AM45" s="49"/>
      <c r="AO45" s="51">
        <v>1</v>
      </c>
      <c r="AP45" s="96">
        <v>0.5</v>
      </c>
      <c r="AQ45" s="53">
        <f t="shared" si="6"/>
        <v>0.5</v>
      </c>
      <c r="AR45" s="101" t="s">
        <v>171</v>
      </c>
    </row>
    <row r="46" spans="1:44" s="48" customFormat="1" ht="111.75" customHeight="1" x14ac:dyDescent="0.25">
      <c r="A46" s="48">
        <v>43</v>
      </c>
      <c r="B46" s="49" t="s">
        <v>9</v>
      </c>
      <c r="C46" s="49" t="s">
        <v>10</v>
      </c>
      <c r="D46" s="50" t="s">
        <v>96</v>
      </c>
      <c r="F46" s="51"/>
      <c r="G46" s="52"/>
      <c r="H46" s="53">
        <f t="shared" si="7"/>
        <v>0</v>
      </c>
      <c r="I46" s="49"/>
      <c r="K46" s="51">
        <v>1</v>
      </c>
      <c r="L46" s="96">
        <v>1</v>
      </c>
      <c r="M46" s="53">
        <f t="shared" si="0"/>
        <v>1</v>
      </c>
      <c r="N46" s="103" t="s">
        <v>176</v>
      </c>
      <c r="P46" s="51">
        <v>1</v>
      </c>
      <c r="Q46" s="52">
        <v>0.9</v>
      </c>
      <c r="R46" s="53">
        <f t="shared" si="1"/>
        <v>0.9</v>
      </c>
      <c r="S46" s="101" t="s">
        <v>174</v>
      </c>
      <c r="U46" s="51"/>
      <c r="V46" s="52"/>
      <c r="W46" s="53">
        <f t="shared" si="2"/>
        <v>0</v>
      </c>
      <c r="X46" s="49"/>
      <c r="Z46" s="51"/>
      <c r="AA46" s="52"/>
      <c r="AB46" s="53">
        <f t="shared" si="3"/>
        <v>0</v>
      </c>
      <c r="AC46" s="49"/>
      <c r="AE46" s="51"/>
      <c r="AF46" s="52"/>
      <c r="AG46" s="53">
        <f t="shared" si="4"/>
        <v>0</v>
      </c>
      <c r="AH46" s="49"/>
      <c r="AJ46" s="51"/>
      <c r="AK46" s="52"/>
      <c r="AL46" s="53">
        <f t="shared" si="5"/>
        <v>0</v>
      </c>
      <c r="AM46" s="49"/>
      <c r="AO46" s="51">
        <v>1</v>
      </c>
      <c r="AP46" s="96">
        <v>0.5</v>
      </c>
      <c r="AQ46" s="53">
        <f t="shared" si="6"/>
        <v>0.5</v>
      </c>
      <c r="AR46" s="101" t="s">
        <v>172</v>
      </c>
    </row>
    <row r="47" spans="1:44" s="48" customFormat="1" ht="251.25" customHeight="1" x14ac:dyDescent="0.25">
      <c r="A47" s="48">
        <v>44</v>
      </c>
      <c r="B47" s="49" t="s">
        <v>11</v>
      </c>
      <c r="C47" s="49" t="s">
        <v>11</v>
      </c>
      <c r="D47" s="50" t="s">
        <v>112</v>
      </c>
      <c r="F47" s="51"/>
      <c r="G47" s="52"/>
      <c r="H47" s="53">
        <f t="shared" si="7"/>
        <v>0</v>
      </c>
      <c r="I47" s="49"/>
      <c r="K47" s="51">
        <v>1</v>
      </c>
      <c r="L47" s="96">
        <v>0.85</v>
      </c>
      <c r="M47" s="53">
        <f t="shared" si="0"/>
        <v>0.85</v>
      </c>
      <c r="N47" s="104" t="s">
        <v>221</v>
      </c>
      <c r="P47" s="51">
        <v>1</v>
      </c>
      <c r="Q47" s="52">
        <v>0.95</v>
      </c>
      <c r="R47" s="53">
        <f t="shared" si="1"/>
        <v>0.95</v>
      </c>
      <c r="S47" s="99" t="s">
        <v>222</v>
      </c>
      <c r="U47" s="51"/>
      <c r="V47" s="52"/>
      <c r="W47" s="53">
        <f t="shared" si="2"/>
        <v>0</v>
      </c>
      <c r="X47" s="49"/>
      <c r="Z47" s="51"/>
      <c r="AA47" s="52"/>
      <c r="AB47" s="53">
        <f t="shared" si="3"/>
        <v>0</v>
      </c>
      <c r="AC47" s="49"/>
      <c r="AE47" s="51"/>
      <c r="AF47" s="52"/>
      <c r="AG47" s="53">
        <f t="shared" si="4"/>
        <v>0</v>
      </c>
      <c r="AH47" s="49"/>
      <c r="AJ47" s="51"/>
      <c r="AK47" s="52"/>
      <c r="AL47" s="53">
        <f t="shared" si="5"/>
        <v>0</v>
      </c>
      <c r="AM47" s="49"/>
      <c r="AO47" s="51">
        <v>1</v>
      </c>
      <c r="AP47" s="96">
        <v>0.7</v>
      </c>
      <c r="AQ47" s="53">
        <f t="shared" si="6"/>
        <v>0.7</v>
      </c>
      <c r="AR47" s="104" t="s">
        <v>223</v>
      </c>
    </row>
    <row r="48" spans="1:44" s="48" customFormat="1" ht="203.25" customHeight="1" x14ac:dyDescent="0.25">
      <c r="A48" s="48">
        <v>45</v>
      </c>
      <c r="B48" s="49" t="s">
        <v>11</v>
      </c>
      <c r="C48" s="49" t="s">
        <v>11</v>
      </c>
      <c r="D48" s="50" t="s">
        <v>111</v>
      </c>
      <c r="F48" s="51"/>
      <c r="G48" s="52"/>
      <c r="H48" s="53">
        <f t="shared" si="7"/>
        <v>0</v>
      </c>
      <c r="I48" s="49"/>
      <c r="K48" s="51">
        <v>1</v>
      </c>
      <c r="L48" s="96">
        <v>1</v>
      </c>
      <c r="M48" s="53">
        <f t="shared" si="0"/>
        <v>1</v>
      </c>
      <c r="N48" s="50" t="s">
        <v>234</v>
      </c>
      <c r="P48" s="51">
        <v>1</v>
      </c>
      <c r="Q48" s="52">
        <v>0.8</v>
      </c>
      <c r="R48" s="53">
        <f t="shared" si="1"/>
        <v>0.8</v>
      </c>
      <c r="S48" s="101" t="s">
        <v>224</v>
      </c>
      <c r="U48" s="51"/>
      <c r="V48" s="52"/>
      <c r="W48" s="53">
        <f t="shared" si="2"/>
        <v>0</v>
      </c>
      <c r="X48" s="49"/>
      <c r="Z48" s="51"/>
      <c r="AA48" s="52"/>
      <c r="AB48" s="53">
        <f t="shared" si="3"/>
        <v>0</v>
      </c>
      <c r="AC48" s="49"/>
      <c r="AE48" s="51"/>
      <c r="AF48" s="52"/>
      <c r="AG48" s="53">
        <f t="shared" si="4"/>
        <v>0</v>
      </c>
      <c r="AH48" s="49"/>
      <c r="AJ48" s="51"/>
      <c r="AK48" s="52"/>
      <c r="AL48" s="53">
        <f t="shared" si="5"/>
        <v>0</v>
      </c>
      <c r="AM48" s="49"/>
      <c r="AO48" s="51">
        <v>1</v>
      </c>
      <c r="AP48" s="96">
        <v>1</v>
      </c>
      <c r="AQ48" s="53">
        <f t="shared" si="6"/>
        <v>1</v>
      </c>
      <c r="AR48" s="50" t="s">
        <v>234</v>
      </c>
    </row>
    <row r="49" spans="1:44" s="48" customFormat="1" ht="198.75" customHeight="1" x14ac:dyDescent="0.25">
      <c r="A49" s="48">
        <v>46</v>
      </c>
      <c r="B49" s="49" t="s">
        <v>11</v>
      </c>
      <c r="C49" s="49" t="s">
        <v>11</v>
      </c>
      <c r="D49" s="50" t="s">
        <v>108</v>
      </c>
      <c r="F49" s="51"/>
      <c r="G49" s="52"/>
      <c r="H49" s="53">
        <f t="shared" si="7"/>
        <v>0</v>
      </c>
      <c r="I49" s="49"/>
      <c r="K49" s="51">
        <v>1</v>
      </c>
      <c r="L49" s="96">
        <v>0.9</v>
      </c>
      <c r="M49" s="53">
        <f t="shared" si="0"/>
        <v>0.9</v>
      </c>
      <c r="N49" s="104" t="s">
        <v>225</v>
      </c>
      <c r="P49" s="51">
        <v>1</v>
      </c>
      <c r="Q49" s="52">
        <v>0.95</v>
      </c>
      <c r="R49" s="53">
        <f t="shared" si="1"/>
        <v>0.95</v>
      </c>
      <c r="S49" s="101" t="s">
        <v>226</v>
      </c>
      <c r="U49" s="51"/>
      <c r="V49" s="52"/>
      <c r="W49" s="53">
        <f t="shared" si="2"/>
        <v>0</v>
      </c>
      <c r="X49" s="49"/>
      <c r="Z49" s="51"/>
      <c r="AA49" s="52"/>
      <c r="AB49" s="53">
        <f t="shared" si="3"/>
        <v>0</v>
      </c>
      <c r="AC49" s="49"/>
      <c r="AE49" s="51"/>
      <c r="AF49" s="52"/>
      <c r="AG49" s="53">
        <f t="shared" si="4"/>
        <v>0</v>
      </c>
      <c r="AH49" s="49"/>
      <c r="AJ49" s="51"/>
      <c r="AK49" s="52"/>
      <c r="AL49" s="53">
        <f t="shared" si="5"/>
        <v>0</v>
      </c>
      <c r="AM49" s="49"/>
      <c r="AO49" s="51">
        <v>1</v>
      </c>
      <c r="AP49" s="96">
        <v>0.7</v>
      </c>
      <c r="AQ49" s="53">
        <f t="shared" si="6"/>
        <v>0.7</v>
      </c>
      <c r="AR49" s="109" t="s">
        <v>227</v>
      </c>
    </row>
    <row r="50" spans="1:44" s="48" customFormat="1" ht="112.5" customHeight="1" x14ac:dyDescent="0.25">
      <c r="A50" s="48">
        <v>47</v>
      </c>
      <c r="B50" s="49" t="s">
        <v>11</v>
      </c>
      <c r="C50" s="49" t="s">
        <v>11</v>
      </c>
      <c r="D50" s="50" t="s">
        <v>109</v>
      </c>
      <c r="F50" s="51"/>
      <c r="G50" s="52"/>
      <c r="H50" s="53">
        <f t="shared" si="7"/>
        <v>0</v>
      </c>
      <c r="I50" s="49"/>
      <c r="K50" s="51">
        <v>1</v>
      </c>
      <c r="L50" s="96">
        <v>1</v>
      </c>
      <c r="M50" s="53">
        <f t="shared" si="0"/>
        <v>1</v>
      </c>
      <c r="N50" s="50" t="s">
        <v>234</v>
      </c>
      <c r="P50" s="51">
        <v>1</v>
      </c>
      <c r="Q50" s="52">
        <v>0.9</v>
      </c>
      <c r="R50" s="53">
        <f t="shared" si="1"/>
        <v>0.9</v>
      </c>
      <c r="S50" s="104" t="s">
        <v>228</v>
      </c>
      <c r="U50" s="51"/>
      <c r="V50" s="52"/>
      <c r="W50" s="53">
        <f t="shared" si="2"/>
        <v>0</v>
      </c>
      <c r="X50" s="49"/>
      <c r="Z50" s="51"/>
      <c r="AA50" s="52"/>
      <c r="AB50" s="53">
        <f t="shared" si="3"/>
        <v>0</v>
      </c>
      <c r="AC50" s="49"/>
      <c r="AE50" s="51"/>
      <c r="AF50" s="52"/>
      <c r="AG50" s="53">
        <f t="shared" si="4"/>
        <v>0</v>
      </c>
      <c r="AH50" s="49"/>
      <c r="AJ50" s="51"/>
      <c r="AK50" s="52"/>
      <c r="AL50" s="53">
        <f t="shared" si="5"/>
        <v>0</v>
      </c>
      <c r="AM50" s="49"/>
      <c r="AO50" s="51">
        <v>1</v>
      </c>
      <c r="AP50" s="96">
        <v>1</v>
      </c>
      <c r="AQ50" s="53">
        <f t="shared" si="6"/>
        <v>1</v>
      </c>
      <c r="AR50" s="110" t="s">
        <v>234</v>
      </c>
    </row>
    <row r="51" spans="1:44" s="48" customFormat="1" ht="142.5" customHeight="1" x14ac:dyDescent="0.25">
      <c r="A51" s="48">
        <v>48</v>
      </c>
      <c r="B51" s="49" t="s">
        <v>11</v>
      </c>
      <c r="C51" s="49" t="s">
        <v>11</v>
      </c>
      <c r="D51" s="50" t="s">
        <v>110</v>
      </c>
      <c r="F51" s="51"/>
      <c r="G51" s="52"/>
      <c r="H51" s="53">
        <f t="shared" si="7"/>
        <v>0</v>
      </c>
      <c r="I51" s="49"/>
      <c r="K51" s="51">
        <v>1</v>
      </c>
      <c r="L51" s="96">
        <v>1</v>
      </c>
      <c r="M51" s="53">
        <f t="shared" si="0"/>
        <v>1</v>
      </c>
      <c r="N51" s="50" t="s">
        <v>234</v>
      </c>
      <c r="P51" s="51">
        <v>1</v>
      </c>
      <c r="Q51" s="52">
        <v>0.7</v>
      </c>
      <c r="R51" s="53">
        <f t="shared" si="1"/>
        <v>0.7</v>
      </c>
      <c r="S51" s="101" t="s">
        <v>229</v>
      </c>
      <c r="U51" s="51"/>
      <c r="V51" s="52"/>
      <c r="W51" s="53">
        <f t="shared" si="2"/>
        <v>0</v>
      </c>
      <c r="X51" s="49"/>
      <c r="Z51" s="51"/>
      <c r="AA51" s="52"/>
      <c r="AB51" s="53">
        <f t="shared" si="3"/>
        <v>0</v>
      </c>
      <c r="AC51" s="49"/>
      <c r="AE51" s="51"/>
      <c r="AF51" s="52"/>
      <c r="AG51" s="53">
        <f t="shared" si="4"/>
        <v>0</v>
      </c>
      <c r="AH51" s="49"/>
      <c r="AJ51" s="51"/>
      <c r="AK51" s="52"/>
      <c r="AL51" s="53">
        <f t="shared" si="5"/>
        <v>0</v>
      </c>
      <c r="AM51" s="49"/>
      <c r="AO51" s="51">
        <v>1</v>
      </c>
      <c r="AP51" s="96">
        <v>0.8</v>
      </c>
      <c r="AQ51" s="53">
        <f t="shared" si="6"/>
        <v>0.8</v>
      </c>
      <c r="AR51" s="101" t="s">
        <v>230</v>
      </c>
    </row>
    <row r="52" spans="1:44" s="48" customFormat="1" ht="409.5" customHeight="1" x14ac:dyDescent="0.25">
      <c r="A52" s="48">
        <v>49</v>
      </c>
      <c r="B52" s="49" t="s">
        <v>11</v>
      </c>
      <c r="C52" s="49" t="s">
        <v>97</v>
      </c>
      <c r="D52" s="50" t="s">
        <v>107</v>
      </c>
      <c r="F52" s="51"/>
      <c r="G52" s="52"/>
      <c r="H52" s="53">
        <f t="shared" si="7"/>
        <v>0</v>
      </c>
      <c r="I52" s="49"/>
      <c r="K52" s="51">
        <v>1</v>
      </c>
      <c r="L52" s="96">
        <v>0.9</v>
      </c>
      <c r="M52" s="53">
        <f t="shared" si="0"/>
        <v>0.9</v>
      </c>
      <c r="N52" s="104" t="s">
        <v>231</v>
      </c>
      <c r="P52" s="51">
        <v>1</v>
      </c>
      <c r="Q52" s="52">
        <v>1</v>
      </c>
      <c r="R52" s="53">
        <f t="shared" si="1"/>
        <v>1</v>
      </c>
      <c r="S52" s="50" t="s">
        <v>234</v>
      </c>
      <c r="U52" s="51"/>
      <c r="V52" s="52"/>
      <c r="W52" s="53">
        <f t="shared" si="2"/>
        <v>0</v>
      </c>
      <c r="X52" s="49"/>
      <c r="Z52" s="51"/>
      <c r="AA52" s="52"/>
      <c r="AB52" s="53">
        <f t="shared" si="3"/>
        <v>0</v>
      </c>
      <c r="AC52" s="49"/>
      <c r="AE52" s="51"/>
      <c r="AF52" s="52"/>
      <c r="AG52" s="53">
        <f t="shared" si="4"/>
        <v>0</v>
      </c>
      <c r="AH52" s="49"/>
      <c r="AJ52" s="51"/>
      <c r="AK52" s="52"/>
      <c r="AL52" s="53">
        <f t="shared" si="5"/>
        <v>0</v>
      </c>
      <c r="AM52" s="49"/>
      <c r="AO52" s="51">
        <v>1</v>
      </c>
      <c r="AP52" s="96">
        <v>0.75</v>
      </c>
      <c r="AQ52" s="53">
        <f t="shared" si="6"/>
        <v>0.75</v>
      </c>
      <c r="AR52" s="101" t="s">
        <v>232</v>
      </c>
    </row>
    <row r="53" spans="1:44" s="48" customFormat="1" ht="15.75" x14ac:dyDescent="0.25">
      <c r="I53" s="56"/>
    </row>
    <row r="54" spans="1:44" s="48" customFormat="1" ht="15.75" x14ac:dyDescent="0.25">
      <c r="I54" s="56"/>
    </row>
    <row r="55" spans="1:44" s="48" customFormat="1" ht="15.75" x14ac:dyDescent="0.25">
      <c r="I55" s="56"/>
    </row>
    <row r="56" spans="1:44" s="48" customFormat="1" ht="15.75" x14ac:dyDescent="0.25">
      <c r="I56" s="56"/>
    </row>
    <row r="57" spans="1:44" s="48" customFormat="1" ht="15.75" x14ac:dyDescent="0.25">
      <c r="I57" s="56"/>
    </row>
  </sheetData>
  <autoFilter ref="B1:B57" xr:uid="{00000000-0009-0000-0000-000001000000}"/>
  <mergeCells count="9">
    <mergeCell ref="AJ2:AM2"/>
    <mergeCell ref="AO2:AR2"/>
    <mergeCell ref="K2:N2"/>
    <mergeCell ref="P2:S2"/>
    <mergeCell ref="B2:D2"/>
    <mergeCell ref="F2:I2"/>
    <mergeCell ref="U2:X2"/>
    <mergeCell ref="Z2:AC2"/>
    <mergeCell ref="AE2:AH2"/>
  </mergeCells>
  <dataValidations count="1">
    <dataValidation type="decimal" allowBlank="1" showDropDown="1" showInputMessage="1" showErrorMessage="1" prompt="Enter a number between 0% and 100%" sqref="L25:L38" xr:uid="{AA138A74-6C9C-47B3-BDDF-9732F1D43E82}">
      <formula1>0</formula1>
      <formula2>1</formula2>
    </dataValidation>
  </dataValidations>
  <pageMargins left="0.511811024" right="0.511811024" top="0.78740157499999996" bottom="0.78740157499999996" header="0.31496062000000002" footer="0.31496062000000002"/>
  <pageSetup paperSize="9" scale="15"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2</vt:i4>
      </vt:variant>
    </vt:vector>
  </HeadingPairs>
  <TitlesOfParts>
    <vt:vector size="2" baseType="lpstr">
      <vt:lpstr>Resumo</vt:lpstr>
      <vt:lpstr>São Gonçalo do Amarante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Thiago Costa Monteiro Caldeira</dc:creator>
  <cp:lastModifiedBy>Michele Nunes Freires Cerqueira</cp:lastModifiedBy>
  <cp:lastPrinted>2015-11-16T13:02:37Z</cp:lastPrinted>
  <dcterms:created xsi:type="dcterms:W3CDTF">2015-10-23T14:17:12Z</dcterms:created>
  <dcterms:modified xsi:type="dcterms:W3CDTF">2021-01-06T14:48:29Z</dcterms:modified>
</cp:coreProperties>
</file>