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usuariolocal\Downloads\"/>
    </mc:Choice>
  </mc:AlternateContent>
  <workbookProtection workbookPassword="9E32" lockStructure="1"/>
  <bookViews>
    <workbookView xWindow="0" yWindow="0" windowWidth="19200" windowHeight="6730"/>
  </bookViews>
  <sheets>
    <sheet name="Dados" sheetId="1" r:id="rId1"/>
    <sheet name="Patrimônio Líquido" sheetId="2" r:id="rId2"/>
  </sheets>
  <definedNames>
    <definedName name="_xlnm.Print_Area" localSheetId="0">Dados!$A$3:$J$136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2" l="1"/>
  <c r="J16" i="1" l="1"/>
  <c r="AB105" i="1" l="1"/>
  <c r="C19" i="2" l="1"/>
  <c r="C20" i="1" l="1"/>
  <c r="A26" i="1"/>
  <c r="A20" i="1"/>
  <c r="W30" i="1" l="1"/>
  <c r="X27" i="1"/>
  <c r="C20" i="2"/>
  <c r="C17" i="2"/>
  <c r="C16" i="2"/>
  <c r="C15" i="2"/>
  <c r="C14" i="2"/>
  <c r="C12" i="2"/>
  <c r="C11" i="2"/>
  <c r="C10" i="2"/>
  <c r="C9" i="2"/>
  <c r="C7" i="2"/>
  <c r="C6" i="2"/>
  <c r="C8" i="2"/>
  <c r="C5" i="2"/>
  <c r="C4" i="2"/>
  <c r="C18" i="2"/>
  <c r="C3" i="2"/>
  <c r="AB44" i="1"/>
  <c r="AB43" i="1"/>
  <c r="Z43" i="1"/>
  <c r="AB106" i="1"/>
  <c r="AB110" i="1"/>
  <c r="AA110" i="1" s="1"/>
  <c r="AB112" i="1"/>
  <c r="AA112" i="1" s="1"/>
  <c r="AB111" i="1"/>
  <c r="AA111" i="1" s="1"/>
  <c r="AB38" i="1"/>
  <c r="AB89" i="1"/>
  <c r="AA89" i="1" s="1"/>
  <c r="AB90" i="1" a="1"/>
  <c r="AB90" i="1" s="1"/>
  <c r="AA90" i="1" s="1"/>
  <c r="AE83" i="1"/>
  <c r="AA105" i="1"/>
  <c r="Z57" i="1"/>
  <c r="Z58" i="1"/>
  <c r="Z59" i="1"/>
  <c r="AB113" i="1" a="1"/>
  <c r="AB113" i="1" s="1"/>
  <c r="AA113" i="1" s="1"/>
  <c r="AB57" i="1" a="1"/>
  <c r="AB57" i="1" s="1"/>
  <c r="AB56" i="1" a="1"/>
  <c r="AB56" i="1" s="1"/>
  <c r="AH71" i="1"/>
  <c r="AD71" i="1" s="1" a="1"/>
  <c r="AD71" i="1" s="1"/>
  <c r="AB109" i="1" s="1"/>
  <c r="AA109" i="1" s="1"/>
  <c r="AH72" i="1"/>
  <c r="AD73" i="1" s="1" a="1"/>
  <c r="AD73" i="1" s="1"/>
  <c r="AB87" i="1"/>
  <c r="AA87" i="1" s="1"/>
  <c r="AB88" i="1"/>
  <c r="AA88" i="1" s="1"/>
  <c r="AB91" i="1"/>
  <c r="AA91" i="1" s="1"/>
  <c r="AB92" i="1"/>
  <c r="AA92" i="1" s="1"/>
  <c r="AB93" i="1"/>
  <c r="AA93" i="1" s="1"/>
  <c r="AB94" i="1"/>
  <c r="AA94" i="1" s="1"/>
  <c r="AB95" i="1"/>
  <c r="AA95" i="1" s="1"/>
  <c r="AB96" i="1"/>
  <c r="AA96" i="1" s="1"/>
  <c r="AB97" i="1"/>
  <c r="AA97" i="1" s="1"/>
  <c r="AB98" i="1"/>
  <c r="AA98" i="1" s="1"/>
  <c r="AB99" i="1"/>
  <c r="AA99" i="1" s="1"/>
  <c r="AB103" i="1"/>
  <c r="AA103" i="1" s="1"/>
  <c r="AB104" i="1"/>
  <c r="AA104" i="1" s="1"/>
  <c r="AB58" i="1" a="1"/>
  <c r="AB58" i="1" s="1"/>
  <c r="AA106" i="1"/>
  <c r="AB55" i="1" a="1"/>
  <c r="AB55" i="1" s="1"/>
  <c r="AA55" i="1" s="1"/>
  <c r="Z55" i="1" s="1"/>
  <c r="Z26" i="1"/>
  <c r="Z27" i="1"/>
  <c r="Z28" i="1"/>
  <c r="Z29" i="1"/>
  <c r="Z30" i="1"/>
  <c r="Z31" i="1"/>
  <c r="Z32" i="1"/>
  <c r="Z33" i="1"/>
  <c r="Z34" i="1"/>
  <c r="Z35" i="1"/>
  <c r="Z36" i="1"/>
  <c r="Z39" i="1"/>
  <c r="Z40" i="1"/>
  <c r="Z41" i="1"/>
  <c r="Z45" i="1"/>
  <c r="Z46" i="1"/>
  <c r="Z47" i="1"/>
  <c r="Z49" i="1"/>
  <c r="Z50" i="1"/>
  <c r="Z51" i="1"/>
  <c r="Z52" i="1"/>
  <c r="AC54" i="1"/>
  <c r="AB54" i="1"/>
  <c r="AA54" i="1" s="1"/>
  <c r="Z54" i="1" s="1"/>
  <c r="W31" i="1"/>
  <c r="X31" i="1" s="1"/>
  <c r="W32" i="1"/>
  <c r="X32" i="1" s="1"/>
  <c r="W33" i="1"/>
  <c r="X33" i="1" s="1"/>
  <c r="W34" i="1"/>
  <c r="X34" i="1" s="1"/>
  <c r="W35" i="1"/>
  <c r="X35" i="1" s="1"/>
  <c r="W36" i="1"/>
  <c r="X36" i="1" s="1"/>
  <c r="W37" i="1"/>
  <c r="X37" i="1" s="1"/>
  <c r="W38" i="1"/>
  <c r="X38" i="1" s="1"/>
  <c r="W39" i="1"/>
  <c r="X39" i="1" s="1"/>
  <c r="W40" i="1"/>
  <c r="X40" i="1" s="1"/>
  <c r="W41" i="1"/>
  <c r="X41" i="1" s="1"/>
  <c r="W42" i="1"/>
  <c r="X42" i="1" s="1"/>
  <c r="W43" i="1"/>
  <c r="X43" i="1" s="1"/>
  <c r="W44" i="1"/>
  <c r="X44" i="1" s="1"/>
  <c r="W45" i="1"/>
  <c r="X45" i="1" s="1"/>
  <c r="W46" i="1"/>
  <c r="X46" i="1" s="1"/>
  <c r="W47" i="1"/>
  <c r="X47" i="1" s="1"/>
  <c r="W48" i="1"/>
  <c r="X48" i="1" s="1"/>
  <c r="W49" i="1"/>
  <c r="X49" i="1" s="1"/>
  <c r="W50" i="1"/>
  <c r="W51" i="1"/>
  <c r="X51" i="1" s="1"/>
  <c r="W52" i="1"/>
  <c r="X52" i="1" s="1"/>
  <c r="W53" i="1"/>
  <c r="X53" i="1" s="1"/>
  <c r="W54" i="1"/>
  <c r="X54" i="1" s="1"/>
  <c r="W55" i="1"/>
  <c r="X55" i="1" s="1"/>
  <c r="W56" i="1"/>
  <c r="X56" i="1" s="1"/>
  <c r="W57" i="1"/>
  <c r="X57" i="1" s="1"/>
  <c r="W58" i="1"/>
  <c r="X58" i="1" s="1"/>
  <c r="W59" i="1"/>
  <c r="X59" i="1" s="1"/>
  <c r="W60" i="1"/>
  <c r="X60" i="1" s="1"/>
  <c r="W61" i="1"/>
  <c r="X61" i="1" s="1"/>
  <c r="W62" i="1"/>
  <c r="X62" i="1" s="1"/>
  <c r="W63" i="1"/>
  <c r="X63" i="1" s="1"/>
  <c r="W64" i="1"/>
  <c r="X64" i="1" s="1"/>
  <c r="W65" i="1"/>
  <c r="X65" i="1" s="1"/>
  <c r="W66" i="1"/>
  <c r="X66" i="1" s="1"/>
  <c r="W67" i="1"/>
  <c r="X67" i="1" s="1"/>
  <c r="W68" i="1"/>
  <c r="X68" i="1" s="1"/>
  <c r="W69" i="1"/>
  <c r="X69" i="1" s="1"/>
  <c r="W70" i="1"/>
  <c r="X70" i="1" s="1"/>
  <c r="W71" i="1"/>
  <c r="X71" i="1" s="1"/>
  <c r="W72" i="1"/>
  <c r="X72" i="1" s="1"/>
  <c r="W73" i="1"/>
  <c r="X73" i="1" s="1"/>
  <c r="W74" i="1"/>
  <c r="X74" i="1" s="1"/>
  <c r="W75" i="1"/>
  <c r="X75" i="1" s="1"/>
  <c r="W76" i="1"/>
  <c r="X76" i="1" s="1"/>
  <c r="W77" i="1"/>
  <c r="X77" i="1" s="1"/>
  <c r="W78" i="1"/>
  <c r="X78" i="1" s="1"/>
  <c r="W79" i="1"/>
  <c r="X79" i="1" s="1"/>
  <c r="W80" i="1"/>
  <c r="X80" i="1" s="1"/>
  <c r="W81" i="1"/>
  <c r="X81" i="1" s="1"/>
  <c r="W82" i="1"/>
  <c r="X82" i="1" s="1"/>
  <c r="W83" i="1"/>
  <c r="X83" i="1" s="1"/>
  <c r="W84" i="1"/>
  <c r="X84" i="1" s="1"/>
  <c r="W85" i="1"/>
  <c r="X85" i="1" s="1"/>
  <c r="W86" i="1"/>
  <c r="X86" i="1" s="1"/>
  <c r="W87" i="1"/>
  <c r="X87" i="1" s="1"/>
  <c r="W88" i="1"/>
  <c r="X88" i="1" s="1"/>
  <c r="W89" i="1"/>
  <c r="X89" i="1" s="1"/>
  <c r="W90" i="1"/>
  <c r="X90" i="1" s="1"/>
  <c r="W91" i="1"/>
  <c r="X91" i="1" s="1"/>
  <c r="W92" i="1"/>
  <c r="X92" i="1" s="1"/>
  <c r="W93" i="1"/>
  <c r="X93" i="1" s="1"/>
  <c r="W94" i="1"/>
  <c r="X94" i="1" s="1"/>
  <c r="W95" i="1"/>
  <c r="X95" i="1" s="1"/>
  <c r="W96" i="1"/>
  <c r="X96" i="1" s="1"/>
  <c r="W97" i="1"/>
  <c r="X97" i="1" s="1"/>
  <c r="W98" i="1"/>
  <c r="W99" i="1"/>
  <c r="X99" i="1" s="1"/>
  <c r="W100" i="1"/>
  <c r="X100" i="1" s="1"/>
  <c r="W101" i="1"/>
  <c r="X101" i="1" s="1"/>
  <c r="W102" i="1"/>
  <c r="X102" i="1" s="1"/>
  <c r="W103" i="1"/>
  <c r="X103" i="1" s="1"/>
  <c r="W104" i="1"/>
  <c r="X104" i="1" s="1"/>
  <c r="W105" i="1"/>
  <c r="X105" i="1" s="1"/>
  <c r="W106" i="1"/>
  <c r="X106" i="1" s="1"/>
  <c r="W107" i="1"/>
  <c r="X107" i="1" s="1"/>
  <c r="W108" i="1"/>
  <c r="X108" i="1" s="1"/>
  <c r="W109" i="1"/>
  <c r="X109" i="1" s="1"/>
  <c r="W110" i="1"/>
  <c r="X110" i="1" s="1"/>
  <c r="W111" i="1"/>
  <c r="W112" i="1"/>
  <c r="X112" i="1" s="1"/>
  <c r="W113" i="1"/>
  <c r="X113" i="1" s="1"/>
  <c r="W114" i="1"/>
  <c r="W115" i="1"/>
  <c r="X115" i="1" s="1"/>
  <c r="W116" i="1"/>
  <c r="X116" i="1" s="1"/>
  <c r="W117" i="1"/>
  <c r="X117" i="1" s="1"/>
  <c r="W118" i="1"/>
  <c r="X118" i="1" s="1"/>
  <c r="W119" i="1"/>
  <c r="X119" i="1" s="1"/>
  <c r="W120" i="1"/>
  <c r="W121" i="1"/>
  <c r="X121" i="1" s="1"/>
  <c r="W122" i="1"/>
  <c r="X122" i="1" s="1"/>
  <c r="W123" i="1"/>
  <c r="X123" i="1" s="1"/>
  <c r="W124" i="1"/>
  <c r="W125" i="1"/>
  <c r="X125" i="1" s="1"/>
  <c r="W126" i="1"/>
  <c r="X126" i="1" s="1"/>
  <c r="W127" i="1"/>
  <c r="X127" i="1" s="1"/>
  <c r="W128" i="1"/>
  <c r="X128" i="1"/>
  <c r="W129" i="1"/>
  <c r="X129" i="1" s="1"/>
  <c r="W130" i="1"/>
  <c r="X130" i="1" s="1"/>
  <c r="W131" i="1"/>
  <c r="X131" i="1" s="1"/>
  <c r="W132" i="1"/>
  <c r="X132" i="1" s="1"/>
  <c r="W133" i="1"/>
  <c r="X133" i="1" s="1"/>
  <c r="W134" i="1"/>
  <c r="X134" i="1" s="1"/>
  <c r="W135" i="1"/>
  <c r="X135" i="1" s="1"/>
  <c r="W136" i="1"/>
  <c r="X136" i="1" s="1"/>
  <c r="W137" i="1"/>
  <c r="X137" i="1" s="1"/>
  <c r="W138" i="1"/>
  <c r="X138" i="1" s="1"/>
  <c r="W139" i="1"/>
  <c r="X139" i="1" s="1"/>
  <c r="W140" i="1"/>
  <c r="X140" i="1" s="1"/>
  <c r="W141" i="1"/>
  <c r="X141" i="1" s="1"/>
  <c r="W142" i="1"/>
  <c r="X142" i="1" s="1"/>
  <c r="W143" i="1"/>
  <c r="X143" i="1" s="1"/>
  <c r="W144" i="1"/>
  <c r="X144" i="1" s="1"/>
  <c r="W145" i="1"/>
  <c r="X145" i="1" s="1"/>
  <c r="W146" i="1"/>
  <c r="X146" i="1" s="1"/>
  <c r="W147" i="1"/>
  <c r="X147" i="1" s="1"/>
  <c r="W148" i="1"/>
  <c r="X148" i="1"/>
  <c r="W149" i="1"/>
  <c r="X149" i="1" s="1"/>
  <c r="K125" i="1"/>
  <c r="T125" i="1"/>
  <c r="U125" i="1"/>
  <c r="K126" i="1"/>
  <c r="T126" i="1"/>
  <c r="U126" i="1" s="1"/>
  <c r="K127" i="1"/>
  <c r="T127" i="1"/>
  <c r="U127" i="1" s="1"/>
  <c r="K128" i="1"/>
  <c r="T128" i="1"/>
  <c r="U128" i="1" s="1"/>
  <c r="K129" i="1"/>
  <c r="T129" i="1"/>
  <c r="U129" i="1" s="1"/>
  <c r="K130" i="1"/>
  <c r="T130" i="1"/>
  <c r="U130" i="1" s="1"/>
  <c r="K131" i="1"/>
  <c r="T131" i="1"/>
  <c r="U131" i="1" s="1"/>
  <c r="K132" i="1"/>
  <c r="T132" i="1"/>
  <c r="U132" i="1" s="1"/>
  <c r="K133" i="1"/>
  <c r="T133" i="1"/>
  <c r="U133" i="1" s="1"/>
  <c r="K134" i="1"/>
  <c r="T134" i="1"/>
  <c r="U134" i="1" s="1"/>
  <c r="K135" i="1"/>
  <c r="T135" i="1"/>
  <c r="U135" i="1" s="1"/>
  <c r="K136" i="1"/>
  <c r="T136" i="1"/>
  <c r="U136" i="1" s="1"/>
  <c r="K137" i="1"/>
  <c r="T137" i="1"/>
  <c r="U137" i="1" s="1"/>
  <c r="K138" i="1"/>
  <c r="T138" i="1"/>
  <c r="U138" i="1" s="1"/>
  <c r="K139" i="1"/>
  <c r="T139" i="1"/>
  <c r="U139" i="1" s="1"/>
  <c r="K140" i="1"/>
  <c r="T140" i="1"/>
  <c r="U140" i="1" s="1"/>
  <c r="K141" i="1"/>
  <c r="T141" i="1"/>
  <c r="U141" i="1" s="1"/>
  <c r="K142" i="1"/>
  <c r="T142" i="1"/>
  <c r="U142" i="1" s="1"/>
  <c r="K143" i="1"/>
  <c r="T143" i="1"/>
  <c r="U143" i="1" s="1"/>
  <c r="K144" i="1"/>
  <c r="T144" i="1"/>
  <c r="U144" i="1" s="1"/>
  <c r="K145" i="1"/>
  <c r="T145" i="1"/>
  <c r="U145" i="1" s="1"/>
  <c r="K146" i="1"/>
  <c r="T146" i="1"/>
  <c r="U146" i="1" s="1"/>
  <c r="K147" i="1"/>
  <c r="T147" i="1"/>
  <c r="U147" i="1"/>
  <c r="K148" i="1"/>
  <c r="T148" i="1"/>
  <c r="U148" i="1" s="1"/>
  <c r="K149" i="1"/>
  <c r="T149" i="1"/>
  <c r="U149" i="1" s="1"/>
  <c r="AB37" i="1"/>
  <c r="AB31" i="1"/>
  <c r="AB32" i="1"/>
  <c r="AB33" i="1"/>
  <c r="AB34" i="1"/>
  <c r="AB35" i="1"/>
  <c r="AB36" i="1"/>
  <c r="AB27" i="1"/>
  <c r="AB28" i="1"/>
  <c r="AB29" i="1"/>
  <c r="AB30" i="1"/>
  <c r="AB26" i="1"/>
  <c r="AE81" i="1"/>
  <c r="AE82" i="1" s="1"/>
  <c r="AB108" i="1" s="1"/>
  <c r="AA108" i="1" s="1"/>
  <c r="T107" i="1"/>
  <c r="U107" i="1" s="1"/>
  <c r="T108" i="1"/>
  <c r="U108" i="1" s="1"/>
  <c r="T109" i="1"/>
  <c r="U109" i="1" s="1"/>
  <c r="T110" i="1"/>
  <c r="U110" i="1" s="1"/>
  <c r="T111" i="1"/>
  <c r="U111" i="1" s="1"/>
  <c r="T112" i="1"/>
  <c r="U112" i="1" s="1"/>
  <c r="T113" i="1"/>
  <c r="U113" i="1" s="1"/>
  <c r="T114" i="1"/>
  <c r="U114" i="1" s="1"/>
  <c r="T115" i="1"/>
  <c r="U115" i="1" s="1"/>
  <c r="T116" i="1"/>
  <c r="U116" i="1" s="1"/>
  <c r="T117" i="1"/>
  <c r="U117" i="1" s="1"/>
  <c r="T118" i="1"/>
  <c r="U118" i="1" s="1"/>
  <c r="T119" i="1"/>
  <c r="U119" i="1" s="1"/>
  <c r="T120" i="1"/>
  <c r="U120" i="1" s="1"/>
  <c r="T121" i="1"/>
  <c r="U121" i="1" s="1"/>
  <c r="T122" i="1"/>
  <c r="U122" i="1" s="1"/>
  <c r="T123" i="1"/>
  <c r="U123" i="1" s="1"/>
  <c r="T124" i="1"/>
  <c r="U124" i="1" s="1"/>
  <c r="K54" i="1"/>
  <c r="T54" i="1"/>
  <c r="U54" i="1" s="1"/>
  <c r="K55" i="1"/>
  <c r="T55" i="1"/>
  <c r="U55" i="1" s="1"/>
  <c r="K56" i="1"/>
  <c r="T56" i="1"/>
  <c r="U56" i="1" s="1"/>
  <c r="K57" i="1"/>
  <c r="T57" i="1"/>
  <c r="U57" i="1" s="1"/>
  <c r="K58" i="1"/>
  <c r="T58" i="1"/>
  <c r="U58" i="1" s="1"/>
  <c r="K59" i="1"/>
  <c r="T59" i="1"/>
  <c r="U59" i="1" s="1"/>
  <c r="K60" i="1"/>
  <c r="T60" i="1"/>
  <c r="U60" i="1" s="1"/>
  <c r="K61" i="1"/>
  <c r="T61" i="1"/>
  <c r="U61" i="1" s="1"/>
  <c r="K62" i="1"/>
  <c r="T62" i="1"/>
  <c r="U62" i="1" s="1"/>
  <c r="K63" i="1"/>
  <c r="T63" i="1"/>
  <c r="U63" i="1" s="1"/>
  <c r="K64" i="1"/>
  <c r="T64" i="1"/>
  <c r="U64" i="1" s="1"/>
  <c r="K65" i="1"/>
  <c r="T65" i="1"/>
  <c r="U65" i="1" s="1"/>
  <c r="K66" i="1"/>
  <c r="T66" i="1"/>
  <c r="U66" i="1" s="1"/>
  <c r="K67" i="1"/>
  <c r="T67" i="1"/>
  <c r="U67" i="1" s="1"/>
  <c r="K68" i="1"/>
  <c r="T68" i="1"/>
  <c r="U68" i="1" s="1"/>
  <c r="K69" i="1"/>
  <c r="T69" i="1"/>
  <c r="U69" i="1" s="1"/>
  <c r="K70" i="1"/>
  <c r="T70" i="1"/>
  <c r="U70" i="1" s="1"/>
  <c r="K71" i="1"/>
  <c r="T71" i="1"/>
  <c r="U71" i="1" s="1"/>
  <c r="K72" i="1"/>
  <c r="T72" i="1"/>
  <c r="U72" i="1" s="1"/>
  <c r="K73" i="1"/>
  <c r="T73" i="1"/>
  <c r="U73" i="1" s="1"/>
  <c r="K74" i="1"/>
  <c r="T74" i="1"/>
  <c r="U74" i="1" s="1"/>
  <c r="K75" i="1"/>
  <c r="T75" i="1"/>
  <c r="U75" i="1" s="1"/>
  <c r="K76" i="1"/>
  <c r="T76" i="1"/>
  <c r="U76" i="1" s="1"/>
  <c r="K77" i="1"/>
  <c r="T77" i="1"/>
  <c r="U77" i="1" s="1"/>
  <c r="K78" i="1"/>
  <c r="T78" i="1"/>
  <c r="U78" i="1" s="1"/>
  <c r="K79" i="1"/>
  <c r="T79" i="1"/>
  <c r="U79" i="1" s="1"/>
  <c r="K80" i="1"/>
  <c r="T80" i="1"/>
  <c r="U80" i="1" s="1"/>
  <c r="K81" i="1"/>
  <c r="T81" i="1"/>
  <c r="U81" i="1" s="1"/>
  <c r="K82" i="1"/>
  <c r="T82" i="1"/>
  <c r="U82" i="1" s="1"/>
  <c r="K83" i="1"/>
  <c r="T83" i="1"/>
  <c r="U83" i="1"/>
  <c r="K84" i="1"/>
  <c r="T84" i="1"/>
  <c r="U84" i="1" s="1"/>
  <c r="K85" i="1"/>
  <c r="T85" i="1"/>
  <c r="U85" i="1" s="1"/>
  <c r="K86" i="1"/>
  <c r="T86" i="1"/>
  <c r="U86" i="1" s="1"/>
  <c r="K87" i="1"/>
  <c r="T87" i="1"/>
  <c r="U87" i="1" s="1"/>
  <c r="K88" i="1"/>
  <c r="T88" i="1"/>
  <c r="U88" i="1" s="1"/>
  <c r="K89" i="1"/>
  <c r="T89" i="1"/>
  <c r="U89" i="1" s="1"/>
  <c r="K90" i="1"/>
  <c r="T90" i="1"/>
  <c r="U90" i="1" s="1"/>
  <c r="K91" i="1"/>
  <c r="T91" i="1"/>
  <c r="U91" i="1" s="1"/>
  <c r="K92" i="1"/>
  <c r="T92" i="1"/>
  <c r="U92" i="1" s="1"/>
  <c r="K93" i="1"/>
  <c r="T93" i="1"/>
  <c r="U93" i="1" s="1"/>
  <c r="K94" i="1"/>
  <c r="T94" i="1"/>
  <c r="U94" i="1" s="1"/>
  <c r="K95" i="1"/>
  <c r="T95" i="1"/>
  <c r="U95" i="1" s="1"/>
  <c r="K96" i="1"/>
  <c r="T96" i="1"/>
  <c r="U96" i="1" s="1"/>
  <c r="K97" i="1"/>
  <c r="T97" i="1"/>
  <c r="U97" i="1" s="1"/>
  <c r="K98" i="1"/>
  <c r="T98" i="1"/>
  <c r="U98" i="1" s="1"/>
  <c r="K99" i="1"/>
  <c r="T99" i="1"/>
  <c r="U99" i="1" s="1"/>
  <c r="K100" i="1"/>
  <c r="T100" i="1"/>
  <c r="U100" i="1" s="1"/>
  <c r="K101" i="1"/>
  <c r="T101" i="1"/>
  <c r="U101" i="1" s="1"/>
  <c r="K102" i="1"/>
  <c r="T102" i="1"/>
  <c r="U102" i="1" s="1"/>
  <c r="K103" i="1"/>
  <c r="T103" i="1"/>
  <c r="U103" i="1"/>
  <c r="K104" i="1"/>
  <c r="T104" i="1"/>
  <c r="U104" i="1" s="1"/>
  <c r="K105" i="1"/>
  <c r="T105" i="1"/>
  <c r="U105" i="1" s="1"/>
  <c r="K106" i="1"/>
  <c r="T106" i="1"/>
  <c r="U106" i="1" s="1"/>
  <c r="AB59" i="1" a="1"/>
  <c r="AB59" i="1" s="1"/>
  <c r="Z37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T31" i="1"/>
  <c r="U31" i="1" s="1"/>
  <c r="T32" i="1"/>
  <c r="U32" i="1" s="1"/>
  <c r="T33" i="1"/>
  <c r="U33" i="1" s="1"/>
  <c r="T34" i="1"/>
  <c r="U34" i="1" s="1"/>
  <c r="T35" i="1"/>
  <c r="U35" i="1" s="1"/>
  <c r="T36" i="1"/>
  <c r="U36" i="1"/>
  <c r="T37" i="1"/>
  <c r="U37" i="1" s="1"/>
  <c r="T38" i="1"/>
  <c r="U38" i="1" s="1"/>
  <c r="T39" i="1"/>
  <c r="U39" i="1" s="1"/>
  <c r="T40" i="1"/>
  <c r="U40" i="1" s="1"/>
  <c r="T41" i="1"/>
  <c r="U41" i="1" s="1"/>
  <c r="T42" i="1"/>
  <c r="U42" i="1" s="1"/>
  <c r="T43" i="1"/>
  <c r="U43" i="1" s="1"/>
  <c r="T44" i="1"/>
  <c r="U44" i="1" s="1"/>
  <c r="T45" i="1"/>
  <c r="U45" i="1" s="1"/>
  <c r="T46" i="1"/>
  <c r="U46" i="1" s="1"/>
  <c r="T47" i="1"/>
  <c r="U47" i="1" s="1"/>
  <c r="T48" i="1"/>
  <c r="U48" i="1" s="1"/>
  <c r="T49" i="1"/>
  <c r="U49" i="1" s="1"/>
  <c r="T50" i="1"/>
  <c r="U50" i="1" s="1"/>
  <c r="T51" i="1"/>
  <c r="U51" i="1" s="1"/>
  <c r="T52" i="1"/>
  <c r="U52" i="1"/>
  <c r="T53" i="1"/>
  <c r="U53" i="1" s="1"/>
  <c r="T30" i="1"/>
  <c r="K41" i="1"/>
  <c r="T27" i="1"/>
  <c r="K53" i="1"/>
  <c r="K52" i="1"/>
  <c r="K51" i="1"/>
  <c r="K50" i="1"/>
  <c r="K49" i="1"/>
  <c r="K48" i="1"/>
  <c r="K47" i="1"/>
  <c r="K46" i="1"/>
  <c r="K45" i="1"/>
  <c r="K44" i="1"/>
  <c r="K43" i="1"/>
  <c r="K42" i="1"/>
  <c r="K40" i="1"/>
  <c r="K39" i="1"/>
  <c r="K38" i="1"/>
  <c r="K37" i="1"/>
  <c r="K36" i="1"/>
  <c r="K35" i="1"/>
  <c r="K34" i="1"/>
  <c r="K33" i="1"/>
  <c r="K32" i="1"/>
  <c r="K31" i="1"/>
  <c r="X50" i="1"/>
  <c r="K30" i="1"/>
  <c r="AB107" i="1" a="1"/>
  <c r="AB107" i="1" s="1"/>
  <c r="AA107" i="1" s="1"/>
  <c r="A30" i="1"/>
  <c r="AB50" i="1" s="1" a="1"/>
  <c r="AB50" i="1" s="1"/>
  <c r="Z42" i="1"/>
  <c r="D31" i="1"/>
  <c r="E31" i="1"/>
  <c r="F31" i="1"/>
  <c r="U27" i="1"/>
  <c r="AE75" i="1" s="1"/>
  <c r="D32" i="1"/>
  <c r="E32" i="1"/>
  <c r="F32" i="1"/>
  <c r="X98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X111" i="1"/>
  <c r="D39" i="1"/>
  <c r="E39" i="1"/>
  <c r="F39" i="1"/>
  <c r="D40" i="1"/>
  <c r="E40" i="1"/>
  <c r="F40" i="1"/>
  <c r="W27" i="1"/>
  <c r="X114" i="1"/>
  <c r="D41" i="1"/>
  <c r="E41" i="1"/>
  <c r="F41" i="1"/>
  <c r="D42" i="1"/>
  <c r="E42" i="1"/>
  <c r="F42" i="1"/>
  <c r="D43" i="1"/>
  <c r="E43" i="1"/>
  <c r="F43" i="1"/>
  <c r="X120" i="1"/>
  <c r="D44" i="1"/>
  <c r="E44" i="1"/>
  <c r="F44" i="1"/>
  <c r="X12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D70" i="1"/>
  <c r="E70" i="1"/>
  <c r="F70" i="1"/>
  <c r="D71" i="1"/>
  <c r="E71" i="1"/>
  <c r="F71" i="1"/>
  <c r="D72" i="1"/>
  <c r="E72" i="1"/>
  <c r="F72" i="1"/>
  <c r="D73" i="1"/>
  <c r="E73" i="1"/>
  <c r="F73" i="1"/>
  <c r="D74" i="1"/>
  <c r="E74" i="1"/>
  <c r="F74" i="1"/>
  <c r="D75" i="1"/>
  <c r="E75" i="1"/>
  <c r="F75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E84" i="1"/>
  <c r="F84" i="1"/>
  <c r="D85" i="1"/>
  <c r="E85" i="1"/>
  <c r="F85" i="1"/>
  <c r="D86" i="1"/>
  <c r="E86" i="1"/>
  <c r="F86" i="1"/>
  <c r="D87" i="1"/>
  <c r="E87" i="1"/>
  <c r="F87" i="1"/>
  <c r="D88" i="1"/>
  <c r="E88" i="1"/>
  <c r="F88" i="1"/>
  <c r="D89" i="1"/>
  <c r="E89" i="1"/>
  <c r="F89" i="1"/>
  <c r="D90" i="1"/>
  <c r="AB102" i="1"/>
  <c r="AA102" i="1" s="1"/>
  <c r="AB100" i="1"/>
  <c r="AA100" i="1" s="1"/>
  <c r="AB101" i="1"/>
  <c r="AA101" i="1" s="1"/>
  <c r="E90" i="1"/>
  <c r="F90" i="1"/>
  <c r="D91" i="1"/>
  <c r="E91" i="1"/>
  <c r="F91" i="1"/>
  <c r="D92" i="1"/>
  <c r="E92" i="1"/>
  <c r="F92" i="1"/>
  <c r="D93" i="1"/>
  <c r="E93" i="1"/>
  <c r="F93" i="1"/>
  <c r="D94" i="1"/>
  <c r="E94" i="1"/>
  <c r="F94" i="1"/>
  <c r="D95" i="1"/>
  <c r="E95" i="1"/>
  <c r="F95" i="1"/>
  <c r="D96" i="1"/>
  <c r="E96" i="1"/>
  <c r="F96" i="1"/>
  <c r="D97" i="1"/>
  <c r="E97" i="1"/>
  <c r="F97" i="1"/>
  <c r="D98" i="1"/>
  <c r="E98" i="1"/>
  <c r="F98" i="1"/>
  <c r="D99" i="1"/>
  <c r="E99" i="1"/>
  <c r="F99" i="1"/>
  <c r="D100" i="1"/>
  <c r="E100" i="1"/>
  <c r="F100" i="1"/>
  <c r="D101" i="1"/>
  <c r="E101" i="1"/>
  <c r="F101" i="1"/>
  <c r="D102" i="1"/>
  <c r="E102" i="1"/>
  <c r="F102" i="1"/>
  <c r="D103" i="1"/>
  <c r="E103" i="1"/>
  <c r="F103" i="1"/>
  <c r="D104" i="1"/>
  <c r="E104" i="1"/>
  <c r="F104" i="1"/>
  <c r="D105" i="1"/>
  <c r="E105" i="1"/>
  <c r="F105" i="1"/>
  <c r="D106" i="1"/>
  <c r="E106" i="1"/>
  <c r="F106" i="1"/>
  <c r="D107" i="1"/>
  <c r="E107" i="1"/>
  <c r="F107" i="1"/>
  <c r="D108" i="1"/>
  <c r="E108" i="1"/>
  <c r="F108" i="1"/>
  <c r="D109" i="1"/>
  <c r="E109" i="1"/>
  <c r="F109" i="1"/>
  <c r="D110" i="1"/>
  <c r="E110" i="1"/>
  <c r="F110" i="1"/>
  <c r="D111" i="1"/>
  <c r="E111" i="1"/>
  <c r="F111" i="1"/>
  <c r="D112" i="1"/>
  <c r="E112" i="1"/>
  <c r="F112" i="1"/>
  <c r="D113" i="1"/>
  <c r="E113" i="1"/>
  <c r="F113" i="1"/>
  <c r="D114" i="1"/>
  <c r="E114" i="1"/>
  <c r="F114" i="1"/>
  <c r="D115" i="1"/>
  <c r="E115" i="1"/>
  <c r="F115" i="1"/>
  <c r="D116" i="1"/>
  <c r="E116" i="1"/>
  <c r="F116" i="1"/>
  <c r="D117" i="1"/>
  <c r="E117" i="1"/>
  <c r="F117" i="1"/>
  <c r="D118" i="1"/>
  <c r="E118" i="1"/>
  <c r="F118" i="1"/>
  <c r="D119" i="1"/>
  <c r="E119" i="1"/>
  <c r="F119" i="1"/>
  <c r="D120" i="1"/>
  <c r="E120" i="1"/>
  <c r="F120" i="1"/>
  <c r="D121" i="1"/>
  <c r="E121" i="1"/>
  <c r="F121" i="1"/>
  <c r="D122" i="1"/>
  <c r="E122" i="1"/>
  <c r="F122" i="1"/>
  <c r="D123" i="1"/>
  <c r="E123" i="1"/>
  <c r="F123" i="1"/>
  <c r="D124" i="1"/>
  <c r="E124" i="1"/>
  <c r="F124" i="1"/>
  <c r="D125" i="1"/>
  <c r="E125" i="1"/>
  <c r="F125" i="1"/>
  <c r="D126" i="1"/>
  <c r="E126" i="1"/>
  <c r="F126" i="1"/>
  <c r="D127" i="1"/>
  <c r="E127" i="1"/>
  <c r="F127" i="1"/>
  <c r="D128" i="1"/>
  <c r="E128" i="1"/>
  <c r="F128" i="1"/>
  <c r="D129" i="1"/>
  <c r="E129" i="1"/>
  <c r="F129" i="1"/>
  <c r="D130" i="1"/>
  <c r="E130" i="1"/>
  <c r="F130" i="1"/>
  <c r="D131" i="1"/>
  <c r="E131" i="1"/>
  <c r="F131" i="1"/>
  <c r="D132" i="1"/>
  <c r="E132" i="1"/>
  <c r="F132" i="1"/>
  <c r="D133" i="1"/>
  <c r="E133" i="1"/>
  <c r="F133" i="1"/>
  <c r="D134" i="1"/>
  <c r="E134" i="1"/>
  <c r="F134" i="1"/>
  <c r="D135" i="1"/>
  <c r="E135" i="1"/>
  <c r="F135" i="1"/>
  <c r="D136" i="1"/>
  <c r="E136" i="1"/>
  <c r="F136" i="1"/>
  <c r="D137" i="1"/>
  <c r="E137" i="1"/>
  <c r="F137" i="1"/>
  <c r="D138" i="1"/>
  <c r="E138" i="1"/>
  <c r="F138" i="1"/>
  <c r="D139" i="1"/>
  <c r="E139" i="1"/>
  <c r="F139" i="1"/>
  <c r="D140" i="1"/>
  <c r="E140" i="1"/>
  <c r="F140" i="1"/>
  <c r="D141" i="1"/>
  <c r="E141" i="1"/>
  <c r="F141" i="1"/>
  <c r="D142" i="1"/>
  <c r="E142" i="1"/>
  <c r="F142" i="1"/>
  <c r="D143" i="1"/>
  <c r="E143" i="1"/>
  <c r="F143" i="1"/>
  <c r="D144" i="1"/>
  <c r="E144" i="1"/>
  <c r="F144" i="1"/>
  <c r="D145" i="1"/>
  <c r="E145" i="1"/>
  <c r="F145" i="1"/>
  <c r="D146" i="1"/>
  <c r="E146" i="1"/>
  <c r="F146" i="1"/>
  <c r="D147" i="1"/>
  <c r="E147" i="1"/>
  <c r="F147" i="1"/>
  <c r="D148" i="1"/>
  <c r="E148" i="1"/>
  <c r="F148" i="1"/>
  <c r="D149" i="1"/>
  <c r="E149" i="1"/>
  <c r="F149" i="1"/>
  <c r="B26" i="1" l="1"/>
  <c r="H16" i="1" s="1"/>
  <c r="I16" i="1" s="1"/>
  <c r="AB48" i="1" a="1"/>
  <c r="AB48" i="1" s="1"/>
  <c r="AE76" i="1"/>
  <c r="AB86" i="1" s="1"/>
  <c r="AA86" i="1" s="1"/>
  <c r="F30" i="1"/>
  <c r="E30" i="1"/>
  <c r="AA38" i="1"/>
  <c r="Z38" i="1" s="1"/>
  <c r="X30" i="1"/>
  <c r="AE77" i="1"/>
  <c r="AE78" i="1" s="1"/>
  <c r="AB85" i="1" s="1"/>
  <c r="H13" i="1" s="1"/>
  <c r="AA56" i="1"/>
  <c r="Z56" i="1" s="1"/>
  <c r="U30" i="1"/>
  <c r="D30" i="1"/>
  <c r="AB45" i="1" a="1"/>
  <c r="AB45" i="1" s="1"/>
  <c r="AB47" i="1" a="1"/>
  <c r="AB47" i="1" s="1"/>
  <c r="AB53" i="1" a="1"/>
  <c r="AB53" i="1" s="1"/>
  <c r="AD72" i="1" a="1"/>
  <c r="AD72" i="1" s="1"/>
  <c r="AB42" i="1" a="1"/>
  <c r="AB42" i="1" s="1"/>
  <c r="AB46" i="1" a="1"/>
  <c r="AB46" i="1" s="1"/>
  <c r="AB51" i="1" a="1"/>
  <c r="AB51" i="1" s="1"/>
  <c r="AB39" i="1" a="1"/>
  <c r="AB39" i="1" s="1"/>
  <c r="AB40" i="1" a="1"/>
  <c r="AB40" i="1" s="1"/>
  <c r="AB41" i="1" a="1"/>
  <c r="AB41" i="1" s="1"/>
  <c r="AB49" i="1" a="1"/>
  <c r="AB49" i="1" s="1"/>
  <c r="AB52" i="1" a="1"/>
  <c r="AB52" i="1" s="1"/>
  <c r="AA85" i="1" l="1"/>
  <c r="AA48" i="1"/>
  <c r="Z48" i="1" s="1"/>
  <c r="AA44" i="1"/>
  <c r="Z44" i="1" s="1"/>
  <c r="H10" i="1"/>
  <c r="I13" i="1"/>
  <c r="I14" i="1"/>
  <c r="H14" i="1"/>
  <c r="AA53" i="1"/>
  <c r="Z53" i="1" s="1"/>
  <c r="H11" i="1" l="1"/>
  <c r="I10" i="1"/>
  <c r="I11" i="1"/>
</calcChain>
</file>

<file path=xl/comments1.xml><?xml version="1.0" encoding="utf-8"?>
<comments xmlns="http://schemas.openxmlformats.org/spreadsheetml/2006/main">
  <authors>
    <author>Leonardo da Cruz Nassif</author>
    <author>leonardocn</author>
  </authors>
  <commentList>
    <comment ref="C29" authorId="0" shapeId="0">
      <text>
        <r>
          <rPr>
            <sz val="9"/>
            <color indexed="81"/>
            <rFont val="Segoe UI"/>
            <family val="2"/>
          </rPr>
          <t xml:space="preserve"> ( 1 - Penalidade)
</t>
        </r>
      </text>
    </comment>
    <comment ref="AC81" authorId="1" shapeId="0">
      <text>
        <r>
          <rPr>
            <b/>
            <sz val="9"/>
            <color indexed="81"/>
            <rFont val="Segoe UI"/>
            <family val="2"/>
          </rPr>
          <t>leonardocn:</t>
        </r>
        <r>
          <rPr>
            <sz val="9"/>
            <color indexed="81"/>
            <rFont val="Segoe UI"/>
            <family val="2"/>
          </rPr>
          <t xml:space="preserve">
Nos casos  de sorteios semanais. Considerar 5 semanas no mês.
</t>
        </r>
      </text>
    </comment>
  </commentList>
</comments>
</file>

<file path=xl/sharedStrings.xml><?xml version="1.0" encoding="utf-8"?>
<sst xmlns="http://schemas.openxmlformats.org/spreadsheetml/2006/main" count="180" uniqueCount="149">
  <si>
    <t>Validação das entradas.</t>
  </si>
  <si>
    <t>Atributos do Produto</t>
  </si>
  <si>
    <t>Orientações:</t>
  </si>
  <si>
    <t>Empresa:</t>
  </si>
  <si>
    <t>Celulas salmão devem estar vazias</t>
  </si>
  <si>
    <t>Processo</t>
  </si>
  <si>
    <t>Celulas amarelas devem ficar verdes</t>
  </si>
  <si>
    <t>Modalidade:</t>
  </si>
  <si>
    <t>Celulas da amarelo claro devem ser preenchidas em razão dos sorteios.</t>
  </si>
  <si>
    <t>Forma de Custeio</t>
  </si>
  <si>
    <t>Celulas em vermelho devem ser revistas</t>
  </si>
  <si>
    <t>Padrão?</t>
  </si>
  <si>
    <t>Análise de Preenchimento:</t>
  </si>
  <si>
    <t>Variáveis do Produto</t>
  </si>
  <si>
    <t>n</t>
  </si>
  <si>
    <t>Prazo da Série ( em meses)</t>
  </si>
  <si>
    <t>t</t>
  </si>
  <si>
    <t>Tamanho da Série</t>
  </si>
  <si>
    <t>Crítica de Produto:</t>
  </si>
  <si>
    <t>i</t>
  </si>
  <si>
    <t>Taxa de Juros da Capitalização</t>
  </si>
  <si>
    <t>i'</t>
  </si>
  <si>
    <t>Taxa de Juros da Prov de Sorteio</t>
  </si>
  <si>
    <t>P</t>
  </si>
  <si>
    <t>Valor máximo de pagamento</t>
  </si>
  <si>
    <t>Crítica de Produto com Contemplação Obrigatória</t>
  </si>
  <si>
    <t>P(mín)</t>
  </si>
  <si>
    <t>Valor mín do pagamento</t>
  </si>
  <si>
    <t>Prazo de pagamento</t>
  </si>
  <si>
    <t>Carência de Resgate</t>
  </si>
  <si>
    <t>Possui Contemplação Obrigatória?</t>
  </si>
  <si>
    <t>REP</t>
  </si>
  <si>
    <t>OBS: Prêmios semanais devem ser agregados, usando uma quantidade de semanal média de 4,33 ou outro valor discriminado na nota técnica.</t>
  </si>
  <si>
    <t>Hora do protocolo</t>
  </si>
  <si>
    <t>Data do protocolo</t>
  </si>
  <si>
    <t>Modalidades são relativos a tipo de premiação, semanal, mensal, anual, instantânea etc</t>
  </si>
  <si>
    <t>Total</t>
  </si>
  <si>
    <t>atributo(s) deve(m) ser preenchido.</t>
  </si>
  <si>
    <t>CÁLCULO DO VALOR DE RESGATE</t>
  </si>
  <si>
    <t>Multiplos de sorteio agregados por mês</t>
  </si>
  <si>
    <t>pagamento</t>
  </si>
  <si>
    <t>Quota de Capitalização</t>
  </si>
  <si>
    <t>% resgate</t>
  </si>
  <si>
    <t>RM cheia</t>
  </si>
  <si>
    <t>RM_liq/soma P</t>
  </si>
  <si>
    <t>Tabela de Resgate Antecipado</t>
  </si>
  <si>
    <t>Quota sorteio</t>
  </si>
  <si>
    <t>Quota de Carregamento</t>
  </si>
  <si>
    <t>Soma das cotas</t>
  </si>
  <si>
    <t>Modalidade 1 - Exclusiva para Premiação instantânea</t>
  </si>
  <si>
    <t>Modalidade 2</t>
  </si>
  <si>
    <t>Modalidade 3</t>
  </si>
  <si>
    <t>Modalidade 4</t>
  </si>
  <si>
    <t>Modalidade 5</t>
  </si>
  <si>
    <t>Custeio de Sorteio</t>
  </si>
  <si>
    <t>VP(Custeio de Sorteio)</t>
  </si>
  <si>
    <t>Multiplo do Sorteio</t>
  </si>
  <si>
    <t>VP(Multiplo do Sorteio)</t>
  </si>
  <si>
    <t>variável(is) deve(m) ser preenchida(s).</t>
  </si>
  <si>
    <t>célula(s) não deve(m) ser preenchida(s).</t>
  </si>
  <si>
    <t>célula(s) deve(m) ser preenchida(s).</t>
  </si>
  <si>
    <t>célula(s) não devem ser preenchida(s).</t>
  </si>
  <si>
    <t>células não podem ter valor negativo</t>
  </si>
  <si>
    <t>campos com valores não numéricos (incompatíveis).</t>
  </si>
  <si>
    <t>Penalidade de Resgate Antecipado</t>
  </si>
  <si>
    <t>Prazo de vigência</t>
  </si>
  <si>
    <t>Percentual Mín</t>
  </si>
  <si>
    <t xml:space="preserve">Até ½ </t>
  </si>
  <si>
    <t>½ vigência</t>
  </si>
  <si>
    <t>De ½ até ¾</t>
  </si>
  <si>
    <t>¾ vigência</t>
  </si>
  <si>
    <t>Após ¾</t>
  </si>
  <si>
    <t>Valor mínimo</t>
  </si>
  <si>
    <t>Quota de sorteio geral:</t>
  </si>
  <si>
    <t>Tolerância Máxima Definida</t>
  </si>
  <si>
    <t>Maior Múltiplo por Mês:</t>
  </si>
  <si>
    <t>Maior Sorteio:</t>
  </si>
  <si>
    <t>10% PL</t>
  </si>
  <si>
    <t>Produto é Popular e a Cota de Sorteio é menor que 5%.</t>
  </si>
  <si>
    <t>A cota de sorteio informada não corresponde ao total de premiação apresentada.</t>
  </si>
  <si>
    <t>Produto é Popular, PU e a Quota de Capitalização não é maior que 50%</t>
  </si>
  <si>
    <t>Produto Tradicional ou Instrumento de Garantia PU e Cota de Capitalização é menor que 70%.</t>
  </si>
  <si>
    <t>Produto é PM ou PP com Cota de Capitalização Inferior a 10% nos 3 primeiros meses.</t>
  </si>
  <si>
    <t>Produto é PM ou PP com Cota de Capitalização Inferior a 70% nos demais meses (após os 3 meses iniciais).</t>
  </si>
  <si>
    <t>Produto é PM ou PP com Cota de Capitalização média inferior a 70%.</t>
  </si>
  <si>
    <t>O produto é Tradicional ou Compra Programada ou Instrumento de garantia e a taxa de juros é inferior a 0,35%</t>
  </si>
  <si>
    <t>O produto é Popular ou Incentivo ou Filantropia Premiável e a taxa de juros é inferior a 0,16%</t>
  </si>
  <si>
    <t>Modalidade Tradicional com vigência inferior a 12 meses.</t>
  </si>
  <si>
    <t>Modalidade Popular com vigência inferior a 12 meses.</t>
  </si>
  <si>
    <t>Modalidade Instrumento de Garantia com vigência inferior a 6 meses.</t>
  </si>
  <si>
    <t>Modalidade Compra Programada com vigência inferior a 6 meses.</t>
  </si>
  <si>
    <t>Modalidade Incentivo com vigência inferior a 60 dias.</t>
  </si>
  <si>
    <t>Modalidade Filantropia Premiável com vigência inferior a 60 dias.</t>
  </si>
  <si>
    <t>Na modalidade Tradicional, ao final do prazo de vigência, a Provisão Matemática para Resgate deverá corresponder, no mínimo, à 100% dos pagamentos efetuados.</t>
  </si>
  <si>
    <t>Na modalidade Compra Programada, ao final do prazo de vigência, a Provisão Matemática para Resgate deverá corresponder, no mínimo, à 100% dos pagamentos efetuados.</t>
  </si>
  <si>
    <t>Na modalidade Instrumento de Garantia, ao final do prazo de vigência, a Provisão Matemática para Resgate deverá corresponder, no mínimo, à 95% dos pagamentos efetuados.</t>
  </si>
  <si>
    <t>A modalidade Compra Programada não pode ser estruturada na forma de custeio de Pagamento Único (PU).</t>
  </si>
  <si>
    <t>A modalidade Filantropia Premiável somente pode ser estruturada na forma de custeio de Pagamento Único (PU).</t>
  </si>
  <si>
    <t>A quota de capitalização deve ser superior às demais quotas individualmente consideradas.</t>
  </si>
  <si>
    <t>Premiação instantânea não pode ser superior a 30% do total de sorteios.</t>
  </si>
  <si>
    <t>As quotas devem somar 100% em cada mês de contribuição.</t>
  </si>
  <si>
    <t>Valor máximo dos sorteios previstos, por mês,excede a 10% (dez por cento) do último patrimônio líquido ajustado.</t>
  </si>
  <si>
    <t>Resgate antecipado incompatível.</t>
  </si>
  <si>
    <t>Prazo de carência não pode exceder 24 meses nem exceder a vigência.</t>
  </si>
  <si>
    <t>Prazo de carência para Tradicional e Compra Programada é no mínimo 30 dias (1 mês)</t>
  </si>
  <si>
    <t>Prazo de carência para Popular, Incentivo e Filantropia Premiável é, no mínimo, 60 dias (2 meses)</t>
  </si>
  <si>
    <t>Múltiplos não podem ser definidos entre 0 e 1.</t>
  </si>
  <si>
    <t>Empresa</t>
  </si>
  <si>
    <t>PL</t>
  </si>
  <si>
    <t>10% do PL</t>
  </si>
  <si>
    <t>Nome abrev.</t>
  </si>
  <si>
    <t xml:space="preserve">APLICAP CAPITALIZAÇÃO S.A </t>
  </si>
  <si>
    <t>Aplicap</t>
  </si>
  <si>
    <t xml:space="preserve">BRADESCO CAPITALIZAÇÃO S.A. </t>
  </si>
  <si>
    <t>Bradesco</t>
  </si>
  <si>
    <t>BRASILCAP CAPITALIZAÇÃO S.A.</t>
  </si>
  <si>
    <t>Brasilcap</t>
  </si>
  <si>
    <t xml:space="preserve">CAPEMISA CAPITALIZAÇÃO S.A. </t>
  </si>
  <si>
    <t>Capemisa</t>
  </si>
  <si>
    <t xml:space="preserve">CIA. ITAÚ DE CAPITALIZAÇÃO  </t>
  </si>
  <si>
    <t>Cia Itaú</t>
  </si>
  <si>
    <t xml:space="preserve">CNP CAPITALIZAÇÃO S.A.  </t>
  </si>
  <si>
    <t>CNP</t>
  </si>
  <si>
    <t xml:space="preserve">ICATU CAPITALIZAÇÃO S.A.  </t>
  </si>
  <si>
    <t>Icatu</t>
  </si>
  <si>
    <t>KOVR CAPITALIZAÇÃO S.A.</t>
  </si>
  <si>
    <t>KOVR</t>
  </si>
  <si>
    <t xml:space="preserve">LIDERANÇA CAPITALIZAÇÃO  </t>
  </si>
  <si>
    <t>Liderança</t>
  </si>
  <si>
    <t xml:space="preserve">MAPFRE Capitalização S.A. </t>
  </si>
  <si>
    <t>Mapfre</t>
  </si>
  <si>
    <t>MONGERAL AEGON CAPITALIZAÇÃO S.A.</t>
  </si>
  <si>
    <t>Mongeral</t>
  </si>
  <si>
    <t>PORTO SEGURO CAPITALIZAÇÃO S.A.</t>
  </si>
  <si>
    <t>Porto Seguro</t>
  </si>
  <si>
    <t>RIO GRANDE CAPITALIZAÇÃO S.A.</t>
  </si>
  <si>
    <t>RG</t>
  </si>
  <si>
    <t>SANTANDER CAPITALIZAÇÃO S.A.</t>
  </si>
  <si>
    <t>Santander</t>
  </si>
  <si>
    <t>VANGUARDACAP CAPITALIZAÇÃO S.A.</t>
  </si>
  <si>
    <t>VanguardaCap</t>
  </si>
  <si>
    <t xml:space="preserve">VIA CAPITALIZAÇÃO S.A.  </t>
  </si>
  <si>
    <t>Via</t>
  </si>
  <si>
    <t xml:space="preserve">XS4 CAPITALIZAÇÃO S.A.  </t>
  </si>
  <si>
    <t>XS4</t>
  </si>
  <si>
    <t>ZURICH BRASIL CAPITALIZAÇÃO S.A.</t>
  </si>
  <si>
    <t>Zurich</t>
  </si>
  <si>
    <r>
      <t>Versão da Planilha d</t>
    </r>
    <r>
      <rPr>
        <b/>
        <u/>
        <sz val="11"/>
        <color theme="1"/>
        <rFont val="Calibri"/>
        <family val="2"/>
        <scheme val="minor"/>
      </rPr>
      <t>e 10/03/2026</t>
    </r>
  </si>
  <si>
    <t>Tabela de 10% do PL Auditado em 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</si>
</sst>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&quot;R$&quot;\ #,##0.00"/>
    <numFmt numFmtId="166" formatCode="0.000%"/>
    <numFmt numFmtId="167" formatCode="0\ &quot;meses&quot;"/>
    <numFmt numFmtId="168" formatCode="0.00%\ &quot;a.m.&quot;"/>
    <numFmt numFmtId="169" formatCode="0.00000000000000"/>
    <numFmt numFmtId="170" formatCode="0.00000000%"/>
    <numFmt numFmtId="171" formatCode="&quot;R$&quot;\ #,##0.000000;[Red]\-&quot;R$&quot;\ #,##0.000000"/>
    <numFmt numFmtId="172" formatCode="_-* #,##0.0000_-;\-* #,##0.0000_-;_-* &quot;-&quot;??_-;_-@_-"/>
    <numFmt numFmtId="173" formatCode="_-* 0.00%_-;\-* 0.00%_-;_-* &quot;-&quot;??_-;_-@_-"/>
    <numFmt numFmtId="174" formatCode="&quot;15414.&quot;000000&quot;/&quot;0000\-00"/>
    <numFmt numFmtId="17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right"/>
    </xf>
    <xf numFmtId="0" fontId="0" fillId="4" borderId="1" xfId="0" applyFill="1" applyBorder="1" applyAlignment="1">
      <alignment horizontal="center"/>
    </xf>
    <xf numFmtId="0" fontId="0" fillId="0" borderId="9" xfId="0" applyBorder="1"/>
    <xf numFmtId="0" fontId="0" fillId="0" borderId="15" xfId="0" applyBorder="1"/>
    <xf numFmtId="10" fontId="0" fillId="0" borderId="10" xfId="0" applyNumberFormat="1" applyBorder="1"/>
    <xf numFmtId="0" fontId="0" fillId="6" borderId="1" xfId="0" applyFill="1" applyBorder="1"/>
    <xf numFmtId="172" fontId="4" fillId="0" borderId="0" xfId="1" applyNumberFormat="1" applyFont="1" applyBorder="1" applyAlignment="1" applyProtection="1">
      <alignment horizontal="center" vertical="center"/>
    </xf>
    <xf numFmtId="173" fontId="4" fillId="0" borderId="0" xfId="1" applyNumberFormat="1" applyFont="1" applyBorder="1" applyAlignment="1" applyProtection="1">
      <alignment vertical="center"/>
    </xf>
    <xf numFmtId="10" fontId="4" fillId="5" borderId="16" xfId="2" applyNumberFormat="1" applyFont="1" applyFill="1" applyBorder="1" applyAlignment="1" applyProtection="1">
      <alignment horizontal="center"/>
      <protection locked="0"/>
    </xf>
    <xf numFmtId="10" fontId="4" fillId="5" borderId="18" xfId="2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0" fillId="2" borderId="1" xfId="0" applyFill="1" applyBorder="1" applyAlignment="1">
      <alignment horizontal="left"/>
    </xf>
    <xf numFmtId="0" fontId="0" fillId="5" borderId="0" xfId="0" applyFill="1"/>
    <xf numFmtId="0" fontId="0" fillId="2" borderId="0" xfId="0" applyFill="1" applyAlignment="1">
      <alignment horizontal="left"/>
    </xf>
    <xf numFmtId="0" fontId="0" fillId="7" borderId="0" xfId="0" applyFill="1"/>
    <xf numFmtId="0" fontId="0" fillId="9" borderId="0" xfId="0" applyFill="1"/>
    <xf numFmtId="165" fontId="0" fillId="0" borderId="0" xfId="0" applyNumberFormat="1"/>
    <xf numFmtId="0" fontId="0" fillId="0" borderId="0" xfId="0" applyAlignment="1">
      <alignment horizontal="center" wrapText="1"/>
    </xf>
    <xf numFmtId="169" fontId="0" fillId="0" borderId="0" xfId="0" applyNumberFormat="1"/>
    <xf numFmtId="0" fontId="5" fillId="0" borderId="4" xfId="0" applyFont="1" applyBorder="1"/>
    <xf numFmtId="0" fontId="5" fillId="0" borderId="3" xfId="0" applyFont="1" applyBorder="1"/>
    <xf numFmtId="164" fontId="0" fillId="0" borderId="14" xfId="0" applyNumberFormat="1" applyBorder="1"/>
    <xf numFmtId="164" fontId="0" fillId="0" borderId="8" xfId="0" applyNumberFormat="1" applyBorder="1"/>
    <xf numFmtId="166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10" fontId="0" fillId="0" borderId="0" xfId="0" applyNumberFormat="1" applyAlignment="1">
      <alignment horizontal="center"/>
    </xf>
    <xf numFmtId="43" fontId="0" fillId="0" borderId="13" xfId="0" applyNumberFormat="1" applyBorder="1"/>
    <xf numFmtId="0" fontId="0" fillId="0" borderId="12" xfId="0" applyBorder="1"/>
    <xf numFmtId="4" fontId="0" fillId="0" borderId="13" xfId="0" applyNumberFormat="1" applyBorder="1"/>
    <xf numFmtId="0" fontId="4" fillId="0" borderId="17" xfId="0" applyFont="1" applyBorder="1" applyAlignment="1">
      <alignment horizontal="center"/>
    </xf>
    <xf numFmtId="171" fontId="0" fillId="0" borderId="0" xfId="0" applyNumberFormat="1"/>
    <xf numFmtId="170" fontId="0" fillId="0" borderId="0" xfId="2" applyNumberFormat="1" applyFont="1" applyProtection="1"/>
    <xf numFmtId="0" fontId="0" fillId="8" borderId="0" xfId="0" applyFill="1"/>
    <xf numFmtId="43" fontId="4" fillId="5" borderId="16" xfId="1" applyFont="1" applyFill="1" applyBorder="1" applyAlignment="1" applyProtection="1">
      <alignment horizontal="center"/>
    </xf>
    <xf numFmtId="9" fontId="0" fillId="0" borderId="22" xfId="0" applyNumberFormat="1" applyBorder="1" applyAlignment="1">
      <alignment horizontal="center" vertical="center" wrapText="1"/>
    </xf>
    <xf numFmtId="0" fontId="0" fillId="0" borderId="10" xfId="0" applyBorder="1"/>
    <xf numFmtId="0" fontId="5" fillId="0" borderId="0" xfId="0" applyFont="1" applyAlignment="1">
      <alignment horizontal="center" vertical="center" wrapText="1"/>
    </xf>
    <xf numFmtId="9" fontId="0" fillId="0" borderId="23" xfId="0" applyNumberForma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8" xfId="0" applyBorder="1"/>
    <xf numFmtId="9" fontId="0" fillId="0" borderId="29" xfId="0" applyNumberFormat="1" applyBorder="1" applyAlignment="1">
      <alignment horizontal="center" vertical="center" wrapText="1"/>
    </xf>
    <xf numFmtId="0" fontId="0" fillId="0" borderId="16" xfId="0" applyBorder="1"/>
    <xf numFmtId="0" fontId="0" fillId="0" borderId="30" xfId="0" applyBorder="1"/>
    <xf numFmtId="0" fontId="0" fillId="0" borderId="31" xfId="0" applyBorder="1"/>
    <xf numFmtId="10" fontId="5" fillId="0" borderId="31" xfId="2" applyNumberFormat="1" applyFont="1" applyBorder="1"/>
    <xf numFmtId="0" fontId="0" fillId="0" borderId="32" xfId="0" applyBorder="1"/>
    <xf numFmtId="14" fontId="3" fillId="0" borderId="6" xfId="2" applyNumberFormat="1" applyFont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left"/>
    </xf>
    <xf numFmtId="49" fontId="0" fillId="0" borderId="0" xfId="0" applyNumberFormat="1"/>
    <xf numFmtId="44" fontId="0" fillId="0" borderId="0" xfId="6" applyFont="1"/>
    <xf numFmtId="43" fontId="4" fillId="10" borderId="16" xfId="1" applyFont="1" applyFill="1" applyBorder="1" applyAlignment="1" applyProtection="1">
      <alignment horizontal="center"/>
      <protection locked="0"/>
    </xf>
    <xf numFmtId="0" fontId="9" fillId="11" borderId="4" xfId="0" applyFont="1" applyFill="1" applyBorder="1" applyAlignment="1">
      <alignment horizontal="left"/>
    </xf>
    <xf numFmtId="0" fontId="9" fillId="0" borderId="0" xfId="0" applyFont="1"/>
    <xf numFmtId="0" fontId="9" fillId="11" borderId="14" xfId="0" applyFont="1" applyFill="1" applyBorder="1"/>
    <xf numFmtId="175" fontId="3" fillId="0" borderId="1" xfId="1" applyNumberFormat="1" applyFont="1" applyBorder="1" applyAlignment="1" applyProtection="1">
      <alignment horizontal="right"/>
      <protection locked="0"/>
    </xf>
    <xf numFmtId="0" fontId="8" fillId="0" borderId="13" xfId="0" applyFont="1" applyBorder="1" applyAlignment="1">
      <alignment horizontal="center"/>
    </xf>
    <xf numFmtId="0" fontId="8" fillId="0" borderId="0" xfId="0" applyFont="1"/>
    <xf numFmtId="0" fontId="8" fillId="0" borderId="14" xfId="0" applyFont="1" applyBorder="1" applyAlignment="1">
      <alignment horizontal="center"/>
    </xf>
    <xf numFmtId="0" fontId="8" fillId="0" borderId="33" xfId="0" applyFont="1" applyBorder="1"/>
    <xf numFmtId="0" fontId="0" fillId="0" borderId="33" xfId="0" applyBorder="1"/>
    <xf numFmtId="0" fontId="0" fillId="0" borderId="8" xfId="0" applyBorder="1"/>
    <xf numFmtId="0" fontId="8" fillId="0" borderId="33" xfId="0" applyFont="1" applyBorder="1" applyAlignment="1">
      <alignment horizontal="left"/>
    </xf>
    <xf numFmtId="167" fontId="3" fillId="0" borderId="1" xfId="2" applyNumberFormat="1" applyFont="1" applyBorder="1" applyAlignment="1" applyProtection="1">
      <alignment horizontal="center"/>
      <protection locked="0"/>
    </xf>
    <xf numFmtId="3" fontId="3" fillId="0" borderId="11" xfId="1" applyNumberFormat="1" applyFont="1" applyBorder="1" applyAlignment="1" applyProtection="1">
      <alignment horizontal="center"/>
      <protection locked="0"/>
    </xf>
    <xf numFmtId="168" fontId="3" fillId="0" borderId="1" xfId="2" applyNumberFormat="1" applyFont="1" applyBorder="1" applyAlignment="1" applyProtection="1">
      <alignment horizontal="center"/>
      <protection locked="0"/>
    </xf>
    <xf numFmtId="165" fontId="3" fillId="0" borderId="11" xfId="6" applyNumberFormat="1" applyFont="1" applyBorder="1" applyAlignment="1" applyProtection="1">
      <alignment horizontal="center"/>
      <protection locked="0"/>
    </xf>
    <xf numFmtId="165" fontId="3" fillId="0" borderId="5" xfId="6" applyNumberFormat="1" applyFont="1" applyBorder="1" applyAlignment="1" applyProtection="1">
      <alignment horizontal="center"/>
      <protection locked="0"/>
    </xf>
    <xf numFmtId="167" fontId="3" fillId="7" borderId="5" xfId="2" applyNumberFormat="1" applyFont="1" applyFill="1" applyBorder="1" applyAlignment="1" applyProtection="1">
      <alignment horizontal="center"/>
      <protection locked="0"/>
    </xf>
    <xf numFmtId="167" fontId="3" fillId="0" borderId="5" xfId="2" applyNumberFormat="1" applyFont="1" applyBorder="1" applyAlignment="1" applyProtection="1">
      <alignment horizontal="center"/>
      <protection locked="0"/>
    </xf>
    <xf numFmtId="3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2" applyNumberFormat="1" applyFont="1" applyBorder="1" applyAlignment="1" applyProtection="1">
      <protection locked="0"/>
    </xf>
    <xf numFmtId="174" fontId="3" fillId="0" borderId="1" xfId="2" applyNumberFormat="1" applyFont="1" applyBorder="1" applyAlignment="1" applyProtection="1">
      <protection locked="0"/>
    </xf>
    <xf numFmtId="0" fontId="0" fillId="12" borderId="7" xfId="0" applyFill="1" applyBorder="1" applyAlignment="1">
      <alignment horizontal="left"/>
    </xf>
    <xf numFmtId="10" fontId="0" fillId="0" borderId="7" xfId="2" applyNumberFormat="1" applyFont="1" applyBorder="1" applyAlignment="1" applyProtection="1">
      <alignment horizontal="center"/>
    </xf>
    <xf numFmtId="0" fontId="10" fillId="0" borderId="0" xfId="0" applyFont="1"/>
    <xf numFmtId="0" fontId="0" fillId="6" borderId="37" xfId="0" applyFill="1" applyBorder="1"/>
    <xf numFmtId="0" fontId="0" fillId="6" borderId="38" xfId="0" applyFill="1" applyBorder="1"/>
    <xf numFmtId="0" fontId="0" fillId="6" borderId="39" xfId="0" applyFill="1" applyBorder="1"/>
    <xf numFmtId="44" fontId="9" fillId="6" borderId="37" xfId="0" applyNumberFormat="1" applyFont="1" applyFill="1" applyBorder="1"/>
    <xf numFmtId="0" fontId="0" fillId="0" borderId="0" xfId="0" applyAlignment="1">
      <alignment horizontal="left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22">
    <cellStyle name="Moeda" xfId="6" builtinId="4"/>
    <cellStyle name="Moeda 2" xfId="10"/>
    <cellStyle name="Moeda 2 2" xfId="19"/>
    <cellStyle name="Moeda 3" xfId="15"/>
    <cellStyle name="Normal" xfId="0" builtinId="0"/>
    <cellStyle name="Normal 3" xfId="3"/>
    <cellStyle name="Porcentagem" xfId="2" builtinId="5"/>
    <cellStyle name="Porcentagem 3" xfId="4"/>
    <cellStyle name="Separador de milhares 2 2" xfId="5"/>
    <cellStyle name="Separador de milhares 2 2 2" xfId="12"/>
    <cellStyle name="Separador de milhares 2 2 2 2" xfId="21"/>
    <cellStyle name="Separador de milhares 2 2 3" xfId="9"/>
    <cellStyle name="Separador de milhares 2 2 3 2" xfId="18"/>
    <cellStyle name="Separador de milhares 2 2 4" xfId="14"/>
    <cellStyle name="Vírgula" xfId="1" builtinId="3"/>
    <cellStyle name="Vírgula 2" xfId="7"/>
    <cellStyle name="Vírgula 2 2" xfId="11"/>
    <cellStyle name="Vírgula 2 2 2" xfId="20"/>
    <cellStyle name="Vírgula 2 3" xfId="16"/>
    <cellStyle name="Vírgula 3" xfId="8"/>
    <cellStyle name="Vírgula 3 2" xfId="17"/>
    <cellStyle name="Vírgula 4" xfId="13"/>
  </cellStyles>
  <dxfs count="30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AH149"/>
  <sheetViews>
    <sheetView tabSelected="1" zoomScaleNormal="100" workbookViewId="0">
      <selection activeCell="F3" sqref="F3"/>
    </sheetView>
  </sheetViews>
  <sheetFormatPr defaultColWidth="8.81640625" defaultRowHeight="14.5" x14ac:dyDescent="0.35"/>
  <cols>
    <col min="1" max="1" width="31.453125" customWidth="1"/>
    <col min="2" max="2" width="21.453125" customWidth="1"/>
    <col min="3" max="3" width="10" customWidth="1"/>
    <col min="4" max="4" width="8.81640625" customWidth="1"/>
    <col min="5" max="5" width="10.7265625" customWidth="1"/>
    <col min="6" max="6" width="12.26953125" customWidth="1"/>
    <col min="7" max="7" width="10.7265625" customWidth="1"/>
    <col min="8" max="8" width="7.453125" customWidth="1"/>
    <col min="9" max="9" width="8.7265625" customWidth="1"/>
    <col min="10" max="11" width="13.453125" customWidth="1"/>
    <col min="12" max="12" width="4.7265625" customWidth="1"/>
    <col min="13" max="13" width="5" customWidth="1"/>
    <col min="14" max="18" width="13.54296875" customWidth="1"/>
    <col min="19" max="19" width="4.453125" customWidth="1"/>
    <col min="20" max="21" width="21.54296875" customWidth="1"/>
    <col min="22" max="22" width="4.453125" customWidth="1"/>
    <col min="23" max="24" width="21.54296875" customWidth="1"/>
    <col min="25" max="25" width="11.7265625" bestFit="1" customWidth="1"/>
    <col min="27" max="27" width="12.453125" bestFit="1" customWidth="1"/>
    <col min="28" max="28" width="12.453125" customWidth="1"/>
    <col min="29" max="29" width="21.54296875" customWidth="1"/>
    <col min="30" max="30" width="3.453125" customWidth="1"/>
    <col min="31" max="31" width="10.453125" bestFit="1" customWidth="1"/>
    <col min="32" max="32" width="2.81640625" customWidth="1"/>
  </cols>
  <sheetData>
    <row r="1" spans="1:11" x14ac:dyDescent="0.35">
      <c r="A1" s="84" t="s">
        <v>147</v>
      </c>
      <c r="B1" s="11"/>
      <c r="C1" s="11"/>
    </row>
    <row r="2" spans="1:11" x14ac:dyDescent="0.35">
      <c r="B2" s="11"/>
      <c r="C2" s="11"/>
      <c r="H2" s="11" t="s">
        <v>0</v>
      </c>
    </row>
    <row r="3" spans="1:11" ht="15" thickBot="1" x14ac:dyDescent="0.4">
      <c r="A3" s="11" t="s">
        <v>1</v>
      </c>
      <c r="C3" s="11"/>
      <c r="H3" t="s">
        <v>2</v>
      </c>
    </row>
    <row r="4" spans="1:11" ht="15" thickBot="1" x14ac:dyDescent="0.4">
      <c r="A4" s="12" t="s">
        <v>3</v>
      </c>
      <c r="B4" s="80"/>
      <c r="C4" s="11"/>
      <c r="H4" s="13"/>
      <c r="I4" t="s">
        <v>4</v>
      </c>
    </row>
    <row r="5" spans="1:11" ht="15" thickBot="1" x14ac:dyDescent="0.4">
      <c r="A5" s="12" t="s">
        <v>5</v>
      </c>
      <c r="B5" s="81"/>
      <c r="C5" s="11"/>
      <c r="H5" s="15"/>
      <c r="I5" t="s">
        <v>6</v>
      </c>
    </row>
    <row r="6" spans="1:11" ht="15" thickBot="1" x14ac:dyDescent="0.4">
      <c r="A6" s="12" t="s">
        <v>7</v>
      </c>
      <c r="B6" s="80"/>
      <c r="H6" s="16"/>
      <c r="I6" t="s">
        <v>8</v>
      </c>
    </row>
    <row r="7" spans="1:11" ht="15" thickBot="1" x14ac:dyDescent="0.4">
      <c r="A7" s="14" t="s">
        <v>9</v>
      </c>
      <c r="B7" s="80"/>
      <c r="H7" s="37"/>
      <c r="I7" t="s">
        <v>10</v>
      </c>
    </row>
    <row r="8" spans="1:11" ht="15" thickBot="1" x14ac:dyDescent="0.4">
      <c r="A8" s="12" t="s">
        <v>11</v>
      </c>
      <c r="B8" s="80"/>
    </row>
    <row r="9" spans="1:11" ht="15" thickBot="1" x14ac:dyDescent="0.4">
      <c r="H9" s="95" t="s">
        <v>12</v>
      </c>
      <c r="I9" s="96"/>
      <c r="J9" s="96"/>
      <c r="K9" s="97"/>
    </row>
    <row r="10" spans="1:11" ht="15.5" thickTop="1" thickBot="1" x14ac:dyDescent="0.4">
      <c r="A10" s="11" t="s">
        <v>13</v>
      </c>
      <c r="H10" s="65">
        <f>IF(SUM(AB26:AB44)&gt;0,SUM(AB26:AB44),"Ok")</f>
        <v>14</v>
      </c>
      <c r="I10" s="66" t="str">
        <f>IF(H10="Ok", "",IF(H10&gt;0, "itens inconsistentes.",""))</f>
        <v>itens inconsistentes.</v>
      </c>
      <c r="K10" s="32"/>
    </row>
    <row r="11" spans="1:11" ht="15" thickBot="1" x14ac:dyDescent="0.4">
      <c r="A11" s="57" t="s">
        <v>14</v>
      </c>
      <c r="B11" s="72"/>
      <c r="C11" t="s">
        <v>15</v>
      </c>
      <c r="H11" s="67">
        <f>IF(H10="Ok", "",IF(H10&gt;0,VLOOKUP(1,$Z$26:$AC$44,2,0),""))</f>
        <v>8</v>
      </c>
      <c r="I11" s="68" t="str">
        <f>IF(H10="Ok", "",IF(H10&gt;0,VLOOKUP(1,$Z$26:$AC$44,4,0),"As críticas de preenchimento não encontraram inconsistências"))</f>
        <v>variável(is) deve(m) ser preenchida(s).</v>
      </c>
      <c r="J11" s="69"/>
      <c r="K11" s="70"/>
    </row>
    <row r="12" spans="1:11" ht="15" thickBot="1" x14ac:dyDescent="0.4">
      <c r="A12" s="57" t="s">
        <v>16</v>
      </c>
      <c r="B12" s="73"/>
      <c r="C12" t="s">
        <v>17</v>
      </c>
      <c r="H12" s="95" t="s">
        <v>18</v>
      </c>
      <c r="I12" s="96"/>
      <c r="J12" s="96"/>
      <c r="K12" s="97"/>
    </row>
    <row r="13" spans="1:11" ht="15" thickBot="1" x14ac:dyDescent="0.4">
      <c r="A13" s="57" t="s">
        <v>19</v>
      </c>
      <c r="B13" s="74"/>
      <c r="C13" t="s">
        <v>20</v>
      </c>
      <c r="H13" s="65" t="e">
        <f ca="1">IF(SUM(AB85:AB113)&gt;0,SUM(AB85:AB113),"Ok")</f>
        <v>#REF!</v>
      </c>
      <c r="I13" s="66" t="e">
        <f ca="1">IF(H13="Ok", "",IF(H13&gt;0, "itens inconsistentes.",""))</f>
        <v>#REF!</v>
      </c>
      <c r="K13" s="32"/>
    </row>
    <row r="14" spans="1:11" ht="15" thickBot="1" x14ac:dyDescent="0.4">
      <c r="A14" s="57" t="s">
        <v>21</v>
      </c>
      <c r="B14" s="74"/>
      <c r="C14" t="s">
        <v>22</v>
      </c>
      <c r="H14" s="67" t="e">
        <f ca="1">IF(H13="Ok", "",IF(H13&gt;0,VLOOKUP(1,$AA$85:$AC$113,2,0),""))</f>
        <v>#REF!</v>
      </c>
      <c r="I14" s="68" t="e">
        <f ca="1">IF(H13="Ok", "",IF(H13&gt;0,VLOOKUP(1,$AA$85:$AC$113,3,0),"As críticas de preenchimento não encontraram inconsistências"))</f>
        <v>#REF!</v>
      </c>
      <c r="J14" s="69"/>
      <c r="K14" s="70"/>
    </row>
    <row r="15" spans="1:11" ht="15" thickBot="1" x14ac:dyDescent="0.4">
      <c r="A15" s="57" t="s">
        <v>23</v>
      </c>
      <c r="B15" s="75"/>
      <c r="C15" t="s">
        <v>24</v>
      </c>
      <c r="H15" s="95" t="s">
        <v>25</v>
      </c>
      <c r="I15" s="96"/>
      <c r="J15" s="96"/>
      <c r="K15" s="97"/>
    </row>
    <row r="16" spans="1:11" ht="15.75" customHeight="1" thickBot="1" x14ac:dyDescent="0.4">
      <c r="A16" s="57" t="s">
        <v>26</v>
      </c>
      <c r="B16" s="76"/>
      <c r="C16" t="s">
        <v>27</v>
      </c>
      <c r="H16" s="67" t="str">
        <f>IF(OR(B19="NÃO",B26&lt;B30),"OK"," ")</f>
        <v xml:space="preserve"> </v>
      </c>
      <c r="I16" s="71" t="str">
        <f>IF(AND(B19="SIM",H16=" "),"PRODUTO IRREGULAR - A quota efetiva de sorteio está superior à quota de capitalização"," ")</f>
        <v xml:space="preserve"> </v>
      </c>
      <c r="J16" s="69" t="str">
        <f>IF(INT(B20)-B20&lt;&gt;0,"Quantidade mínima de títulos deve ser um número inteiro"," ")</f>
        <v xml:space="preserve"> </v>
      </c>
      <c r="K16" s="70"/>
    </row>
    <row r="17" spans="1:29" ht="15.75" customHeight="1" thickBot="1" x14ac:dyDescent="0.4">
      <c r="A17" s="57" t="s">
        <v>28</v>
      </c>
      <c r="B17" s="77"/>
    </row>
    <row r="18" spans="1:29" ht="15.75" customHeight="1" thickBot="1" x14ac:dyDescent="0.4">
      <c r="A18" s="57" t="s">
        <v>29</v>
      </c>
      <c r="B18" s="78"/>
    </row>
    <row r="19" spans="1:29" ht="15.75" customHeight="1" thickBot="1" x14ac:dyDescent="0.4">
      <c r="A19" s="61" t="s">
        <v>30</v>
      </c>
      <c r="B19" s="76"/>
      <c r="C19" s="62"/>
      <c r="D19" s="62"/>
    </row>
    <row r="20" spans="1:29" ht="15.75" customHeight="1" thickBot="1" x14ac:dyDescent="0.4">
      <c r="A20" s="63" t="str">
        <f>IF(B19="SIM","Contemplação Obrigatória"," ")</f>
        <v xml:space="preserve"> </v>
      </c>
      <c r="B20" s="79"/>
      <c r="C20" s="62" t="str">
        <f>IF(B19="SIM","Quantidade mínima de títulos vendidos para a contemplação obrigatória"," ")</f>
        <v xml:space="preserve"> </v>
      </c>
      <c r="D20" s="62"/>
    </row>
    <row r="21" spans="1:29" ht="15.75" customHeight="1" x14ac:dyDescent="0.35"/>
    <row r="22" spans="1:29" ht="15" thickBot="1" x14ac:dyDescent="0.4">
      <c r="A22" s="11" t="s">
        <v>31</v>
      </c>
      <c r="N22" s="89" t="s">
        <v>32</v>
      </c>
      <c r="O22" s="89"/>
      <c r="P22" s="89"/>
      <c r="Q22" s="89"/>
      <c r="R22" s="89"/>
    </row>
    <row r="23" spans="1:29" ht="15" thickBot="1" x14ac:dyDescent="0.4">
      <c r="A23" s="57" t="s">
        <v>33</v>
      </c>
      <c r="B23" s="64"/>
      <c r="N23" s="89"/>
      <c r="O23" s="89"/>
      <c r="P23" s="89"/>
      <c r="Q23" s="89"/>
      <c r="R23" s="89"/>
    </row>
    <row r="24" spans="1:29" ht="15" thickBot="1" x14ac:dyDescent="0.4">
      <c r="A24" s="57" t="s">
        <v>34</v>
      </c>
      <c r="B24" s="56"/>
      <c r="R24" s="17"/>
      <c r="U24" s="18"/>
    </row>
    <row r="25" spans="1:29" ht="15" thickBot="1" x14ac:dyDescent="0.4">
      <c r="N25" s="89" t="s">
        <v>35</v>
      </c>
      <c r="O25" s="89"/>
      <c r="P25" s="89"/>
      <c r="Q25" s="89"/>
      <c r="R25" s="89"/>
      <c r="V25" s="19"/>
    </row>
    <row r="26" spans="1:29" ht="15" thickBot="1" x14ac:dyDescent="0.4">
      <c r="A26" s="82" t="str">
        <f>IF(B19="SIM", "Quota Efetiva de Sorteio", "  ")</f>
        <v xml:space="preserve">  </v>
      </c>
      <c r="B26" s="83" t="str">
        <f>IF(B19="SIM",X27/INT(B20),"  ")</f>
        <v xml:space="preserve">  </v>
      </c>
      <c r="N26" s="89"/>
      <c r="O26" s="89"/>
      <c r="P26" s="89"/>
      <c r="Q26" s="89"/>
      <c r="R26" s="89"/>
      <c r="T26" s="20" t="s">
        <v>36</v>
      </c>
      <c r="U26" s="21" t="s">
        <v>36</v>
      </c>
      <c r="V26" s="11"/>
      <c r="W26" s="20" t="s">
        <v>36</v>
      </c>
      <c r="X26" s="21" t="s">
        <v>36</v>
      </c>
      <c r="Z26">
        <f t="shared" ref="Z26:Z44" si="0">IF(AA26&gt;0,1,0)</f>
        <v>0</v>
      </c>
      <c r="AA26">
        <v>0</v>
      </c>
      <c r="AB26">
        <f>IF(B4&lt;&gt;"",0,1)</f>
        <v>1</v>
      </c>
      <c r="AC26" t="s">
        <v>37</v>
      </c>
    </row>
    <row r="27" spans="1:29" ht="15" thickBot="1" x14ac:dyDescent="0.4">
      <c r="T27" s="22" t="e">
        <f ca="1">SUM(OFFSET(T$30,0,0,$B$17))</f>
        <v>#REF!</v>
      </c>
      <c r="U27" s="23" t="e">
        <f ca="1">SUM(OFFSET(U$30,0,0,$B$17))</f>
        <v>#REF!</v>
      </c>
      <c r="W27" s="22" t="e">
        <f ca="1">SUM(OFFSET(W$30,0,0,$B$11))</f>
        <v>#REF!</v>
      </c>
      <c r="X27" s="23" t="e">
        <f ca="1">SUM(OFFSET(X$30,0,0,$B$11))</f>
        <v>#REF!</v>
      </c>
      <c r="Z27">
        <f t="shared" si="0"/>
        <v>0</v>
      </c>
      <c r="AA27">
        <v>0</v>
      </c>
      <c r="AB27">
        <f>IF(B5&lt;&gt;"",0,1)</f>
        <v>1</v>
      </c>
      <c r="AC27" t="s">
        <v>37</v>
      </c>
    </row>
    <row r="28" spans="1:29" ht="14.5" customHeight="1" thickBot="1" x14ac:dyDescent="0.4">
      <c r="A28" s="90" t="s">
        <v>38</v>
      </c>
      <c r="B28" s="91"/>
      <c r="N28" s="11" t="s">
        <v>39</v>
      </c>
      <c r="X28" s="24"/>
      <c r="Z28">
        <f t="shared" si="0"/>
        <v>0</v>
      </c>
      <c r="AA28">
        <v>0</v>
      </c>
      <c r="AB28">
        <f>IF(B6&lt;&gt;"",0,1)</f>
        <v>1</v>
      </c>
      <c r="AC28" t="s">
        <v>37</v>
      </c>
    </row>
    <row r="29" spans="1:29" ht="57.65" customHeight="1" thickBot="1" x14ac:dyDescent="0.4">
      <c r="A29" s="25" t="s">
        <v>40</v>
      </c>
      <c r="B29" s="25" t="s">
        <v>41</v>
      </c>
      <c r="C29" s="25" t="s">
        <v>42</v>
      </c>
      <c r="D29" s="25" t="s">
        <v>43</v>
      </c>
      <c r="E29" s="26" t="s">
        <v>44</v>
      </c>
      <c r="F29" s="26" t="s">
        <v>45</v>
      </c>
      <c r="G29" s="41"/>
      <c r="H29" s="27"/>
      <c r="I29" s="25" t="s">
        <v>46</v>
      </c>
      <c r="J29" s="25" t="s">
        <v>47</v>
      </c>
      <c r="K29" s="26" t="s">
        <v>48</v>
      </c>
      <c r="L29" s="18"/>
      <c r="N29" s="26" t="s">
        <v>49</v>
      </c>
      <c r="O29" s="26" t="s">
        <v>50</v>
      </c>
      <c r="P29" s="26" t="s">
        <v>51</v>
      </c>
      <c r="Q29" s="26" t="s">
        <v>52</v>
      </c>
      <c r="R29" s="26" t="s">
        <v>53</v>
      </c>
      <c r="T29" s="25" t="s">
        <v>54</v>
      </c>
      <c r="U29" s="28" t="s">
        <v>55</v>
      </c>
      <c r="V29" s="11"/>
      <c r="W29" s="25" t="s">
        <v>56</v>
      </c>
      <c r="X29" s="28" t="s">
        <v>57</v>
      </c>
      <c r="Z29">
        <f t="shared" si="0"/>
        <v>0</v>
      </c>
      <c r="AA29">
        <v>0</v>
      </c>
      <c r="AB29">
        <f>IF(B7&lt;&gt;"",0,1)</f>
        <v>1</v>
      </c>
      <c r="AC29" t="s">
        <v>37</v>
      </c>
    </row>
    <row r="30" spans="1:29" x14ac:dyDescent="0.35">
      <c r="A30" s="29">
        <f>1</f>
        <v>1</v>
      </c>
      <c r="B30" s="9"/>
      <c r="C30" s="10"/>
      <c r="D30" s="7">
        <f>IF(A30&lt;=$B$11,B30*(1+$B$13),0)</f>
        <v>0</v>
      </c>
      <c r="E30" s="8">
        <f t="shared" ref="E30:E61" si="1">IF(A30&lt;=$B$11,D30*C30/IF(A30&lt;=$B$17,A30,$B$17),0)</f>
        <v>0</v>
      </c>
      <c r="F30" s="8">
        <f t="shared" ref="F30:F61" si="2">IF(A30&lt;=$B$11,IF(OR($B$7="PM",$B$7="PP",$B$6="Popular"),MAX(50%,E30),E30),0)</f>
        <v>0</v>
      </c>
      <c r="G30" s="8"/>
      <c r="I30" s="10"/>
      <c r="J30" s="10"/>
      <c r="K30" s="30">
        <f t="shared" ref="K30:K61" si="3">J30+I30+B30</f>
        <v>0</v>
      </c>
      <c r="L30" s="30"/>
      <c r="M30">
        <v>1</v>
      </c>
      <c r="N30" s="60"/>
      <c r="O30" s="60"/>
      <c r="P30" s="60"/>
      <c r="Q30" s="60"/>
      <c r="R30" s="60"/>
      <c r="T30" s="31">
        <f t="shared" ref="T30:T61" si="4">I30*$B$12</f>
        <v>0</v>
      </c>
      <c r="U30" s="32">
        <f t="shared" ref="U30:U61" si="5">$T30*(B$14+1)^-($A30-1)</f>
        <v>0</v>
      </c>
      <c r="W30" s="33">
        <f t="shared" ref="W30:W61" si="6">N30+O30+P30+Q30+R30</f>
        <v>0</v>
      </c>
      <c r="X30" s="32">
        <f t="shared" ref="X30:X61" si="7">$W30*(B$14+1)^-($A30-1)</f>
        <v>0</v>
      </c>
      <c r="Z30">
        <f t="shared" si="0"/>
        <v>0</v>
      </c>
      <c r="AA30">
        <v>0</v>
      </c>
      <c r="AB30">
        <f>IF(B8&lt;&gt;"",0,1)</f>
        <v>1</v>
      </c>
      <c r="AC30" t="s">
        <v>37</v>
      </c>
    </row>
    <row r="31" spans="1:29" x14ac:dyDescent="0.35">
      <c r="A31" s="34">
        <v>2</v>
      </c>
      <c r="B31" s="9"/>
      <c r="C31" s="10"/>
      <c r="D31" s="7">
        <f t="shared" ref="D31:D62" si="8">IF(A31&lt;=$B$11,(D30 + B31)*(1+$B$13),0)</f>
        <v>0</v>
      </c>
      <c r="E31" s="8">
        <f t="shared" si="1"/>
        <v>0</v>
      </c>
      <c r="F31" s="8">
        <f t="shared" si="2"/>
        <v>0</v>
      </c>
      <c r="G31" s="8"/>
      <c r="I31" s="10"/>
      <c r="J31" s="10"/>
      <c r="K31" s="30">
        <f t="shared" si="3"/>
        <v>0</v>
      </c>
      <c r="L31" s="30"/>
      <c r="M31">
        <v>2</v>
      </c>
      <c r="N31" s="38"/>
      <c r="O31" s="60"/>
      <c r="P31" s="60"/>
      <c r="Q31" s="60"/>
      <c r="R31" s="60"/>
      <c r="T31" s="31">
        <f t="shared" si="4"/>
        <v>0</v>
      </c>
      <c r="U31" s="32">
        <f t="shared" si="5"/>
        <v>0</v>
      </c>
      <c r="W31" s="33">
        <f t="shared" si="6"/>
        <v>0</v>
      </c>
      <c r="X31" s="32">
        <f t="shared" si="7"/>
        <v>0</v>
      </c>
      <c r="Z31">
        <f t="shared" si="0"/>
        <v>0</v>
      </c>
      <c r="AA31">
        <v>0</v>
      </c>
      <c r="AB31">
        <f t="shared" ref="AB31:AB38" si="9">IF(B11&lt;&gt;"",0,1)</f>
        <v>1</v>
      </c>
      <c r="AC31" t="s">
        <v>58</v>
      </c>
    </row>
    <row r="32" spans="1:29" x14ac:dyDescent="0.35">
      <c r="A32" s="34">
        <v>3</v>
      </c>
      <c r="B32" s="9"/>
      <c r="C32" s="10"/>
      <c r="D32" s="7">
        <f t="shared" si="8"/>
        <v>0</v>
      </c>
      <c r="E32" s="8">
        <f t="shared" si="1"/>
        <v>0</v>
      </c>
      <c r="F32" s="8">
        <f t="shared" si="2"/>
        <v>0</v>
      </c>
      <c r="G32" s="8"/>
      <c r="I32" s="10"/>
      <c r="J32" s="10"/>
      <c r="K32" s="30">
        <f t="shared" si="3"/>
        <v>0</v>
      </c>
      <c r="L32" s="30"/>
      <c r="M32">
        <v>3</v>
      </c>
      <c r="N32" s="38"/>
      <c r="O32" s="60"/>
      <c r="P32" s="60"/>
      <c r="Q32" s="60"/>
      <c r="R32" s="60"/>
      <c r="S32" s="35"/>
      <c r="T32" s="31">
        <f t="shared" si="4"/>
        <v>0</v>
      </c>
      <c r="U32" s="32">
        <f t="shared" si="5"/>
        <v>0</v>
      </c>
      <c r="W32" s="33">
        <f t="shared" si="6"/>
        <v>0</v>
      </c>
      <c r="X32" s="32">
        <f t="shared" si="7"/>
        <v>0</v>
      </c>
      <c r="Z32">
        <f t="shared" si="0"/>
        <v>0</v>
      </c>
      <c r="AA32">
        <v>0</v>
      </c>
      <c r="AB32">
        <f t="shared" si="9"/>
        <v>1</v>
      </c>
      <c r="AC32" t="s">
        <v>58</v>
      </c>
    </row>
    <row r="33" spans="1:29" x14ac:dyDescent="0.35">
      <c r="A33" s="34">
        <v>4</v>
      </c>
      <c r="B33" s="9"/>
      <c r="C33" s="10"/>
      <c r="D33" s="7">
        <f t="shared" si="8"/>
        <v>0</v>
      </c>
      <c r="E33" s="8">
        <f t="shared" si="1"/>
        <v>0</v>
      </c>
      <c r="F33" s="8">
        <f t="shared" si="2"/>
        <v>0</v>
      </c>
      <c r="G33" s="8"/>
      <c r="I33" s="10"/>
      <c r="J33" s="10"/>
      <c r="K33" s="30">
        <f t="shared" si="3"/>
        <v>0</v>
      </c>
      <c r="L33" s="30"/>
      <c r="M33">
        <v>4</v>
      </c>
      <c r="N33" s="38"/>
      <c r="O33" s="60"/>
      <c r="P33" s="60"/>
      <c r="Q33" s="60"/>
      <c r="R33" s="60"/>
      <c r="T33" s="31">
        <f t="shared" si="4"/>
        <v>0</v>
      </c>
      <c r="U33" s="32">
        <f t="shared" si="5"/>
        <v>0</v>
      </c>
      <c r="W33" s="33">
        <f t="shared" si="6"/>
        <v>0</v>
      </c>
      <c r="X33" s="32">
        <f t="shared" si="7"/>
        <v>0</v>
      </c>
      <c r="Z33">
        <f t="shared" si="0"/>
        <v>0</v>
      </c>
      <c r="AA33">
        <v>0</v>
      </c>
      <c r="AB33">
        <f t="shared" si="9"/>
        <v>1</v>
      </c>
      <c r="AC33" t="s">
        <v>58</v>
      </c>
    </row>
    <row r="34" spans="1:29" x14ac:dyDescent="0.35">
      <c r="A34" s="34">
        <v>5</v>
      </c>
      <c r="B34" s="9"/>
      <c r="C34" s="10"/>
      <c r="D34" s="7">
        <f t="shared" si="8"/>
        <v>0</v>
      </c>
      <c r="E34" s="8">
        <f t="shared" si="1"/>
        <v>0</v>
      </c>
      <c r="F34" s="8">
        <f t="shared" si="2"/>
        <v>0</v>
      </c>
      <c r="G34" s="8"/>
      <c r="I34" s="10"/>
      <c r="J34" s="10"/>
      <c r="K34" s="30">
        <f t="shared" si="3"/>
        <v>0</v>
      </c>
      <c r="L34" s="30"/>
      <c r="M34">
        <v>5</v>
      </c>
      <c r="N34" s="38"/>
      <c r="O34" s="60"/>
      <c r="P34" s="60"/>
      <c r="Q34" s="60"/>
      <c r="R34" s="60"/>
      <c r="S34" s="36"/>
      <c r="T34" s="31">
        <f t="shared" si="4"/>
        <v>0</v>
      </c>
      <c r="U34" s="32">
        <f t="shared" si="5"/>
        <v>0</v>
      </c>
      <c r="W34" s="33">
        <f t="shared" si="6"/>
        <v>0</v>
      </c>
      <c r="X34" s="32">
        <f t="shared" si="7"/>
        <v>0</v>
      </c>
      <c r="Z34">
        <f t="shared" si="0"/>
        <v>0</v>
      </c>
      <c r="AA34">
        <v>0</v>
      </c>
      <c r="AB34">
        <f t="shared" si="9"/>
        <v>1</v>
      </c>
      <c r="AC34" t="s">
        <v>58</v>
      </c>
    </row>
    <row r="35" spans="1:29" x14ac:dyDescent="0.35">
      <c r="A35" s="34">
        <v>6</v>
      </c>
      <c r="B35" s="9"/>
      <c r="C35" s="10"/>
      <c r="D35" s="7">
        <f t="shared" si="8"/>
        <v>0</v>
      </c>
      <c r="E35" s="8">
        <f t="shared" si="1"/>
        <v>0</v>
      </c>
      <c r="F35" s="8">
        <f t="shared" si="2"/>
        <v>0</v>
      </c>
      <c r="G35" s="8"/>
      <c r="I35" s="10"/>
      <c r="J35" s="10"/>
      <c r="K35" s="30">
        <f t="shared" si="3"/>
        <v>0</v>
      </c>
      <c r="L35" s="30"/>
      <c r="M35">
        <v>6</v>
      </c>
      <c r="N35" s="38"/>
      <c r="O35" s="60"/>
      <c r="P35" s="60"/>
      <c r="Q35" s="60"/>
      <c r="R35" s="60"/>
      <c r="T35" s="31">
        <f t="shared" si="4"/>
        <v>0</v>
      </c>
      <c r="U35" s="32">
        <f t="shared" si="5"/>
        <v>0</v>
      </c>
      <c r="W35" s="33">
        <f t="shared" si="6"/>
        <v>0</v>
      </c>
      <c r="X35" s="32">
        <f t="shared" si="7"/>
        <v>0</v>
      </c>
      <c r="Z35">
        <f t="shared" si="0"/>
        <v>0</v>
      </c>
      <c r="AA35">
        <v>0</v>
      </c>
      <c r="AB35">
        <f t="shared" si="9"/>
        <v>1</v>
      </c>
      <c r="AC35" t="s">
        <v>58</v>
      </c>
    </row>
    <row r="36" spans="1:29" x14ac:dyDescent="0.35">
      <c r="A36" s="34">
        <v>7</v>
      </c>
      <c r="B36" s="9"/>
      <c r="C36" s="10"/>
      <c r="D36" s="7">
        <f t="shared" si="8"/>
        <v>0</v>
      </c>
      <c r="E36" s="8">
        <f t="shared" si="1"/>
        <v>0</v>
      </c>
      <c r="F36" s="8">
        <f t="shared" si="2"/>
        <v>0</v>
      </c>
      <c r="G36" s="8"/>
      <c r="I36" s="10"/>
      <c r="J36" s="10"/>
      <c r="K36" s="30">
        <f t="shared" si="3"/>
        <v>0</v>
      </c>
      <c r="L36" s="30"/>
      <c r="M36">
        <v>7</v>
      </c>
      <c r="N36" s="38"/>
      <c r="O36" s="60"/>
      <c r="P36" s="60"/>
      <c r="Q36" s="60"/>
      <c r="R36" s="60"/>
      <c r="T36" s="31">
        <f t="shared" si="4"/>
        <v>0</v>
      </c>
      <c r="U36" s="32">
        <f t="shared" si="5"/>
        <v>0</v>
      </c>
      <c r="W36" s="33">
        <f t="shared" si="6"/>
        <v>0</v>
      </c>
      <c r="X36" s="32">
        <f t="shared" si="7"/>
        <v>0</v>
      </c>
      <c r="Z36">
        <f t="shared" si="0"/>
        <v>0</v>
      </c>
      <c r="AA36">
        <v>0</v>
      </c>
      <c r="AB36">
        <f t="shared" si="9"/>
        <v>1</v>
      </c>
      <c r="AC36" t="s">
        <v>58</v>
      </c>
    </row>
    <row r="37" spans="1:29" x14ac:dyDescent="0.35">
      <c r="A37" s="34">
        <v>8</v>
      </c>
      <c r="B37" s="9"/>
      <c r="C37" s="10"/>
      <c r="D37" s="7">
        <f t="shared" si="8"/>
        <v>0</v>
      </c>
      <c r="E37" s="8">
        <f t="shared" si="1"/>
        <v>0</v>
      </c>
      <c r="F37" s="8">
        <f t="shared" si="2"/>
        <v>0</v>
      </c>
      <c r="G37" s="8"/>
      <c r="I37" s="10"/>
      <c r="J37" s="10"/>
      <c r="K37" s="30">
        <f t="shared" si="3"/>
        <v>0</v>
      </c>
      <c r="L37" s="30"/>
      <c r="M37">
        <v>8</v>
      </c>
      <c r="N37" s="38"/>
      <c r="O37" s="60"/>
      <c r="P37" s="60"/>
      <c r="Q37" s="60"/>
      <c r="R37" s="60"/>
      <c r="T37" s="31">
        <f t="shared" si="4"/>
        <v>0</v>
      </c>
      <c r="U37" s="32">
        <f t="shared" si="5"/>
        <v>0</v>
      </c>
      <c r="W37" s="33">
        <f t="shared" si="6"/>
        <v>0</v>
      </c>
      <c r="X37" s="32">
        <f t="shared" si="7"/>
        <v>0</v>
      </c>
      <c r="Z37">
        <f t="shared" si="0"/>
        <v>0</v>
      </c>
      <c r="AA37">
        <v>0</v>
      </c>
      <c r="AB37">
        <f t="shared" si="9"/>
        <v>1</v>
      </c>
      <c r="AC37" t="s">
        <v>58</v>
      </c>
    </row>
    <row r="38" spans="1:29" x14ac:dyDescent="0.35">
      <c r="A38" s="34">
        <v>9</v>
      </c>
      <c r="B38" s="9"/>
      <c r="C38" s="10"/>
      <c r="D38" s="7">
        <f t="shared" si="8"/>
        <v>0</v>
      </c>
      <c r="E38" s="8">
        <f t="shared" si="1"/>
        <v>0</v>
      </c>
      <c r="F38" s="8">
        <f t="shared" si="2"/>
        <v>0</v>
      </c>
      <c r="G38" s="8"/>
      <c r="I38" s="10"/>
      <c r="J38" s="10"/>
      <c r="K38" s="30">
        <f t="shared" si="3"/>
        <v>0</v>
      </c>
      <c r="L38" s="30"/>
      <c r="M38">
        <v>9</v>
      </c>
      <c r="N38" s="38"/>
      <c r="O38" s="60"/>
      <c r="P38" s="60"/>
      <c r="Q38" s="60"/>
      <c r="R38" s="60"/>
      <c r="T38" s="31">
        <f t="shared" si="4"/>
        <v>0</v>
      </c>
      <c r="U38" s="32">
        <f t="shared" si="5"/>
        <v>0</v>
      </c>
      <c r="W38" s="33">
        <f t="shared" si="6"/>
        <v>0</v>
      </c>
      <c r="X38" s="32">
        <f t="shared" si="7"/>
        <v>0</v>
      </c>
      <c r="Z38">
        <f t="shared" ref="Z38" si="10">IF(AA38&gt;0,1,0)</f>
        <v>1</v>
      </c>
      <c r="AA38">
        <f>SUM(AB31:AB38)</f>
        <v>8</v>
      </c>
      <c r="AB38">
        <f t="shared" si="9"/>
        <v>1</v>
      </c>
      <c r="AC38" t="s">
        <v>58</v>
      </c>
    </row>
    <row r="39" spans="1:29" x14ac:dyDescent="0.35">
      <c r="A39" s="34">
        <v>10</v>
      </c>
      <c r="B39" s="9"/>
      <c r="C39" s="10"/>
      <c r="D39" s="7">
        <f t="shared" si="8"/>
        <v>0</v>
      </c>
      <c r="E39" s="8">
        <f t="shared" si="1"/>
        <v>0</v>
      </c>
      <c r="F39" s="8">
        <f t="shared" si="2"/>
        <v>0</v>
      </c>
      <c r="G39" s="8"/>
      <c r="I39" s="10"/>
      <c r="J39" s="10"/>
      <c r="K39" s="30">
        <f t="shared" si="3"/>
        <v>0</v>
      </c>
      <c r="L39" s="30"/>
      <c r="M39">
        <v>10</v>
      </c>
      <c r="N39" s="38"/>
      <c r="O39" s="60"/>
      <c r="P39" s="60"/>
      <c r="Q39" s="60"/>
      <c r="R39" s="60"/>
      <c r="T39" s="31">
        <f t="shared" si="4"/>
        <v>0</v>
      </c>
      <c r="U39" s="32">
        <f t="shared" si="5"/>
        <v>0</v>
      </c>
      <c r="W39" s="33">
        <f t="shared" si="6"/>
        <v>0</v>
      </c>
      <c r="X39" s="32">
        <f t="shared" si="7"/>
        <v>0</v>
      </c>
      <c r="Z39">
        <f t="shared" si="0"/>
        <v>0</v>
      </c>
      <c r="AA39">
        <v>0</v>
      </c>
      <c r="AB39">
        <f t="array" ref="AB39">SUM(IF($A$30:$A$149&gt;$B$17,IF($B$30:$B$149="",0,1),0))</f>
        <v>0</v>
      </c>
      <c r="AC39" t="s">
        <v>59</v>
      </c>
    </row>
    <row r="40" spans="1:29" x14ac:dyDescent="0.35">
      <c r="A40" s="34">
        <v>11</v>
      </c>
      <c r="B40" s="9"/>
      <c r="C40" s="10"/>
      <c r="D40" s="7">
        <f t="shared" si="8"/>
        <v>0</v>
      </c>
      <c r="E40" s="8">
        <f t="shared" si="1"/>
        <v>0</v>
      </c>
      <c r="F40" s="8">
        <f t="shared" si="2"/>
        <v>0</v>
      </c>
      <c r="G40" s="8"/>
      <c r="I40" s="10"/>
      <c r="J40" s="10"/>
      <c r="K40" s="30">
        <f t="shared" si="3"/>
        <v>0</v>
      </c>
      <c r="L40" s="30"/>
      <c r="M40">
        <v>11</v>
      </c>
      <c r="N40" s="38"/>
      <c r="O40" s="60"/>
      <c r="P40" s="60"/>
      <c r="Q40" s="60"/>
      <c r="R40" s="60"/>
      <c r="T40" s="31">
        <f t="shared" si="4"/>
        <v>0</v>
      </c>
      <c r="U40" s="32">
        <f t="shared" si="5"/>
        <v>0</v>
      </c>
      <c r="W40" s="33">
        <f t="shared" si="6"/>
        <v>0</v>
      </c>
      <c r="X40" s="32">
        <f t="shared" si="7"/>
        <v>0</v>
      </c>
      <c r="Z40">
        <f t="shared" si="0"/>
        <v>0</v>
      </c>
      <c r="AA40">
        <v>0</v>
      </c>
      <c r="AB40">
        <f t="array" ref="AB40">SUM(IF($A$30:$A$149&gt;$B$11,IF($C$30:$C$149="",0,1),0))</f>
        <v>0</v>
      </c>
      <c r="AC40" t="s">
        <v>59</v>
      </c>
    </row>
    <row r="41" spans="1:29" x14ac:dyDescent="0.35">
      <c r="A41" s="34">
        <v>12</v>
      </c>
      <c r="B41" s="9"/>
      <c r="C41" s="10"/>
      <c r="D41" s="7">
        <f t="shared" si="8"/>
        <v>0</v>
      </c>
      <c r="E41" s="8">
        <f t="shared" si="1"/>
        <v>0</v>
      </c>
      <c r="F41" s="8">
        <f t="shared" si="2"/>
        <v>0</v>
      </c>
      <c r="G41" s="8"/>
      <c r="I41" s="10"/>
      <c r="J41" s="10"/>
      <c r="K41" s="30">
        <f t="shared" si="3"/>
        <v>0</v>
      </c>
      <c r="L41" s="30"/>
      <c r="M41">
        <v>12</v>
      </c>
      <c r="N41" s="38"/>
      <c r="O41" s="60"/>
      <c r="P41" s="60"/>
      <c r="Q41" s="60"/>
      <c r="R41" s="60"/>
      <c r="T41" s="31">
        <f t="shared" si="4"/>
        <v>0</v>
      </c>
      <c r="U41" s="32">
        <f t="shared" si="5"/>
        <v>0</v>
      </c>
      <c r="W41" s="33">
        <f t="shared" si="6"/>
        <v>0</v>
      </c>
      <c r="X41" s="32">
        <f t="shared" si="7"/>
        <v>0</v>
      </c>
      <c r="Z41">
        <f t="shared" si="0"/>
        <v>0</v>
      </c>
      <c r="AA41">
        <v>0</v>
      </c>
      <c r="AB41">
        <f t="array" ref="AB41">SUM(IF($A$30:$A$149&gt;$B$17,IF($I$30:$I$149="",0,1),0))</f>
        <v>0</v>
      </c>
      <c r="AC41" t="s">
        <v>59</v>
      </c>
    </row>
    <row r="42" spans="1:29" x14ac:dyDescent="0.35">
      <c r="A42" s="34">
        <v>13</v>
      </c>
      <c r="B42" s="9"/>
      <c r="C42" s="10"/>
      <c r="D42" s="7">
        <f t="shared" si="8"/>
        <v>0</v>
      </c>
      <c r="E42" s="8">
        <f t="shared" si="1"/>
        <v>0</v>
      </c>
      <c r="F42" s="8">
        <f t="shared" si="2"/>
        <v>0</v>
      </c>
      <c r="G42" s="8"/>
      <c r="I42" s="10"/>
      <c r="J42" s="10"/>
      <c r="K42" s="30">
        <f t="shared" si="3"/>
        <v>0</v>
      </c>
      <c r="L42" s="30"/>
      <c r="M42">
        <v>13</v>
      </c>
      <c r="N42" s="38"/>
      <c r="O42" s="60"/>
      <c r="P42" s="60"/>
      <c r="Q42" s="60"/>
      <c r="R42" s="60"/>
      <c r="T42" s="31">
        <f t="shared" si="4"/>
        <v>0</v>
      </c>
      <c r="U42" s="32">
        <f t="shared" si="5"/>
        <v>0</v>
      </c>
      <c r="W42" s="33">
        <f t="shared" si="6"/>
        <v>0</v>
      </c>
      <c r="X42" s="32">
        <f t="shared" si="7"/>
        <v>0</v>
      </c>
      <c r="Z42">
        <f t="shared" si="0"/>
        <v>0</v>
      </c>
      <c r="AA42">
        <v>0</v>
      </c>
      <c r="AB42">
        <f t="array" ref="AB42">SUM(IF($A$30:$A$149&gt;$B$17,IF($J$30:$J$149="",0,1),0))</f>
        <v>0</v>
      </c>
      <c r="AC42" t="s">
        <v>59</v>
      </c>
    </row>
    <row r="43" spans="1:29" x14ac:dyDescent="0.35">
      <c r="A43" s="34">
        <v>14</v>
      </c>
      <c r="B43" s="9"/>
      <c r="C43" s="10"/>
      <c r="D43" s="7">
        <f t="shared" si="8"/>
        <v>0</v>
      </c>
      <c r="E43" s="8">
        <f t="shared" si="1"/>
        <v>0</v>
      </c>
      <c r="F43" s="8">
        <f t="shared" si="2"/>
        <v>0</v>
      </c>
      <c r="G43" s="8"/>
      <c r="I43" s="10"/>
      <c r="J43" s="10"/>
      <c r="K43" s="30">
        <f t="shared" si="3"/>
        <v>0</v>
      </c>
      <c r="L43" s="30"/>
      <c r="M43">
        <v>14</v>
      </c>
      <c r="N43" s="38"/>
      <c r="O43" s="60"/>
      <c r="P43" s="60"/>
      <c r="Q43" s="60"/>
      <c r="R43" s="60"/>
      <c r="T43" s="31">
        <f t="shared" si="4"/>
        <v>0</v>
      </c>
      <c r="U43" s="32">
        <f t="shared" si="5"/>
        <v>0</v>
      </c>
      <c r="W43" s="33">
        <f t="shared" si="6"/>
        <v>0</v>
      </c>
      <c r="X43" s="32">
        <f t="shared" si="7"/>
        <v>0</v>
      </c>
      <c r="Z43">
        <f t="shared" si="0"/>
        <v>0</v>
      </c>
      <c r="AA43">
        <v>0</v>
      </c>
      <c r="AB43">
        <f>IF(AND(B23&gt;=0,B23&lt;=1),0,1)</f>
        <v>0</v>
      </c>
      <c r="AC43" t="s">
        <v>59</v>
      </c>
    </row>
    <row r="44" spans="1:29" x14ac:dyDescent="0.35">
      <c r="A44" s="34">
        <v>15</v>
      </c>
      <c r="B44" s="9"/>
      <c r="C44" s="10"/>
      <c r="D44" s="7">
        <f t="shared" si="8"/>
        <v>0</v>
      </c>
      <c r="E44" s="8">
        <f t="shared" si="1"/>
        <v>0</v>
      </c>
      <c r="F44" s="8">
        <f t="shared" si="2"/>
        <v>0</v>
      </c>
      <c r="G44" s="8"/>
      <c r="I44" s="10"/>
      <c r="J44" s="10"/>
      <c r="K44" s="30">
        <f t="shared" si="3"/>
        <v>0</v>
      </c>
      <c r="L44" s="30"/>
      <c r="M44">
        <v>15</v>
      </c>
      <c r="N44" s="38"/>
      <c r="O44" s="60"/>
      <c r="P44" s="60"/>
      <c r="Q44" s="60"/>
      <c r="R44" s="60"/>
      <c r="T44" s="31">
        <f t="shared" si="4"/>
        <v>0</v>
      </c>
      <c r="U44" s="32">
        <f t="shared" si="5"/>
        <v>0</v>
      </c>
      <c r="W44" s="33">
        <f t="shared" si="6"/>
        <v>0</v>
      </c>
      <c r="X44" s="32">
        <f t="shared" si="7"/>
        <v>0</v>
      </c>
      <c r="Z44">
        <f t="shared" si="0"/>
        <v>1</v>
      </c>
      <c r="AA44">
        <f>SUM(AB39:AB44)</f>
        <v>1</v>
      </c>
      <c r="AB44">
        <f>IF(AND(B24&gt;=43101,B24&lt;=73050),0,1)</f>
        <v>1</v>
      </c>
      <c r="AC44" t="s">
        <v>59</v>
      </c>
    </row>
    <row r="45" spans="1:29" x14ac:dyDescent="0.35">
      <c r="A45" s="34">
        <v>16</v>
      </c>
      <c r="B45" s="9"/>
      <c r="C45" s="10"/>
      <c r="D45" s="7">
        <f t="shared" si="8"/>
        <v>0</v>
      </c>
      <c r="E45" s="8">
        <f t="shared" si="1"/>
        <v>0</v>
      </c>
      <c r="F45" s="8">
        <f t="shared" si="2"/>
        <v>0</v>
      </c>
      <c r="G45" s="8"/>
      <c r="I45" s="10"/>
      <c r="J45" s="10"/>
      <c r="K45" s="30">
        <f t="shared" si="3"/>
        <v>0</v>
      </c>
      <c r="L45" s="30"/>
      <c r="M45">
        <v>16</v>
      </c>
      <c r="N45" s="38"/>
      <c r="O45" s="60"/>
      <c r="P45" s="60"/>
      <c r="Q45" s="60"/>
      <c r="R45" s="60"/>
      <c r="T45" s="31">
        <f t="shared" si="4"/>
        <v>0</v>
      </c>
      <c r="U45" s="32">
        <f t="shared" si="5"/>
        <v>0</v>
      </c>
      <c r="W45" s="33">
        <f t="shared" si="6"/>
        <v>0</v>
      </c>
      <c r="X45" s="32">
        <f t="shared" si="7"/>
        <v>0</v>
      </c>
      <c r="Z45">
        <f t="shared" ref="Z45:Z55" si="11">IF(AA45&gt;0,1,0)</f>
        <v>0</v>
      </c>
      <c r="AA45">
        <v>0</v>
      </c>
      <c r="AB45">
        <f t="array" ref="AB45">SUM(IF($A$30:$A$149&lt;=$B$17,IF($B$30:$B$149="",1,0),0))</f>
        <v>0</v>
      </c>
      <c r="AC45" t="s">
        <v>60</v>
      </c>
    </row>
    <row r="46" spans="1:29" x14ac:dyDescent="0.35">
      <c r="A46" s="34">
        <v>17</v>
      </c>
      <c r="B46" s="9"/>
      <c r="C46" s="10"/>
      <c r="D46" s="7">
        <f t="shared" si="8"/>
        <v>0</v>
      </c>
      <c r="E46" s="8">
        <f t="shared" si="1"/>
        <v>0</v>
      </c>
      <c r="F46" s="8">
        <f t="shared" si="2"/>
        <v>0</v>
      </c>
      <c r="G46" s="8"/>
      <c r="I46" s="10"/>
      <c r="J46" s="10"/>
      <c r="K46" s="30">
        <f t="shared" si="3"/>
        <v>0</v>
      </c>
      <c r="L46" s="30"/>
      <c r="M46">
        <v>17</v>
      </c>
      <c r="N46" s="38"/>
      <c r="O46" s="60"/>
      <c r="P46" s="60"/>
      <c r="Q46" s="60"/>
      <c r="R46" s="60"/>
      <c r="T46" s="31">
        <f t="shared" si="4"/>
        <v>0</v>
      </c>
      <c r="U46" s="32">
        <f t="shared" si="5"/>
        <v>0</v>
      </c>
      <c r="W46" s="33">
        <f t="shared" si="6"/>
        <v>0</v>
      </c>
      <c r="X46" s="32">
        <f t="shared" si="7"/>
        <v>0</v>
      </c>
      <c r="Z46">
        <f t="shared" si="11"/>
        <v>0</v>
      </c>
      <c r="AA46">
        <v>0</v>
      </c>
      <c r="AB46">
        <f t="array" ref="AB46">SUM(IF($A$30:$A$149&lt;=$B$11,IF($C$30:$C$149="",1,0),0))</f>
        <v>0</v>
      </c>
      <c r="AC46" t="s">
        <v>60</v>
      </c>
    </row>
    <row r="47" spans="1:29" x14ac:dyDescent="0.35">
      <c r="A47" s="34">
        <v>18</v>
      </c>
      <c r="B47" s="9"/>
      <c r="C47" s="10"/>
      <c r="D47" s="7">
        <f t="shared" si="8"/>
        <v>0</v>
      </c>
      <c r="E47" s="8">
        <f t="shared" si="1"/>
        <v>0</v>
      </c>
      <c r="F47" s="8">
        <f t="shared" si="2"/>
        <v>0</v>
      </c>
      <c r="G47" s="8"/>
      <c r="I47" s="10"/>
      <c r="J47" s="10"/>
      <c r="K47" s="30">
        <f t="shared" si="3"/>
        <v>0</v>
      </c>
      <c r="L47" s="30"/>
      <c r="M47">
        <v>18</v>
      </c>
      <c r="N47" s="38"/>
      <c r="O47" s="60"/>
      <c r="P47" s="60"/>
      <c r="Q47" s="60"/>
      <c r="R47" s="60"/>
      <c r="T47" s="31">
        <f t="shared" si="4"/>
        <v>0</v>
      </c>
      <c r="U47" s="32">
        <f t="shared" si="5"/>
        <v>0</v>
      </c>
      <c r="W47" s="33">
        <f t="shared" si="6"/>
        <v>0</v>
      </c>
      <c r="X47" s="32">
        <f t="shared" si="7"/>
        <v>0</v>
      </c>
      <c r="Z47">
        <f t="shared" si="11"/>
        <v>0</v>
      </c>
      <c r="AA47">
        <v>0</v>
      </c>
      <c r="AB47">
        <f t="array" ref="AB47">SUM(IF($A$30:$A$149&lt;=$B$17,IF($I$30:$I$149="",1,0),0))</f>
        <v>0</v>
      </c>
      <c r="AC47" t="s">
        <v>60</v>
      </c>
    </row>
    <row r="48" spans="1:29" x14ac:dyDescent="0.35">
      <c r="A48" s="34">
        <v>19</v>
      </c>
      <c r="B48" s="9"/>
      <c r="C48" s="10"/>
      <c r="D48" s="7">
        <f t="shared" si="8"/>
        <v>0</v>
      </c>
      <c r="E48" s="8">
        <f t="shared" si="1"/>
        <v>0</v>
      </c>
      <c r="F48" s="8">
        <f t="shared" si="2"/>
        <v>0</v>
      </c>
      <c r="G48" s="8"/>
      <c r="I48" s="10"/>
      <c r="J48" s="10"/>
      <c r="K48" s="30">
        <f t="shared" si="3"/>
        <v>0</v>
      </c>
      <c r="L48" s="30"/>
      <c r="M48">
        <v>19</v>
      </c>
      <c r="N48" s="38"/>
      <c r="O48" s="60"/>
      <c r="P48" s="60"/>
      <c r="Q48" s="60"/>
      <c r="R48" s="60"/>
      <c r="T48" s="31">
        <f t="shared" si="4"/>
        <v>0</v>
      </c>
      <c r="U48" s="32">
        <f t="shared" si="5"/>
        <v>0</v>
      </c>
      <c r="W48" s="33">
        <f t="shared" si="6"/>
        <v>0</v>
      </c>
      <c r="X48" s="32">
        <f t="shared" si="7"/>
        <v>0</v>
      </c>
      <c r="Z48">
        <f t="shared" si="11"/>
        <v>0</v>
      </c>
      <c r="AA48">
        <f>SUM(AB45:AB48)</f>
        <v>0</v>
      </c>
      <c r="AB48">
        <f t="array" ref="AB48">SUM(IF($A$30:$A$149&lt;=$B$17,IF($J$30:$J$149="",1,0),0))</f>
        <v>0</v>
      </c>
      <c r="AC48" t="s">
        <v>60</v>
      </c>
    </row>
    <row r="49" spans="1:29" ht="15" customHeight="1" x14ac:dyDescent="0.35">
      <c r="A49" s="34">
        <v>20</v>
      </c>
      <c r="B49" s="9"/>
      <c r="C49" s="10"/>
      <c r="D49" s="7">
        <f t="shared" si="8"/>
        <v>0</v>
      </c>
      <c r="E49" s="8">
        <f t="shared" si="1"/>
        <v>0</v>
      </c>
      <c r="F49" s="8">
        <f t="shared" si="2"/>
        <v>0</v>
      </c>
      <c r="G49" s="8"/>
      <c r="I49" s="10"/>
      <c r="J49" s="10"/>
      <c r="K49" s="30">
        <f t="shared" si="3"/>
        <v>0</v>
      </c>
      <c r="L49" s="30"/>
      <c r="M49">
        <v>20</v>
      </c>
      <c r="N49" s="38"/>
      <c r="O49" s="60"/>
      <c r="P49" s="60"/>
      <c r="Q49" s="60"/>
      <c r="R49" s="60"/>
      <c r="T49" s="31">
        <f t="shared" si="4"/>
        <v>0</v>
      </c>
      <c r="U49" s="32">
        <f t="shared" si="5"/>
        <v>0</v>
      </c>
      <c r="W49" s="33">
        <f t="shared" si="6"/>
        <v>0</v>
      </c>
      <c r="X49" s="32">
        <f t="shared" si="7"/>
        <v>0</v>
      </c>
      <c r="Z49">
        <f t="shared" si="11"/>
        <v>0</v>
      </c>
      <c r="AA49">
        <v>0</v>
      </c>
      <c r="AB49">
        <f t="array" ref="AB49">SUM(IF($A$30:$A$149&gt;$B$11,IF($N$30:$N$149="",0,1),0))</f>
        <v>0</v>
      </c>
      <c r="AC49" t="s">
        <v>61</v>
      </c>
    </row>
    <row r="50" spans="1:29" ht="15" customHeight="1" x14ac:dyDescent="0.35">
      <c r="A50" s="34">
        <v>21</v>
      </c>
      <c r="B50" s="9"/>
      <c r="C50" s="10"/>
      <c r="D50" s="7">
        <f t="shared" si="8"/>
        <v>0</v>
      </c>
      <c r="E50" s="8">
        <f t="shared" si="1"/>
        <v>0</v>
      </c>
      <c r="F50" s="8">
        <f t="shared" si="2"/>
        <v>0</v>
      </c>
      <c r="G50" s="8"/>
      <c r="I50" s="10"/>
      <c r="J50" s="10"/>
      <c r="K50" s="30">
        <f t="shared" si="3"/>
        <v>0</v>
      </c>
      <c r="L50" s="30"/>
      <c r="M50">
        <v>21</v>
      </c>
      <c r="N50" s="38"/>
      <c r="O50" s="60"/>
      <c r="P50" s="60"/>
      <c r="Q50" s="60"/>
      <c r="R50" s="60"/>
      <c r="T50" s="31">
        <f t="shared" si="4"/>
        <v>0</v>
      </c>
      <c r="U50" s="32">
        <f t="shared" si="5"/>
        <v>0</v>
      </c>
      <c r="W50" s="33">
        <f t="shared" si="6"/>
        <v>0</v>
      </c>
      <c r="X50" s="32">
        <f t="shared" si="7"/>
        <v>0</v>
      </c>
      <c r="Z50">
        <f t="shared" si="11"/>
        <v>0</v>
      </c>
      <c r="AA50">
        <v>0</v>
      </c>
      <c r="AB50">
        <f t="array" ref="AB50">SUM(IF($A$30:$A$149&gt;$B$11,IF($O$30:$O$149="",0,1),0))</f>
        <v>0</v>
      </c>
      <c r="AC50" t="s">
        <v>61</v>
      </c>
    </row>
    <row r="51" spans="1:29" x14ac:dyDescent="0.35">
      <c r="A51" s="34">
        <v>22</v>
      </c>
      <c r="B51" s="9"/>
      <c r="C51" s="10"/>
      <c r="D51" s="7">
        <f t="shared" si="8"/>
        <v>0</v>
      </c>
      <c r="E51" s="8">
        <f t="shared" si="1"/>
        <v>0</v>
      </c>
      <c r="F51" s="8">
        <f t="shared" si="2"/>
        <v>0</v>
      </c>
      <c r="G51" s="8"/>
      <c r="I51" s="10"/>
      <c r="J51" s="10"/>
      <c r="K51" s="30">
        <f t="shared" si="3"/>
        <v>0</v>
      </c>
      <c r="L51" s="30"/>
      <c r="M51">
        <v>22</v>
      </c>
      <c r="N51" s="38"/>
      <c r="O51" s="60"/>
      <c r="P51" s="60"/>
      <c r="Q51" s="60"/>
      <c r="R51" s="60"/>
      <c r="T51" s="31">
        <f t="shared" si="4"/>
        <v>0</v>
      </c>
      <c r="U51" s="32">
        <f t="shared" si="5"/>
        <v>0</v>
      </c>
      <c r="W51" s="33">
        <f t="shared" si="6"/>
        <v>0</v>
      </c>
      <c r="X51" s="32">
        <f t="shared" si="7"/>
        <v>0</v>
      </c>
      <c r="Z51">
        <f t="shared" si="11"/>
        <v>0</v>
      </c>
      <c r="AA51">
        <v>0</v>
      </c>
      <c r="AB51">
        <f t="array" ref="AB51">SUM(IF($A$30:$A$149&gt;$B$11,IF($P$30:$P$149="",0,1),0))</f>
        <v>0</v>
      </c>
      <c r="AC51" t="s">
        <v>61</v>
      </c>
    </row>
    <row r="52" spans="1:29" x14ac:dyDescent="0.35">
      <c r="A52" s="34">
        <v>23</v>
      </c>
      <c r="B52" s="9"/>
      <c r="C52" s="10"/>
      <c r="D52" s="7">
        <f t="shared" si="8"/>
        <v>0</v>
      </c>
      <c r="E52" s="8">
        <f t="shared" si="1"/>
        <v>0</v>
      </c>
      <c r="F52" s="8">
        <f t="shared" si="2"/>
        <v>0</v>
      </c>
      <c r="G52" s="8"/>
      <c r="I52" s="10"/>
      <c r="J52" s="10"/>
      <c r="K52" s="30">
        <f t="shared" si="3"/>
        <v>0</v>
      </c>
      <c r="L52" s="30"/>
      <c r="M52">
        <v>23</v>
      </c>
      <c r="N52" s="38"/>
      <c r="O52" s="60"/>
      <c r="P52" s="60"/>
      <c r="Q52" s="60"/>
      <c r="R52" s="60"/>
      <c r="T52" s="31">
        <f t="shared" si="4"/>
        <v>0</v>
      </c>
      <c r="U52" s="32">
        <f t="shared" si="5"/>
        <v>0</v>
      </c>
      <c r="W52" s="33">
        <f t="shared" si="6"/>
        <v>0</v>
      </c>
      <c r="X52" s="32">
        <f t="shared" si="7"/>
        <v>0</v>
      </c>
      <c r="Z52">
        <f t="shared" si="11"/>
        <v>0</v>
      </c>
      <c r="AA52">
        <v>0</v>
      </c>
      <c r="AB52">
        <f t="array" ref="AB52">SUM(IF($A$30:$A$149&gt;$B$11,IF($Q$30:$Q$149="",0,1),0))</f>
        <v>0</v>
      </c>
      <c r="AC52" t="s">
        <v>61</v>
      </c>
    </row>
    <row r="53" spans="1:29" x14ac:dyDescent="0.35">
      <c r="A53" s="34">
        <v>24</v>
      </c>
      <c r="B53" s="9"/>
      <c r="C53" s="10"/>
      <c r="D53" s="7">
        <f t="shared" si="8"/>
        <v>0</v>
      </c>
      <c r="E53" s="8">
        <f t="shared" si="1"/>
        <v>0</v>
      </c>
      <c r="F53" s="8">
        <f t="shared" si="2"/>
        <v>0</v>
      </c>
      <c r="G53" s="8"/>
      <c r="I53" s="10"/>
      <c r="J53" s="10"/>
      <c r="K53" s="30">
        <f t="shared" si="3"/>
        <v>0</v>
      </c>
      <c r="L53" s="30"/>
      <c r="M53">
        <v>24</v>
      </c>
      <c r="N53" s="38"/>
      <c r="O53" s="60"/>
      <c r="P53" s="60"/>
      <c r="Q53" s="60"/>
      <c r="R53" s="60"/>
      <c r="T53" s="31">
        <f t="shared" si="4"/>
        <v>0</v>
      </c>
      <c r="U53" s="32">
        <f t="shared" si="5"/>
        <v>0</v>
      </c>
      <c r="W53" s="33">
        <f t="shared" si="6"/>
        <v>0</v>
      </c>
      <c r="X53" s="32">
        <f t="shared" si="7"/>
        <v>0</v>
      </c>
      <c r="Z53">
        <f t="shared" si="11"/>
        <v>0</v>
      </c>
      <c r="AA53">
        <f>SUM(AB49:AB53)</f>
        <v>0</v>
      </c>
      <c r="AB53">
        <f t="array" ref="AB53">SUM(IF($A$30:$A$149&gt;$B$11,IF($R$30:$R$149="",0,1),0))</f>
        <v>0</v>
      </c>
      <c r="AC53" t="s">
        <v>61</v>
      </c>
    </row>
    <row r="54" spans="1:29" x14ac:dyDescent="0.35">
      <c r="A54" s="34">
        <v>25</v>
      </c>
      <c r="B54" s="9"/>
      <c r="C54" s="10"/>
      <c r="D54" s="7">
        <f t="shared" si="8"/>
        <v>0</v>
      </c>
      <c r="E54" s="8">
        <f t="shared" si="1"/>
        <v>0</v>
      </c>
      <c r="F54" s="8">
        <f t="shared" si="2"/>
        <v>0</v>
      </c>
      <c r="G54" s="8"/>
      <c r="I54" s="10"/>
      <c r="J54" s="10"/>
      <c r="K54" s="30">
        <f t="shared" si="3"/>
        <v>0</v>
      </c>
      <c r="L54" s="30"/>
      <c r="M54">
        <v>25</v>
      </c>
      <c r="N54" s="38"/>
      <c r="O54" s="60"/>
      <c r="P54" s="60"/>
      <c r="Q54" s="60"/>
      <c r="R54" s="60"/>
      <c r="T54" s="31">
        <f t="shared" si="4"/>
        <v>0</v>
      </c>
      <c r="U54" s="32">
        <f t="shared" si="5"/>
        <v>0</v>
      </c>
      <c r="W54" s="33">
        <f t="shared" si="6"/>
        <v>0</v>
      </c>
      <c r="X54" s="32">
        <f t="shared" si="7"/>
        <v>0</v>
      </c>
      <c r="Z54">
        <f t="shared" si="11"/>
        <v>1</v>
      </c>
      <c r="AA54">
        <f>AB54</f>
        <v>1</v>
      </c>
      <c r="AB54">
        <f>IF(AND(B7="PU",B17=1),0,IF(AND(B7="PM",B17=B11),0,IF(AND(B7="PP",B17&gt;1,B17&lt;=B11),0,1)))</f>
        <v>1</v>
      </c>
      <c r="AC54" t="str">
        <f ca="1">"a célula de coluna " &amp; TEXT(CELL("col",B17),0) &amp; ", linha " &amp; TEXT(CELL("lin",B17),0) &amp; " deve ser compatível com a célula de coluna " &amp; TEXT(CELL("col",B11),0) &amp; ", linha " &amp; TEXT(CELL("lin",B11),0) &amp; " e com a célula de coluna " &amp; TEXT(CELL("col",B7),0) &amp; ", linha " &amp; TEXT(CELL("lin",B7),0)</f>
        <v>a célula de coluna 2, linha 17 deve ser compatível com a célula de coluna 2, linha 11 e com a célula de coluna 2, linha 7</v>
      </c>
    </row>
    <row r="55" spans="1:29" x14ac:dyDescent="0.35">
      <c r="A55" s="34">
        <v>26</v>
      </c>
      <c r="B55" s="9"/>
      <c r="C55" s="10"/>
      <c r="D55" s="7">
        <f t="shared" si="8"/>
        <v>0</v>
      </c>
      <c r="E55" s="8">
        <f t="shared" si="1"/>
        <v>0</v>
      </c>
      <c r="F55" s="8">
        <f t="shared" si="2"/>
        <v>0</v>
      </c>
      <c r="G55" s="8"/>
      <c r="I55" s="10"/>
      <c r="J55" s="10"/>
      <c r="K55" s="30">
        <f t="shared" si="3"/>
        <v>0</v>
      </c>
      <c r="L55" s="30"/>
      <c r="M55">
        <v>26</v>
      </c>
      <c r="N55" s="38"/>
      <c r="O55" s="60"/>
      <c r="P55" s="60"/>
      <c r="Q55" s="60"/>
      <c r="R55" s="60"/>
      <c r="T55" s="31">
        <f t="shared" si="4"/>
        <v>0</v>
      </c>
      <c r="U55" s="32">
        <f t="shared" si="5"/>
        <v>0</v>
      </c>
      <c r="W55" s="33">
        <f t="shared" si="6"/>
        <v>0</v>
      </c>
      <c r="X55" s="32">
        <f t="shared" si="7"/>
        <v>0</v>
      </c>
      <c r="Z55">
        <f t="shared" si="11"/>
        <v>0</v>
      </c>
      <c r="AA55">
        <f>AB55</f>
        <v>0</v>
      </c>
      <c r="AB55">
        <f t="array" ref="AB55">COUNT(IF(Dados!$N$30:$R$149&lt;0,Dados!$N$30:$R$149,""),"")</f>
        <v>0</v>
      </c>
      <c r="AC55" t="s">
        <v>62</v>
      </c>
    </row>
    <row r="56" spans="1:29" x14ac:dyDescent="0.35">
      <c r="A56" s="34">
        <v>27</v>
      </c>
      <c r="B56" s="9"/>
      <c r="C56" s="10"/>
      <c r="D56" s="7">
        <f t="shared" si="8"/>
        <v>0</v>
      </c>
      <c r="E56" s="8">
        <f t="shared" si="1"/>
        <v>0</v>
      </c>
      <c r="F56" s="8">
        <f t="shared" si="2"/>
        <v>0</v>
      </c>
      <c r="G56" s="8"/>
      <c r="I56" s="10"/>
      <c r="J56" s="10"/>
      <c r="K56" s="30">
        <f t="shared" si="3"/>
        <v>0</v>
      </c>
      <c r="L56" s="30"/>
      <c r="M56">
        <v>27</v>
      </c>
      <c r="N56" s="38"/>
      <c r="O56" s="60"/>
      <c r="P56" s="60"/>
      <c r="Q56" s="60"/>
      <c r="R56" s="60"/>
      <c r="T56" s="31">
        <f t="shared" si="4"/>
        <v>0</v>
      </c>
      <c r="U56" s="32">
        <f t="shared" si="5"/>
        <v>0</v>
      </c>
      <c r="W56" s="33">
        <f t="shared" si="6"/>
        <v>0</v>
      </c>
      <c r="X56" s="32">
        <f t="shared" si="7"/>
        <v>0</v>
      </c>
      <c r="Z56">
        <f t="shared" ref="Z56:Z57" si="12">IF(AA56&gt;0,1,0)</f>
        <v>0</v>
      </c>
      <c r="AA56">
        <f>SUM(AB56:AB59)</f>
        <v>0</v>
      </c>
      <c r="AB56">
        <f t="array" ref="AB56">SUM(IF(N(ISNUMBER(IF(IF(N(ISBLANK($B$30:$C$149)),$B$30:$C$149,1)=1,$B$30:$C$149,0)))=0,1,0))</f>
        <v>0</v>
      </c>
      <c r="AC56" t="s">
        <v>63</v>
      </c>
    </row>
    <row r="57" spans="1:29" x14ac:dyDescent="0.35">
      <c r="A57" s="34">
        <v>28</v>
      </c>
      <c r="B57" s="9"/>
      <c r="C57" s="10"/>
      <c r="D57" s="7">
        <f t="shared" si="8"/>
        <v>0</v>
      </c>
      <c r="E57" s="8">
        <f t="shared" si="1"/>
        <v>0</v>
      </c>
      <c r="F57" s="8">
        <f t="shared" si="2"/>
        <v>0</v>
      </c>
      <c r="G57" s="8"/>
      <c r="I57" s="10"/>
      <c r="J57" s="10"/>
      <c r="K57" s="30">
        <f t="shared" si="3"/>
        <v>0</v>
      </c>
      <c r="L57" s="30"/>
      <c r="M57">
        <v>28</v>
      </c>
      <c r="N57" s="38"/>
      <c r="O57" s="60"/>
      <c r="P57" s="60"/>
      <c r="Q57" s="60"/>
      <c r="R57" s="60"/>
      <c r="T57" s="31">
        <f t="shared" si="4"/>
        <v>0</v>
      </c>
      <c r="U57" s="32">
        <f t="shared" si="5"/>
        <v>0</v>
      </c>
      <c r="W57" s="33">
        <f t="shared" si="6"/>
        <v>0</v>
      </c>
      <c r="X57" s="32">
        <f t="shared" si="7"/>
        <v>0</v>
      </c>
      <c r="Z57">
        <f t="shared" si="12"/>
        <v>0</v>
      </c>
      <c r="AA57">
        <v>0</v>
      </c>
      <c r="AB57">
        <f t="array" ref="AB57">SUM(IF(N(ISNUMBER(IF(IF(N(ISBLANK($I$30:$J$149)),$I$30:$J$149,1)=1,$I$30:$J$149,0)))=0,1,0))</f>
        <v>0</v>
      </c>
      <c r="AC57" t="s">
        <v>63</v>
      </c>
    </row>
    <row r="58" spans="1:29" x14ac:dyDescent="0.35">
      <c r="A58" s="34">
        <v>29</v>
      </c>
      <c r="B58" s="9"/>
      <c r="C58" s="10"/>
      <c r="D58" s="7">
        <f t="shared" si="8"/>
        <v>0</v>
      </c>
      <c r="E58" s="8">
        <f t="shared" si="1"/>
        <v>0</v>
      </c>
      <c r="F58" s="8">
        <f t="shared" si="2"/>
        <v>0</v>
      </c>
      <c r="G58" s="8"/>
      <c r="I58" s="10"/>
      <c r="J58" s="10"/>
      <c r="K58" s="30">
        <f t="shared" si="3"/>
        <v>0</v>
      </c>
      <c r="L58" s="30"/>
      <c r="M58">
        <v>29</v>
      </c>
      <c r="N58" s="38"/>
      <c r="O58" s="60"/>
      <c r="P58" s="60"/>
      <c r="Q58" s="60"/>
      <c r="R58" s="60"/>
      <c r="T58" s="31">
        <f t="shared" si="4"/>
        <v>0</v>
      </c>
      <c r="U58" s="32">
        <f t="shared" si="5"/>
        <v>0</v>
      </c>
      <c r="W58" s="33">
        <f t="shared" si="6"/>
        <v>0</v>
      </c>
      <c r="X58" s="32">
        <f t="shared" si="7"/>
        <v>0</v>
      </c>
      <c r="Z58">
        <f>IF(AA58&gt;0,1,0)</f>
        <v>0</v>
      </c>
      <c r="AA58">
        <v>0</v>
      </c>
      <c r="AB58">
        <f t="array" ref="AB58">SUM(IF(N(ISNUMBER(IF(IF(N(ISBLANK($N$30:$R$149)),$N$30:$R$149,1)=1,$N$30:$R$149,0)))=0,1,0))</f>
        <v>0</v>
      </c>
      <c r="AC58" t="s">
        <v>63</v>
      </c>
    </row>
    <row r="59" spans="1:29" x14ac:dyDescent="0.35">
      <c r="A59" s="34">
        <v>30</v>
      </c>
      <c r="B59" s="9"/>
      <c r="C59" s="10"/>
      <c r="D59" s="7">
        <f t="shared" si="8"/>
        <v>0</v>
      </c>
      <c r="E59" s="8">
        <f t="shared" si="1"/>
        <v>0</v>
      </c>
      <c r="F59" s="8">
        <f t="shared" si="2"/>
        <v>0</v>
      </c>
      <c r="G59" s="8"/>
      <c r="I59" s="10"/>
      <c r="J59" s="10"/>
      <c r="K59" s="30">
        <f t="shared" si="3"/>
        <v>0</v>
      </c>
      <c r="L59" s="30"/>
      <c r="M59">
        <v>30</v>
      </c>
      <c r="N59" s="38"/>
      <c r="O59" s="60"/>
      <c r="P59" s="60"/>
      <c r="Q59" s="60"/>
      <c r="R59" s="60"/>
      <c r="T59" s="31">
        <f t="shared" si="4"/>
        <v>0</v>
      </c>
      <c r="U59" s="32">
        <f t="shared" si="5"/>
        <v>0</v>
      </c>
      <c r="W59" s="33">
        <f t="shared" si="6"/>
        <v>0</v>
      </c>
      <c r="X59" s="32">
        <f t="shared" si="7"/>
        <v>0</v>
      </c>
      <c r="Z59">
        <f>IF(AA59&gt;0,1,0)</f>
        <v>0</v>
      </c>
      <c r="AA59">
        <v>0</v>
      </c>
      <c r="AB59">
        <f t="array" ref="AB59">SUM(IF(N(ISNUMBER(IF(IF(N(ISBLANK($B$11:$B$17)),$B$11:$B$17,1)=1,$B$11:$B$17,0)))=0,1,0))</f>
        <v>0</v>
      </c>
      <c r="AC59" t="s">
        <v>63</v>
      </c>
    </row>
    <row r="60" spans="1:29" x14ac:dyDescent="0.35">
      <c r="A60" s="34">
        <v>31</v>
      </c>
      <c r="B60" s="9"/>
      <c r="C60" s="10"/>
      <c r="D60" s="7">
        <f t="shared" si="8"/>
        <v>0</v>
      </c>
      <c r="E60" s="8">
        <f t="shared" si="1"/>
        <v>0</v>
      </c>
      <c r="F60" s="8">
        <f t="shared" si="2"/>
        <v>0</v>
      </c>
      <c r="G60" s="8"/>
      <c r="I60" s="10"/>
      <c r="J60" s="10"/>
      <c r="K60" s="30">
        <f t="shared" si="3"/>
        <v>0</v>
      </c>
      <c r="L60" s="30"/>
      <c r="M60">
        <v>31</v>
      </c>
      <c r="N60" s="38"/>
      <c r="O60" s="60"/>
      <c r="P60" s="60"/>
      <c r="Q60" s="60"/>
      <c r="R60" s="60"/>
      <c r="T60" s="31">
        <f t="shared" si="4"/>
        <v>0</v>
      </c>
      <c r="U60" s="32">
        <f t="shared" si="5"/>
        <v>0</v>
      </c>
      <c r="W60" s="33">
        <f t="shared" si="6"/>
        <v>0</v>
      </c>
      <c r="X60" s="32">
        <f t="shared" si="7"/>
        <v>0</v>
      </c>
    </row>
    <row r="61" spans="1:29" x14ac:dyDescent="0.35">
      <c r="A61" s="34">
        <v>32</v>
      </c>
      <c r="B61" s="9"/>
      <c r="C61" s="10"/>
      <c r="D61" s="7">
        <f t="shared" si="8"/>
        <v>0</v>
      </c>
      <c r="E61" s="8">
        <f t="shared" si="1"/>
        <v>0</v>
      </c>
      <c r="F61" s="8">
        <f t="shared" si="2"/>
        <v>0</v>
      </c>
      <c r="G61" s="8"/>
      <c r="I61" s="10"/>
      <c r="J61" s="10"/>
      <c r="K61" s="30">
        <f t="shared" si="3"/>
        <v>0</v>
      </c>
      <c r="L61" s="30"/>
      <c r="M61">
        <v>32</v>
      </c>
      <c r="N61" s="38"/>
      <c r="O61" s="60"/>
      <c r="P61" s="60"/>
      <c r="Q61" s="60"/>
      <c r="R61" s="60"/>
      <c r="T61" s="31">
        <f t="shared" si="4"/>
        <v>0</v>
      </c>
      <c r="U61" s="32">
        <f t="shared" si="5"/>
        <v>0</v>
      </c>
      <c r="W61" s="33">
        <f t="shared" si="6"/>
        <v>0</v>
      </c>
      <c r="X61" s="32">
        <f t="shared" si="7"/>
        <v>0</v>
      </c>
    </row>
    <row r="62" spans="1:29" x14ac:dyDescent="0.35">
      <c r="A62" s="34">
        <v>33</v>
      </c>
      <c r="B62" s="9"/>
      <c r="C62" s="10"/>
      <c r="D62" s="7">
        <f t="shared" si="8"/>
        <v>0</v>
      </c>
      <c r="E62" s="8">
        <f t="shared" ref="E62:E93" si="13">IF(A62&lt;=$B$11,D62*C62/IF(A62&lt;=$B$17,A62,$B$17),0)</f>
        <v>0</v>
      </c>
      <c r="F62" s="8">
        <f t="shared" ref="F62:F93" si="14">IF(A62&lt;=$B$11,IF(OR($B$7="PM",$B$7="PP",$B$6="Popular"),MAX(50%,E62),E62),0)</f>
        <v>0</v>
      </c>
      <c r="G62" s="8"/>
      <c r="I62" s="10"/>
      <c r="J62" s="10"/>
      <c r="K62" s="30">
        <f t="shared" ref="K62:K93" si="15">J62+I62+B62</f>
        <v>0</v>
      </c>
      <c r="L62" s="30"/>
      <c r="M62">
        <v>33</v>
      </c>
      <c r="N62" s="38"/>
      <c r="O62" s="60"/>
      <c r="P62" s="60"/>
      <c r="Q62" s="60"/>
      <c r="R62" s="60"/>
      <c r="T62" s="31">
        <f t="shared" ref="T62:T93" si="16">I62*$B$12</f>
        <v>0</v>
      </c>
      <c r="U62" s="32">
        <f t="shared" ref="U62:U93" si="17">$T62*(B$14+1)^-($A62-1)</f>
        <v>0</v>
      </c>
      <c r="W62" s="33">
        <f t="shared" ref="W62:W93" si="18">N62+O62+P62+Q62+R62</f>
        <v>0</v>
      </c>
      <c r="X62" s="32">
        <f t="shared" ref="X62:X93" si="19">$W62*(B$14+1)^-($A62-1)</f>
        <v>0</v>
      </c>
    </row>
    <row r="63" spans="1:29" x14ac:dyDescent="0.35">
      <c r="A63" s="34">
        <v>34</v>
      </c>
      <c r="B63" s="9"/>
      <c r="C63" s="10"/>
      <c r="D63" s="7">
        <f t="shared" ref="D63:D94" si="20">IF(A63&lt;=$B$11,(D62 + B63)*(1+$B$13),0)</f>
        <v>0</v>
      </c>
      <c r="E63" s="8">
        <f t="shared" si="13"/>
        <v>0</v>
      </c>
      <c r="F63" s="8">
        <f t="shared" si="14"/>
        <v>0</v>
      </c>
      <c r="G63" s="8"/>
      <c r="I63" s="10"/>
      <c r="J63" s="10"/>
      <c r="K63" s="30">
        <f t="shared" si="15"/>
        <v>0</v>
      </c>
      <c r="L63" s="30"/>
      <c r="M63">
        <v>34</v>
      </c>
      <c r="N63" s="38"/>
      <c r="O63" s="60"/>
      <c r="P63" s="60"/>
      <c r="Q63" s="60"/>
      <c r="R63" s="60"/>
      <c r="T63" s="31">
        <f t="shared" si="16"/>
        <v>0</v>
      </c>
      <c r="U63" s="32">
        <f t="shared" si="17"/>
        <v>0</v>
      </c>
      <c r="W63" s="33">
        <f t="shared" si="18"/>
        <v>0</v>
      </c>
      <c r="X63" s="32">
        <f t="shared" si="19"/>
        <v>0</v>
      </c>
    </row>
    <row r="64" spans="1:29" x14ac:dyDescent="0.35">
      <c r="A64" s="34">
        <v>35</v>
      </c>
      <c r="B64" s="9"/>
      <c r="C64" s="10"/>
      <c r="D64" s="7">
        <f t="shared" si="20"/>
        <v>0</v>
      </c>
      <c r="E64" s="8">
        <f t="shared" si="13"/>
        <v>0</v>
      </c>
      <c r="F64" s="8">
        <f t="shared" si="14"/>
        <v>0</v>
      </c>
      <c r="G64" s="8"/>
      <c r="I64" s="10"/>
      <c r="J64" s="10"/>
      <c r="K64" s="30">
        <f t="shared" si="15"/>
        <v>0</v>
      </c>
      <c r="L64" s="30"/>
      <c r="M64">
        <v>35</v>
      </c>
      <c r="N64" s="38"/>
      <c r="O64" s="60"/>
      <c r="P64" s="60"/>
      <c r="Q64" s="60"/>
      <c r="R64" s="60"/>
      <c r="T64" s="31">
        <f t="shared" si="16"/>
        <v>0</v>
      </c>
      <c r="U64" s="32">
        <f t="shared" si="17"/>
        <v>0</v>
      </c>
      <c r="W64" s="33">
        <f t="shared" si="18"/>
        <v>0</v>
      </c>
      <c r="X64" s="32">
        <f t="shared" si="19"/>
        <v>0</v>
      </c>
    </row>
    <row r="65" spans="1:34" x14ac:dyDescent="0.35">
      <c r="A65" s="34">
        <v>36</v>
      </c>
      <c r="B65" s="9"/>
      <c r="C65" s="10"/>
      <c r="D65" s="7">
        <f t="shared" si="20"/>
        <v>0</v>
      </c>
      <c r="E65" s="8">
        <f t="shared" si="13"/>
        <v>0</v>
      </c>
      <c r="F65" s="8">
        <f t="shared" si="14"/>
        <v>0</v>
      </c>
      <c r="G65" s="8"/>
      <c r="I65" s="10"/>
      <c r="J65" s="10"/>
      <c r="K65" s="30">
        <f t="shared" si="15"/>
        <v>0</v>
      </c>
      <c r="L65" s="30"/>
      <c r="M65">
        <v>36</v>
      </c>
      <c r="N65" s="38"/>
      <c r="O65" s="60"/>
      <c r="P65" s="60"/>
      <c r="Q65" s="60"/>
      <c r="R65" s="60"/>
      <c r="T65" s="31">
        <f t="shared" si="16"/>
        <v>0</v>
      </c>
      <c r="U65" s="32">
        <f t="shared" si="17"/>
        <v>0</v>
      </c>
      <c r="W65" s="33">
        <f t="shared" si="18"/>
        <v>0</v>
      </c>
      <c r="X65" s="32">
        <f t="shared" si="19"/>
        <v>0</v>
      </c>
    </row>
    <row r="66" spans="1:34" x14ac:dyDescent="0.35">
      <c r="A66" s="34">
        <v>37</v>
      </c>
      <c r="B66" s="9"/>
      <c r="C66" s="10"/>
      <c r="D66" s="7">
        <f t="shared" si="20"/>
        <v>0</v>
      </c>
      <c r="E66" s="8">
        <f t="shared" si="13"/>
        <v>0</v>
      </c>
      <c r="F66" s="8">
        <f t="shared" si="14"/>
        <v>0</v>
      </c>
      <c r="G66" s="8"/>
      <c r="I66" s="10"/>
      <c r="J66" s="10"/>
      <c r="K66" s="30">
        <f t="shared" si="15"/>
        <v>0</v>
      </c>
      <c r="L66" s="30"/>
      <c r="M66">
        <v>37</v>
      </c>
      <c r="N66" s="38"/>
      <c r="O66" s="60"/>
      <c r="P66" s="60"/>
      <c r="Q66" s="60"/>
      <c r="R66" s="60"/>
      <c r="T66" s="31">
        <f t="shared" si="16"/>
        <v>0</v>
      </c>
      <c r="U66" s="32">
        <f t="shared" si="17"/>
        <v>0</v>
      </c>
      <c r="W66" s="33">
        <f t="shared" si="18"/>
        <v>0</v>
      </c>
      <c r="X66" s="32">
        <f t="shared" si="19"/>
        <v>0</v>
      </c>
    </row>
    <row r="67" spans="1:34" x14ac:dyDescent="0.35">
      <c r="A67" s="34">
        <v>38</v>
      </c>
      <c r="B67" s="9"/>
      <c r="C67" s="10"/>
      <c r="D67" s="7">
        <f t="shared" si="20"/>
        <v>0</v>
      </c>
      <c r="E67" s="8">
        <f t="shared" si="13"/>
        <v>0</v>
      </c>
      <c r="F67" s="8">
        <f t="shared" si="14"/>
        <v>0</v>
      </c>
      <c r="G67" s="8"/>
      <c r="I67" s="10"/>
      <c r="J67" s="10"/>
      <c r="K67" s="30">
        <f t="shared" si="15"/>
        <v>0</v>
      </c>
      <c r="L67" s="30"/>
      <c r="M67">
        <v>38</v>
      </c>
      <c r="N67" s="38"/>
      <c r="O67" s="60"/>
      <c r="P67" s="60"/>
      <c r="Q67" s="60"/>
      <c r="R67" s="60"/>
      <c r="T67" s="31">
        <f t="shared" si="16"/>
        <v>0</v>
      </c>
      <c r="U67" s="32">
        <f t="shared" si="17"/>
        <v>0</v>
      </c>
      <c r="W67" s="33">
        <f t="shared" si="18"/>
        <v>0</v>
      </c>
      <c r="X67" s="32">
        <f t="shared" si="19"/>
        <v>0</v>
      </c>
    </row>
    <row r="68" spans="1:34" x14ac:dyDescent="0.35">
      <c r="A68" s="34">
        <v>39</v>
      </c>
      <c r="B68" s="9"/>
      <c r="C68" s="10"/>
      <c r="D68" s="7">
        <f t="shared" si="20"/>
        <v>0</v>
      </c>
      <c r="E68" s="8">
        <f t="shared" si="13"/>
        <v>0</v>
      </c>
      <c r="F68" s="8">
        <f t="shared" si="14"/>
        <v>0</v>
      </c>
      <c r="G68" s="8"/>
      <c r="I68" s="10"/>
      <c r="J68" s="10"/>
      <c r="K68" s="30">
        <f t="shared" si="15"/>
        <v>0</v>
      </c>
      <c r="L68" s="30"/>
      <c r="M68">
        <v>39</v>
      </c>
      <c r="N68" s="38"/>
      <c r="O68" s="60"/>
      <c r="P68" s="60"/>
      <c r="Q68" s="60"/>
      <c r="R68" s="60"/>
      <c r="T68" s="31">
        <f t="shared" si="16"/>
        <v>0</v>
      </c>
      <c r="U68" s="32">
        <f t="shared" si="17"/>
        <v>0</v>
      </c>
      <c r="W68" s="33">
        <f t="shared" si="18"/>
        <v>0</v>
      </c>
      <c r="X68" s="32">
        <f t="shared" si="19"/>
        <v>0</v>
      </c>
    </row>
    <row r="69" spans="1:34" x14ac:dyDescent="0.35">
      <c r="A69" s="34">
        <v>40</v>
      </c>
      <c r="B69" s="9"/>
      <c r="C69" s="10"/>
      <c r="D69" s="7">
        <f t="shared" si="20"/>
        <v>0</v>
      </c>
      <c r="E69" s="8">
        <f t="shared" si="13"/>
        <v>0</v>
      </c>
      <c r="F69" s="8">
        <f t="shared" si="14"/>
        <v>0</v>
      </c>
      <c r="G69" s="8"/>
      <c r="I69" s="10"/>
      <c r="J69" s="10"/>
      <c r="K69" s="30">
        <f t="shared" si="15"/>
        <v>0</v>
      </c>
      <c r="L69" s="30"/>
      <c r="M69">
        <v>40</v>
      </c>
      <c r="N69" s="38"/>
      <c r="O69" s="60"/>
      <c r="P69" s="60"/>
      <c r="Q69" s="60"/>
      <c r="R69" s="60"/>
      <c r="T69" s="31">
        <f t="shared" si="16"/>
        <v>0</v>
      </c>
      <c r="U69" s="32">
        <f t="shared" si="17"/>
        <v>0</v>
      </c>
      <c r="W69" s="33">
        <f t="shared" si="18"/>
        <v>0</v>
      </c>
      <c r="X69" s="32">
        <f t="shared" si="19"/>
        <v>0</v>
      </c>
      <c r="AC69" s="92" t="s">
        <v>64</v>
      </c>
      <c r="AD69" s="93"/>
      <c r="AE69" s="93"/>
      <c r="AF69" s="93"/>
      <c r="AG69" s="93"/>
      <c r="AH69" s="94"/>
    </row>
    <row r="70" spans="1:34" ht="16.5" customHeight="1" x14ac:dyDescent="0.35">
      <c r="A70" s="34">
        <v>41</v>
      </c>
      <c r="B70" s="9"/>
      <c r="C70" s="10"/>
      <c r="D70" s="7">
        <f t="shared" si="20"/>
        <v>0</v>
      </c>
      <c r="E70" s="8">
        <f t="shared" si="13"/>
        <v>0</v>
      </c>
      <c r="F70" s="8">
        <f t="shared" si="14"/>
        <v>0</v>
      </c>
      <c r="G70" s="8"/>
      <c r="I70" s="10"/>
      <c r="J70" s="10"/>
      <c r="K70" s="30">
        <f t="shared" si="15"/>
        <v>0</v>
      </c>
      <c r="L70" s="30"/>
      <c r="M70">
        <v>41</v>
      </c>
      <c r="N70" s="38"/>
      <c r="O70" s="60"/>
      <c r="P70" s="60"/>
      <c r="Q70" s="60"/>
      <c r="R70" s="60"/>
      <c r="T70" s="31">
        <f t="shared" si="16"/>
        <v>0</v>
      </c>
      <c r="U70" s="32">
        <f t="shared" si="17"/>
        <v>0</v>
      </c>
      <c r="W70" s="33">
        <f t="shared" si="18"/>
        <v>0</v>
      </c>
      <c r="X70" s="32">
        <f t="shared" si="19"/>
        <v>0</v>
      </c>
      <c r="AC70" s="44" t="s">
        <v>65</v>
      </c>
      <c r="AD70" s="45"/>
      <c r="AE70" s="43" t="s">
        <v>66</v>
      </c>
      <c r="AF70" s="45"/>
      <c r="AG70" s="45"/>
      <c r="AH70" s="46"/>
    </row>
    <row r="71" spans="1:34" x14ac:dyDescent="0.35">
      <c r="A71" s="34">
        <v>42</v>
      </c>
      <c r="B71" s="9"/>
      <c r="C71" s="10"/>
      <c r="D71" s="7">
        <f t="shared" si="20"/>
        <v>0</v>
      </c>
      <c r="E71" s="8">
        <f t="shared" si="13"/>
        <v>0</v>
      </c>
      <c r="F71" s="8">
        <f t="shared" si="14"/>
        <v>0</v>
      </c>
      <c r="G71" s="8"/>
      <c r="I71" s="10"/>
      <c r="J71" s="10"/>
      <c r="K71" s="30">
        <f t="shared" si="15"/>
        <v>0</v>
      </c>
      <c r="L71" s="30"/>
      <c r="M71">
        <v>42</v>
      </c>
      <c r="N71" s="38"/>
      <c r="O71" s="60"/>
      <c r="P71" s="60"/>
      <c r="Q71" s="60"/>
      <c r="R71" s="60"/>
      <c r="T71" s="31">
        <f t="shared" si="16"/>
        <v>0</v>
      </c>
      <c r="U71" s="32">
        <f t="shared" si="17"/>
        <v>0</v>
      </c>
      <c r="W71" s="33">
        <f t="shared" si="18"/>
        <v>0</v>
      </c>
      <c r="X71" s="32">
        <f t="shared" si="19"/>
        <v>0</v>
      </c>
      <c r="AC71" s="47" t="s">
        <v>67</v>
      </c>
      <c r="AD71" t="e">
        <f t="array" aca="1" ref="AD71" ca="1">IF(AND(OFFSET(Dados!$C$30,0,0,$AH$71)&gt;=90%),0,1)</f>
        <v>#REF!</v>
      </c>
      <c r="AE71" s="42">
        <v>0.9</v>
      </c>
      <c r="AG71" s="4" t="s">
        <v>68</v>
      </c>
      <c r="AH71" s="40">
        <f>ROUNDDOWN(Dados!$B$11/2,0)</f>
        <v>0</v>
      </c>
    </row>
    <row r="72" spans="1:34" ht="13.15" customHeight="1" x14ac:dyDescent="0.35">
      <c r="A72" s="34">
        <v>43</v>
      </c>
      <c r="B72" s="9"/>
      <c r="C72" s="10"/>
      <c r="D72" s="7">
        <f t="shared" si="20"/>
        <v>0</v>
      </c>
      <c r="E72" s="8">
        <f t="shared" si="13"/>
        <v>0</v>
      </c>
      <c r="F72" s="8">
        <f t="shared" si="14"/>
        <v>0</v>
      </c>
      <c r="G72" s="8"/>
      <c r="I72" s="10"/>
      <c r="J72" s="10"/>
      <c r="K72" s="30">
        <f t="shared" si="15"/>
        <v>0</v>
      </c>
      <c r="L72" s="30"/>
      <c r="M72">
        <v>43</v>
      </c>
      <c r="N72" s="38"/>
      <c r="O72" s="60"/>
      <c r="P72" s="60"/>
      <c r="Q72" s="60"/>
      <c r="R72" s="60"/>
      <c r="T72" s="31">
        <f t="shared" si="16"/>
        <v>0</v>
      </c>
      <c r="U72" s="32">
        <f t="shared" si="17"/>
        <v>0</v>
      </c>
      <c r="W72" s="33">
        <f t="shared" si="18"/>
        <v>0</v>
      </c>
      <c r="X72" s="32">
        <f t="shared" si="19"/>
        <v>0</v>
      </c>
      <c r="AC72" s="47" t="s">
        <v>69</v>
      </c>
      <c r="AD72">
        <f t="array" aca="1" ref="AD72" ca="1">IF(AH72&gt;AH71,IF(AND(OFFSET(Dados!$C$30,$AH$71,0,$AH$72-$AH$71)&gt;=95%),0,1),0)</f>
        <v>0</v>
      </c>
      <c r="AE72" s="39">
        <v>0.95</v>
      </c>
      <c r="AG72" s="4" t="s">
        <v>70</v>
      </c>
      <c r="AH72" s="40">
        <f>ROUNDDOWN(Dados!$B$11*3/4,0)</f>
        <v>0</v>
      </c>
    </row>
    <row r="73" spans="1:34" x14ac:dyDescent="0.35">
      <c r="A73" s="34">
        <v>44</v>
      </c>
      <c r="B73" s="9"/>
      <c r="C73" s="10"/>
      <c r="D73" s="7">
        <f t="shared" si="20"/>
        <v>0</v>
      </c>
      <c r="E73" s="8">
        <f t="shared" si="13"/>
        <v>0</v>
      </c>
      <c r="F73" s="8">
        <f t="shared" si="14"/>
        <v>0</v>
      </c>
      <c r="G73" s="8"/>
      <c r="I73" s="10"/>
      <c r="J73" s="10"/>
      <c r="K73" s="30">
        <f t="shared" si="15"/>
        <v>0</v>
      </c>
      <c r="L73" s="30"/>
      <c r="M73">
        <v>44</v>
      </c>
      <c r="N73" s="38"/>
      <c r="O73" s="60"/>
      <c r="P73" s="60"/>
      <c r="Q73" s="60"/>
      <c r="R73" s="60"/>
      <c r="T73" s="31">
        <f t="shared" si="16"/>
        <v>0</v>
      </c>
      <c r="U73" s="32">
        <f t="shared" si="17"/>
        <v>0</v>
      </c>
      <c r="W73" s="33">
        <f t="shared" si="18"/>
        <v>0</v>
      </c>
      <c r="X73" s="32">
        <f t="shared" si="19"/>
        <v>0</v>
      </c>
      <c r="AC73" s="48" t="s">
        <v>71</v>
      </c>
      <c r="AD73" s="49" t="e">
        <f t="array" aca="1" ref="AD73" ca="1">IF(AND(OFFSET(Dados!$C$30,$AH$72,0,Dados!$B$11-$AH$72)&gt;=100%),0,1)</f>
        <v>#REF!</v>
      </c>
      <c r="AE73" s="50">
        <v>1</v>
      </c>
      <c r="AF73" s="49"/>
      <c r="AG73" s="49"/>
      <c r="AH73" s="51"/>
    </row>
    <row r="74" spans="1:34" x14ac:dyDescent="0.35">
      <c r="A74" s="34">
        <v>45</v>
      </c>
      <c r="B74" s="9"/>
      <c r="C74" s="10"/>
      <c r="D74" s="7">
        <f t="shared" si="20"/>
        <v>0</v>
      </c>
      <c r="E74" s="8">
        <f t="shared" si="13"/>
        <v>0</v>
      </c>
      <c r="F74" s="8">
        <f t="shared" si="14"/>
        <v>0</v>
      </c>
      <c r="G74" s="8"/>
      <c r="I74" s="10"/>
      <c r="J74" s="10"/>
      <c r="K74" s="30">
        <f t="shared" si="15"/>
        <v>0</v>
      </c>
      <c r="L74" s="30"/>
      <c r="M74">
        <v>45</v>
      </c>
      <c r="N74" s="38"/>
      <c r="O74" s="60"/>
      <c r="P74" s="60"/>
      <c r="Q74" s="60"/>
      <c r="R74" s="60"/>
      <c r="T74" s="31">
        <f t="shared" si="16"/>
        <v>0</v>
      </c>
      <c r="U74" s="32">
        <f t="shared" si="17"/>
        <v>0</v>
      </c>
      <c r="W74" s="33">
        <f t="shared" si="18"/>
        <v>0</v>
      </c>
      <c r="X74" s="32">
        <f t="shared" si="19"/>
        <v>0</v>
      </c>
    </row>
    <row r="75" spans="1:34" x14ac:dyDescent="0.35">
      <c r="A75" s="34">
        <v>46</v>
      </c>
      <c r="B75" s="9"/>
      <c r="C75" s="10"/>
      <c r="D75" s="7">
        <f t="shared" si="20"/>
        <v>0</v>
      </c>
      <c r="E75" s="8">
        <f t="shared" si="13"/>
        <v>0</v>
      </c>
      <c r="F75" s="8">
        <f t="shared" si="14"/>
        <v>0</v>
      </c>
      <c r="G75" s="8"/>
      <c r="I75" s="10"/>
      <c r="J75" s="10"/>
      <c r="K75" s="30">
        <f t="shared" si="15"/>
        <v>0</v>
      </c>
      <c r="L75" s="30"/>
      <c r="M75">
        <v>46</v>
      </c>
      <c r="N75" s="38"/>
      <c r="O75" s="60"/>
      <c r="P75" s="60"/>
      <c r="Q75" s="60"/>
      <c r="R75" s="60"/>
      <c r="T75" s="31">
        <f t="shared" si="16"/>
        <v>0</v>
      </c>
      <c r="U75" s="32">
        <f t="shared" si="17"/>
        <v>0</v>
      </c>
      <c r="W75" s="33">
        <f t="shared" si="18"/>
        <v>0</v>
      </c>
      <c r="X75" s="32">
        <f t="shared" si="19"/>
        <v>0</v>
      </c>
      <c r="AC75" s="52" t="s">
        <v>55</v>
      </c>
      <c r="AD75" s="45"/>
      <c r="AE75" s="46" t="e">
        <f ca="1">Dados!U27</f>
        <v>#REF!</v>
      </c>
    </row>
    <row r="76" spans="1:34" x14ac:dyDescent="0.35">
      <c r="A76" s="34">
        <v>47</v>
      </c>
      <c r="B76" s="9"/>
      <c r="C76" s="10"/>
      <c r="D76" s="7">
        <f t="shared" si="20"/>
        <v>0</v>
      </c>
      <c r="E76" s="8">
        <f t="shared" si="13"/>
        <v>0</v>
      </c>
      <c r="F76" s="8">
        <f t="shared" si="14"/>
        <v>0</v>
      </c>
      <c r="G76" s="8"/>
      <c r="I76" s="10"/>
      <c r="J76" s="10"/>
      <c r="K76" s="30">
        <f t="shared" si="15"/>
        <v>0</v>
      </c>
      <c r="L76" s="30"/>
      <c r="M76">
        <v>47</v>
      </c>
      <c r="N76" s="38"/>
      <c r="O76" s="60"/>
      <c r="P76" s="60"/>
      <c r="Q76" s="60"/>
      <c r="R76" s="60"/>
      <c r="T76" s="31">
        <f t="shared" si="16"/>
        <v>0</v>
      </c>
      <c r="U76" s="32">
        <f t="shared" si="17"/>
        <v>0</v>
      </c>
      <c r="W76" s="33">
        <f t="shared" si="18"/>
        <v>0</v>
      </c>
      <c r="X76" s="32">
        <f t="shared" si="19"/>
        <v>0</v>
      </c>
      <c r="AC76" s="3" t="s">
        <v>57</v>
      </c>
      <c r="AE76" s="53" t="e">
        <f ca="1">Dados!X27</f>
        <v>#REF!</v>
      </c>
    </row>
    <row r="77" spans="1:34" x14ac:dyDescent="0.35">
      <c r="A77" s="34">
        <v>48</v>
      </c>
      <c r="B77" s="9"/>
      <c r="C77" s="10"/>
      <c r="D77" s="7">
        <f t="shared" si="20"/>
        <v>0</v>
      </c>
      <c r="E77" s="8">
        <f t="shared" si="13"/>
        <v>0</v>
      </c>
      <c r="F77" s="8">
        <f t="shared" si="14"/>
        <v>0</v>
      </c>
      <c r="G77" s="8"/>
      <c r="I77" s="10"/>
      <c r="J77" s="10"/>
      <c r="K77" s="30">
        <f t="shared" si="15"/>
        <v>0</v>
      </c>
      <c r="L77" s="30"/>
      <c r="M77">
        <v>48</v>
      </c>
      <c r="N77" s="38"/>
      <c r="O77" s="60"/>
      <c r="P77" s="60"/>
      <c r="Q77" s="60"/>
      <c r="R77" s="60"/>
      <c r="T77" s="31">
        <f t="shared" si="16"/>
        <v>0</v>
      </c>
      <c r="U77" s="32">
        <f t="shared" si="17"/>
        <v>0</v>
      </c>
      <c r="W77" s="33">
        <f t="shared" si="18"/>
        <v>0</v>
      </c>
      <c r="X77" s="32">
        <f t="shared" si="19"/>
        <v>0</v>
      </c>
      <c r="AC77" s="3" t="s">
        <v>72</v>
      </c>
      <c r="AE77" s="53" t="e">
        <f ca="1">MIN(AE75:AE76)</f>
        <v>#REF!</v>
      </c>
    </row>
    <row r="78" spans="1:34" x14ac:dyDescent="0.35">
      <c r="A78" s="34">
        <v>49</v>
      </c>
      <c r="B78" s="9"/>
      <c r="C78" s="10"/>
      <c r="D78" s="7">
        <f t="shared" si="20"/>
        <v>0</v>
      </c>
      <c r="E78" s="8">
        <f t="shared" si="13"/>
        <v>0</v>
      </c>
      <c r="F78" s="8">
        <f t="shared" si="14"/>
        <v>0</v>
      </c>
      <c r="G78" s="8"/>
      <c r="I78" s="10"/>
      <c r="J78" s="10"/>
      <c r="K78" s="30">
        <f t="shared" si="15"/>
        <v>0</v>
      </c>
      <c r="L78" s="30"/>
      <c r="M78">
        <v>49</v>
      </c>
      <c r="N78" s="38"/>
      <c r="O78" s="60"/>
      <c r="P78" s="60"/>
      <c r="Q78" s="60"/>
      <c r="R78" s="60"/>
      <c r="T78" s="31">
        <f t="shared" si="16"/>
        <v>0</v>
      </c>
      <c r="U78" s="32">
        <f t="shared" si="17"/>
        <v>0</v>
      </c>
      <c r="W78" s="33">
        <f t="shared" si="18"/>
        <v>0</v>
      </c>
      <c r="X78" s="32">
        <f t="shared" si="19"/>
        <v>0</v>
      </c>
      <c r="AC78" s="3" t="s">
        <v>73</v>
      </c>
      <c r="AE78" s="54" t="e">
        <f ca="1">AE77/(Dados!$B$17*Dados!$B$12)</f>
        <v>#REF!</v>
      </c>
    </row>
    <row r="79" spans="1:34" x14ac:dyDescent="0.35">
      <c r="A79" s="34">
        <v>50</v>
      </c>
      <c r="B79" s="9"/>
      <c r="C79" s="10"/>
      <c r="D79" s="7">
        <f t="shared" si="20"/>
        <v>0</v>
      </c>
      <c r="E79" s="8">
        <f t="shared" si="13"/>
        <v>0</v>
      </c>
      <c r="F79" s="8">
        <f t="shared" si="14"/>
        <v>0</v>
      </c>
      <c r="G79" s="8"/>
      <c r="I79" s="10"/>
      <c r="J79" s="10"/>
      <c r="K79" s="30">
        <f t="shared" si="15"/>
        <v>0</v>
      </c>
      <c r="L79" s="30"/>
      <c r="M79">
        <v>50</v>
      </c>
      <c r="N79" s="38"/>
      <c r="O79" s="60"/>
      <c r="P79" s="60"/>
      <c r="Q79" s="60"/>
      <c r="R79" s="60"/>
      <c r="T79" s="31">
        <f t="shared" si="16"/>
        <v>0</v>
      </c>
      <c r="U79" s="32">
        <f t="shared" si="17"/>
        <v>0</v>
      </c>
      <c r="W79" s="33">
        <f t="shared" si="18"/>
        <v>0</v>
      </c>
      <c r="X79" s="32">
        <f t="shared" si="19"/>
        <v>0</v>
      </c>
      <c r="AC79" s="4" t="s">
        <v>74</v>
      </c>
      <c r="AD79" s="55"/>
      <c r="AE79" s="5">
        <v>1E-3</v>
      </c>
    </row>
    <row r="80" spans="1:34" x14ac:dyDescent="0.35">
      <c r="A80" s="34">
        <v>51</v>
      </c>
      <c r="B80" s="9"/>
      <c r="C80" s="10"/>
      <c r="D80" s="7">
        <f t="shared" si="20"/>
        <v>0</v>
      </c>
      <c r="E80" s="8">
        <f t="shared" si="13"/>
        <v>0</v>
      </c>
      <c r="F80" s="8">
        <f t="shared" si="14"/>
        <v>0</v>
      </c>
      <c r="G80" s="8"/>
      <c r="I80" s="10"/>
      <c r="J80" s="10"/>
      <c r="K80" s="30">
        <f t="shared" si="15"/>
        <v>0</v>
      </c>
      <c r="L80" s="30"/>
      <c r="M80">
        <v>51</v>
      </c>
      <c r="N80" s="38"/>
      <c r="O80" s="60"/>
      <c r="P80" s="60"/>
      <c r="Q80" s="60"/>
      <c r="R80" s="60"/>
      <c r="T80" s="31">
        <f t="shared" si="16"/>
        <v>0</v>
      </c>
      <c r="U80" s="32">
        <f t="shared" si="17"/>
        <v>0</v>
      </c>
      <c r="W80" s="33">
        <f t="shared" si="18"/>
        <v>0</v>
      </c>
      <c r="X80" s="32">
        <f t="shared" si="19"/>
        <v>0</v>
      </c>
    </row>
    <row r="81" spans="1:31" x14ac:dyDescent="0.35">
      <c r="A81" s="34">
        <v>52</v>
      </c>
      <c r="B81" s="9"/>
      <c r="C81" s="10"/>
      <c r="D81" s="7">
        <f t="shared" si="20"/>
        <v>0</v>
      </c>
      <c r="E81" s="8">
        <f t="shared" si="13"/>
        <v>0</v>
      </c>
      <c r="F81" s="8">
        <f t="shared" si="14"/>
        <v>0</v>
      </c>
      <c r="G81" s="8"/>
      <c r="I81" s="10"/>
      <c r="J81" s="10"/>
      <c r="K81" s="30">
        <f t="shared" si="15"/>
        <v>0</v>
      </c>
      <c r="L81" s="30"/>
      <c r="M81">
        <v>52</v>
      </c>
      <c r="N81" s="38"/>
      <c r="O81" s="60"/>
      <c r="P81" s="60"/>
      <c r="Q81" s="60"/>
      <c r="R81" s="60"/>
      <c r="T81" s="31">
        <f t="shared" si="16"/>
        <v>0</v>
      </c>
      <c r="U81" s="32">
        <f t="shared" si="17"/>
        <v>0</v>
      </c>
      <c r="W81" s="33">
        <f t="shared" si="18"/>
        <v>0</v>
      </c>
      <c r="X81" s="32">
        <f t="shared" si="19"/>
        <v>0</v>
      </c>
      <c r="AC81" s="52" t="s">
        <v>75</v>
      </c>
      <c r="AD81" s="45"/>
      <c r="AE81" s="46" t="e">
        <f ca="1">LARGE(OFFSET(Dados!$W$30,0,0,Dados!$B$11),1)</f>
        <v>#REF!</v>
      </c>
    </row>
    <row r="82" spans="1:31" x14ac:dyDescent="0.35">
      <c r="A82" s="34">
        <v>53</v>
      </c>
      <c r="B82" s="9"/>
      <c r="C82" s="10"/>
      <c r="D82" s="7">
        <f t="shared" si="20"/>
        <v>0</v>
      </c>
      <c r="E82" s="8">
        <f t="shared" si="13"/>
        <v>0</v>
      </c>
      <c r="F82" s="8">
        <f t="shared" si="14"/>
        <v>0</v>
      </c>
      <c r="G82" s="8"/>
      <c r="I82" s="10"/>
      <c r="J82" s="10"/>
      <c r="K82" s="30">
        <f t="shared" si="15"/>
        <v>0</v>
      </c>
      <c r="L82" s="30"/>
      <c r="M82">
        <v>53</v>
      </c>
      <c r="N82" s="38"/>
      <c r="O82" s="60"/>
      <c r="P82" s="60"/>
      <c r="Q82" s="60"/>
      <c r="R82" s="60"/>
      <c r="T82" s="31">
        <f t="shared" si="16"/>
        <v>0</v>
      </c>
      <c r="U82" s="32">
        <f t="shared" si="17"/>
        <v>0</v>
      </c>
      <c r="W82" s="33">
        <f t="shared" si="18"/>
        <v>0</v>
      </c>
      <c r="X82" s="32">
        <f t="shared" si="19"/>
        <v>0</v>
      </c>
      <c r="AC82" s="3" t="s">
        <v>76</v>
      </c>
      <c r="AE82" s="53" t="e">
        <f ca="1" xml:space="preserve"> AE81*Dados!$B$15</f>
        <v>#REF!</v>
      </c>
    </row>
    <row r="83" spans="1:31" x14ac:dyDescent="0.35">
      <c r="A83" s="34">
        <v>54</v>
      </c>
      <c r="B83" s="9"/>
      <c r="C83" s="10"/>
      <c r="D83" s="7">
        <f t="shared" si="20"/>
        <v>0</v>
      </c>
      <c r="E83" s="8">
        <f t="shared" si="13"/>
        <v>0</v>
      </c>
      <c r="F83" s="8">
        <f t="shared" si="14"/>
        <v>0</v>
      </c>
      <c r="G83" s="8"/>
      <c r="I83" s="10"/>
      <c r="J83" s="10"/>
      <c r="K83" s="30">
        <f t="shared" si="15"/>
        <v>0</v>
      </c>
      <c r="L83" s="30"/>
      <c r="M83">
        <v>54</v>
      </c>
      <c r="N83" s="38"/>
      <c r="O83" s="60"/>
      <c r="P83" s="60"/>
      <c r="Q83" s="60"/>
      <c r="R83" s="60"/>
      <c r="T83" s="31">
        <f t="shared" si="16"/>
        <v>0</v>
      </c>
      <c r="U83" s="32">
        <f t="shared" si="17"/>
        <v>0</v>
      </c>
      <c r="W83" s="33">
        <f t="shared" si="18"/>
        <v>0</v>
      </c>
      <c r="X83" s="32">
        <f t="shared" si="19"/>
        <v>0</v>
      </c>
      <c r="AC83" s="4" t="s">
        <v>77</v>
      </c>
      <c r="AD83" s="55"/>
      <c r="AE83" s="40" t="e">
        <f>VLOOKUP($B$4,'Patrimônio Líquido'!A3:C20,3,0)</f>
        <v>#N/A</v>
      </c>
    </row>
    <row r="84" spans="1:31" x14ac:dyDescent="0.35">
      <c r="A84" s="34">
        <v>55</v>
      </c>
      <c r="B84" s="9"/>
      <c r="C84" s="10"/>
      <c r="D84" s="7">
        <f t="shared" si="20"/>
        <v>0</v>
      </c>
      <c r="E84" s="8">
        <f t="shared" si="13"/>
        <v>0</v>
      </c>
      <c r="F84" s="8">
        <f t="shared" si="14"/>
        <v>0</v>
      </c>
      <c r="G84" s="8"/>
      <c r="I84" s="10"/>
      <c r="J84" s="10"/>
      <c r="K84" s="30">
        <f t="shared" si="15"/>
        <v>0</v>
      </c>
      <c r="L84" s="30"/>
      <c r="M84">
        <v>55</v>
      </c>
      <c r="N84" s="38"/>
      <c r="O84" s="60"/>
      <c r="P84" s="60"/>
      <c r="Q84" s="60"/>
      <c r="R84" s="60"/>
      <c r="T84" s="31">
        <f t="shared" si="16"/>
        <v>0</v>
      </c>
      <c r="U84" s="32">
        <f t="shared" si="17"/>
        <v>0</v>
      </c>
      <c r="W84" s="33">
        <f t="shared" si="18"/>
        <v>0</v>
      </c>
      <c r="X84" s="32">
        <f t="shared" si="19"/>
        <v>0</v>
      </c>
    </row>
    <row r="85" spans="1:31" x14ac:dyDescent="0.35">
      <c r="A85" s="34">
        <v>56</v>
      </c>
      <c r="B85" s="9"/>
      <c r="C85" s="10"/>
      <c r="D85" s="7">
        <f t="shared" si="20"/>
        <v>0</v>
      </c>
      <c r="E85" s="8">
        <f t="shared" si="13"/>
        <v>0</v>
      </c>
      <c r="F85" s="8">
        <f t="shared" si="14"/>
        <v>0</v>
      </c>
      <c r="G85" s="8"/>
      <c r="I85" s="10"/>
      <c r="J85" s="10"/>
      <c r="K85" s="30">
        <f t="shared" si="15"/>
        <v>0</v>
      </c>
      <c r="L85" s="30"/>
      <c r="M85">
        <v>56</v>
      </c>
      <c r="N85" s="38"/>
      <c r="O85" s="60"/>
      <c r="P85" s="60"/>
      <c r="Q85" s="60"/>
      <c r="R85" s="60"/>
      <c r="T85" s="31">
        <f t="shared" si="16"/>
        <v>0</v>
      </c>
      <c r="U85" s="32">
        <f t="shared" si="17"/>
        <v>0</v>
      </c>
      <c r="W85" s="33">
        <f t="shared" si="18"/>
        <v>0</v>
      </c>
      <c r="X85" s="32">
        <f t="shared" si="19"/>
        <v>0</v>
      </c>
      <c r="AA85" t="e">
        <f ca="1">AB85</f>
        <v>#REF!</v>
      </c>
      <c r="AB85" s="1" t="e">
        <f ca="1" xml:space="preserve"> IF(AND(Dados!$B$6 = "Popular", $AE$78 &lt; 5%), 1, 0)</f>
        <v>#REF!</v>
      </c>
      <c r="AC85" s="3" t="s">
        <v>78</v>
      </c>
    </row>
    <row r="86" spans="1:31" x14ac:dyDescent="0.35">
      <c r="A86" s="34">
        <v>57</v>
      </c>
      <c r="B86" s="9"/>
      <c r="C86" s="10"/>
      <c r="D86" s="7">
        <f t="shared" si="20"/>
        <v>0</v>
      </c>
      <c r="E86" s="8">
        <f t="shared" si="13"/>
        <v>0</v>
      </c>
      <c r="F86" s="8">
        <f t="shared" si="14"/>
        <v>0</v>
      </c>
      <c r="G86" s="8"/>
      <c r="I86" s="10"/>
      <c r="J86" s="10"/>
      <c r="K86" s="30">
        <f t="shared" si="15"/>
        <v>0</v>
      </c>
      <c r="L86" s="30"/>
      <c r="M86">
        <v>57</v>
      </c>
      <c r="N86" s="38"/>
      <c r="O86" s="60"/>
      <c r="P86" s="60"/>
      <c r="Q86" s="60"/>
      <c r="R86" s="60"/>
      <c r="T86" s="31">
        <f t="shared" si="16"/>
        <v>0</v>
      </c>
      <c r="U86" s="32">
        <f t="shared" si="17"/>
        <v>0</v>
      </c>
      <c r="W86" s="33">
        <f t="shared" si="18"/>
        <v>0</v>
      </c>
      <c r="X86" s="32">
        <f t="shared" si="19"/>
        <v>0</v>
      </c>
      <c r="AA86" t="e">
        <f t="shared" ref="AA86:AA112" ca="1" si="21">AB86</f>
        <v>#REF!</v>
      </c>
      <c r="AB86" s="1" t="e">
        <f ca="1">IF(ABS(AE75-AE76)/IF(AE75=0,1,AE75)&lt;AE79,0,1)</f>
        <v>#REF!</v>
      </c>
      <c r="AC86" s="3" t="s">
        <v>79</v>
      </c>
    </row>
    <row r="87" spans="1:31" x14ac:dyDescent="0.35">
      <c r="A87" s="34">
        <v>58</v>
      </c>
      <c r="B87" s="9"/>
      <c r="C87" s="10"/>
      <c r="D87" s="7">
        <f t="shared" si="20"/>
        <v>0</v>
      </c>
      <c r="E87" s="8">
        <f t="shared" si="13"/>
        <v>0</v>
      </c>
      <c r="F87" s="8">
        <f t="shared" si="14"/>
        <v>0</v>
      </c>
      <c r="G87" s="8"/>
      <c r="I87" s="10"/>
      <c r="J87" s="10"/>
      <c r="K87" s="30">
        <f t="shared" si="15"/>
        <v>0</v>
      </c>
      <c r="L87" s="30"/>
      <c r="M87">
        <v>58</v>
      </c>
      <c r="N87" s="38"/>
      <c r="O87" s="60"/>
      <c r="P87" s="60"/>
      <c r="Q87" s="60"/>
      <c r="R87" s="60"/>
      <c r="T87" s="31">
        <f t="shared" si="16"/>
        <v>0</v>
      </c>
      <c r="U87" s="32">
        <f t="shared" si="17"/>
        <v>0</v>
      </c>
      <c r="W87" s="33">
        <f t="shared" si="18"/>
        <v>0</v>
      </c>
      <c r="X87" s="32">
        <f t="shared" si="19"/>
        <v>0</v>
      </c>
      <c r="AA87" t="e">
        <f t="shared" ca="1" si="21"/>
        <v>#REF!</v>
      </c>
      <c r="AB87" s="1" t="e">
        <f ca="1">IF(AND(Dados!$B$6="Popular",Dados!$B$7="PU",SUM(OFFSET(Dados!$B$30,0,0,Dados!$B$17))/Dados!$B$17&lt;50%),1,0)</f>
        <v>#REF!</v>
      </c>
      <c r="AC87" t="s">
        <v>80</v>
      </c>
    </row>
    <row r="88" spans="1:31" x14ac:dyDescent="0.35">
      <c r="A88" s="34">
        <v>59</v>
      </c>
      <c r="B88" s="9"/>
      <c r="C88" s="10"/>
      <c r="D88" s="7">
        <f t="shared" si="20"/>
        <v>0</v>
      </c>
      <c r="E88" s="8">
        <f t="shared" si="13"/>
        <v>0</v>
      </c>
      <c r="F88" s="8">
        <f t="shared" si="14"/>
        <v>0</v>
      </c>
      <c r="G88" s="8"/>
      <c r="I88" s="10"/>
      <c r="J88" s="10"/>
      <c r="K88" s="30">
        <f t="shared" si="15"/>
        <v>0</v>
      </c>
      <c r="L88" s="30"/>
      <c r="M88">
        <v>59</v>
      </c>
      <c r="N88" s="38"/>
      <c r="O88" s="60"/>
      <c r="P88" s="60"/>
      <c r="Q88" s="60"/>
      <c r="R88" s="60"/>
      <c r="T88" s="31">
        <f t="shared" si="16"/>
        <v>0</v>
      </c>
      <c r="U88" s="32">
        <f t="shared" si="17"/>
        <v>0</v>
      </c>
      <c r="W88" s="33">
        <f t="shared" si="18"/>
        <v>0</v>
      </c>
      <c r="X88" s="32">
        <f t="shared" si="19"/>
        <v>0</v>
      </c>
      <c r="AA88" t="e">
        <f t="shared" ca="1" si="21"/>
        <v>#REF!</v>
      </c>
      <c r="AB88" s="1" t="e">
        <f ca="1">IF(AND(OR(Dados!$B$6="Tradicional",Dados!$B$6="Instrumento de Garantia"),SUM(OFFSET(Dados!$B$30,0,0,Dados!$B$17))/Dados!$B$17&lt;70%,Dados!$B$7="PU"),1,0)</f>
        <v>#REF!</v>
      </c>
      <c r="AC88" t="s">
        <v>81</v>
      </c>
    </row>
    <row r="89" spans="1:31" x14ac:dyDescent="0.35">
      <c r="A89" s="34">
        <v>60</v>
      </c>
      <c r="B89" s="9"/>
      <c r="C89" s="10"/>
      <c r="D89" s="7">
        <f t="shared" si="20"/>
        <v>0</v>
      </c>
      <c r="E89" s="8">
        <f t="shared" si="13"/>
        <v>0</v>
      </c>
      <c r="F89" s="8">
        <f t="shared" si="14"/>
        <v>0</v>
      </c>
      <c r="G89" s="8"/>
      <c r="I89" s="10"/>
      <c r="J89" s="10"/>
      <c r="K89" s="30">
        <f t="shared" si="15"/>
        <v>0</v>
      </c>
      <c r="L89" s="30"/>
      <c r="M89">
        <v>60</v>
      </c>
      <c r="N89" s="38"/>
      <c r="O89" s="60"/>
      <c r="P89" s="60"/>
      <c r="Q89" s="60"/>
      <c r="R89" s="60"/>
      <c r="T89" s="31">
        <f t="shared" si="16"/>
        <v>0</v>
      </c>
      <c r="U89" s="32">
        <f t="shared" si="17"/>
        <v>0</v>
      </c>
      <c r="W89" s="33">
        <f t="shared" si="18"/>
        <v>0</v>
      </c>
      <c r="X89" s="32">
        <f t="shared" si="19"/>
        <v>0</v>
      </c>
      <c r="AA89">
        <f t="shared" si="21"/>
        <v>0</v>
      </c>
      <c r="AB89" s="1">
        <f>IF(AND(OR(Dados!$B$30&lt;10%,Dados!$B$31&lt;10%,IF(B17&gt;2,Dados!$B$32&lt;10%,0)),OR(Dados!$B$7="PM",Dados!$B$7="PP")),1,0)</f>
        <v>0</v>
      </c>
      <c r="AC89" t="s">
        <v>82</v>
      </c>
    </row>
    <row r="90" spans="1:31" x14ac:dyDescent="0.35">
      <c r="A90" s="34">
        <v>61</v>
      </c>
      <c r="B90" s="9"/>
      <c r="C90" s="10"/>
      <c r="D90" s="7">
        <f t="shared" si="20"/>
        <v>0</v>
      </c>
      <c r="E90" s="8">
        <f t="shared" si="13"/>
        <v>0</v>
      </c>
      <c r="F90" s="8">
        <f t="shared" si="14"/>
        <v>0</v>
      </c>
      <c r="G90" s="8"/>
      <c r="I90" s="10"/>
      <c r="J90" s="10"/>
      <c r="K90" s="30">
        <f t="shared" si="15"/>
        <v>0</v>
      </c>
      <c r="L90" s="30"/>
      <c r="M90">
        <v>61</v>
      </c>
      <c r="N90" s="38"/>
      <c r="O90" s="60"/>
      <c r="P90" s="60"/>
      <c r="Q90" s="60"/>
      <c r="R90" s="60"/>
      <c r="T90" s="31">
        <f t="shared" si="16"/>
        <v>0</v>
      </c>
      <c r="U90" s="32">
        <f t="shared" si="17"/>
        <v>0</v>
      </c>
      <c r="W90" s="33">
        <f t="shared" si="18"/>
        <v>0</v>
      </c>
      <c r="X90" s="32">
        <f t="shared" si="19"/>
        <v>0</v>
      </c>
      <c r="AA90">
        <f t="shared" ca="1" si="21"/>
        <v>0</v>
      </c>
      <c r="AB90" s="1">
        <f t="array" aca="1" ref="AB90" ca="1">IF($B$17&gt;3,IF(AND(OR(Dados!$B$7="PM",Dados!$B$7="PP"),OR(OFFSET(Dados!$B$33,0,0,Dados!$B$17-3)&lt;70%)),1,0),0)</f>
        <v>0</v>
      </c>
      <c r="AC90" t="s">
        <v>83</v>
      </c>
    </row>
    <row r="91" spans="1:31" x14ac:dyDescent="0.35">
      <c r="A91" s="34">
        <v>62</v>
      </c>
      <c r="B91" s="9"/>
      <c r="C91" s="10"/>
      <c r="D91" s="7">
        <f t="shared" si="20"/>
        <v>0</v>
      </c>
      <c r="E91" s="8">
        <f t="shared" si="13"/>
        <v>0</v>
      </c>
      <c r="F91" s="8">
        <f t="shared" si="14"/>
        <v>0</v>
      </c>
      <c r="G91" s="8"/>
      <c r="I91" s="10"/>
      <c r="J91" s="10"/>
      <c r="K91" s="30">
        <f t="shared" si="15"/>
        <v>0</v>
      </c>
      <c r="L91" s="30"/>
      <c r="M91">
        <v>62</v>
      </c>
      <c r="N91" s="38"/>
      <c r="O91" s="60"/>
      <c r="P91" s="60"/>
      <c r="Q91" s="60"/>
      <c r="R91" s="60"/>
      <c r="T91" s="31">
        <f t="shared" si="16"/>
        <v>0</v>
      </c>
      <c r="U91" s="32">
        <f t="shared" si="17"/>
        <v>0</v>
      </c>
      <c r="W91" s="33">
        <f t="shared" si="18"/>
        <v>0</v>
      </c>
      <c r="X91" s="32">
        <f t="shared" si="19"/>
        <v>0</v>
      </c>
      <c r="AA91" t="e">
        <f t="shared" ca="1" si="21"/>
        <v>#REF!</v>
      </c>
      <c r="AB91" s="1" t="e">
        <f ca="1">IF(AND(OR(Dados!$B$7="PM",Dados!$B$7="PP"),AVERAGE(OFFSET(Dados!$B$30,0,0,Dados!$B$17))&lt;70%),1,0)</f>
        <v>#REF!</v>
      </c>
      <c r="AC91" t="s">
        <v>84</v>
      </c>
    </row>
    <row r="92" spans="1:31" x14ac:dyDescent="0.35">
      <c r="A92" s="34">
        <v>63</v>
      </c>
      <c r="B92" s="9"/>
      <c r="C92" s="10"/>
      <c r="D92" s="7">
        <f t="shared" si="20"/>
        <v>0</v>
      </c>
      <c r="E92" s="8">
        <f t="shared" si="13"/>
        <v>0</v>
      </c>
      <c r="F92" s="8">
        <f t="shared" si="14"/>
        <v>0</v>
      </c>
      <c r="G92" s="8"/>
      <c r="I92" s="10"/>
      <c r="J92" s="10"/>
      <c r="K92" s="30">
        <f t="shared" si="15"/>
        <v>0</v>
      </c>
      <c r="L92" s="30"/>
      <c r="M92">
        <v>63</v>
      </c>
      <c r="N92" s="38"/>
      <c r="O92" s="60"/>
      <c r="P92" s="60"/>
      <c r="Q92" s="60"/>
      <c r="R92" s="60"/>
      <c r="T92" s="31">
        <f t="shared" si="16"/>
        <v>0</v>
      </c>
      <c r="U92" s="32">
        <f t="shared" si="17"/>
        <v>0</v>
      </c>
      <c r="W92" s="33">
        <f t="shared" si="18"/>
        <v>0</v>
      </c>
      <c r="X92" s="32">
        <f t="shared" si="19"/>
        <v>0</v>
      </c>
      <c r="AA92">
        <f t="shared" si="21"/>
        <v>0</v>
      </c>
      <c r="AB92">
        <f>IF(AND(OR(Dados!$B$6 = "Tradicional",Dados!$B$6 = "Instrumento de Garantia",Dados!$B$6 = "Compra Programada"), Dados!$B$13 &lt; 0.35%),1,0)</f>
        <v>0</v>
      </c>
      <c r="AC92" t="s">
        <v>85</v>
      </c>
    </row>
    <row r="93" spans="1:31" x14ac:dyDescent="0.35">
      <c r="A93" s="34">
        <v>64</v>
      </c>
      <c r="B93" s="9"/>
      <c r="C93" s="10"/>
      <c r="D93" s="7">
        <f t="shared" si="20"/>
        <v>0</v>
      </c>
      <c r="E93" s="8">
        <f t="shared" si="13"/>
        <v>0</v>
      </c>
      <c r="F93" s="8">
        <f t="shared" si="14"/>
        <v>0</v>
      </c>
      <c r="G93" s="8"/>
      <c r="I93" s="10"/>
      <c r="J93" s="10"/>
      <c r="K93" s="30">
        <f t="shared" si="15"/>
        <v>0</v>
      </c>
      <c r="L93" s="30"/>
      <c r="M93">
        <v>64</v>
      </c>
      <c r="N93" s="38"/>
      <c r="O93" s="60"/>
      <c r="P93" s="60"/>
      <c r="Q93" s="60"/>
      <c r="R93" s="60"/>
      <c r="T93" s="31">
        <f t="shared" si="16"/>
        <v>0</v>
      </c>
      <c r="U93" s="32">
        <f t="shared" si="17"/>
        <v>0</v>
      </c>
      <c r="W93" s="33">
        <f t="shared" si="18"/>
        <v>0</v>
      </c>
      <c r="X93" s="32">
        <f t="shared" si="19"/>
        <v>0</v>
      </c>
      <c r="AA93">
        <f t="shared" si="21"/>
        <v>0</v>
      </c>
      <c r="AB93">
        <f>IF(AND(OR(Dados!$B$6 = "Popular",Dados!$B$6 = "Incentivo",Dados!$B$6 = "Filantropia Premiável"), Dados!$B$13 &lt; 0.16%), 1, 0)</f>
        <v>0</v>
      </c>
      <c r="AC93" t="s">
        <v>86</v>
      </c>
    </row>
    <row r="94" spans="1:31" x14ac:dyDescent="0.35">
      <c r="A94" s="34">
        <v>65</v>
      </c>
      <c r="B94" s="9"/>
      <c r="C94" s="10"/>
      <c r="D94" s="7">
        <f t="shared" si="20"/>
        <v>0</v>
      </c>
      <c r="E94" s="8">
        <f t="shared" ref="E94:E125" si="22">IF(A94&lt;=$B$11,D94*C94/IF(A94&lt;=$B$17,A94,$B$17),0)</f>
        <v>0</v>
      </c>
      <c r="F94" s="8">
        <f t="shared" ref="F94:F125" si="23">IF(A94&lt;=$B$11,IF(OR($B$7="PM",$B$7="PP",$B$6="Popular"),MAX(50%,E94),E94),0)</f>
        <v>0</v>
      </c>
      <c r="G94" s="8"/>
      <c r="I94" s="10"/>
      <c r="J94" s="10"/>
      <c r="K94" s="30">
        <f t="shared" ref="K94:K124" si="24">J94+I94+B94</f>
        <v>0</v>
      </c>
      <c r="L94" s="30"/>
      <c r="M94">
        <v>65</v>
      </c>
      <c r="N94" s="38"/>
      <c r="O94" s="60"/>
      <c r="P94" s="60"/>
      <c r="Q94" s="60"/>
      <c r="R94" s="60"/>
      <c r="T94" s="31">
        <f t="shared" ref="T94:T125" si="25">I94*$B$12</f>
        <v>0</v>
      </c>
      <c r="U94" s="32">
        <f t="shared" ref="U94:U125" si="26">$T94*(B$14+1)^-($A94-1)</f>
        <v>0</v>
      </c>
      <c r="W94" s="33">
        <f t="shared" ref="W94:W125" si="27">N94+O94+P94+Q94+R94</f>
        <v>0</v>
      </c>
      <c r="X94" s="32">
        <f t="shared" ref="X94:X125" si="28">$W94*(B$14+1)^-($A94-1)</f>
        <v>0</v>
      </c>
      <c r="AA94">
        <f t="shared" si="21"/>
        <v>0</v>
      </c>
      <c r="AB94">
        <f>IF(AND(Dados!$B$6="Tradicional",Dados!B11&lt;12),1,0)</f>
        <v>0</v>
      </c>
      <c r="AC94" t="s">
        <v>87</v>
      </c>
    </row>
    <row r="95" spans="1:31" x14ac:dyDescent="0.35">
      <c r="A95" s="34">
        <v>66</v>
      </c>
      <c r="B95" s="9"/>
      <c r="C95" s="10"/>
      <c r="D95" s="7">
        <f t="shared" ref="D95:D126" si="29">IF(A95&lt;=$B$11,(D94 + B95)*(1+$B$13),0)</f>
        <v>0</v>
      </c>
      <c r="E95" s="8">
        <f t="shared" si="22"/>
        <v>0</v>
      </c>
      <c r="F95" s="8">
        <f t="shared" si="23"/>
        <v>0</v>
      </c>
      <c r="G95" s="8"/>
      <c r="I95" s="10"/>
      <c r="J95" s="10"/>
      <c r="K95" s="30">
        <f t="shared" si="24"/>
        <v>0</v>
      </c>
      <c r="L95" s="30"/>
      <c r="M95">
        <v>66</v>
      </c>
      <c r="N95" s="38"/>
      <c r="O95" s="60"/>
      <c r="P95" s="60"/>
      <c r="Q95" s="60"/>
      <c r="R95" s="60"/>
      <c r="T95" s="31">
        <f t="shared" si="25"/>
        <v>0</v>
      </c>
      <c r="U95" s="32">
        <f t="shared" si="26"/>
        <v>0</v>
      </c>
      <c r="W95" s="33">
        <f t="shared" si="27"/>
        <v>0</v>
      </c>
      <c r="X95" s="32">
        <f t="shared" si="28"/>
        <v>0</v>
      </c>
      <c r="AA95">
        <f t="shared" si="21"/>
        <v>0</v>
      </c>
      <c r="AB95">
        <f>IF(AND(Dados!$B$6="Popular",Dados!B11&lt;12),1,0)</f>
        <v>0</v>
      </c>
      <c r="AC95" t="s">
        <v>88</v>
      </c>
    </row>
    <row r="96" spans="1:31" x14ac:dyDescent="0.35">
      <c r="A96" s="34">
        <v>67</v>
      </c>
      <c r="B96" s="9"/>
      <c r="C96" s="10"/>
      <c r="D96" s="7">
        <f t="shared" si="29"/>
        <v>0</v>
      </c>
      <c r="E96" s="8">
        <f t="shared" si="22"/>
        <v>0</v>
      </c>
      <c r="F96" s="8">
        <f t="shared" si="23"/>
        <v>0</v>
      </c>
      <c r="G96" s="8"/>
      <c r="I96" s="10"/>
      <c r="J96" s="10"/>
      <c r="K96" s="30">
        <f t="shared" si="24"/>
        <v>0</v>
      </c>
      <c r="L96" s="30"/>
      <c r="M96">
        <v>67</v>
      </c>
      <c r="N96" s="38"/>
      <c r="O96" s="60"/>
      <c r="P96" s="60"/>
      <c r="Q96" s="60"/>
      <c r="R96" s="60"/>
      <c r="T96" s="31">
        <f t="shared" si="25"/>
        <v>0</v>
      </c>
      <c r="U96" s="32">
        <f t="shared" si="26"/>
        <v>0</v>
      </c>
      <c r="W96" s="33">
        <f t="shared" si="27"/>
        <v>0</v>
      </c>
      <c r="X96" s="32">
        <f t="shared" si="28"/>
        <v>0</v>
      </c>
      <c r="AA96">
        <f t="shared" si="21"/>
        <v>0</v>
      </c>
      <c r="AB96">
        <f>IF(AND(Dados!$B$6="Instrumento de Garantia",Dados!B11&lt;6),1,0)</f>
        <v>0</v>
      </c>
      <c r="AC96" t="s">
        <v>89</v>
      </c>
    </row>
    <row r="97" spans="1:29" x14ac:dyDescent="0.35">
      <c r="A97" s="34">
        <v>68</v>
      </c>
      <c r="B97" s="9"/>
      <c r="C97" s="10"/>
      <c r="D97" s="7">
        <f t="shared" si="29"/>
        <v>0</v>
      </c>
      <c r="E97" s="8">
        <f t="shared" si="22"/>
        <v>0</v>
      </c>
      <c r="F97" s="8">
        <f t="shared" si="23"/>
        <v>0</v>
      </c>
      <c r="G97" s="8"/>
      <c r="I97" s="10"/>
      <c r="J97" s="10"/>
      <c r="K97" s="30">
        <f t="shared" si="24"/>
        <v>0</v>
      </c>
      <c r="L97" s="30"/>
      <c r="M97">
        <v>68</v>
      </c>
      <c r="N97" s="38"/>
      <c r="O97" s="60"/>
      <c r="P97" s="60"/>
      <c r="Q97" s="60"/>
      <c r="R97" s="60"/>
      <c r="T97" s="31">
        <f t="shared" si="25"/>
        <v>0</v>
      </c>
      <c r="U97" s="32">
        <f t="shared" si="26"/>
        <v>0</v>
      </c>
      <c r="W97" s="33">
        <f t="shared" si="27"/>
        <v>0</v>
      </c>
      <c r="X97" s="32">
        <f t="shared" si="28"/>
        <v>0</v>
      </c>
      <c r="AA97">
        <f t="shared" si="21"/>
        <v>0</v>
      </c>
      <c r="AB97">
        <f>IF(AND(Dados!$B$6="Compra Programada",Dados!B11&lt;6),1,0)</f>
        <v>0</v>
      </c>
      <c r="AC97" t="s">
        <v>90</v>
      </c>
    </row>
    <row r="98" spans="1:29" x14ac:dyDescent="0.35">
      <c r="A98" s="34">
        <v>69</v>
      </c>
      <c r="B98" s="9"/>
      <c r="C98" s="10"/>
      <c r="D98" s="7">
        <f t="shared" si="29"/>
        <v>0</v>
      </c>
      <c r="E98" s="8">
        <f t="shared" si="22"/>
        <v>0</v>
      </c>
      <c r="F98" s="8">
        <f t="shared" si="23"/>
        <v>0</v>
      </c>
      <c r="G98" s="8"/>
      <c r="I98" s="10"/>
      <c r="J98" s="10"/>
      <c r="K98" s="30">
        <f t="shared" si="24"/>
        <v>0</v>
      </c>
      <c r="L98" s="30"/>
      <c r="M98">
        <v>69</v>
      </c>
      <c r="N98" s="38"/>
      <c r="O98" s="60"/>
      <c r="P98" s="60"/>
      <c r="Q98" s="60"/>
      <c r="R98" s="60"/>
      <c r="T98" s="31">
        <f t="shared" si="25"/>
        <v>0</v>
      </c>
      <c r="U98" s="32">
        <f t="shared" si="26"/>
        <v>0</v>
      </c>
      <c r="W98" s="33">
        <f t="shared" si="27"/>
        <v>0</v>
      </c>
      <c r="X98" s="32">
        <f t="shared" si="28"/>
        <v>0</v>
      </c>
      <c r="AA98">
        <f t="shared" si="21"/>
        <v>0</v>
      </c>
      <c r="AB98">
        <f>IF(AND(Dados!$B$6="Incentivo",Dados!$B$11&lt;2),1,0)</f>
        <v>0</v>
      </c>
      <c r="AC98" t="s">
        <v>91</v>
      </c>
    </row>
    <row r="99" spans="1:29" x14ac:dyDescent="0.35">
      <c r="A99" s="34">
        <v>70</v>
      </c>
      <c r="B99" s="9"/>
      <c r="C99" s="10"/>
      <c r="D99" s="7">
        <f t="shared" si="29"/>
        <v>0</v>
      </c>
      <c r="E99" s="8">
        <f t="shared" si="22"/>
        <v>0</v>
      </c>
      <c r="F99" s="8">
        <f t="shared" si="23"/>
        <v>0</v>
      </c>
      <c r="G99" s="8"/>
      <c r="I99" s="10"/>
      <c r="J99" s="10"/>
      <c r="K99" s="30">
        <f t="shared" si="24"/>
        <v>0</v>
      </c>
      <c r="L99" s="30"/>
      <c r="M99">
        <v>70</v>
      </c>
      <c r="N99" s="38"/>
      <c r="O99" s="60"/>
      <c r="P99" s="60"/>
      <c r="Q99" s="60"/>
      <c r="R99" s="60"/>
      <c r="T99" s="31">
        <f t="shared" si="25"/>
        <v>0</v>
      </c>
      <c r="U99" s="32">
        <f t="shared" si="26"/>
        <v>0</v>
      </c>
      <c r="W99" s="33">
        <f t="shared" si="27"/>
        <v>0</v>
      </c>
      <c r="X99" s="32">
        <f t="shared" si="28"/>
        <v>0</v>
      </c>
      <c r="AA99">
        <f t="shared" si="21"/>
        <v>0</v>
      </c>
      <c r="AB99">
        <f>IF(AND(Dados!$B$6="Filantropia Premiável",Dados!$B$11&lt;2),1,0)</f>
        <v>0</v>
      </c>
      <c r="AC99" t="s">
        <v>92</v>
      </c>
    </row>
    <row r="100" spans="1:29" x14ac:dyDescent="0.35">
      <c r="A100" s="34">
        <v>71</v>
      </c>
      <c r="B100" s="9"/>
      <c r="C100" s="10"/>
      <c r="D100" s="7">
        <f t="shared" si="29"/>
        <v>0</v>
      </c>
      <c r="E100" s="8">
        <f t="shared" si="22"/>
        <v>0</v>
      </c>
      <c r="F100" s="8">
        <f t="shared" si="23"/>
        <v>0</v>
      </c>
      <c r="G100" s="8"/>
      <c r="I100" s="10"/>
      <c r="J100" s="10"/>
      <c r="K100" s="30">
        <f t="shared" si="24"/>
        <v>0</v>
      </c>
      <c r="L100" s="30"/>
      <c r="M100">
        <v>71</v>
      </c>
      <c r="N100" s="38"/>
      <c r="O100" s="60"/>
      <c r="P100" s="60"/>
      <c r="Q100" s="60"/>
      <c r="R100" s="60"/>
      <c r="T100" s="31">
        <f t="shared" si="25"/>
        <v>0</v>
      </c>
      <c r="U100" s="32">
        <f t="shared" si="26"/>
        <v>0</v>
      </c>
      <c r="W100" s="33">
        <f t="shared" si="27"/>
        <v>0</v>
      </c>
      <c r="X100" s="32">
        <f t="shared" si="28"/>
        <v>0</v>
      </c>
      <c r="AA100">
        <f t="shared" ca="1" si="21"/>
        <v>0</v>
      </c>
      <c r="AB100">
        <f ca="1">IF(AND(Dados!$B$6="Tradicional",OFFSET(Dados!$F$30,Dados!$B$11-1,0)&lt;100%),1,0)</f>
        <v>0</v>
      </c>
      <c r="AC100" t="s">
        <v>93</v>
      </c>
    </row>
    <row r="101" spans="1:29" x14ac:dyDescent="0.35">
      <c r="A101" s="34">
        <v>72</v>
      </c>
      <c r="B101" s="9"/>
      <c r="C101" s="10"/>
      <c r="D101" s="7">
        <f t="shared" si="29"/>
        <v>0</v>
      </c>
      <c r="E101" s="8">
        <f t="shared" si="22"/>
        <v>0</v>
      </c>
      <c r="F101" s="8">
        <f t="shared" si="23"/>
        <v>0</v>
      </c>
      <c r="G101" s="8"/>
      <c r="I101" s="10"/>
      <c r="J101" s="10"/>
      <c r="K101" s="30">
        <f t="shared" si="24"/>
        <v>0</v>
      </c>
      <c r="L101" s="30"/>
      <c r="M101">
        <v>72</v>
      </c>
      <c r="N101" s="38"/>
      <c r="O101" s="60"/>
      <c r="P101" s="60"/>
      <c r="Q101" s="60"/>
      <c r="R101" s="60"/>
      <c r="T101" s="31">
        <f t="shared" si="25"/>
        <v>0</v>
      </c>
      <c r="U101" s="32">
        <f t="shared" si="26"/>
        <v>0</v>
      </c>
      <c r="W101" s="33">
        <f t="shared" si="27"/>
        <v>0</v>
      </c>
      <c r="X101" s="32">
        <f t="shared" si="28"/>
        <v>0</v>
      </c>
      <c r="AA101">
        <f t="shared" ca="1" si="21"/>
        <v>0</v>
      </c>
      <c r="AB101">
        <f ca="1">IF(AND(Dados!$B$6="Compra Programada",OFFSET(Dados!$F$30,Dados!$B$11-1,0)&lt;100%),1,0)</f>
        <v>0</v>
      </c>
      <c r="AC101" t="s">
        <v>94</v>
      </c>
    </row>
    <row r="102" spans="1:29" x14ac:dyDescent="0.35">
      <c r="A102" s="34">
        <v>73</v>
      </c>
      <c r="B102" s="9"/>
      <c r="C102" s="10"/>
      <c r="D102" s="7">
        <f t="shared" si="29"/>
        <v>0</v>
      </c>
      <c r="E102" s="8">
        <f t="shared" si="22"/>
        <v>0</v>
      </c>
      <c r="F102" s="8">
        <f t="shared" si="23"/>
        <v>0</v>
      </c>
      <c r="G102" s="8"/>
      <c r="I102" s="10"/>
      <c r="J102" s="10"/>
      <c r="K102" s="30">
        <f t="shared" si="24"/>
        <v>0</v>
      </c>
      <c r="L102" s="30"/>
      <c r="M102">
        <v>73</v>
      </c>
      <c r="N102" s="38"/>
      <c r="O102" s="60"/>
      <c r="P102" s="60"/>
      <c r="Q102" s="60"/>
      <c r="R102" s="60"/>
      <c r="T102" s="31">
        <f t="shared" si="25"/>
        <v>0</v>
      </c>
      <c r="U102" s="32">
        <f t="shared" si="26"/>
        <v>0</v>
      </c>
      <c r="W102" s="33">
        <f t="shared" si="27"/>
        <v>0</v>
      </c>
      <c r="X102" s="32">
        <f t="shared" si="28"/>
        <v>0</v>
      </c>
      <c r="AA102">
        <f t="shared" ca="1" si="21"/>
        <v>0</v>
      </c>
      <c r="AB102">
        <f ca="1">IF(AND(Dados!$B$6="Instrumento de Garantia",OFFSET(Dados!$F$30,Dados!$B$11-1,0)&lt;95%),1,0)</f>
        <v>0</v>
      </c>
      <c r="AC102" t="s">
        <v>95</v>
      </c>
    </row>
    <row r="103" spans="1:29" x14ac:dyDescent="0.35">
      <c r="A103" s="34">
        <v>74</v>
      </c>
      <c r="B103" s="9"/>
      <c r="C103" s="10"/>
      <c r="D103" s="7">
        <f t="shared" si="29"/>
        <v>0</v>
      </c>
      <c r="E103" s="8">
        <f t="shared" si="22"/>
        <v>0</v>
      </c>
      <c r="F103" s="8">
        <f t="shared" si="23"/>
        <v>0</v>
      </c>
      <c r="G103" s="8"/>
      <c r="I103" s="10"/>
      <c r="J103" s="10"/>
      <c r="K103" s="30">
        <f t="shared" si="24"/>
        <v>0</v>
      </c>
      <c r="L103" s="30"/>
      <c r="M103">
        <v>74</v>
      </c>
      <c r="N103" s="38"/>
      <c r="O103" s="60"/>
      <c r="P103" s="60"/>
      <c r="Q103" s="60"/>
      <c r="R103" s="60"/>
      <c r="T103" s="31">
        <f t="shared" si="25"/>
        <v>0</v>
      </c>
      <c r="U103" s="32">
        <f t="shared" si="26"/>
        <v>0</v>
      </c>
      <c r="W103" s="33">
        <f t="shared" si="27"/>
        <v>0</v>
      </c>
      <c r="X103" s="32">
        <f t="shared" si="28"/>
        <v>0</v>
      </c>
      <c r="AA103">
        <f t="shared" si="21"/>
        <v>0</v>
      </c>
      <c r="AB103">
        <f>IF(AND(Dados!$B$6="Compra Programada",Dados!$B$7="PU"),1,0)</f>
        <v>0</v>
      </c>
      <c r="AC103" t="s">
        <v>96</v>
      </c>
    </row>
    <row r="104" spans="1:29" x14ac:dyDescent="0.35">
      <c r="A104" s="34">
        <v>75</v>
      </c>
      <c r="B104" s="9"/>
      <c r="C104" s="10"/>
      <c r="D104" s="7">
        <f t="shared" si="29"/>
        <v>0</v>
      </c>
      <c r="E104" s="8">
        <f t="shared" si="22"/>
        <v>0</v>
      </c>
      <c r="F104" s="8">
        <f t="shared" si="23"/>
        <v>0</v>
      </c>
      <c r="G104" s="8"/>
      <c r="I104" s="10"/>
      <c r="J104" s="10"/>
      <c r="K104" s="30">
        <f t="shared" si="24"/>
        <v>0</v>
      </c>
      <c r="L104" s="30"/>
      <c r="M104">
        <v>75</v>
      </c>
      <c r="N104" s="38"/>
      <c r="O104" s="60"/>
      <c r="P104" s="60"/>
      <c r="Q104" s="60"/>
      <c r="R104" s="60"/>
      <c r="T104" s="31">
        <f t="shared" si="25"/>
        <v>0</v>
      </c>
      <c r="U104" s="32">
        <f t="shared" si="26"/>
        <v>0</v>
      </c>
      <c r="W104" s="33">
        <f t="shared" si="27"/>
        <v>0</v>
      </c>
      <c r="X104" s="32">
        <f t="shared" si="28"/>
        <v>0</v>
      </c>
      <c r="AA104">
        <f t="shared" si="21"/>
        <v>0</v>
      </c>
      <c r="AB104">
        <f>IF(AND(Dados!$B$6="Filantropia Premiável",Dados!$B$7&lt;&gt;"PU"),1,0)</f>
        <v>0</v>
      </c>
      <c r="AC104" t="s">
        <v>97</v>
      </c>
    </row>
    <row r="105" spans="1:29" x14ac:dyDescent="0.35">
      <c r="A105" s="34">
        <v>76</v>
      </c>
      <c r="B105" s="9"/>
      <c r="C105" s="10"/>
      <c r="D105" s="7">
        <f t="shared" si="29"/>
        <v>0</v>
      </c>
      <c r="E105" s="8">
        <f t="shared" si="22"/>
        <v>0</v>
      </c>
      <c r="F105" s="8">
        <f t="shared" si="23"/>
        <v>0</v>
      </c>
      <c r="G105" s="8"/>
      <c r="I105" s="10"/>
      <c r="J105" s="10"/>
      <c r="K105" s="30">
        <f t="shared" si="24"/>
        <v>0</v>
      </c>
      <c r="L105" s="30"/>
      <c r="M105">
        <v>76</v>
      </c>
      <c r="N105" s="38"/>
      <c r="O105" s="60"/>
      <c r="P105" s="60"/>
      <c r="Q105" s="60"/>
      <c r="R105" s="60"/>
      <c r="T105" s="31">
        <f t="shared" si="25"/>
        <v>0</v>
      </c>
      <c r="U105" s="32">
        <f t="shared" si="26"/>
        <v>0</v>
      </c>
      <c r="W105" s="33">
        <f t="shared" si="27"/>
        <v>0</v>
      </c>
      <c r="X105" s="32">
        <f t="shared" si="28"/>
        <v>0</v>
      </c>
      <c r="AA105" t="e">
        <f t="shared" ca="1" si="21"/>
        <v>#REF!</v>
      </c>
      <c r="AB105" t="e">
        <f ca="1">IF(OR(AVERAGE(OFFSET(Dados!$B$30,0,0,Dados!$B$17))&lt;=AVERAGE(OFFSET(Dados!$I$30,0,0,Dados!$B$17)),AVERAGE(OFFSET(Dados!$B$30,0,0,Dados!$B$17))&lt;=AVERAGE(OFFSET(Dados!$J$30,0,0,Dados!$B$17))),1,0)</f>
        <v>#REF!</v>
      </c>
      <c r="AC105" t="s">
        <v>98</v>
      </c>
    </row>
    <row r="106" spans="1:29" x14ac:dyDescent="0.35">
      <c r="A106" s="34">
        <v>77</v>
      </c>
      <c r="B106" s="9"/>
      <c r="C106" s="10"/>
      <c r="D106" s="7">
        <f t="shared" si="29"/>
        <v>0</v>
      </c>
      <c r="E106" s="8">
        <f t="shared" si="22"/>
        <v>0</v>
      </c>
      <c r="F106" s="8">
        <f t="shared" si="23"/>
        <v>0</v>
      </c>
      <c r="G106" s="8"/>
      <c r="I106" s="10"/>
      <c r="J106" s="10"/>
      <c r="K106" s="30">
        <f t="shared" si="24"/>
        <v>0</v>
      </c>
      <c r="L106" s="30"/>
      <c r="M106">
        <v>77</v>
      </c>
      <c r="N106" s="38"/>
      <c r="O106" s="60"/>
      <c r="P106" s="60"/>
      <c r="Q106" s="60"/>
      <c r="R106" s="60"/>
      <c r="T106" s="31">
        <f t="shared" si="25"/>
        <v>0</v>
      </c>
      <c r="U106" s="32">
        <f t="shared" si="26"/>
        <v>0</v>
      </c>
      <c r="W106" s="33">
        <f t="shared" si="27"/>
        <v>0</v>
      </c>
      <c r="X106" s="32">
        <f t="shared" si="28"/>
        <v>0</v>
      </c>
      <c r="AA106">
        <f t="shared" si="21"/>
        <v>0</v>
      </c>
      <c r="AB106">
        <f>IF(Dados!N30&gt;30%*SUM(Dados!$N$30:$R$149),1,0)</f>
        <v>0</v>
      </c>
      <c r="AC106" t="s">
        <v>99</v>
      </c>
    </row>
    <row r="107" spans="1:29" x14ac:dyDescent="0.35">
      <c r="A107" s="34">
        <v>78</v>
      </c>
      <c r="B107" s="9"/>
      <c r="C107" s="10"/>
      <c r="D107" s="7">
        <f t="shared" si="29"/>
        <v>0</v>
      </c>
      <c r="E107" s="8">
        <f t="shared" si="22"/>
        <v>0</v>
      </c>
      <c r="F107" s="8">
        <f t="shared" si="23"/>
        <v>0</v>
      </c>
      <c r="G107" s="8"/>
      <c r="I107" s="10"/>
      <c r="J107" s="10"/>
      <c r="K107" s="30">
        <f t="shared" si="24"/>
        <v>0</v>
      </c>
      <c r="L107" s="30"/>
      <c r="M107">
        <v>78</v>
      </c>
      <c r="N107" s="38"/>
      <c r="O107" s="60"/>
      <c r="P107" s="60"/>
      <c r="Q107" s="60"/>
      <c r="R107" s="60"/>
      <c r="T107" s="31">
        <f t="shared" si="25"/>
        <v>0</v>
      </c>
      <c r="U107" s="32">
        <f t="shared" si="26"/>
        <v>0</v>
      </c>
      <c r="W107" s="33">
        <f t="shared" si="27"/>
        <v>0</v>
      </c>
      <c r="X107" s="32">
        <f t="shared" si="28"/>
        <v>0</v>
      </c>
      <c r="AA107" t="e">
        <f t="shared" ca="1" si="21"/>
        <v>#REF!</v>
      </c>
      <c r="AB107" t="e">
        <f t="array" aca="1" ref="AB107" ca="1">IF(AND(OFFSET(Dados!$K$30,0,0,Dados!$B$17)=1), 0,1)</f>
        <v>#REF!</v>
      </c>
      <c r="AC107" t="s">
        <v>100</v>
      </c>
    </row>
    <row r="108" spans="1:29" x14ac:dyDescent="0.35">
      <c r="A108" s="34">
        <v>79</v>
      </c>
      <c r="B108" s="9"/>
      <c r="C108" s="10"/>
      <c r="D108" s="7">
        <f t="shared" si="29"/>
        <v>0</v>
      </c>
      <c r="E108" s="8">
        <f t="shared" si="22"/>
        <v>0</v>
      </c>
      <c r="F108" s="8">
        <f t="shared" si="23"/>
        <v>0</v>
      </c>
      <c r="G108" s="8"/>
      <c r="I108" s="10"/>
      <c r="J108" s="10"/>
      <c r="K108" s="30">
        <f t="shared" si="24"/>
        <v>0</v>
      </c>
      <c r="L108" s="30"/>
      <c r="M108">
        <v>79</v>
      </c>
      <c r="N108" s="38"/>
      <c r="O108" s="60"/>
      <c r="P108" s="60"/>
      <c r="Q108" s="60"/>
      <c r="R108" s="60"/>
      <c r="T108" s="31">
        <f t="shared" si="25"/>
        <v>0</v>
      </c>
      <c r="U108" s="32">
        <f t="shared" si="26"/>
        <v>0</v>
      </c>
      <c r="W108" s="33">
        <f t="shared" si="27"/>
        <v>0</v>
      </c>
      <c r="X108" s="32">
        <f t="shared" si="28"/>
        <v>0</v>
      </c>
      <c r="AA108" t="e">
        <f t="shared" ca="1" si="21"/>
        <v>#REF!</v>
      </c>
      <c r="AB108" t="e">
        <f ca="1" xml:space="preserve"> IF(AE82 = "", "", IF(AE82 &lt; AE83, 0, 1))</f>
        <v>#REF!</v>
      </c>
      <c r="AC108" t="s">
        <v>101</v>
      </c>
    </row>
    <row r="109" spans="1:29" x14ac:dyDescent="0.35">
      <c r="A109" s="34">
        <v>80</v>
      </c>
      <c r="B109" s="9"/>
      <c r="C109" s="10"/>
      <c r="D109" s="7">
        <f t="shared" si="29"/>
        <v>0</v>
      </c>
      <c r="E109" s="8">
        <f t="shared" si="22"/>
        <v>0</v>
      </c>
      <c r="F109" s="8">
        <f t="shared" si="23"/>
        <v>0</v>
      </c>
      <c r="G109" s="8"/>
      <c r="I109" s="10"/>
      <c r="J109" s="10"/>
      <c r="K109" s="30">
        <f t="shared" si="24"/>
        <v>0</v>
      </c>
      <c r="L109" s="30"/>
      <c r="M109">
        <v>80</v>
      </c>
      <c r="N109" s="38"/>
      <c r="O109" s="60"/>
      <c r="P109" s="60"/>
      <c r="Q109" s="60"/>
      <c r="R109" s="60"/>
      <c r="T109" s="31">
        <f t="shared" si="25"/>
        <v>0</v>
      </c>
      <c r="U109" s="32">
        <f t="shared" si="26"/>
        <v>0</v>
      </c>
      <c r="W109" s="33">
        <f t="shared" si="27"/>
        <v>0</v>
      </c>
      <c r="X109" s="32">
        <f t="shared" si="28"/>
        <v>0</v>
      </c>
      <c r="AA109" t="e">
        <f t="shared" ca="1" si="21"/>
        <v>#REF!</v>
      </c>
      <c r="AB109" t="e">
        <f ca="1" xml:space="preserve"> IF(SUM($AD$71:$AD$73)&gt;=1, 1, 0)</f>
        <v>#REF!</v>
      </c>
      <c r="AC109" t="s">
        <v>102</v>
      </c>
    </row>
    <row r="110" spans="1:29" x14ac:dyDescent="0.35">
      <c r="A110" s="34">
        <v>81</v>
      </c>
      <c r="B110" s="9"/>
      <c r="C110" s="10"/>
      <c r="D110" s="7">
        <f t="shared" si="29"/>
        <v>0</v>
      </c>
      <c r="E110" s="8">
        <f t="shared" si="22"/>
        <v>0</v>
      </c>
      <c r="F110" s="8">
        <f t="shared" si="23"/>
        <v>0</v>
      </c>
      <c r="G110" s="8"/>
      <c r="I110" s="10"/>
      <c r="J110" s="10"/>
      <c r="K110" s="30">
        <f t="shared" si="24"/>
        <v>0</v>
      </c>
      <c r="L110" s="30"/>
      <c r="M110">
        <v>81</v>
      </c>
      <c r="N110" s="38"/>
      <c r="O110" s="60"/>
      <c r="P110" s="60"/>
      <c r="Q110" s="60"/>
      <c r="R110" s="60"/>
      <c r="T110" s="31">
        <f t="shared" si="25"/>
        <v>0</v>
      </c>
      <c r="U110" s="32">
        <f t="shared" si="26"/>
        <v>0</v>
      </c>
      <c r="W110" s="33">
        <f t="shared" si="27"/>
        <v>0</v>
      </c>
      <c r="X110" s="32">
        <f t="shared" si="28"/>
        <v>0</v>
      </c>
      <c r="AA110">
        <f t="shared" si="21"/>
        <v>0</v>
      </c>
      <c r="AB110">
        <f>IF(OR($B$18&gt;$B$11,$B$18&gt;24,$B$18&lt;0),1,0)</f>
        <v>0</v>
      </c>
      <c r="AC110" t="s">
        <v>103</v>
      </c>
    </row>
    <row r="111" spans="1:29" x14ac:dyDescent="0.35">
      <c r="A111" s="34">
        <v>82</v>
      </c>
      <c r="B111" s="9"/>
      <c r="C111" s="10"/>
      <c r="D111" s="7">
        <f t="shared" si="29"/>
        <v>0</v>
      </c>
      <c r="E111" s="8">
        <f t="shared" si="22"/>
        <v>0</v>
      </c>
      <c r="F111" s="8">
        <f t="shared" si="23"/>
        <v>0</v>
      </c>
      <c r="G111" s="8"/>
      <c r="I111" s="10"/>
      <c r="J111" s="10"/>
      <c r="K111" s="30">
        <f t="shared" si="24"/>
        <v>0</v>
      </c>
      <c r="L111" s="30"/>
      <c r="M111">
        <v>82</v>
      </c>
      <c r="N111" s="38"/>
      <c r="O111" s="60"/>
      <c r="P111" s="60"/>
      <c r="Q111" s="60"/>
      <c r="R111" s="60"/>
      <c r="T111" s="31">
        <f t="shared" si="25"/>
        <v>0</v>
      </c>
      <c r="U111" s="32">
        <f t="shared" si="26"/>
        <v>0</v>
      </c>
      <c r="W111" s="33">
        <f t="shared" si="27"/>
        <v>0</v>
      </c>
      <c r="X111" s="32">
        <f t="shared" si="28"/>
        <v>0</v>
      </c>
      <c r="AA111">
        <f t="shared" si="21"/>
        <v>0</v>
      </c>
      <c r="AB111">
        <f>IF(AND(OR(Dados!$B$6 = "Tradicional",Dados!$B$6 = "Compra Programada"), $B$18 &lt; 1),1,0)</f>
        <v>0</v>
      </c>
      <c r="AC111" t="s">
        <v>104</v>
      </c>
    </row>
    <row r="112" spans="1:29" x14ac:dyDescent="0.35">
      <c r="A112" s="34">
        <v>83</v>
      </c>
      <c r="B112" s="9"/>
      <c r="C112" s="10"/>
      <c r="D112" s="7">
        <f t="shared" si="29"/>
        <v>0</v>
      </c>
      <c r="E112" s="8">
        <f t="shared" si="22"/>
        <v>0</v>
      </c>
      <c r="F112" s="8">
        <f t="shared" si="23"/>
        <v>0</v>
      </c>
      <c r="G112" s="8"/>
      <c r="I112" s="10"/>
      <c r="J112" s="10"/>
      <c r="K112" s="30">
        <f t="shared" si="24"/>
        <v>0</v>
      </c>
      <c r="L112" s="30"/>
      <c r="M112">
        <v>83</v>
      </c>
      <c r="N112" s="38"/>
      <c r="O112" s="60"/>
      <c r="P112" s="60"/>
      <c r="Q112" s="60"/>
      <c r="R112" s="60"/>
      <c r="T112" s="31">
        <f t="shared" si="25"/>
        <v>0</v>
      </c>
      <c r="U112" s="32">
        <f t="shared" si="26"/>
        <v>0</v>
      </c>
      <c r="W112" s="33">
        <f t="shared" si="27"/>
        <v>0</v>
      </c>
      <c r="X112" s="32">
        <f t="shared" si="28"/>
        <v>0</v>
      </c>
      <c r="AA112">
        <f t="shared" si="21"/>
        <v>0</v>
      </c>
      <c r="AB112">
        <f>IF(AND(OR(Dados!$B$6 = "Popular",Dados!$B$6 = "Incentivo",Dados!$B$6 = "Filantropia Premiável"), $B$18 &lt; 2), 1, 0)</f>
        <v>0</v>
      </c>
      <c r="AC112" t="s">
        <v>105</v>
      </c>
    </row>
    <row r="113" spans="1:29" x14ac:dyDescent="0.35">
      <c r="A113" s="34">
        <v>84</v>
      </c>
      <c r="B113" s="9"/>
      <c r="C113" s="10"/>
      <c r="D113" s="7">
        <f t="shared" si="29"/>
        <v>0</v>
      </c>
      <c r="E113" s="8">
        <f t="shared" si="22"/>
        <v>0</v>
      </c>
      <c r="F113" s="8">
        <f t="shared" si="23"/>
        <v>0</v>
      </c>
      <c r="G113" s="8"/>
      <c r="I113" s="10"/>
      <c r="J113" s="10"/>
      <c r="K113" s="30">
        <f t="shared" si="24"/>
        <v>0</v>
      </c>
      <c r="L113" s="30"/>
      <c r="M113">
        <v>84</v>
      </c>
      <c r="N113" s="38"/>
      <c r="O113" s="60"/>
      <c r="P113" s="60"/>
      <c r="Q113" s="60"/>
      <c r="R113" s="60"/>
      <c r="T113" s="31">
        <f t="shared" si="25"/>
        <v>0</v>
      </c>
      <c r="U113" s="32">
        <f t="shared" si="26"/>
        <v>0</v>
      </c>
      <c r="W113" s="33">
        <f t="shared" si="27"/>
        <v>0</v>
      </c>
      <c r="X113" s="32">
        <f t="shared" si="28"/>
        <v>0</v>
      </c>
      <c r="AA113">
        <f>IF(AB113&gt;0,1,0)</f>
        <v>0</v>
      </c>
      <c r="AB113">
        <f t="array" ref="AB113">COUNT(IF(IF(Dados!$N$30:$R$149&lt;1,Dados!$N$30:$R$149,"")&gt;0,IF(Dados!$N$30:$R$149&lt;1,Dados!$N$30:$R$149,""),""))</f>
        <v>0</v>
      </c>
      <c r="AC113" t="s">
        <v>106</v>
      </c>
    </row>
    <row r="114" spans="1:29" x14ac:dyDescent="0.35">
      <c r="A114" s="34">
        <v>85</v>
      </c>
      <c r="B114" s="9"/>
      <c r="C114" s="10"/>
      <c r="D114" s="7">
        <f t="shared" si="29"/>
        <v>0</v>
      </c>
      <c r="E114" s="8">
        <f t="shared" si="22"/>
        <v>0</v>
      </c>
      <c r="F114" s="8">
        <f t="shared" si="23"/>
        <v>0</v>
      </c>
      <c r="G114" s="8"/>
      <c r="I114" s="10"/>
      <c r="J114" s="10"/>
      <c r="K114" s="30">
        <f t="shared" si="24"/>
        <v>0</v>
      </c>
      <c r="L114" s="30"/>
      <c r="M114">
        <v>85</v>
      </c>
      <c r="N114" s="38"/>
      <c r="O114" s="60"/>
      <c r="P114" s="60"/>
      <c r="Q114" s="60"/>
      <c r="R114" s="60"/>
      <c r="T114" s="31">
        <f t="shared" si="25"/>
        <v>0</v>
      </c>
      <c r="U114" s="32">
        <f t="shared" si="26"/>
        <v>0</v>
      </c>
      <c r="W114" s="33">
        <f t="shared" si="27"/>
        <v>0</v>
      </c>
      <c r="X114" s="32">
        <f t="shared" si="28"/>
        <v>0</v>
      </c>
    </row>
    <row r="115" spans="1:29" x14ac:dyDescent="0.35">
      <c r="A115" s="34">
        <v>86</v>
      </c>
      <c r="B115" s="9"/>
      <c r="C115" s="10"/>
      <c r="D115" s="7">
        <f t="shared" si="29"/>
        <v>0</v>
      </c>
      <c r="E115" s="8">
        <f t="shared" si="22"/>
        <v>0</v>
      </c>
      <c r="F115" s="8">
        <f t="shared" si="23"/>
        <v>0</v>
      </c>
      <c r="G115" s="8"/>
      <c r="I115" s="10"/>
      <c r="J115" s="10"/>
      <c r="K115" s="30">
        <f t="shared" si="24"/>
        <v>0</v>
      </c>
      <c r="L115" s="30"/>
      <c r="M115">
        <v>86</v>
      </c>
      <c r="N115" s="38"/>
      <c r="O115" s="60"/>
      <c r="P115" s="60"/>
      <c r="Q115" s="60"/>
      <c r="R115" s="60"/>
      <c r="T115" s="31">
        <f t="shared" si="25"/>
        <v>0</v>
      </c>
      <c r="U115" s="32">
        <f t="shared" si="26"/>
        <v>0</v>
      </c>
      <c r="W115" s="33">
        <f t="shared" si="27"/>
        <v>0</v>
      </c>
      <c r="X115" s="32">
        <f t="shared" si="28"/>
        <v>0</v>
      </c>
    </row>
    <row r="116" spans="1:29" x14ac:dyDescent="0.35">
      <c r="A116" s="34">
        <v>87</v>
      </c>
      <c r="B116" s="9"/>
      <c r="C116" s="10"/>
      <c r="D116" s="7">
        <f t="shared" si="29"/>
        <v>0</v>
      </c>
      <c r="E116" s="8">
        <f t="shared" si="22"/>
        <v>0</v>
      </c>
      <c r="F116" s="8">
        <f t="shared" si="23"/>
        <v>0</v>
      </c>
      <c r="G116" s="8"/>
      <c r="I116" s="10"/>
      <c r="J116" s="10"/>
      <c r="K116" s="30">
        <f t="shared" si="24"/>
        <v>0</v>
      </c>
      <c r="L116" s="30"/>
      <c r="M116">
        <v>87</v>
      </c>
      <c r="N116" s="38"/>
      <c r="O116" s="60"/>
      <c r="P116" s="60"/>
      <c r="Q116" s="60"/>
      <c r="R116" s="60"/>
      <c r="T116" s="31">
        <f t="shared" si="25"/>
        <v>0</v>
      </c>
      <c r="U116" s="32">
        <f t="shared" si="26"/>
        <v>0</v>
      </c>
      <c r="W116" s="33">
        <f t="shared" si="27"/>
        <v>0</v>
      </c>
      <c r="X116" s="32">
        <f t="shared" si="28"/>
        <v>0</v>
      </c>
    </row>
    <row r="117" spans="1:29" x14ac:dyDescent="0.35">
      <c r="A117" s="34">
        <v>88</v>
      </c>
      <c r="B117" s="9"/>
      <c r="C117" s="10"/>
      <c r="D117" s="7">
        <f t="shared" si="29"/>
        <v>0</v>
      </c>
      <c r="E117" s="8">
        <f t="shared" si="22"/>
        <v>0</v>
      </c>
      <c r="F117" s="8">
        <f t="shared" si="23"/>
        <v>0</v>
      </c>
      <c r="G117" s="8"/>
      <c r="I117" s="10"/>
      <c r="J117" s="10"/>
      <c r="K117" s="30">
        <f t="shared" si="24"/>
        <v>0</v>
      </c>
      <c r="L117" s="30"/>
      <c r="M117">
        <v>88</v>
      </c>
      <c r="N117" s="38"/>
      <c r="O117" s="60"/>
      <c r="P117" s="60"/>
      <c r="Q117" s="60"/>
      <c r="R117" s="60"/>
      <c r="T117" s="31">
        <f t="shared" si="25"/>
        <v>0</v>
      </c>
      <c r="U117" s="32">
        <f t="shared" si="26"/>
        <v>0</v>
      </c>
      <c r="W117" s="33">
        <f t="shared" si="27"/>
        <v>0</v>
      </c>
      <c r="X117" s="32">
        <f t="shared" si="28"/>
        <v>0</v>
      </c>
    </row>
    <row r="118" spans="1:29" x14ac:dyDescent="0.35">
      <c r="A118" s="34">
        <v>89</v>
      </c>
      <c r="B118" s="9"/>
      <c r="C118" s="10"/>
      <c r="D118" s="7">
        <f t="shared" si="29"/>
        <v>0</v>
      </c>
      <c r="E118" s="8">
        <f t="shared" si="22"/>
        <v>0</v>
      </c>
      <c r="F118" s="8">
        <f t="shared" si="23"/>
        <v>0</v>
      </c>
      <c r="G118" s="8"/>
      <c r="I118" s="10"/>
      <c r="J118" s="10"/>
      <c r="K118" s="30">
        <f t="shared" si="24"/>
        <v>0</v>
      </c>
      <c r="L118" s="30"/>
      <c r="M118">
        <v>89</v>
      </c>
      <c r="N118" s="38"/>
      <c r="O118" s="60"/>
      <c r="P118" s="60"/>
      <c r="Q118" s="60"/>
      <c r="R118" s="60"/>
      <c r="T118" s="31">
        <f t="shared" si="25"/>
        <v>0</v>
      </c>
      <c r="U118" s="32">
        <f t="shared" si="26"/>
        <v>0</v>
      </c>
      <c r="W118" s="33">
        <f t="shared" si="27"/>
        <v>0</v>
      </c>
      <c r="X118" s="32">
        <f t="shared" si="28"/>
        <v>0</v>
      </c>
    </row>
    <row r="119" spans="1:29" x14ac:dyDescent="0.35">
      <c r="A119" s="34">
        <v>90</v>
      </c>
      <c r="B119" s="9"/>
      <c r="C119" s="10"/>
      <c r="D119" s="7">
        <f t="shared" si="29"/>
        <v>0</v>
      </c>
      <c r="E119" s="8">
        <f t="shared" si="22"/>
        <v>0</v>
      </c>
      <c r="F119" s="8">
        <f t="shared" si="23"/>
        <v>0</v>
      </c>
      <c r="G119" s="8"/>
      <c r="I119" s="10"/>
      <c r="J119" s="10"/>
      <c r="K119" s="30">
        <f t="shared" si="24"/>
        <v>0</v>
      </c>
      <c r="L119" s="30"/>
      <c r="M119">
        <v>90</v>
      </c>
      <c r="N119" s="38"/>
      <c r="O119" s="60"/>
      <c r="P119" s="60"/>
      <c r="Q119" s="60"/>
      <c r="R119" s="60"/>
      <c r="T119" s="31">
        <f t="shared" si="25"/>
        <v>0</v>
      </c>
      <c r="U119" s="32">
        <f t="shared" si="26"/>
        <v>0</v>
      </c>
      <c r="W119" s="33">
        <f t="shared" si="27"/>
        <v>0</v>
      </c>
      <c r="X119" s="32">
        <f t="shared" si="28"/>
        <v>0</v>
      </c>
    </row>
    <row r="120" spans="1:29" x14ac:dyDescent="0.35">
      <c r="A120" s="34">
        <v>91</v>
      </c>
      <c r="B120" s="9"/>
      <c r="C120" s="10"/>
      <c r="D120" s="7">
        <f t="shared" si="29"/>
        <v>0</v>
      </c>
      <c r="E120" s="8">
        <f t="shared" si="22"/>
        <v>0</v>
      </c>
      <c r="F120" s="8">
        <f t="shared" si="23"/>
        <v>0</v>
      </c>
      <c r="G120" s="8"/>
      <c r="I120" s="10"/>
      <c r="J120" s="10"/>
      <c r="K120" s="30">
        <f t="shared" si="24"/>
        <v>0</v>
      </c>
      <c r="L120" s="30"/>
      <c r="M120">
        <v>91</v>
      </c>
      <c r="N120" s="38"/>
      <c r="O120" s="60"/>
      <c r="P120" s="60"/>
      <c r="Q120" s="60"/>
      <c r="R120" s="60"/>
      <c r="T120" s="31">
        <f t="shared" si="25"/>
        <v>0</v>
      </c>
      <c r="U120" s="32">
        <f t="shared" si="26"/>
        <v>0</v>
      </c>
      <c r="W120" s="33">
        <f t="shared" si="27"/>
        <v>0</v>
      </c>
      <c r="X120" s="32">
        <f t="shared" si="28"/>
        <v>0</v>
      </c>
    </row>
    <row r="121" spans="1:29" x14ac:dyDescent="0.35">
      <c r="A121" s="34">
        <v>92</v>
      </c>
      <c r="B121" s="9"/>
      <c r="C121" s="10"/>
      <c r="D121" s="7">
        <f t="shared" si="29"/>
        <v>0</v>
      </c>
      <c r="E121" s="8">
        <f t="shared" si="22"/>
        <v>0</v>
      </c>
      <c r="F121" s="8">
        <f t="shared" si="23"/>
        <v>0</v>
      </c>
      <c r="G121" s="8"/>
      <c r="I121" s="10"/>
      <c r="J121" s="10"/>
      <c r="K121" s="30">
        <f t="shared" si="24"/>
        <v>0</v>
      </c>
      <c r="L121" s="30"/>
      <c r="M121">
        <v>92</v>
      </c>
      <c r="N121" s="38"/>
      <c r="O121" s="60"/>
      <c r="P121" s="60"/>
      <c r="Q121" s="60"/>
      <c r="R121" s="60"/>
      <c r="T121" s="31">
        <f t="shared" si="25"/>
        <v>0</v>
      </c>
      <c r="U121" s="32">
        <f t="shared" si="26"/>
        <v>0</v>
      </c>
      <c r="W121" s="33">
        <f t="shared" si="27"/>
        <v>0</v>
      </c>
      <c r="X121" s="32">
        <f t="shared" si="28"/>
        <v>0</v>
      </c>
    </row>
    <row r="122" spans="1:29" x14ac:dyDescent="0.35">
      <c r="A122" s="34">
        <v>93</v>
      </c>
      <c r="B122" s="9"/>
      <c r="C122" s="10"/>
      <c r="D122" s="7">
        <f t="shared" si="29"/>
        <v>0</v>
      </c>
      <c r="E122" s="8">
        <f t="shared" si="22"/>
        <v>0</v>
      </c>
      <c r="F122" s="8">
        <f t="shared" si="23"/>
        <v>0</v>
      </c>
      <c r="G122" s="8"/>
      <c r="I122" s="10"/>
      <c r="J122" s="10"/>
      <c r="K122" s="30">
        <f t="shared" si="24"/>
        <v>0</v>
      </c>
      <c r="L122" s="30"/>
      <c r="M122">
        <v>93</v>
      </c>
      <c r="N122" s="38"/>
      <c r="O122" s="60"/>
      <c r="P122" s="60"/>
      <c r="Q122" s="60"/>
      <c r="R122" s="60"/>
      <c r="T122" s="31">
        <f t="shared" si="25"/>
        <v>0</v>
      </c>
      <c r="U122" s="32">
        <f t="shared" si="26"/>
        <v>0</v>
      </c>
      <c r="W122" s="33">
        <f t="shared" si="27"/>
        <v>0</v>
      </c>
      <c r="X122" s="32">
        <f t="shared" si="28"/>
        <v>0</v>
      </c>
    </row>
    <row r="123" spans="1:29" x14ac:dyDescent="0.35">
      <c r="A123" s="34">
        <v>94</v>
      </c>
      <c r="B123" s="9"/>
      <c r="C123" s="10"/>
      <c r="D123" s="7">
        <f t="shared" si="29"/>
        <v>0</v>
      </c>
      <c r="E123" s="8">
        <f t="shared" si="22"/>
        <v>0</v>
      </c>
      <c r="F123" s="8">
        <f t="shared" si="23"/>
        <v>0</v>
      </c>
      <c r="G123" s="8"/>
      <c r="I123" s="10"/>
      <c r="J123" s="10"/>
      <c r="K123" s="30">
        <f t="shared" si="24"/>
        <v>0</v>
      </c>
      <c r="L123" s="30"/>
      <c r="M123">
        <v>94</v>
      </c>
      <c r="N123" s="38"/>
      <c r="O123" s="60"/>
      <c r="P123" s="60"/>
      <c r="Q123" s="60"/>
      <c r="R123" s="60"/>
      <c r="T123" s="31">
        <f t="shared" si="25"/>
        <v>0</v>
      </c>
      <c r="U123" s="32">
        <f t="shared" si="26"/>
        <v>0</v>
      </c>
      <c r="W123" s="33">
        <f t="shared" si="27"/>
        <v>0</v>
      </c>
      <c r="X123" s="32">
        <f t="shared" si="28"/>
        <v>0</v>
      </c>
    </row>
    <row r="124" spans="1:29" x14ac:dyDescent="0.35">
      <c r="A124" s="34">
        <v>95</v>
      </c>
      <c r="B124" s="9"/>
      <c r="C124" s="10"/>
      <c r="D124" s="7">
        <f t="shared" si="29"/>
        <v>0</v>
      </c>
      <c r="E124" s="8">
        <f t="shared" si="22"/>
        <v>0</v>
      </c>
      <c r="F124" s="8">
        <f t="shared" si="23"/>
        <v>0</v>
      </c>
      <c r="G124" s="8"/>
      <c r="I124" s="10"/>
      <c r="J124" s="10"/>
      <c r="K124" s="30">
        <f t="shared" si="24"/>
        <v>0</v>
      </c>
      <c r="L124" s="30"/>
      <c r="M124">
        <v>95</v>
      </c>
      <c r="N124" s="38"/>
      <c r="O124" s="60"/>
      <c r="P124" s="60"/>
      <c r="Q124" s="60"/>
      <c r="R124" s="60"/>
      <c r="T124" s="31">
        <f t="shared" si="25"/>
        <v>0</v>
      </c>
      <c r="U124" s="32">
        <f t="shared" si="26"/>
        <v>0</v>
      </c>
      <c r="W124" s="33">
        <f t="shared" si="27"/>
        <v>0</v>
      </c>
      <c r="X124" s="32">
        <f t="shared" si="28"/>
        <v>0</v>
      </c>
    </row>
    <row r="125" spans="1:29" x14ac:dyDescent="0.35">
      <c r="A125" s="34">
        <v>96</v>
      </c>
      <c r="B125" s="9"/>
      <c r="C125" s="10"/>
      <c r="D125" s="7">
        <f t="shared" si="29"/>
        <v>0</v>
      </c>
      <c r="E125" s="8">
        <f t="shared" si="22"/>
        <v>0</v>
      </c>
      <c r="F125" s="8">
        <f t="shared" si="23"/>
        <v>0</v>
      </c>
      <c r="G125" s="8"/>
      <c r="I125" s="10"/>
      <c r="J125" s="10"/>
      <c r="K125" s="30">
        <f t="shared" ref="K125:K149" si="30">J125+I125+B125</f>
        <v>0</v>
      </c>
      <c r="L125" s="30"/>
      <c r="M125">
        <v>96</v>
      </c>
      <c r="N125" s="38"/>
      <c r="O125" s="60"/>
      <c r="P125" s="60"/>
      <c r="Q125" s="60"/>
      <c r="R125" s="60"/>
      <c r="T125" s="31">
        <f t="shared" si="25"/>
        <v>0</v>
      </c>
      <c r="U125" s="32">
        <f t="shared" si="26"/>
        <v>0</v>
      </c>
      <c r="W125" s="33">
        <f t="shared" si="27"/>
        <v>0</v>
      </c>
      <c r="X125" s="32">
        <f t="shared" si="28"/>
        <v>0</v>
      </c>
    </row>
    <row r="126" spans="1:29" x14ac:dyDescent="0.35">
      <c r="A126" s="34">
        <v>97</v>
      </c>
      <c r="B126" s="9"/>
      <c r="C126" s="10"/>
      <c r="D126" s="7">
        <f t="shared" si="29"/>
        <v>0</v>
      </c>
      <c r="E126" s="8">
        <f t="shared" ref="E126:E149" si="31">IF(A126&lt;=$B$11,D126*C126/IF(A126&lt;=$B$17,A126,$B$17),0)</f>
        <v>0</v>
      </c>
      <c r="F126" s="8">
        <f t="shared" ref="F126:F149" si="32">IF(A126&lt;=$B$11,IF(OR($B$7="PM",$B$7="PP",$B$6="Popular"),MAX(50%,E126),E126),0)</f>
        <v>0</v>
      </c>
      <c r="G126" s="8"/>
      <c r="I126" s="10"/>
      <c r="J126" s="10"/>
      <c r="K126" s="30">
        <f t="shared" si="30"/>
        <v>0</v>
      </c>
      <c r="L126" s="30"/>
      <c r="M126">
        <v>97</v>
      </c>
      <c r="N126" s="38"/>
      <c r="O126" s="60"/>
      <c r="P126" s="60"/>
      <c r="Q126" s="60"/>
      <c r="R126" s="60"/>
      <c r="T126" s="31">
        <f t="shared" ref="T126:T149" si="33">I126*$B$12</f>
        <v>0</v>
      </c>
      <c r="U126" s="32">
        <f t="shared" ref="U126:U149" si="34">$T126*(B$14+1)^-($A126-1)</f>
        <v>0</v>
      </c>
      <c r="W126" s="33">
        <f t="shared" ref="W126:W149" si="35">N126+O126+P126+Q126+R126</f>
        <v>0</v>
      </c>
      <c r="X126" s="32">
        <f t="shared" ref="X126:X149" si="36">$W126*(B$14+1)^-($A126-1)</f>
        <v>0</v>
      </c>
    </row>
    <row r="127" spans="1:29" x14ac:dyDescent="0.35">
      <c r="A127" s="34">
        <v>98</v>
      </c>
      <c r="B127" s="9"/>
      <c r="C127" s="10"/>
      <c r="D127" s="7">
        <f t="shared" ref="D127:D149" si="37">IF(A127&lt;=$B$11,(D126 + B127)*(1+$B$13),0)</f>
        <v>0</v>
      </c>
      <c r="E127" s="8">
        <f t="shared" si="31"/>
        <v>0</v>
      </c>
      <c r="F127" s="8">
        <f t="shared" si="32"/>
        <v>0</v>
      </c>
      <c r="G127" s="8"/>
      <c r="I127" s="10"/>
      <c r="J127" s="10"/>
      <c r="K127" s="30">
        <f t="shared" si="30"/>
        <v>0</v>
      </c>
      <c r="L127" s="30"/>
      <c r="M127">
        <v>98</v>
      </c>
      <c r="N127" s="38"/>
      <c r="O127" s="60"/>
      <c r="P127" s="60"/>
      <c r="Q127" s="60"/>
      <c r="R127" s="60"/>
      <c r="T127" s="31">
        <f t="shared" si="33"/>
        <v>0</v>
      </c>
      <c r="U127" s="32">
        <f t="shared" si="34"/>
        <v>0</v>
      </c>
      <c r="W127" s="33">
        <f t="shared" si="35"/>
        <v>0</v>
      </c>
      <c r="X127" s="32">
        <f t="shared" si="36"/>
        <v>0</v>
      </c>
    </row>
    <row r="128" spans="1:29" x14ac:dyDescent="0.35">
      <c r="A128" s="34">
        <v>99</v>
      </c>
      <c r="B128" s="9"/>
      <c r="C128" s="10"/>
      <c r="D128" s="7">
        <f t="shared" si="37"/>
        <v>0</v>
      </c>
      <c r="E128" s="8">
        <f t="shared" si="31"/>
        <v>0</v>
      </c>
      <c r="F128" s="8">
        <f t="shared" si="32"/>
        <v>0</v>
      </c>
      <c r="G128" s="8"/>
      <c r="I128" s="10"/>
      <c r="J128" s="10"/>
      <c r="K128" s="30">
        <f t="shared" si="30"/>
        <v>0</v>
      </c>
      <c r="L128" s="30"/>
      <c r="M128">
        <v>99</v>
      </c>
      <c r="N128" s="38"/>
      <c r="O128" s="60"/>
      <c r="P128" s="60"/>
      <c r="Q128" s="60"/>
      <c r="R128" s="60"/>
      <c r="T128" s="31">
        <f t="shared" si="33"/>
        <v>0</v>
      </c>
      <c r="U128" s="32">
        <f t="shared" si="34"/>
        <v>0</v>
      </c>
      <c r="W128" s="33">
        <f t="shared" si="35"/>
        <v>0</v>
      </c>
      <c r="X128" s="32">
        <f t="shared" si="36"/>
        <v>0</v>
      </c>
    </row>
    <row r="129" spans="1:24" x14ac:dyDescent="0.35">
      <c r="A129" s="34">
        <v>100</v>
      </c>
      <c r="B129" s="9"/>
      <c r="C129" s="10"/>
      <c r="D129" s="7">
        <f t="shared" si="37"/>
        <v>0</v>
      </c>
      <c r="E129" s="8">
        <f t="shared" si="31"/>
        <v>0</v>
      </c>
      <c r="F129" s="8">
        <f t="shared" si="32"/>
        <v>0</v>
      </c>
      <c r="G129" s="8"/>
      <c r="I129" s="10"/>
      <c r="J129" s="10"/>
      <c r="K129" s="30">
        <f t="shared" si="30"/>
        <v>0</v>
      </c>
      <c r="L129" s="30"/>
      <c r="M129">
        <v>100</v>
      </c>
      <c r="N129" s="38"/>
      <c r="O129" s="60"/>
      <c r="P129" s="60"/>
      <c r="Q129" s="60"/>
      <c r="R129" s="60"/>
      <c r="T129" s="31">
        <f t="shared" si="33"/>
        <v>0</v>
      </c>
      <c r="U129" s="32">
        <f t="shared" si="34"/>
        <v>0</v>
      </c>
      <c r="W129" s="33">
        <f t="shared" si="35"/>
        <v>0</v>
      </c>
      <c r="X129" s="32">
        <f t="shared" si="36"/>
        <v>0</v>
      </c>
    </row>
    <row r="130" spans="1:24" x14ac:dyDescent="0.35">
      <c r="A130" s="34">
        <v>101</v>
      </c>
      <c r="B130" s="9"/>
      <c r="C130" s="10"/>
      <c r="D130" s="7">
        <f t="shared" si="37"/>
        <v>0</v>
      </c>
      <c r="E130" s="8">
        <f t="shared" si="31"/>
        <v>0</v>
      </c>
      <c r="F130" s="8">
        <f t="shared" si="32"/>
        <v>0</v>
      </c>
      <c r="G130" s="8"/>
      <c r="I130" s="10"/>
      <c r="J130" s="10"/>
      <c r="K130" s="30">
        <f t="shared" si="30"/>
        <v>0</v>
      </c>
      <c r="L130" s="30"/>
      <c r="M130">
        <v>101</v>
      </c>
      <c r="N130" s="38"/>
      <c r="O130" s="60"/>
      <c r="P130" s="60"/>
      <c r="Q130" s="60"/>
      <c r="R130" s="60"/>
      <c r="T130" s="31">
        <f t="shared" si="33"/>
        <v>0</v>
      </c>
      <c r="U130" s="32">
        <f t="shared" si="34"/>
        <v>0</v>
      </c>
      <c r="W130" s="33">
        <f t="shared" si="35"/>
        <v>0</v>
      </c>
      <c r="X130" s="32">
        <f t="shared" si="36"/>
        <v>0</v>
      </c>
    </row>
    <row r="131" spans="1:24" x14ac:dyDescent="0.35">
      <c r="A131" s="34">
        <v>102</v>
      </c>
      <c r="B131" s="9"/>
      <c r="C131" s="10"/>
      <c r="D131" s="7">
        <f t="shared" si="37"/>
        <v>0</v>
      </c>
      <c r="E131" s="8">
        <f t="shared" si="31"/>
        <v>0</v>
      </c>
      <c r="F131" s="8">
        <f t="shared" si="32"/>
        <v>0</v>
      </c>
      <c r="G131" s="8"/>
      <c r="I131" s="10"/>
      <c r="J131" s="10"/>
      <c r="K131" s="30">
        <f t="shared" si="30"/>
        <v>0</v>
      </c>
      <c r="L131" s="30"/>
      <c r="M131">
        <v>102</v>
      </c>
      <c r="N131" s="38"/>
      <c r="O131" s="60"/>
      <c r="P131" s="60"/>
      <c r="Q131" s="60"/>
      <c r="R131" s="60"/>
      <c r="T131" s="31">
        <f t="shared" si="33"/>
        <v>0</v>
      </c>
      <c r="U131" s="32">
        <f t="shared" si="34"/>
        <v>0</v>
      </c>
      <c r="W131" s="33">
        <f t="shared" si="35"/>
        <v>0</v>
      </c>
      <c r="X131" s="32">
        <f t="shared" si="36"/>
        <v>0</v>
      </c>
    </row>
    <row r="132" spans="1:24" x14ac:dyDescent="0.35">
      <c r="A132" s="34">
        <v>103</v>
      </c>
      <c r="B132" s="9"/>
      <c r="C132" s="10"/>
      <c r="D132" s="7">
        <f t="shared" si="37"/>
        <v>0</v>
      </c>
      <c r="E132" s="8">
        <f t="shared" si="31"/>
        <v>0</v>
      </c>
      <c r="F132" s="8">
        <f t="shared" si="32"/>
        <v>0</v>
      </c>
      <c r="G132" s="8"/>
      <c r="I132" s="10"/>
      <c r="J132" s="10"/>
      <c r="K132" s="30">
        <f t="shared" si="30"/>
        <v>0</v>
      </c>
      <c r="L132" s="30"/>
      <c r="M132">
        <v>103</v>
      </c>
      <c r="N132" s="38"/>
      <c r="O132" s="60"/>
      <c r="P132" s="60"/>
      <c r="Q132" s="60"/>
      <c r="R132" s="60"/>
      <c r="T132" s="31">
        <f t="shared" si="33"/>
        <v>0</v>
      </c>
      <c r="U132" s="32">
        <f t="shared" si="34"/>
        <v>0</v>
      </c>
      <c r="W132" s="33">
        <f t="shared" si="35"/>
        <v>0</v>
      </c>
      <c r="X132" s="32">
        <f t="shared" si="36"/>
        <v>0</v>
      </c>
    </row>
    <row r="133" spans="1:24" x14ac:dyDescent="0.35">
      <c r="A133" s="34">
        <v>104</v>
      </c>
      <c r="B133" s="9"/>
      <c r="C133" s="10"/>
      <c r="D133" s="7">
        <f t="shared" si="37"/>
        <v>0</v>
      </c>
      <c r="E133" s="8">
        <f t="shared" si="31"/>
        <v>0</v>
      </c>
      <c r="F133" s="8">
        <f t="shared" si="32"/>
        <v>0</v>
      </c>
      <c r="G133" s="8"/>
      <c r="I133" s="10"/>
      <c r="J133" s="10"/>
      <c r="K133" s="30">
        <f t="shared" si="30"/>
        <v>0</v>
      </c>
      <c r="L133" s="30"/>
      <c r="M133">
        <v>104</v>
      </c>
      <c r="N133" s="38"/>
      <c r="O133" s="60"/>
      <c r="P133" s="60"/>
      <c r="Q133" s="60"/>
      <c r="R133" s="60"/>
      <c r="T133" s="31">
        <f t="shared" si="33"/>
        <v>0</v>
      </c>
      <c r="U133" s="32">
        <f t="shared" si="34"/>
        <v>0</v>
      </c>
      <c r="W133" s="33">
        <f t="shared" si="35"/>
        <v>0</v>
      </c>
      <c r="X133" s="32">
        <f t="shared" si="36"/>
        <v>0</v>
      </c>
    </row>
    <row r="134" spans="1:24" x14ac:dyDescent="0.35">
      <c r="A134" s="34">
        <v>105</v>
      </c>
      <c r="B134" s="9"/>
      <c r="C134" s="10"/>
      <c r="D134" s="7">
        <f t="shared" si="37"/>
        <v>0</v>
      </c>
      <c r="E134" s="8">
        <f t="shared" si="31"/>
        <v>0</v>
      </c>
      <c r="F134" s="8">
        <f t="shared" si="32"/>
        <v>0</v>
      </c>
      <c r="G134" s="8"/>
      <c r="I134" s="10"/>
      <c r="J134" s="10"/>
      <c r="K134" s="30">
        <f t="shared" si="30"/>
        <v>0</v>
      </c>
      <c r="L134" s="30"/>
      <c r="M134">
        <v>105</v>
      </c>
      <c r="N134" s="38"/>
      <c r="O134" s="60"/>
      <c r="P134" s="60"/>
      <c r="Q134" s="60"/>
      <c r="R134" s="60"/>
      <c r="T134" s="31">
        <f t="shared" si="33"/>
        <v>0</v>
      </c>
      <c r="U134" s="32">
        <f t="shared" si="34"/>
        <v>0</v>
      </c>
      <c r="W134" s="33">
        <f t="shared" si="35"/>
        <v>0</v>
      </c>
      <c r="X134" s="32">
        <f t="shared" si="36"/>
        <v>0</v>
      </c>
    </row>
    <row r="135" spans="1:24" x14ac:dyDescent="0.35">
      <c r="A135" s="34">
        <v>106</v>
      </c>
      <c r="B135" s="9"/>
      <c r="C135" s="10"/>
      <c r="D135" s="7">
        <f t="shared" si="37"/>
        <v>0</v>
      </c>
      <c r="E135" s="8">
        <f t="shared" si="31"/>
        <v>0</v>
      </c>
      <c r="F135" s="8">
        <f t="shared" si="32"/>
        <v>0</v>
      </c>
      <c r="G135" s="8"/>
      <c r="I135" s="10"/>
      <c r="J135" s="10"/>
      <c r="K135" s="30">
        <f t="shared" si="30"/>
        <v>0</v>
      </c>
      <c r="L135" s="30"/>
      <c r="M135">
        <v>106</v>
      </c>
      <c r="N135" s="38"/>
      <c r="O135" s="60"/>
      <c r="P135" s="60"/>
      <c r="Q135" s="60"/>
      <c r="R135" s="60"/>
      <c r="T135" s="31">
        <f t="shared" si="33"/>
        <v>0</v>
      </c>
      <c r="U135" s="32">
        <f t="shared" si="34"/>
        <v>0</v>
      </c>
      <c r="W135" s="33">
        <f t="shared" si="35"/>
        <v>0</v>
      </c>
      <c r="X135" s="32">
        <f t="shared" si="36"/>
        <v>0</v>
      </c>
    </row>
    <row r="136" spans="1:24" x14ac:dyDescent="0.35">
      <c r="A136" s="34">
        <v>107</v>
      </c>
      <c r="B136" s="9"/>
      <c r="C136" s="10"/>
      <c r="D136" s="7">
        <f t="shared" si="37"/>
        <v>0</v>
      </c>
      <c r="E136" s="8">
        <f t="shared" si="31"/>
        <v>0</v>
      </c>
      <c r="F136" s="8">
        <f t="shared" si="32"/>
        <v>0</v>
      </c>
      <c r="G136" s="8"/>
      <c r="I136" s="10"/>
      <c r="J136" s="10"/>
      <c r="K136" s="30">
        <f t="shared" si="30"/>
        <v>0</v>
      </c>
      <c r="L136" s="30"/>
      <c r="M136">
        <v>107</v>
      </c>
      <c r="N136" s="38"/>
      <c r="O136" s="60"/>
      <c r="P136" s="60"/>
      <c r="Q136" s="60"/>
      <c r="R136" s="60"/>
      <c r="T136" s="31">
        <f t="shared" si="33"/>
        <v>0</v>
      </c>
      <c r="U136" s="32">
        <f t="shared" si="34"/>
        <v>0</v>
      </c>
      <c r="W136" s="33">
        <f t="shared" si="35"/>
        <v>0</v>
      </c>
      <c r="X136" s="32">
        <f t="shared" si="36"/>
        <v>0</v>
      </c>
    </row>
    <row r="137" spans="1:24" x14ac:dyDescent="0.35">
      <c r="A137" s="34">
        <v>108</v>
      </c>
      <c r="B137" s="9"/>
      <c r="C137" s="10"/>
      <c r="D137" s="7">
        <f t="shared" si="37"/>
        <v>0</v>
      </c>
      <c r="E137" s="8">
        <f t="shared" si="31"/>
        <v>0</v>
      </c>
      <c r="F137" s="8">
        <f t="shared" si="32"/>
        <v>0</v>
      </c>
      <c r="G137" s="8"/>
      <c r="I137" s="10"/>
      <c r="J137" s="10"/>
      <c r="K137" s="30">
        <f t="shared" si="30"/>
        <v>0</v>
      </c>
      <c r="L137" s="30"/>
      <c r="M137">
        <v>108</v>
      </c>
      <c r="N137" s="38"/>
      <c r="O137" s="60"/>
      <c r="P137" s="60"/>
      <c r="Q137" s="60"/>
      <c r="R137" s="60"/>
      <c r="T137" s="31">
        <f t="shared" si="33"/>
        <v>0</v>
      </c>
      <c r="U137" s="32">
        <f t="shared" si="34"/>
        <v>0</v>
      </c>
      <c r="W137" s="33">
        <f t="shared" si="35"/>
        <v>0</v>
      </c>
      <c r="X137" s="32">
        <f t="shared" si="36"/>
        <v>0</v>
      </c>
    </row>
    <row r="138" spans="1:24" x14ac:dyDescent="0.35">
      <c r="A138" s="34">
        <v>109</v>
      </c>
      <c r="B138" s="9"/>
      <c r="C138" s="10"/>
      <c r="D138" s="7">
        <f t="shared" si="37"/>
        <v>0</v>
      </c>
      <c r="E138" s="8">
        <f t="shared" si="31"/>
        <v>0</v>
      </c>
      <c r="F138" s="8">
        <f t="shared" si="32"/>
        <v>0</v>
      </c>
      <c r="G138" s="8"/>
      <c r="I138" s="10"/>
      <c r="J138" s="10"/>
      <c r="K138" s="30">
        <f t="shared" si="30"/>
        <v>0</v>
      </c>
      <c r="L138" s="30"/>
      <c r="M138">
        <v>109</v>
      </c>
      <c r="N138" s="38"/>
      <c r="O138" s="60"/>
      <c r="P138" s="60"/>
      <c r="Q138" s="60"/>
      <c r="R138" s="60"/>
      <c r="T138" s="31">
        <f t="shared" si="33"/>
        <v>0</v>
      </c>
      <c r="U138" s="32">
        <f t="shared" si="34"/>
        <v>0</v>
      </c>
      <c r="W138" s="33">
        <f t="shared" si="35"/>
        <v>0</v>
      </c>
      <c r="X138" s="32">
        <f t="shared" si="36"/>
        <v>0</v>
      </c>
    </row>
    <row r="139" spans="1:24" x14ac:dyDescent="0.35">
      <c r="A139" s="34">
        <v>110</v>
      </c>
      <c r="B139" s="9"/>
      <c r="C139" s="10"/>
      <c r="D139" s="7">
        <f t="shared" si="37"/>
        <v>0</v>
      </c>
      <c r="E139" s="8">
        <f t="shared" si="31"/>
        <v>0</v>
      </c>
      <c r="F139" s="8">
        <f t="shared" si="32"/>
        <v>0</v>
      </c>
      <c r="G139" s="8"/>
      <c r="I139" s="10"/>
      <c r="J139" s="10"/>
      <c r="K139" s="30">
        <f t="shared" si="30"/>
        <v>0</v>
      </c>
      <c r="L139" s="30"/>
      <c r="M139">
        <v>110</v>
      </c>
      <c r="N139" s="38"/>
      <c r="O139" s="60"/>
      <c r="P139" s="60"/>
      <c r="Q139" s="60"/>
      <c r="R139" s="60"/>
      <c r="T139" s="31">
        <f t="shared" si="33"/>
        <v>0</v>
      </c>
      <c r="U139" s="32">
        <f t="shared" si="34"/>
        <v>0</v>
      </c>
      <c r="W139" s="33">
        <f t="shared" si="35"/>
        <v>0</v>
      </c>
      <c r="X139" s="32">
        <f t="shared" si="36"/>
        <v>0</v>
      </c>
    </row>
    <row r="140" spans="1:24" x14ac:dyDescent="0.35">
      <c r="A140" s="34">
        <v>111</v>
      </c>
      <c r="B140" s="9"/>
      <c r="C140" s="10"/>
      <c r="D140" s="7">
        <f t="shared" si="37"/>
        <v>0</v>
      </c>
      <c r="E140" s="8">
        <f t="shared" si="31"/>
        <v>0</v>
      </c>
      <c r="F140" s="8">
        <f t="shared" si="32"/>
        <v>0</v>
      </c>
      <c r="G140" s="8"/>
      <c r="I140" s="10"/>
      <c r="J140" s="10"/>
      <c r="K140" s="30">
        <f t="shared" si="30"/>
        <v>0</v>
      </c>
      <c r="L140" s="30"/>
      <c r="M140">
        <v>111</v>
      </c>
      <c r="N140" s="38"/>
      <c r="O140" s="60"/>
      <c r="P140" s="60"/>
      <c r="Q140" s="60"/>
      <c r="R140" s="60"/>
      <c r="T140" s="31">
        <f t="shared" si="33"/>
        <v>0</v>
      </c>
      <c r="U140" s="32">
        <f t="shared" si="34"/>
        <v>0</v>
      </c>
      <c r="W140" s="33">
        <f t="shared" si="35"/>
        <v>0</v>
      </c>
      <c r="X140" s="32">
        <f t="shared" si="36"/>
        <v>0</v>
      </c>
    </row>
    <row r="141" spans="1:24" x14ac:dyDescent="0.35">
      <c r="A141" s="34">
        <v>112</v>
      </c>
      <c r="B141" s="9"/>
      <c r="C141" s="10"/>
      <c r="D141" s="7">
        <f t="shared" si="37"/>
        <v>0</v>
      </c>
      <c r="E141" s="8">
        <f t="shared" si="31"/>
        <v>0</v>
      </c>
      <c r="F141" s="8">
        <f t="shared" si="32"/>
        <v>0</v>
      </c>
      <c r="G141" s="8"/>
      <c r="I141" s="10"/>
      <c r="J141" s="10"/>
      <c r="K141" s="30">
        <f t="shared" si="30"/>
        <v>0</v>
      </c>
      <c r="L141" s="30"/>
      <c r="M141">
        <v>112</v>
      </c>
      <c r="N141" s="38"/>
      <c r="O141" s="60"/>
      <c r="P141" s="60"/>
      <c r="Q141" s="60"/>
      <c r="R141" s="60"/>
      <c r="T141" s="31">
        <f t="shared" si="33"/>
        <v>0</v>
      </c>
      <c r="U141" s="32">
        <f t="shared" si="34"/>
        <v>0</v>
      </c>
      <c r="W141" s="33">
        <f t="shared" si="35"/>
        <v>0</v>
      </c>
      <c r="X141" s="32">
        <f t="shared" si="36"/>
        <v>0</v>
      </c>
    </row>
    <row r="142" spans="1:24" x14ac:dyDescent="0.35">
      <c r="A142" s="34">
        <v>113</v>
      </c>
      <c r="B142" s="9"/>
      <c r="C142" s="10"/>
      <c r="D142" s="7">
        <f t="shared" si="37"/>
        <v>0</v>
      </c>
      <c r="E142" s="8">
        <f t="shared" si="31"/>
        <v>0</v>
      </c>
      <c r="F142" s="8">
        <f t="shared" si="32"/>
        <v>0</v>
      </c>
      <c r="G142" s="8"/>
      <c r="I142" s="10"/>
      <c r="J142" s="10"/>
      <c r="K142" s="30">
        <f t="shared" si="30"/>
        <v>0</v>
      </c>
      <c r="L142" s="30"/>
      <c r="M142">
        <v>113</v>
      </c>
      <c r="N142" s="38"/>
      <c r="O142" s="60"/>
      <c r="P142" s="60"/>
      <c r="Q142" s="60"/>
      <c r="R142" s="60"/>
      <c r="T142" s="31">
        <f t="shared" si="33"/>
        <v>0</v>
      </c>
      <c r="U142" s="32">
        <f t="shared" si="34"/>
        <v>0</v>
      </c>
      <c r="W142" s="33">
        <f t="shared" si="35"/>
        <v>0</v>
      </c>
      <c r="X142" s="32">
        <f t="shared" si="36"/>
        <v>0</v>
      </c>
    </row>
    <row r="143" spans="1:24" x14ac:dyDescent="0.35">
      <c r="A143" s="34">
        <v>114</v>
      </c>
      <c r="B143" s="9"/>
      <c r="C143" s="10"/>
      <c r="D143" s="7">
        <f t="shared" si="37"/>
        <v>0</v>
      </c>
      <c r="E143" s="8">
        <f t="shared" si="31"/>
        <v>0</v>
      </c>
      <c r="F143" s="8">
        <f t="shared" si="32"/>
        <v>0</v>
      </c>
      <c r="G143" s="8"/>
      <c r="I143" s="10"/>
      <c r="J143" s="10"/>
      <c r="K143" s="30">
        <f t="shared" si="30"/>
        <v>0</v>
      </c>
      <c r="L143" s="30"/>
      <c r="M143">
        <v>114</v>
      </c>
      <c r="N143" s="38"/>
      <c r="O143" s="60"/>
      <c r="P143" s="60"/>
      <c r="Q143" s="60"/>
      <c r="R143" s="60"/>
      <c r="T143" s="31">
        <f t="shared" si="33"/>
        <v>0</v>
      </c>
      <c r="U143" s="32">
        <f t="shared" si="34"/>
        <v>0</v>
      </c>
      <c r="W143" s="33">
        <f t="shared" si="35"/>
        <v>0</v>
      </c>
      <c r="X143" s="32">
        <f t="shared" si="36"/>
        <v>0</v>
      </c>
    </row>
    <row r="144" spans="1:24" x14ac:dyDescent="0.35">
      <c r="A144" s="34">
        <v>115</v>
      </c>
      <c r="B144" s="9"/>
      <c r="C144" s="10"/>
      <c r="D144" s="7">
        <f t="shared" si="37"/>
        <v>0</v>
      </c>
      <c r="E144" s="8">
        <f t="shared" si="31"/>
        <v>0</v>
      </c>
      <c r="F144" s="8">
        <f t="shared" si="32"/>
        <v>0</v>
      </c>
      <c r="G144" s="8"/>
      <c r="I144" s="10"/>
      <c r="J144" s="10"/>
      <c r="K144" s="30">
        <f t="shared" si="30"/>
        <v>0</v>
      </c>
      <c r="L144" s="30"/>
      <c r="M144">
        <v>115</v>
      </c>
      <c r="N144" s="38"/>
      <c r="O144" s="60"/>
      <c r="P144" s="60"/>
      <c r="Q144" s="60"/>
      <c r="R144" s="60"/>
      <c r="T144" s="31">
        <f t="shared" si="33"/>
        <v>0</v>
      </c>
      <c r="U144" s="32">
        <f t="shared" si="34"/>
        <v>0</v>
      </c>
      <c r="W144" s="33">
        <f t="shared" si="35"/>
        <v>0</v>
      </c>
      <c r="X144" s="32">
        <f t="shared" si="36"/>
        <v>0</v>
      </c>
    </row>
    <row r="145" spans="1:24" x14ac:dyDescent="0.35">
      <c r="A145" s="34">
        <v>116</v>
      </c>
      <c r="B145" s="9"/>
      <c r="C145" s="10"/>
      <c r="D145" s="7">
        <f t="shared" si="37"/>
        <v>0</v>
      </c>
      <c r="E145" s="8">
        <f t="shared" si="31"/>
        <v>0</v>
      </c>
      <c r="F145" s="8">
        <f t="shared" si="32"/>
        <v>0</v>
      </c>
      <c r="G145" s="8"/>
      <c r="I145" s="10"/>
      <c r="J145" s="10"/>
      <c r="K145" s="30">
        <f t="shared" si="30"/>
        <v>0</v>
      </c>
      <c r="L145" s="30"/>
      <c r="M145">
        <v>116</v>
      </c>
      <c r="N145" s="38"/>
      <c r="O145" s="60"/>
      <c r="P145" s="60"/>
      <c r="Q145" s="60"/>
      <c r="R145" s="60"/>
      <c r="T145" s="31">
        <f t="shared" si="33"/>
        <v>0</v>
      </c>
      <c r="U145" s="32">
        <f t="shared" si="34"/>
        <v>0</v>
      </c>
      <c r="W145" s="33">
        <f t="shared" si="35"/>
        <v>0</v>
      </c>
      <c r="X145" s="32">
        <f t="shared" si="36"/>
        <v>0</v>
      </c>
    </row>
    <row r="146" spans="1:24" x14ac:dyDescent="0.35">
      <c r="A146" s="34">
        <v>117</v>
      </c>
      <c r="B146" s="9"/>
      <c r="C146" s="10"/>
      <c r="D146" s="7">
        <f t="shared" si="37"/>
        <v>0</v>
      </c>
      <c r="E146" s="8">
        <f t="shared" si="31"/>
        <v>0</v>
      </c>
      <c r="F146" s="8">
        <f t="shared" si="32"/>
        <v>0</v>
      </c>
      <c r="G146" s="8"/>
      <c r="I146" s="10"/>
      <c r="J146" s="10"/>
      <c r="K146" s="30">
        <f t="shared" si="30"/>
        <v>0</v>
      </c>
      <c r="L146" s="30"/>
      <c r="M146">
        <v>117</v>
      </c>
      <c r="N146" s="38"/>
      <c r="O146" s="60"/>
      <c r="P146" s="60"/>
      <c r="Q146" s="60"/>
      <c r="R146" s="60"/>
      <c r="T146" s="31">
        <f t="shared" si="33"/>
        <v>0</v>
      </c>
      <c r="U146" s="32">
        <f t="shared" si="34"/>
        <v>0</v>
      </c>
      <c r="W146" s="33">
        <f t="shared" si="35"/>
        <v>0</v>
      </c>
      <c r="X146" s="32">
        <f t="shared" si="36"/>
        <v>0</v>
      </c>
    </row>
    <row r="147" spans="1:24" x14ac:dyDescent="0.35">
      <c r="A147" s="34">
        <v>118</v>
      </c>
      <c r="B147" s="9"/>
      <c r="C147" s="10"/>
      <c r="D147" s="7">
        <f t="shared" si="37"/>
        <v>0</v>
      </c>
      <c r="E147" s="8">
        <f t="shared" si="31"/>
        <v>0</v>
      </c>
      <c r="F147" s="8">
        <f t="shared" si="32"/>
        <v>0</v>
      </c>
      <c r="G147" s="8"/>
      <c r="I147" s="10"/>
      <c r="J147" s="10"/>
      <c r="K147" s="30">
        <f t="shared" si="30"/>
        <v>0</v>
      </c>
      <c r="L147" s="30"/>
      <c r="M147">
        <v>118</v>
      </c>
      <c r="N147" s="38"/>
      <c r="O147" s="60"/>
      <c r="P147" s="60"/>
      <c r="Q147" s="60"/>
      <c r="R147" s="60"/>
      <c r="T147" s="31">
        <f t="shared" si="33"/>
        <v>0</v>
      </c>
      <c r="U147" s="32">
        <f t="shared" si="34"/>
        <v>0</v>
      </c>
      <c r="W147" s="33">
        <f t="shared" si="35"/>
        <v>0</v>
      </c>
      <c r="X147" s="32">
        <f t="shared" si="36"/>
        <v>0</v>
      </c>
    </row>
    <row r="148" spans="1:24" x14ac:dyDescent="0.35">
      <c r="A148" s="34">
        <v>119</v>
      </c>
      <c r="B148" s="9"/>
      <c r="C148" s="10"/>
      <c r="D148" s="7">
        <f t="shared" si="37"/>
        <v>0</v>
      </c>
      <c r="E148" s="8">
        <f t="shared" si="31"/>
        <v>0</v>
      </c>
      <c r="F148" s="8">
        <f t="shared" si="32"/>
        <v>0</v>
      </c>
      <c r="G148" s="8"/>
      <c r="I148" s="10"/>
      <c r="J148" s="10"/>
      <c r="K148" s="30">
        <f t="shared" si="30"/>
        <v>0</v>
      </c>
      <c r="L148" s="30"/>
      <c r="M148">
        <v>119</v>
      </c>
      <c r="N148" s="38"/>
      <c r="O148" s="60"/>
      <c r="P148" s="60"/>
      <c r="Q148" s="60"/>
      <c r="R148" s="60"/>
      <c r="T148" s="31">
        <f t="shared" si="33"/>
        <v>0</v>
      </c>
      <c r="U148" s="32">
        <f t="shared" si="34"/>
        <v>0</v>
      </c>
      <c r="W148" s="33">
        <f t="shared" si="35"/>
        <v>0</v>
      </c>
      <c r="X148" s="32">
        <f t="shared" si="36"/>
        <v>0</v>
      </c>
    </row>
    <row r="149" spans="1:24" x14ac:dyDescent="0.35">
      <c r="A149" s="34">
        <v>120</v>
      </c>
      <c r="B149" s="9"/>
      <c r="C149" s="10"/>
      <c r="D149" s="7">
        <f t="shared" si="37"/>
        <v>0</v>
      </c>
      <c r="E149" s="8">
        <f t="shared" si="31"/>
        <v>0</v>
      </c>
      <c r="F149" s="8">
        <f t="shared" si="32"/>
        <v>0</v>
      </c>
      <c r="G149" s="8"/>
      <c r="I149" s="10"/>
      <c r="J149" s="10"/>
      <c r="K149" s="30">
        <f t="shared" si="30"/>
        <v>0</v>
      </c>
      <c r="L149" s="30"/>
      <c r="M149">
        <v>120</v>
      </c>
      <c r="N149" s="38"/>
      <c r="O149" s="60"/>
      <c r="P149" s="60"/>
      <c r="Q149" s="60"/>
      <c r="R149" s="60"/>
      <c r="T149" s="31">
        <f t="shared" si="33"/>
        <v>0</v>
      </c>
      <c r="U149" s="32">
        <f t="shared" si="34"/>
        <v>0</v>
      </c>
      <c r="W149" s="33">
        <f t="shared" si="35"/>
        <v>0</v>
      </c>
      <c r="X149" s="32">
        <f t="shared" si="36"/>
        <v>0</v>
      </c>
    </row>
  </sheetData>
  <sheetProtection algorithmName="SHA-512" hashValue="5bAKe0RLloDzJSg216V6fuEuoXk/3tWxWCOGJ2fM+0zHyHVGkVGminn5Vrunj1H5qvssVCFE4a7EGz1shWZjcg==" saltValue="GxTjkNVi7Q/O+eGbB+u5/A==" spinCount="100000" sheet="1" objects="1" scenarios="1"/>
  <protectedRanges>
    <protectedRange password="9E32" sqref="B26" name="Intervalo1"/>
  </protectedRanges>
  <dataConsolidate/>
  <mergeCells count="7">
    <mergeCell ref="N22:R23"/>
    <mergeCell ref="N25:R26"/>
    <mergeCell ref="A28:B28"/>
    <mergeCell ref="AC69:AH69"/>
    <mergeCell ref="H9:K9"/>
    <mergeCell ref="H12:K12"/>
    <mergeCell ref="H15:K15"/>
  </mergeCells>
  <conditionalFormatting sqref="A26">
    <cfRule type="expression" dxfId="29" priority="12">
      <formula>"se($B$19&lt;&gt;""S"";"</formula>
    </cfRule>
  </conditionalFormatting>
  <conditionalFormatting sqref="A20:B20">
    <cfRule type="expression" dxfId="28" priority="4">
      <formula>$B$19="NÃO"</formula>
    </cfRule>
  </conditionalFormatting>
  <conditionalFormatting sqref="B4:B8">
    <cfRule type="notContainsBlanks" dxfId="27" priority="45">
      <formula>LEN(TRIM(B4))&gt;0</formula>
    </cfRule>
    <cfRule type="containsBlanks" dxfId="26" priority="46">
      <formula>LEN(TRIM(B4))=0</formula>
    </cfRule>
  </conditionalFormatting>
  <conditionalFormatting sqref="B11:B16">
    <cfRule type="notContainsBlanks" dxfId="25" priority="124">
      <formula>LEN(TRIM(B11))&gt;0</formula>
    </cfRule>
    <cfRule type="containsBlanks" dxfId="24" priority="125">
      <formula>LEN(TRIM(B11))=0</formula>
    </cfRule>
  </conditionalFormatting>
  <conditionalFormatting sqref="B17">
    <cfRule type="expression" dxfId="23" priority="336">
      <formula>IF(AND(B7="PU",B17=1),0,IF(AND(B7="PM",B17=B11),0,IF(AND(B7="PP",B17&gt;1,B17&lt;=B11),0,1)))</formula>
    </cfRule>
    <cfRule type="containsBlanks" dxfId="22" priority="337">
      <formula>LEN(TRIM(B17))=0</formula>
    </cfRule>
    <cfRule type="notContainsBlanks" dxfId="21" priority="338">
      <formula>LEN(TRIM(B17))&gt;0</formula>
    </cfRule>
  </conditionalFormatting>
  <conditionalFormatting sqref="B18:B20">
    <cfRule type="notContainsBlanks" dxfId="20" priority="19">
      <formula>LEN(TRIM(B18))&gt;0</formula>
    </cfRule>
    <cfRule type="containsBlanks" dxfId="19" priority="20">
      <formula>LEN(TRIM(B18))=0</formula>
    </cfRule>
  </conditionalFormatting>
  <conditionalFormatting sqref="B20">
    <cfRule type="expression" dxfId="18" priority="1">
      <formula>$J$16="Quantidade mínima de títulos deve ser um número inteiro"</formula>
    </cfRule>
    <cfRule type="expression" dxfId="17" priority="3">
      <formula>$I$16="A Quota efetiva de sorteio deve ser MENOR que a Quota de capitalização"</formula>
    </cfRule>
    <cfRule type="expression" dxfId="16" priority="6">
      <formula>$B$19="n"</formula>
    </cfRule>
    <cfRule type="expression" dxfId="15" priority="7">
      <formula>$B$19="n"</formula>
    </cfRule>
    <cfRule type="expression" dxfId="14" priority="8">
      <formula>"$B$19=""n"""</formula>
    </cfRule>
  </conditionalFormatting>
  <conditionalFormatting sqref="B23:B24">
    <cfRule type="notContainsBlanks" dxfId="13" priority="41">
      <formula>LEN(TRIM(B23))&gt;0</formula>
    </cfRule>
    <cfRule type="containsBlanks" dxfId="12" priority="42">
      <formula>LEN(TRIM(B23))=0</formula>
    </cfRule>
  </conditionalFormatting>
  <conditionalFormatting sqref="B26">
    <cfRule type="expression" dxfId="11" priority="2">
      <formula>$I$16="PRODUTO IRREGULAR - A quota efetiva de sorteio está superior à quota de capitalização"</formula>
    </cfRule>
    <cfRule type="expression" dxfId="10" priority="9">
      <formula>AND(B19="S",H16=" ")</formula>
    </cfRule>
    <cfRule type="expression" dxfId="9" priority="10">
      <formula>$B$20&gt;0</formula>
    </cfRule>
  </conditionalFormatting>
  <conditionalFormatting sqref="B30:B149 I30:J149">
    <cfRule type="expression" dxfId="8" priority="343">
      <formula>IF(AND($A30&lt;=$B$17,B30&gt;=0,B30&lt;&gt;""),1,0)</formula>
    </cfRule>
    <cfRule type="expression" dxfId="7" priority="345">
      <formula>IF($A30&lt;=$B$17,1,0)</formula>
    </cfRule>
  </conditionalFormatting>
  <conditionalFormatting sqref="C30:C149">
    <cfRule type="expression" dxfId="6" priority="29">
      <formula>IF(AND($A30&lt;=$B$11,C30&gt;=90%),1,0)</formula>
    </cfRule>
    <cfRule type="expression" dxfId="5" priority="30">
      <formula>IF($A30&lt;=$B$11,1,0)</formula>
    </cfRule>
  </conditionalFormatting>
  <conditionalFormatting sqref="N30">
    <cfRule type="expression" dxfId="4" priority="89">
      <formula>IF(AND($A30&lt;=$A30,N30&gt;=0),1,0)</formula>
    </cfRule>
    <cfRule type="expression" dxfId="3" priority="90">
      <formula>IF($A30&lt;=$A$30,1,0)</formula>
    </cfRule>
  </conditionalFormatting>
  <conditionalFormatting sqref="O31">
    <cfRule type="cellIs" dxfId="2" priority="16" operator="greaterThanOrEqual">
      <formula>"$b$30"</formula>
    </cfRule>
  </conditionalFormatting>
  <conditionalFormatting sqref="O30:R149">
    <cfRule type="expression" dxfId="1" priority="23">
      <formula>IF(AND($A30&lt;=$B$11,O30&gt;=0),1,0)</formula>
    </cfRule>
    <cfRule type="expression" dxfId="0" priority="24">
      <formula>IF($A30&lt;=$B$11,1,0)</formula>
    </cfRule>
  </conditionalFormatting>
  <dataValidations xWindow="380" yWindow="347" count="20">
    <dataValidation type="list" allowBlank="1" showInputMessage="1" showErrorMessage="1" sqref="D1">
      <formula1>"Sim, Não"</formula1>
    </dataValidation>
    <dataValidation type="whole" allowBlank="1" showInputMessage="1" showErrorMessage="1" sqref="B11">
      <formula1>2</formula1>
      <formula2>120</formula2>
    </dataValidation>
    <dataValidation type="decimal" allowBlank="1" showInputMessage="1" showErrorMessage="1" sqref="B150:B164">
      <formula1>0</formula1>
      <formula2>1</formula2>
    </dataValidation>
    <dataValidation type="list" showInputMessage="1" showErrorMessage="1" sqref="B8">
      <formula1>"Não Padrão, Padrão"</formula1>
    </dataValidation>
    <dataValidation type="list" allowBlank="1" showInputMessage="1" showErrorMessage="1" sqref="B7">
      <formula1>"PM, PU, PP"</formula1>
    </dataValidation>
    <dataValidation type="textLength" operator="equal" allowBlank="1" showInputMessage="1" showErrorMessage="1" prompt="A entrada é numérica com 12 algarismos._x000a_15414._ _ _ _ _ _/ _ _ _ _ - _ _" sqref="B5">
      <formula1>12</formula1>
    </dataValidation>
    <dataValidation type="custom" allowBlank="1" showInputMessage="1" showErrorMessage="1" sqref="N30:N149">
      <formula1>IF(AND($A30&lt;=$A$30,$N30&gt;=0),1,0)</formula1>
    </dataValidation>
    <dataValidation type="whole" allowBlank="1" showInputMessage="1" showErrorMessage="1" sqref="B12">
      <formula1>100</formula1>
      <formula2>1000000000</formula2>
    </dataValidation>
    <dataValidation type="decimal" allowBlank="1" showInputMessage="1" showErrorMessage="1" sqref="B13">
      <formula1>0.0016</formula1>
      <formula2>0.05</formula2>
    </dataValidation>
    <dataValidation type="decimal" allowBlank="1" showInputMessage="1" showErrorMessage="1" sqref="B14">
      <formula1>0</formula1>
      <formula2>0.05</formula2>
    </dataValidation>
    <dataValidation type="decimal" allowBlank="1" showInputMessage="1" showErrorMessage="1" sqref="B15:B16">
      <formula1>0.01</formula1>
      <formula2>1000000</formula2>
    </dataValidation>
    <dataValidation type="custom" allowBlank="1" showInputMessage="1" showErrorMessage="1" sqref="B18">
      <formula1>IF(AND(B18&gt;=0,B18&lt;=$B$11),1,0)</formula1>
    </dataValidation>
    <dataValidation type="list" allowBlank="1" showInputMessage="1" showErrorMessage="1" sqref="B6">
      <formula1>"Tradicional, Popular, Incentivo, Instrumento de Garantia, Compra Programada, Filantropia Premiável"</formula1>
    </dataValidation>
    <dataValidation type="custom" allowBlank="1" showInputMessage="1" showErrorMessage="1" sqref="B17">
      <formula1>IF(AND(B7="PU",B17=1),1,IF(AND(B7="PM",B17=B11),1,IF(AND(B7="PP",B17&gt;1,B17&lt;=B11),1,0)))</formula1>
    </dataValidation>
    <dataValidation type="time" allowBlank="1" showInputMessage="1" showErrorMessage="1" sqref="B23">
      <formula1>0</formula1>
      <formula2>0.999988425925926</formula2>
    </dataValidation>
    <dataValidation type="date" allowBlank="1" showInputMessage="1" showErrorMessage="1" sqref="B24">
      <formula1>43101</formula1>
      <formula2>73050</formula2>
    </dataValidation>
    <dataValidation type="custom" allowBlank="1" showInputMessage="1" showErrorMessage="1" sqref="I30:J149 B30:B149">
      <formula1>IF(AND($A30&lt;=$B$17,B30&gt;=0,B30&lt;=100%),1,0)</formula1>
    </dataValidation>
    <dataValidation type="custom" allowBlank="1" showInputMessage="1" showErrorMessage="1" sqref="C30:C149">
      <formula1>IF(AND($A30&lt;=$B$11,C30&gt;=90%,C30&lt;=100%),1,0)</formula1>
    </dataValidation>
    <dataValidation type="custom" allowBlank="1" showInputMessage="1" showErrorMessage="1" sqref="O30:R149">
      <formula1>IF(AND($A30&lt;=$B$11,O30&gt;=0),1,0)</formula1>
    </dataValidation>
    <dataValidation type="list" allowBlank="1" showInputMessage="1" showErrorMessage="1" sqref="B19">
      <formula1>"SIM,NÃO"</formula1>
    </dataValidation>
  </dataValidations>
  <pageMargins left="0.51181102362204722" right="0.51181102362204722" top="0.78740157480314965" bottom="0.78740157480314965" header="0.31496062992125984" footer="0.31496062992125984"/>
  <pageSetup paperSize="9" scale="46" orientation="portrait" verticalDpi="300" r:id="rId1"/>
  <headerFooter>
    <oddHeader>&amp;L&amp;"Calibri"&amp;10&amp;K000000#restrita&amp;1#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xWindow="380" yWindow="347" count="1">
        <x14:dataValidation type="list" allowBlank="1" showInputMessage="1" showErrorMessage="1">
          <x14:formula1>
            <xm:f>'Patrimônio Líquido'!$A$3:$A$20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G21"/>
  <sheetViews>
    <sheetView workbookViewId="0">
      <selection activeCell="F17" sqref="F17"/>
    </sheetView>
  </sheetViews>
  <sheetFormatPr defaultRowHeight="14.5" x14ac:dyDescent="0.35"/>
  <cols>
    <col min="1" max="1" width="41.54296875" bestFit="1" customWidth="1"/>
    <col min="2" max="2" width="21.54296875" customWidth="1"/>
    <col min="3" max="3" width="20.453125" customWidth="1"/>
    <col min="4" max="4" width="14" customWidth="1"/>
    <col min="6" max="6" width="35.81640625" customWidth="1"/>
    <col min="7" max="7" width="42.7265625" customWidth="1"/>
  </cols>
  <sheetData>
    <row r="1" spans="1:7" ht="15" thickBot="1" x14ac:dyDescent="0.4">
      <c r="A1" s="98" t="s">
        <v>148</v>
      </c>
      <c r="B1" s="99"/>
      <c r="C1" s="100"/>
    </row>
    <row r="2" spans="1:7" ht="15" thickBot="1" x14ac:dyDescent="0.4">
      <c r="A2" s="2" t="s">
        <v>107</v>
      </c>
      <c r="B2" s="2" t="s">
        <v>108</v>
      </c>
      <c r="C2" s="2" t="s">
        <v>109</v>
      </c>
      <c r="D2" s="2" t="s">
        <v>110</v>
      </c>
    </row>
    <row r="3" spans="1:7" ht="15" thickBot="1" x14ac:dyDescent="0.4">
      <c r="A3" s="85" t="s">
        <v>111</v>
      </c>
      <c r="B3" s="88">
        <v>41175515.189999998</v>
      </c>
      <c r="C3" s="88">
        <f t="shared" ref="C3:C20" si="0">B3* 0.1</f>
        <v>4117551.5189999999</v>
      </c>
      <c r="D3" s="6" t="s">
        <v>112</v>
      </c>
      <c r="F3" s="58"/>
      <c r="G3" s="59"/>
    </row>
    <row r="4" spans="1:7" ht="15.5" thickTop="1" thickBot="1" x14ac:dyDescent="0.4">
      <c r="A4" s="86" t="s">
        <v>113</v>
      </c>
      <c r="B4" s="88">
        <v>626924838.55000103</v>
      </c>
      <c r="C4" s="88">
        <f t="shared" si="0"/>
        <v>62692483.855000108</v>
      </c>
      <c r="D4" s="6" t="s">
        <v>114</v>
      </c>
      <c r="F4" s="58"/>
      <c r="G4" s="59"/>
    </row>
    <row r="5" spans="1:7" ht="15.5" thickTop="1" thickBot="1" x14ac:dyDescent="0.4">
      <c r="A5" s="86" t="s">
        <v>115</v>
      </c>
      <c r="B5" s="88">
        <v>1049567372</v>
      </c>
      <c r="C5" s="88">
        <f t="shared" si="0"/>
        <v>104956737.2</v>
      </c>
      <c r="D5" s="6" t="s">
        <v>116</v>
      </c>
      <c r="F5" s="58"/>
      <c r="G5" s="59"/>
    </row>
    <row r="6" spans="1:7" ht="15.5" thickTop="1" thickBot="1" x14ac:dyDescent="0.4">
      <c r="A6" s="86" t="s">
        <v>117</v>
      </c>
      <c r="B6" s="88">
        <v>60889110.549999997</v>
      </c>
      <c r="C6" s="88">
        <f t="shared" si="0"/>
        <v>6088911.0549999997</v>
      </c>
      <c r="D6" s="6" t="s">
        <v>118</v>
      </c>
      <c r="F6" s="58"/>
      <c r="G6" s="59"/>
    </row>
    <row r="7" spans="1:7" ht="15.5" thickTop="1" thickBot="1" x14ac:dyDescent="0.4">
      <c r="A7" s="86" t="s">
        <v>119</v>
      </c>
      <c r="B7" s="88">
        <v>1266417969.8099999</v>
      </c>
      <c r="C7" s="88">
        <f t="shared" si="0"/>
        <v>126641796.98100001</v>
      </c>
      <c r="D7" s="6" t="s">
        <v>120</v>
      </c>
      <c r="F7" s="58"/>
      <c r="G7" s="59"/>
    </row>
    <row r="8" spans="1:7" ht="15.5" thickTop="1" thickBot="1" x14ac:dyDescent="0.4">
      <c r="A8" s="86" t="s">
        <v>121</v>
      </c>
      <c r="B8" s="88">
        <v>347151706.97000003</v>
      </c>
      <c r="C8" s="88">
        <f t="shared" si="0"/>
        <v>34715170.697000004</v>
      </c>
      <c r="D8" s="6" t="s">
        <v>122</v>
      </c>
      <c r="F8" s="58"/>
      <c r="G8" s="59"/>
    </row>
    <row r="9" spans="1:7" ht="15.5" thickTop="1" thickBot="1" x14ac:dyDescent="0.4">
      <c r="A9" s="86" t="s">
        <v>123</v>
      </c>
      <c r="B9" s="88">
        <v>244435341.19999999</v>
      </c>
      <c r="C9" s="88">
        <f t="shared" si="0"/>
        <v>24443534.120000001</v>
      </c>
      <c r="D9" s="6" t="s">
        <v>124</v>
      </c>
      <c r="F9" s="58"/>
      <c r="G9" s="59"/>
    </row>
    <row r="10" spans="1:7" ht="15.5" thickTop="1" thickBot="1" x14ac:dyDescent="0.4">
      <c r="A10" s="86" t="s">
        <v>125</v>
      </c>
      <c r="B10" s="88">
        <v>41618511.609999999</v>
      </c>
      <c r="C10" s="88">
        <f t="shared" si="0"/>
        <v>4161851.1610000003</v>
      </c>
      <c r="D10" s="6" t="s">
        <v>126</v>
      </c>
      <c r="F10" s="58"/>
      <c r="G10" s="59"/>
    </row>
    <row r="11" spans="1:7" ht="15.5" thickTop="1" thickBot="1" x14ac:dyDescent="0.4">
      <c r="A11" s="86" t="s">
        <v>127</v>
      </c>
      <c r="B11" s="88">
        <v>203724540.09</v>
      </c>
      <c r="C11" s="88">
        <f t="shared" si="0"/>
        <v>20372454.009000003</v>
      </c>
      <c r="D11" s="6" t="s">
        <v>128</v>
      </c>
      <c r="F11" s="58"/>
      <c r="G11" s="59"/>
    </row>
    <row r="12" spans="1:7" ht="15.5" thickTop="1" thickBot="1" x14ac:dyDescent="0.4">
      <c r="A12" s="86" t="s">
        <v>129</v>
      </c>
      <c r="B12" s="88">
        <v>43942654.060000002</v>
      </c>
      <c r="C12" s="88">
        <f t="shared" si="0"/>
        <v>4394265.4060000004</v>
      </c>
      <c r="D12" s="6" t="s">
        <v>130</v>
      </c>
      <c r="F12" s="58"/>
      <c r="G12" s="59"/>
    </row>
    <row r="13" spans="1:7" ht="15.5" thickTop="1" thickBot="1" x14ac:dyDescent="0.4">
      <c r="A13" s="86" t="s">
        <v>131</v>
      </c>
      <c r="B13" s="88">
        <v>22791114.620000001</v>
      </c>
      <c r="C13" s="88">
        <f t="shared" si="0"/>
        <v>2279111.4620000003</v>
      </c>
      <c r="D13" s="6" t="s">
        <v>132</v>
      </c>
      <c r="F13" s="58"/>
      <c r="G13" s="59"/>
    </row>
    <row r="14" spans="1:7" ht="15.5" thickTop="1" thickBot="1" x14ac:dyDescent="0.4">
      <c r="A14" s="86" t="s">
        <v>133</v>
      </c>
      <c r="B14" s="88">
        <v>292413734.57999998</v>
      </c>
      <c r="C14" s="88">
        <f t="shared" si="0"/>
        <v>29241373.458000001</v>
      </c>
      <c r="D14" s="6" t="s">
        <v>134</v>
      </c>
      <c r="F14" s="58"/>
      <c r="G14" s="59"/>
    </row>
    <row r="15" spans="1:7" ht="15.5" thickTop="1" thickBot="1" x14ac:dyDescent="0.4">
      <c r="A15" s="86" t="s">
        <v>135</v>
      </c>
      <c r="B15" s="88">
        <v>92727031.950000003</v>
      </c>
      <c r="C15" s="88">
        <f t="shared" si="0"/>
        <v>9272703.1950000003</v>
      </c>
      <c r="D15" s="6" t="s">
        <v>136</v>
      </c>
      <c r="F15" s="58"/>
      <c r="G15" s="59"/>
    </row>
    <row r="16" spans="1:7" ht="15.5" thickTop="1" thickBot="1" x14ac:dyDescent="0.4">
      <c r="A16" s="86" t="s">
        <v>137</v>
      </c>
      <c r="B16" s="88">
        <v>348011116.61000001</v>
      </c>
      <c r="C16" s="88">
        <f t="shared" si="0"/>
        <v>34801111.661000006</v>
      </c>
      <c r="D16" s="6" t="s">
        <v>138</v>
      </c>
      <c r="F16" s="58"/>
      <c r="G16" s="59"/>
    </row>
    <row r="17" spans="1:7" ht="15.5" thickTop="1" thickBot="1" x14ac:dyDescent="0.4">
      <c r="A17" s="86" t="s">
        <v>139</v>
      </c>
      <c r="B17" s="88">
        <v>19682420.100000001</v>
      </c>
      <c r="C17" s="88">
        <f t="shared" si="0"/>
        <v>1968242.0100000002</v>
      </c>
      <c r="D17" s="6" t="s">
        <v>140</v>
      </c>
      <c r="F17" s="58"/>
      <c r="G17" s="59"/>
    </row>
    <row r="18" spans="1:7" ht="15.5" thickTop="1" thickBot="1" x14ac:dyDescent="0.4">
      <c r="A18" s="86" t="s">
        <v>141</v>
      </c>
      <c r="B18" s="88">
        <v>27525644.960000001</v>
      </c>
      <c r="C18" s="88">
        <f t="shared" si="0"/>
        <v>2752564.4960000003</v>
      </c>
      <c r="D18" s="6" t="s">
        <v>142</v>
      </c>
      <c r="F18" s="58"/>
      <c r="G18" s="59"/>
    </row>
    <row r="19" spans="1:7" ht="15.5" thickTop="1" thickBot="1" x14ac:dyDescent="0.4">
      <c r="A19" s="86" t="s">
        <v>143</v>
      </c>
      <c r="B19" s="88">
        <v>367747500.77999997</v>
      </c>
      <c r="C19" s="88">
        <f t="shared" si="0"/>
        <v>36774750.078000002</v>
      </c>
      <c r="D19" s="6" t="s">
        <v>144</v>
      </c>
      <c r="F19" s="58"/>
      <c r="G19" s="59"/>
    </row>
    <row r="20" spans="1:7" ht="15.5" thickTop="1" thickBot="1" x14ac:dyDescent="0.4">
      <c r="A20" s="87" t="s">
        <v>145</v>
      </c>
      <c r="B20" s="88">
        <v>22930617.640000001</v>
      </c>
      <c r="C20" s="88">
        <f t="shared" si="0"/>
        <v>2293061.764</v>
      </c>
      <c r="D20" s="6" t="s">
        <v>146</v>
      </c>
      <c r="F20" s="58"/>
      <c r="G20" s="59"/>
    </row>
    <row r="21" spans="1:7" x14ac:dyDescent="0.35">
      <c r="B21" s="17"/>
    </row>
  </sheetData>
  <sheetProtection algorithmName="SHA-512" hashValue="v7Rc4pEq2Qwp1tW5P2zt8V/ApFMsHw4TCo2j3d+4BPHfiKK+mTgGCNLQiR9f2CXkFQXpxC5iCVkJGyIhKSTs5A==" saltValue="MhKn2MuSgYzz7OA/R51Zcw==" spinCount="100000" sheet="1" objects="1" scenarios="1"/>
  <sortState ref="A3:D19">
    <sortCondition ref="A3"/>
  </sortState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&amp;L&amp;"Calibri"&amp;10&amp;K000000#restrita&amp;1#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Dados</vt:lpstr>
      <vt:lpstr>Patrimônio Líquido</vt:lpstr>
      <vt:lpstr>Dados!Area_de_impressao</vt:lpstr>
    </vt:vector>
  </TitlesOfParts>
  <Manager/>
  <Company>SUSEP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da Cruz Nassif</dc:creator>
  <cp:keywords/>
  <dc:description/>
  <cp:lastModifiedBy>usuariolocal</cp:lastModifiedBy>
  <cp:revision/>
  <dcterms:created xsi:type="dcterms:W3CDTF">2015-10-22T17:36:08Z</dcterms:created>
  <dcterms:modified xsi:type="dcterms:W3CDTF">2026-03-06T19:51:40Z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2b5376-9aae-4374-af6e-5dbabdf2ced1_Enabled">
    <vt:lpwstr>True</vt:lpwstr>
  </property>
  <property fmtid="{D5CDD505-2E9C-101B-9397-08002B2CF9AE}" pid="3" name="MSIP_Label_802b5376-9aae-4374-af6e-5dbabdf2ced1_SiteId">
    <vt:lpwstr>1384a791-5f3c-46c2-8b96-437e4cd317ca</vt:lpwstr>
  </property>
  <property fmtid="{D5CDD505-2E9C-101B-9397-08002B2CF9AE}" pid="4" name="MSIP_Label_802b5376-9aae-4374-af6e-5dbabdf2ced1_Owner">
    <vt:lpwstr>rguimaraes@brasilcap.com.br</vt:lpwstr>
  </property>
  <property fmtid="{D5CDD505-2E9C-101B-9397-08002B2CF9AE}" pid="5" name="MSIP_Label_802b5376-9aae-4374-af6e-5dbabdf2ced1_SetDate">
    <vt:lpwstr>2019-10-08T20:48:16.9393115Z</vt:lpwstr>
  </property>
  <property fmtid="{D5CDD505-2E9C-101B-9397-08002B2CF9AE}" pid="6" name="MSIP_Label_802b5376-9aae-4374-af6e-5dbabdf2ced1_Name">
    <vt:lpwstr>RESTRITA</vt:lpwstr>
  </property>
  <property fmtid="{D5CDD505-2E9C-101B-9397-08002B2CF9AE}" pid="7" name="MSIP_Label_802b5376-9aae-4374-af6e-5dbabdf2ced1_Application">
    <vt:lpwstr>Microsoft Azure Information Protection</vt:lpwstr>
  </property>
  <property fmtid="{D5CDD505-2E9C-101B-9397-08002B2CF9AE}" pid="8" name="MSIP_Label_802b5376-9aae-4374-af6e-5dbabdf2ced1_ActionId">
    <vt:lpwstr>3c88dbea-119c-4b74-af23-776c4d5d9b47</vt:lpwstr>
  </property>
  <property fmtid="{D5CDD505-2E9C-101B-9397-08002B2CF9AE}" pid="9" name="MSIP_Label_802b5376-9aae-4374-af6e-5dbabdf2ced1_Extended_MSFT_Method">
    <vt:lpwstr>Manual</vt:lpwstr>
  </property>
  <property fmtid="{D5CDD505-2E9C-101B-9397-08002B2CF9AE}" pid="10" name="Sensitivity">
    <vt:lpwstr>RESTRITA</vt:lpwstr>
  </property>
</Properties>
</file>