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egovbr.sharepoint.com/sites/TimeCGCAR/Documentos Compartilhados/CGCAR/CGCAR-DECAR/3. Projetos/Reestruturação de Carreiras - 2025/Novo PL - 2º sem 2025/NTAN_EMI/20251118/"/>
    </mc:Choice>
  </mc:AlternateContent>
  <xr:revisionPtr revIDLastSave="560" documentId="13_ncr:1_{0AD080C9-702C-764A-B294-F6ED5DF70F06}" xr6:coauthVersionLast="47" xr6:coauthVersionMax="47" xr10:uidLastSave="{4A8C8E4C-6CEB-4548-A2BE-967C3A6004BD}"/>
  <bookViews>
    <workbookView xWindow="-120" yWindow="-120" windowWidth="29040" windowHeight="15720" xr2:uid="{25FAC55B-F1D9-4879-BF6A-F3C3C44D6EB6}"/>
  </bookViews>
  <sheets>
    <sheet name="Resumo Geral" sheetId="52" r:id="rId1"/>
    <sheet name="Consolidado-Reajuste" sheetId="17" r:id="rId2"/>
    <sheet name="Consolidado-CriaCargos" sheetId="35" r:id="rId3"/>
    <sheet name="Consolidado-Benef." sheetId="36" r:id="rId4"/>
    <sheet name="Consolidado-InclusaoEX" sheetId="37" r:id="rId5"/>
    <sheet name="Item1-RSC" sheetId="16" r:id="rId6"/>
    <sheet name="Item2-Med.PCCTAE" sheetId="21" r:id="rId7"/>
    <sheet name="Item3-ATE" sheetId="19" r:id="rId8"/>
    <sheet name="Item 4-PCCCULT" sheetId="25" r:id="rId9"/>
    <sheet name="Item5-RFB e AFT" sheetId="27" r:id="rId10"/>
    <sheet name="5.a-MEM.BÔNU_RFB-APOS.PENS" sheetId="28" r:id="rId11"/>
    <sheet name="5.c-MEM.REAJ_VB_RFB" sheetId="30" r:id="rId12"/>
    <sheet name="5.d-MEM.BÔNU_MTE-APOS.PENS" sheetId="31" r:id="rId13"/>
    <sheet name="5.f-MEM.REAJ_VB_MTE" sheetId="33" r:id="rId14"/>
    <sheet name="Item6-QuadroTI" sheetId="26" r:id="rId15"/>
    <sheet name="Item 7 - TurnosMDR" sheetId="55" r:id="rId16"/>
    <sheet name="Item 8 - TurnosEXEC" sheetId="57" r:id="rId17"/>
    <sheet name="Item9-Loc Estrategica" sheetId="9" r:id="rId18"/>
    <sheet name="Item 10 - Consig." sheetId="56" r:id="rId19"/>
    <sheet name="Item 11 - Examesmédicos" sheetId="58" r:id="rId20"/>
    <sheet name="Item 12 - Temporários" sheetId="59" r:id="rId21"/>
    <sheet name="Item13-TabAnistiado" sheetId="22" r:id="rId22"/>
    <sheet name="Item14-Anist.PDI" sheetId="53" r:id="rId23"/>
    <sheet name="Item 15 - Lot.Peritos" sheetId="60" r:id="rId24"/>
    <sheet name="Item 16 - CriaçãoCARGOS" sheetId="34" r:id="rId25"/>
    <sheet name="Item17-GTATA " sheetId="18" r:id="rId26"/>
    <sheet name="Item 18 - IPEA" sheetId="54" r:id="rId27"/>
    <sheet name="Pt 0 - FCDF" sheetId="10" state="hidden" r:id="rId28"/>
    <sheet name="Resumo pt1 CGINF" sheetId="2" state="hidden" r:id="rId29"/>
    <sheet name="Resumo pt 2" sheetId="1" state="hidden" r:id="rId30"/>
    <sheet name="Resumo pt 2 (bck)" sheetId="8" state="hidden" r:id="rId31"/>
    <sheet name="Item 19 - Transf.vagos" sheetId="11" r:id="rId32"/>
    <sheet name="Item 20 - Ext Art. 129 - LDO PL" sheetId="51" r:id="rId33"/>
    <sheet name="Item21 - Reabertura Prazo CEEXT" sheetId="12" r:id="rId34"/>
    <sheet name="Item22-Transform.RFB" sheetId="4" r:id="rId35"/>
    <sheet name="Item23-24-25.1-FCDFGeral" sheetId="49" r:id="rId36"/>
    <sheet name="14.1.PCDF.Reajus-Impacto" sheetId="50" state="hidden" r:id="rId37"/>
    <sheet name="23.1.PCDF.Reajus" sheetId="47" r:id="rId38"/>
    <sheet name="23.2.PCPM-CBM-GDF-Reajus" sheetId="44" r:id="rId39"/>
    <sheet name="RESUMO" sheetId="45" state="hidden" r:id="rId40"/>
    <sheet name="Item 24. PCPM-CBM-GDF - Aux.Mor" sheetId="43" r:id="rId41"/>
    <sheet name="Item 25.26-EXTGeral" sheetId="40" r:id="rId42"/>
    <sheet name="Item 25. ReajEXT" sheetId="42" r:id="rId43"/>
    <sheet name="Item 26. MoradiaEXT" sheetId="41" r:id="rId44"/>
  </sheets>
  <definedNames>
    <definedName name="_xlnm._FilterDatabase" localSheetId="31" hidden="1">'Item 19 - Transf.vagos'!$A$22:$AR$99</definedName>
    <definedName name="_xlnm._FilterDatabase" localSheetId="22" hidden="1">'Item14-Anist.PDI'!$A$11:$AH$620</definedName>
    <definedName name="_xlnm.Print_Area" localSheetId="5">'Item1-RSC'!$B$2:$U$62</definedName>
    <definedName name="Cat.FCDF.I" localSheetId="25">#REF!</definedName>
    <definedName name="Cat.FCDF.I">!#REF!</definedName>
    <definedName name="Cat.FCDF.II" localSheetId="25">#REF!</definedName>
    <definedName name="Cat.FCDF.II">!#REF!</definedName>
    <definedName name="Cat.Leju.I" localSheetId="25">#REF!</definedName>
    <definedName name="Cat.Leju.I">!#REF!</definedName>
    <definedName name="Cat.Leju.II" localSheetId="25">#REF!</definedName>
    <definedName name="Cat.Leju.II">!#REF!</definedName>
    <definedName name="Cat.Mil.I" localSheetId="25">#REF!</definedName>
    <definedName name="Cat.Mil.I">!#REF!</definedName>
    <definedName name="Cat.SGP.I">!#REF!</definedName>
    <definedName name="Ex.Ref." localSheetId="25">#REF!</definedName>
    <definedName name="Ex.Ref.">!#REF!</definedName>
    <definedName name="MilQI" localSheetId="25">#REF!</definedName>
    <definedName name="MilQI">!#REF!</definedName>
    <definedName name="TA.FCDF.IeII" localSheetId="25">#REF!</definedName>
    <definedName name="TA.FCDF.IeII">!#REF!</definedName>
    <definedName name="TA.LEJU.IeII" localSheetId="25">#REF!</definedName>
    <definedName name="TA.LEJU.IeII">!#REF!</definedName>
    <definedName name="TA.Mil.I" localSheetId="25">#REF!</definedName>
    <definedName name="TA.Mil.I">!#REF!</definedName>
    <definedName name="TA.SGP.I">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52" l="1"/>
  <c r="I19" i="52"/>
  <c r="I20" i="52"/>
  <c r="I21" i="52" s="1"/>
  <c r="AS6" i="35"/>
  <c r="AS7" i="35"/>
  <c r="AU5" i="35"/>
  <c r="T6" i="35"/>
  <c r="W6" i="35" s="1"/>
  <c r="X6" i="35"/>
  <c r="AT16" i="17"/>
  <c r="AU16" i="17" s="1"/>
  <c r="AZ16" i="17" s="1"/>
  <c r="AT17" i="17"/>
  <c r="AT18" i="17"/>
  <c r="AY18" i="17" s="1"/>
  <c r="AT19" i="17"/>
  <c r="AT5" i="17"/>
  <c r="AT6" i="17"/>
  <c r="AT7" i="17"/>
  <c r="AU7" i="17" s="1"/>
  <c r="AT8" i="17"/>
  <c r="AU8" i="17" s="1"/>
  <c r="AT9" i="17"/>
  <c r="AU9" i="17" s="1"/>
  <c r="AZ9" i="17" s="1"/>
  <c r="AT10" i="17"/>
  <c r="AU10" i="17" s="1"/>
  <c r="AT11" i="17"/>
  <c r="AU11" i="17" s="1"/>
  <c r="AT12" i="17"/>
  <c r="AU12" i="17" s="1"/>
  <c r="AT13" i="17"/>
  <c r="AU13" i="17" s="1"/>
  <c r="AZ13" i="17" s="1"/>
  <c r="AT14" i="17"/>
  <c r="AT15" i="17"/>
  <c r="AU14" i="17"/>
  <c r="AZ14" i="17" s="1"/>
  <c r="AS15" i="17"/>
  <c r="AT8" i="36"/>
  <c r="AT7" i="36"/>
  <c r="AT6" i="36"/>
  <c r="AT5" i="36"/>
  <c r="AW17" i="17"/>
  <c r="AX17" i="17"/>
  <c r="AY17" i="17"/>
  <c r="AZ17" i="17"/>
  <c r="AW18" i="17"/>
  <c r="AX18" i="17"/>
  <c r="AW19" i="17"/>
  <c r="AX19" i="17"/>
  <c r="AY19" i="17"/>
  <c r="AZ19" i="17"/>
  <c r="AU6" i="17"/>
  <c r="AZ6" i="17" s="1"/>
  <c r="AU17" i="17"/>
  <c r="AU18" i="17"/>
  <c r="AZ18" i="17" s="1"/>
  <c r="AU19" i="17"/>
  <c r="AU5" i="17"/>
  <c r="AZ5" i="17" s="1"/>
  <c r="AH15" i="17"/>
  <c r="AB15" i="17"/>
  <c r="AB16" i="17"/>
  <c r="AH16" i="17"/>
  <c r="V16" i="17"/>
  <c r="AI7" i="36"/>
  <c r="AI5" i="36"/>
  <c r="AG5" i="36"/>
  <c r="AA7" i="36"/>
  <c r="AG7" i="36" s="1"/>
  <c r="AB7" i="36"/>
  <c r="Z7" i="36"/>
  <c r="AF7" i="36" s="1"/>
  <c r="U7" i="36"/>
  <c r="V7" i="36"/>
  <c r="T7" i="36"/>
  <c r="O7" i="36"/>
  <c r="P7" i="36"/>
  <c r="N7" i="36"/>
  <c r="AS5" i="49"/>
  <c r="AS11" i="49"/>
  <c r="AP11" i="49"/>
  <c r="AQ11" i="49"/>
  <c r="AR11" i="49"/>
  <c r="F7" i="49"/>
  <c r="H7" i="49"/>
  <c r="I7" i="49"/>
  <c r="J7" i="49"/>
  <c r="K7" i="49"/>
  <c r="M7" i="49" s="1"/>
  <c r="AP7" i="49" s="1"/>
  <c r="N7" i="49"/>
  <c r="AF7" i="49" s="1"/>
  <c r="O7" i="49"/>
  <c r="AL7" i="49" s="1"/>
  <c r="P7" i="49"/>
  <c r="AH7" i="49" s="1"/>
  <c r="Q7" i="49"/>
  <c r="S7" i="49"/>
  <c r="T7" i="49"/>
  <c r="W7" i="49" s="1"/>
  <c r="Y7" i="49" s="1"/>
  <c r="AR7" i="49" s="1"/>
  <c r="U7" i="49"/>
  <c r="V7" i="49"/>
  <c r="Z7" i="49"/>
  <c r="AA7" i="49"/>
  <c r="AB7" i="49"/>
  <c r="AJ7" i="49"/>
  <c r="AN7" i="49"/>
  <c r="AS10" i="27"/>
  <c r="AQ10" i="27"/>
  <c r="AR10" i="27"/>
  <c r="O14" i="25"/>
  <c r="O13" i="25"/>
  <c r="O12" i="25"/>
  <c r="O15" i="25" s="1"/>
  <c r="K14" i="25"/>
  <c r="K13" i="25"/>
  <c r="K15" i="25" s="1"/>
  <c r="K12" i="25"/>
  <c r="N15" i="25"/>
  <c r="M15" i="25"/>
  <c r="L15" i="25"/>
  <c r="J15" i="25"/>
  <c r="I15" i="25"/>
  <c r="H15" i="25"/>
  <c r="G15" i="25"/>
  <c r="K20" i="19"/>
  <c r="K19" i="19"/>
  <c r="K18" i="19"/>
  <c r="K17" i="19"/>
  <c r="K16" i="19"/>
  <c r="K21" i="19" s="1"/>
  <c r="K15" i="19"/>
  <c r="K14" i="19"/>
  <c r="K13" i="19"/>
  <c r="K12" i="19"/>
  <c r="K11" i="19"/>
  <c r="K10" i="19"/>
  <c r="O20" i="19"/>
  <c r="O19" i="19"/>
  <c r="O18" i="19"/>
  <c r="O17" i="19"/>
  <c r="O21" i="19" s="1"/>
  <c r="O16" i="19"/>
  <c r="O15" i="19"/>
  <c r="O14" i="19"/>
  <c r="O13" i="19"/>
  <c r="O12" i="19"/>
  <c r="O11" i="19"/>
  <c r="O10" i="19"/>
  <c r="W20" i="19"/>
  <c r="W21" i="19" s="1"/>
  <c r="W19" i="19"/>
  <c r="W18" i="19"/>
  <c r="W17" i="19"/>
  <c r="W16" i="19"/>
  <c r="W15" i="19"/>
  <c r="W14" i="19"/>
  <c r="W13" i="19"/>
  <c r="W12" i="19"/>
  <c r="W11" i="19"/>
  <c r="W10" i="19"/>
  <c r="S11" i="19"/>
  <c r="S12" i="19"/>
  <c r="S13" i="19"/>
  <c r="S14" i="19"/>
  <c r="S15" i="19"/>
  <c r="S16" i="19"/>
  <c r="S17" i="19"/>
  <c r="S18" i="19"/>
  <c r="S19" i="19"/>
  <c r="S20" i="19"/>
  <c r="S10" i="19"/>
  <c r="S21" i="19" s="1"/>
  <c r="M89" i="16"/>
  <c r="B5" i="53"/>
  <c r="E18" i="9"/>
  <c r="R30" i="33"/>
  <c r="Q30" i="33"/>
  <c r="R27" i="33"/>
  <c r="S27" i="33" s="1"/>
  <c r="Q27" i="33"/>
  <c r="P27" i="33"/>
  <c r="P29" i="33" s="1"/>
  <c r="S29" i="33" s="1"/>
  <c r="R26" i="33"/>
  <c r="P28" i="33"/>
  <c r="R23" i="33"/>
  <c r="Q23" i="33"/>
  <c r="Q26" i="33" s="1"/>
  <c r="P23" i="33"/>
  <c r="S22" i="33"/>
  <c r="P19" i="33"/>
  <c r="U19" i="33" s="1"/>
  <c r="L19" i="33"/>
  <c r="J19" i="33"/>
  <c r="R19" i="33"/>
  <c r="Q19" i="33"/>
  <c r="H19" i="33"/>
  <c r="U18" i="33"/>
  <c r="X18" i="33" s="1"/>
  <c r="R18" i="33"/>
  <c r="L18" i="33"/>
  <c r="K18" i="33"/>
  <c r="Q18" i="33"/>
  <c r="J18" i="33"/>
  <c r="M18" i="33" s="1"/>
  <c r="Q17" i="33"/>
  <c r="K17" i="33"/>
  <c r="J17" i="33"/>
  <c r="R17" i="33"/>
  <c r="P17" i="33"/>
  <c r="P16" i="33"/>
  <c r="U16" i="33" s="1"/>
  <c r="L16" i="33"/>
  <c r="J16" i="33"/>
  <c r="R16" i="33"/>
  <c r="Q16" i="33"/>
  <c r="H16" i="33"/>
  <c r="R15" i="33"/>
  <c r="W15" i="33" s="1"/>
  <c r="L15" i="33"/>
  <c r="K15" i="33"/>
  <c r="Q15" i="33"/>
  <c r="J15" i="33"/>
  <c r="M15" i="33" s="1"/>
  <c r="Q14" i="33"/>
  <c r="K14" i="33"/>
  <c r="J14" i="33"/>
  <c r="R14" i="33"/>
  <c r="P14" i="33"/>
  <c r="W13" i="33"/>
  <c r="V13" i="33"/>
  <c r="R13" i="33"/>
  <c r="S13" i="33" s="1"/>
  <c r="Q13" i="33"/>
  <c r="P13" i="33"/>
  <c r="L13" i="33"/>
  <c r="K13" i="33"/>
  <c r="H13" i="33"/>
  <c r="J13" i="33"/>
  <c r="M13" i="33" s="1"/>
  <c r="X12" i="33"/>
  <c r="U13" i="33"/>
  <c r="X13" i="33" s="1"/>
  <c r="Q20" i="33"/>
  <c r="K12" i="33"/>
  <c r="J12" i="33"/>
  <c r="J20" i="33" s="1"/>
  <c r="L12" i="33"/>
  <c r="F20" i="33"/>
  <c r="Q32" i="33" s="1"/>
  <c r="H12" i="33"/>
  <c r="AZ7" i="17" l="1"/>
  <c r="AU15" i="17"/>
  <c r="AU20" i="17" s="1"/>
  <c r="AZ15" i="17"/>
  <c r="AC7" i="49"/>
  <c r="AE7" i="49" s="1"/>
  <c r="AO7" i="49" s="1"/>
  <c r="AK7" i="49"/>
  <c r="AS7" i="49"/>
  <c r="AG7" i="49"/>
  <c r="AI7" i="49" s="1"/>
  <c r="AQ7" i="49"/>
  <c r="U17" i="33"/>
  <c r="S17" i="33"/>
  <c r="V15" i="33"/>
  <c r="W17" i="33"/>
  <c r="V19" i="33"/>
  <c r="X19" i="33" s="1"/>
  <c r="R20" i="33"/>
  <c r="T13" i="33"/>
  <c r="M17" i="33"/>
  <c r="W19" i="33"/>
  <c r="P30" i="33"/>
  <c r="S28" i="33"/>
  <c r="S30" i="33" s="1"/>
  <c r="Y13" i="33"/>
  <c r="M19" i="33"/>
  <c r="U14" i="33"/>
  <c r="S14" i="33"/>
  <c r="V16" i="33"/>
  <c r="X16" i="33" s="1"/>
  <c r="W14" i="33"/>
  <c r="W20" i="33" s="1"/>
  <c r="W22" i="33" s="1"/>
  <c r="W16" i="33"/>
  <c r="Q33" i="33"/>
  <c r="M14" i="33"/>
  <c r="M16" i="33"/>
  <c r="L20" i="33"/>
  <c r="S12" i="33"/>
  <c r="P15" i="33"/>
  <c r="P18" i="33"/>
  <c r="E20" i="33"/>
  <c r="P32" i="33" s="1"/>
  <c r="V14" i="33"/>
  <c r="V20" i="33" s="1"/>
  <c r="V22" i="33" s="1"/>
  <c r="K16" i="33"/>
  <c r="K20" i="33" s="1"/>
  <c r="V17" i="33"/>
  <c r="K19" i="33"/>
  <c r="P24" i="33"/>
  <c r="S24" i="33" s="1"/>
  <c r="G20" i="33"/>
  <c r="R32" i="33" s="1"/>
  <c r="H14" i="33"/>
  <c r="H20" i="33" s="1"/>
  <c r="H17" i="33"/>
  <c r="L14" i="33"/>
  <c r="L17" i="33"/>
  <c r="P25" i="33"/>
  <c r="S25" i="33" s="1"/>
  <c r="M12" i="33"/>
  <c r="H15" i="33"/>
  <c r="S16" i="33"/>
  <c r="H18" i="33"/>
  <c r="S19" i="33"/>
  <c r="S23" i="33"/>
  <c r="AM7" i="49" l="1"/>
  <c r="V23" i="33"/>
  <c r="V26" i="33" s="1"/>
  <c r="V27" i="33"/>
  <c r="V30" i="33" s="1"/>
  <c r="W23" i="33"/>
  <c r="W26" i="33" s="1"/>
  <c r="W27" i="33"/>
  <c r="W30" i="33" s="1"/>
  <c r="U15" i="33"/>
  <c r="S15" i="33"/>
  <c r="R33" i="33"/>
  <c r="P26" i="33"/>
  <c r="S26" i="33" s="1"/>
  <c r="X17" i="33"/>
  <c r="S18" i="33"/>
  <c r="P20" i="33"/>
  <c r="T12" i="33"/>
  <c r="Y12" i="33"/>
  <c r="Q36" i="33"/>
  <c r="M20" i="33"/>
  <c r="X14" i="33"/>
  <c r="P33" i="33"/>
  <c r="S32" i="33"/>
  <c r="L620" i="53"/>
  <c r="M620" i="53" s="1"/>
  <c r="AE620" i="53" s="1"/>
  <c r="AF620" i="53" s="1"/>
  <c r="L619" i="53"/>
  <c r="M619" i="53" s="1"/>
  <c r="AE619" i="53" s="1"/>
  <c r="AF619" i="53" s="1"/>
  <c r="L618" i="53"/>
  <c r="M618" i="53" s="1"/>
  <c r="AE618" i="53" s="1"/>
  <c r="AF618" i="53" s="1"/>
  <c r="L617" i="53"/>
  <c r="M617" i="53" s="1"/>
  <c r="AE617" i="53" s="1"/>
  <c r="AF617" i="53" s="1"/>
  <c r="AH617" i="53" s="1"/>
  <c r="L616" i="53"/>
  <c r="M616" i="53" s="1"/>
  <c r="AE616" i="53" s="1"/>
  <c r="AF616" i="53" s="1"/>
  <c r="L615" i="53"/>
  <c r="M615" i="53" s="1"/>
  <c r="AE615" i="53" s="1"/>
  <c r="AF615" i="53" s="1"/>
  <c r="AH615" i="53" s="1"/>
  <c r="L614" i="53"/>
  <c r="M614" i="53" s="1"/>
  <c r="AE614" i="53" s="1"/>
  <c r="AF614" i="53" s="1"/>
  <c r="L613" i="53"/>
  <c r="M613" i="53" s="1"/>
  <c r="AE613" i="53" s="1"/>
  <c r="AF613" i="53" s="1"/>
  <c r="L612" i="53"/>
  <c r="M612" i="53" s="1"/>
  <c r="AE612" i="53" s="1"/>
  <c r="AF612" i="53" s="1"/>
  <c r="L611" i="53"/>
  <c r="M611" i="53" s="1"/>
  <c r="AE611" i="53" s="1"/>
  <c r="AF611" i="53" s="1"/>
  <c r="L610" i="53"/>
  <c r="M610" i="53" s="1"/>
  <c r="AE610" i="53" s="1"/>
  <c r="AF610" i="53" s="1"/>
  <c r="L609" i="53"/>
  <c r="M609" i="53" s="1"/>
  <c r="AE609" i="53" s="1"/>
  <c r="AF609" i="53" s="1"/>
  <c r="L608" i="53"/>
  <c r="M608" i="53" s="1"/>
  <c r="AE608" i="53" s="1"/>
  <c r="AF608" i="53" s="1"/>
  <c r="AH608" i="53" s="1"/>
  <c r="L607" i="53"/>
  <c r="M607" i="53" s="1"/>
  <c r="AE607" i="53" s="1"/>
  <c r="AF607" i="53" s="1"/>
  <c r="L606" i="53"/>
  <c r="M606" i="53" s="1"/>
  <c r="AE606" i="53" s="1"/>
  <c r="AF606" i="53" s="1"/>
  <c r="L605" i="53"/>
  <c r="M605" i="53" s="1"/>
  <c r="AE605" i="53" s="1"/>
  <c r="AF605" i="53" s="1"/>
  <c r="AH605" i="53" s="1"/>
  <c r="L604" i="53"/>
  <c r="M604" i="53" s="1"/>
  <c r="AE604" i="53" s="1"/>
  <c r="AF604" i="53" s="1"/>
  <c r="L603" i="53"/>
  <c r="M603" i="53" s="1"/>
  <c r="AE603" i="53" s="1"/>
  <c r="AF603" i="53" s="1"/>
  <c r="L602" i="53"/>
  <c r="M602" i="53" s="1"/>
  <c r="AE602" i="53" s="1"/>
  <c r="AF602" i="53" s="1"/>
  <c r="L601" i="53"/>
  <c r="M601" i="53" s="1"/>
  <c r="AE601" i="53" s="1"/>
  <c r="AF601" i="53" s="1"/>
  <c r="L600" i="53"/>
  <c r="M600" i="53" s="1"/>
  <c r="AE600" i="53" s="1"/>
  <c r="AF600" i="53" s="1"/>
  <c r="L599" i="53"/>
  <c r="M599" i="53" s="1"/>
  <c r="AE599" i="53" s="1"/>
  <c r="AF599" i="53" s="1"/>
  <c r="L598" i="53"/>
  <c r="M598" i="53" s="1"/>
  <c r="AE598" i="53" s="1"/>
  <c r="AF598" i="53" s="1"/>
  <c r="L597" i="53"/>
  <c r="M597" i="53" s="1"/>
  <c r="AE597" i="53" s="1"/>
  <c r="AF597" i="53" s="1"/>
  <c r="L596" i="53"/>
  <c r="M596" i="53" s="1"/>
  <c r="AE596" i="53" s="1"/>
  <c r="AF596" i="53" s="1"/>
  <c r="L595" i="53"/>
  <c r="M595" i="53" s="1"/>
  <c r="AE595" i="53" s="1"/>
  <c r="AF595" i="53" s="1"/>
  <c r="L594" i="53"/>
  <c r="M594" i="53" s="1"/>
  <c r="AE594" i="53" s="1"/>
  <c r="AF594" i="53" s="1"/>
  <c r="L593" i="53"/>
  <c r="M593" i="53" s="1"/>
  <c r="AE593" i="53" s="1"/>
  <c r="AF593" i="53" s="1"/>
  <c r="L592" i="53"/>
  <c r="M592" i="53" s="1"/>
  <c r="AE592" i="53" s="1"/>
  <c r="AF592" i="53" s="1"/>
  <c r="AH592" i="53" s="1"/>
  <c r="L591" i="53"/>
  <c r="M591" i="53" s="1"/>
  <c r="AE591" i="53" s="1"/>
  <c r="AF591" i="53" s="1"/>
  <c r="L590" i="53"/>
  <c r="M590" i="53" s="1"/>
  <c r="AE590" i="53" s="1"/>
  <c r="AF590" i="53" s="1"/>
  <c r="L589" i="53"/>
  <c r="M589" i="53" s="1"/>
  <c r="AE589" i="53" s="1"/>
  <c r="AF589" i="53" s="1"/>
  <c r="L588" i="53"/>
  <c r="M588" i="53" s="1"/>
  <c r="AE588" i="53" s="1"/>
  <c r="AF588" i="53" s="1"/>
  <c r="L587" i="53"/>
  <c r="M587" i="53" s="1"/>
  <c r="AE587" i="53" s="1"/>
  <c r="AF587" i="53" s="1"/>
  <c r="L586" i="53"/>
  <c r="M586" i="53" s="1"/>
  <c r="AE586" i="53" s="1"/>
  <c r="AF586" i="53" s="1"/>
  <c r="L585" i="53"/>
  <c r="M585" i="53" s="1"/>
  <c r="AE585" i="53" s="1"/>
  <c r="AF585" i="53" s="1"/>
  <c r="L584" i="53"/>
  <c r="M584" i="53" s="1"/>
  <c r="AE584" i="53" s="1"/>
  <c r="AF584" i="53" s="1"/>
  <c r="AH584" i="53" s="1"/>
  <c r="L583" i="53"/>
  <c r="M583" i="53" s="1"/>
  <c r="AE583" i="53" s="1"/>
  <c r="AF583" i="53" s="1"/>
  <c r="L582" i="53"/>
  <c r="M582" i="53" s="1"/>
  <c r="AE582" i="53" s="1"/>
  <c r="AF582" i="53" s="1"/>
  <c r="L581" i="53"/>
  <c r="M581" i="53" s="1"/>
  <c r="AE581" i="53" s="1"/>
  <c r="AF581" i="53" s="1"/>
  <c r="AG581" i="53" s="1"/>
  <c r="L580" i="53"/>
  <c r="M580" i="53" s="1"/>
  <c r="AE580" i="53" s="1"/>
  <c r="AF580" i="53" s="1"/>
  <c r="L579" i="53"/>
  <c r="M579" i="53" s="1"/>
  <c r="AE579" i="53" s="1"/>
  <c r="AF579" i="53" s="1"/>
  <c r="L578" i="53"/>
  <c r="M578" i="53" s="1"/>
  <c r="AE578" i="53" s="1"/>
  <c r="AF578" i="53" s="1"/>
  <c r="L577" i="53"/>
  <c r="M577" i="53" s="1"/>
  <c r="AE577" i="53" s="1"/>
  <c r="AF577" i="53" s="1"/>
  <c r="L576" i="53"/>
  <c r="M576" i="53" s="1"/>
  <c r="AE576" i="53" s="1"/>
  <c r="AF576" i="53" s="1"/>
  <c r="L575" i="53"/>
  <c r="M575" i="53" s="1"/>
  <c r="AE575" i="53" s="1"/>
  <c r="AF575" i="53" s="1"/>
  <c r="L574" i="53"/>
  <c r="M574" i="53" s="1"/>
  <c r="AE574" i="53" s="1"/>
  <c r="AF574" i="53" s="1"/>
  <c r="L573" i="53"/>
  <c r="M573" i="53" s="1"/>
  <c r="AE573" i="53" s="1"/>
  <c r="AF573" i="53" s="1"/>
  <c r="L572" i="53"/>
  <c r="M572" i="53" s="1"/>
  <c r="AE572" i="53" s="1"/>
  <c r="AF572" i="53" s="1"/>
  <c r="L571" i="53"/>
  <c r="M571" i="53" s="1"/>
  <c r="AE571" i="53" s="1"/>
  <c r="AF571" i="53" s="1"/>
  <c r="AG571" i="53" s="1"/>
  <c r="L570" i="53"/>
  <c r="M570" i="53" s="1"/>
  <c r="AE570" i="53" s="1"/>
  <c r="AF570" i="53" s="1"/>
  <c r="L569" i="53"/>
  <c r="M569" i="53" s="1"/>
  <c r="AE569" i="53" s="1"/>
  <c r="AF569" i="53" s="1"/>
  <c r="L568" i="53"/>
  <c r="M568" i="53" s="1"/>
  <c r="AE568" i="53" s="1"/>
  <c r="AF568" i="53" s="1"/>
  <c r="L567" i="53"/>
  <c r="M567" i="53" s="1"/>
  <c r="AE567" i="53" s="1"/>
  <c r="AF567" i="53" s="1"/>
  <c r="L566" i="53"/>
  <c r="M566" i="53" s="1"/>
  <c r="AE566" i="53" s="1"/>
  <c r="AF566" i="53" s="1"/>
  <c r="L565" i="53"/>
  <c r="M565" i="53" s="1"/>
  <c r="AE565" i="53" s="1"/>
  <c r="AF565" i="53" s="1"/>
  <c r="AH565" i="53" s="1"/>
  <c r="L564" i="53"/>
  <c r="M564" i="53" s="1"/>
  <c r="AE564" i="53" s="1"/>
  <c r="AF564" i="53" s="1"/>
  <c r="L563" i="53"/>
  <c r="M563" i="53" s="1"/>
  <c r="AE563" i="53" s="1"/>
  <c r="AF563" i="53" s="1"/>
  <c r="AG563" i="53" s="1"/>
  <c r="L562" i="53"/>
  <c r="M562" i="53" s="1"/>
  <c r="AE562" i="53" s="1"/>
  <c r="AF562" i="53" s="1"/>
  <c r="L561" i="53"/>
  <c r="M561" i="53" s="1"/>
  <c r="AE561" i="53" s="1"/>
  <c r="AF561" i="53" s="1"/>
  <c r="AH561" i="53" s="1"/>
  <c r="L560" i="53"/>
  <c r="M560" i="53" s="1"/>
  <c r="AE560" i="53" s="1"/>
  <c r="AF560" i="53" s="1"/>
  <c r="AH560" i="53" s="1"/>
  <c r="L559" i="53"/>
  <c r="M559" i="53" s="1"/>
  <c r="AE559" i="53" s="1"/>
  <c r="AF559" i="53" s="1"/>
  <c r="AG559" i="53" s="1"/>
  <c r="L558" i="53"/>
  <c r="M558" i="53" s="1"/>
  <c r="AE558" i="53" s="1"/>
  <c r="AF558" i="53" s="1"/>
  <c r="L557" i="53"/>
  <c r="M557" i="53" s="1"/>
  <c r="AE557" i="53" s="1"/>
  <c r="AF557" i="53" s="1"/>
  <c r="AH557" i="53" s="1"/>
  <c r="L556" i="53"/>
  <c r="M556" i="53" s="1"/>
  <c r="AE556" i="53" s="1"/>
  <c r="AF556" i="53" s="1"/>
  <c r="L555" i="53"/>
  <c r="M555" i="53" s="1"/>
  <c r="AE555" i="53" s="1"/>
  <c r="AF555" i="53" s="1"/>
  <c r="AH555" i="53" s="1"/>
  <c r="L631" i="53"/>
  <c r="M631" i="53" s="1"/>
  <c r="AE631" i="53" s="1"/>
  <c r="AF631" i="53" s="1"/>
  <c r="AH631" i="53" s="1"/>
  <c r="L554" i="53"/>
  <c r="M554" i="53" s="1"/>
  <c r="AE554" i="53" s="1"/>
  <c r="AF554" i="53" s="1"/>
  <c r="L553" i="53"/>
  <c r="M553" i="53" s="1"/>
  <c r="AE553" i="53" s="1"/>
  <c r="AF553" i="53" s="1"/>
  <c r="L552" i="53"/>
  <c r="M552" i="53" s="1"/>
  <c r="AE552" i="53" s="1"/>
  <c r="AF552" i="53" s="1"/>
  <c r="AG552" i="53" s="1"/>
  <c r="L551" i="53"/>
  <c r="M551" i="53" s="1"/>
  <c r="AE551" i="53" s="1"/>
  <c r="AF551" i="53" s="1"/>
  <c r="AG551" i="53" s="1"/>
  <c r="L550" i="53"/>
  <c r="M550" i="53" s="1"/>
  <c r="AE550" i="53" s="1"/>
  <c r="AF550" i="53" s="1"/>
  <c r="L549" i="53"/>
  <c r="M549" i="53" s="1"/>
  <c r="AE549" i="53" s="1"/>
  <c r="AF549" i="53" s="1"/>
  <c r="L548" i="53"/>
  <c r="M548" i="53" s="1"/>
  <c r="AE548" i="53" s="1"/>
  <c r="AF548" i="53" s="1"/>
  <c r="L547" i="53"/>
  <c r="M547" i="53" s="1"/>
  <c r="AE547" i="53" s="1"/>
  <c r="AF547" i="53" s="1"/>
  <c r="L546" i="53"/>
  <c r="M546" i="53" s="1"/>
  <c r="AE546" i="53" s="1"/>
  <c r="AF546" i="53" s="1"/>
  <c r="L545" i="53"/>
  <c r="M545" i="53" s="1"/>
  <c r="AE545" i="53" s="1"/>
  <c r="AF545" i="53" s="1"/>
  <c r="L544" i="53"/>
  <c r="M544" i="53" s="1"/>
  <c r="AE544" i="53" s="1"/>
  <c r="AF544" i="53" s="1"/>
  <c r="L543" i="53"/>
  <c r="M543" i="53" s="1"/>
  <c r="AE543" i="53" s="1"/>
  <c r="AF543" i="53" s="1"/>
  <c r="L542" i="53"/>
  <c r="M542" i="53" s="1"/>
  <c r="AE542" i="53" s="1"/>
  <c r="AF542" i="53" s="1"/>
  <c r="AH542" i="53" s="1"/>
  <c r="L541" i="53"/>
  <c r="M541" i="53" s="1"/>
  <c r="AE541" i="53" s="1"/>
  <c r="AF541" i="53" s="1"/>
  <c r="L540" i="53"/>
  <c r="M540" i="53" s="1"/>
  <c r="AE540" i="53" s="1"/>
  <c r="AF540" i="53" s="1"/>
  <c r="L539" i="53"/>
  <c r="M539" i="53" s="1"/>
  <c r="AE539" i="53" s="1"/>
  <c r="AF539" i="53" s="1"/>
  <c r="L538" i="53"/>
  <c r="M538" i="53" s="1"/>
  <c r="AE538" i="53" s="1"/>
  <c r="AF538" i="53" s="1"/>
  <c r="L537" i="53"/>
  <c r="M537" i="53" s="1"/>
  <c r="AE537" i="53" s="1"/>
  <c r="AF537" i="53" s="1"/>
  <c r="L536" i="53"/>
  <c r="M536" i="53" s="1"/>
  <c r="AE536" i="53" s="1"/>
  <c r="AF536" i="53" s="1"/>
  <c r="L535" i="53"/>
  <c r="M535" i="53" s="1"/>
  <c r="AE535" i="53" s="1"/>
  <c r="AF535" i="53" s="1"/>
  <c r="L534" i="53"/>
  <c r="M534" i="53" s="1"/>
  <c r="AE534" i="53" s="1"/>
  <c r="AF534" i="53" s="1"/>
  <c r="L533" i="53"/>
  <c r="M533" i="53" s="1"/>
  <c r="AE533" i="53" s="1"/>
  <c r="AF533" i="53" s="1"/>
  <c r="L532" i="53"/>
  <c r="M532" i="53" s="1"/>
  <c r="AE532" i="53" s="1"/>
  <c r="AF532" i="53" s="1"/>
  <c r="L531" i="53"/>
  <c r="M531" i="53" s="1"/>
  <c r="AE531" i="53" s="1"/>
  <c r="AF531" i="53" s="1"/>
  <c r="L530" i="53"/>
  <c r="M530" i="53" s="1"/>
  <c r="AE530" i="53" s="1"/>
  <c r="AF530" i="53" s="1"/>
  <c r="L529" i="53"/>
  <c r="M529" i="53" s="1"/>
  <c r="AE529" i="53" s="1"/>
  <c r="AF529" i="53" s="1"/>
  <c r="L528" i="53"/>
  <c r="M528" i="53" s="1"/>
  <c r="AE528" i="53" s="1"/>
  <c r="AF528" i="53" s="1"/>
  <c r="AG528" i="53" s="1"/>
  <c r="L527" i="53"/>
  <c r="M527" i="53" s="1"/>
  <c r="AE527" i="53" s="1"/>
  <c r="AF527" i="53" s="1"/>
  <c r="AG527" i="53" s="1"/>
  <c r="L526" i="53"/>
  <c r="M526" i="53" s="1"/>
  <c r="AE526" i="53" s="1"/>
  <c r="AF526" i="53" s="1"/>
  <c r="AH526" i="53" s="1"/>
  <c r="L525" i="53"/>
  <c r="M525" i="53" s="1"/>
  <c r="AE525" i="53" s="1"/>
  <c r="AF525" i="53" s="1"/>
  <c r="L524" i="53"/>
  <c r="M524" i="53" s="1"/>
  <c r="AE524" i="53" s="1"/>
  <c r="AF524" i="53" s="1"/>
  <c r="L523" i="53"/>
  <c r="M523" i="53" s="1"/>
  <c r="AE523" i="53" s="1"/>
  <c r="AF523" i="53" s="1"/>
  <c r="L522" i="53"/>
  <c r="M522" i="53" s="1"/>
  <c r="AE522" i="53" s="1"/>
  <c r="AF522" i="53" s="1"/>
  <c r="L521" i="53"/>
  <c r="M521" i="53" s="1"/>
  <c r="AE521" i="53" s="1"/>
  <c r="AF521" i="53" s="1"/>
  <c r="L520" i="53"/>
  <c r="M520" i="53" s="1"/>
  <c r="AE520" i="53" s="1"/>
  <c r="AF520" i="53" s="1"/>
  <c r="AG520" i="53" s="1"/>
  <c r="L519" i="53"/>
  <c r="M519" i="53" s="1"/>
  <c r="AE519" i="53" s="1"/>
  <c r="AF519" i="53" s="1"/>
  <c r="L518" i="53"/>
  <c r="M518" i="53" s="1"/>
  <c r="AE518" i="53" s="1"/>
  <c r="AF518" i="53" s="1"/>
  <c r="AH518" i="53" s="1"/>
  <c r="L517" i="53"/>
  <c r="M517" i="53" s="1"/>
  <c r="AE517" i="53" s="1"/>
  <c r="AF517" i="53" s="1"/>
  <c r="L516" i="53"/>
  <c r="M516" i="53" s="1"/>
  <c r="AE516" i="53" s="1"/>
  <c r="AF516" i="53" s="1"/>
  <c r="L515" i="53"/>
  <c r="M515" i="53" s="1"/>
  <c r="AE515" i="53" s="1"/>
  <c r="AF515" i="53" s="1"/>
  <c r="L514" i="53"/>
  <c r="M514" i="53" s="1"/>
  <c r="AE514" i="53" s="1"/>
  <c r="AF514" i="53" s="1"/>
  <c r="AH514" i="53" s="1"/>
  <c r="L513" i="53"/>
  <c r="M513" i="53" s="1"/>
  <c r="AE513" i="53" s="1"/>
  <c r="AF513" i="53" s="1"/>
  <c r="AG513" i="53" s="1"/>
  <c r="L512" i="53"/>
  <c r="M512" i="53" s="1"/>
  <c r="AE512" i="53" s="1"/>
  <c r="AF512" i="53" s="1"/>
  <c r="L511" i="53"/>
  <c r="M511" i="53" s="1"/>
  <c r="AE511" i="53" s="1"/>
  <c r="AF511" i="53" s="1"/>
  <c r="L510" i="53"/>
  <c r="M510" i="53" s="1"/>
  <c r="AE510" i="53" s="1"/>
  <c r="AF510" i="53" s="1"/>
  <c r="L509" i="53"/>
  <c r="M509" i="53" s="1"/>
  <c r="AE509" i="53" s="1"/>
  <c r="AF509" i="53" s="1"/>
  <c r="L508" i="53"/>
  <c r="M508" i="53" s="1"/>
  <c r="AE508" i="53" s="1"/>
  <c r="AF508" i="53" s="1"/>
  <c r="L507" i="53"/>
  <c r="M507" i="53" s="1"/>
  <c r="AE507" i="53" s="1"/>
  <c r="AF507" i="53" s="1"/>
  <c r="L506" i="53"/>
  <c r="M506" i="53" s="1"/>
  <c r="AE506" i="53" s="1"/>
  <c r="AF506" i="53" s="1"/>
  <c r="L505" i="53"/>
  <c r="M505" i="53" s="1"/>
  <c r="AE505" i="53" s="1"/>
  <c r="AF505" i="53" s="1"/>
  <c r="L504" i="53"/>
  <c r="M504" i="53" s="1"/>
  <c r="AE504" i="53" s="1"/>
  <c r="AF504" i="53" s="1"/>
  <c r="AG504" i="53" s="1"/>
  <c r="L503" i="53"/>
  <c r="M503" i="53" s="1"/>
  <c r="AE503" i="53" s="1"/>
  <c r="AF503" i="53" s="1"/>
  <c r="L502" i="53"/>
  <c r="M502" i="53" s="1"/>
  <c r="AE502" i="53" s="1"/>
  <c r="AF502" i="53" s="1"/>
  <c r="AG502" i="53" s="1"/>
  <c r="L501" i="53"/>
  <c r="M501" i="53" s="1"/>
  <c r="AE501" i="53" s="1"/>
  <c r="AF501" i="53" s="1"/>
  <c r="L500" i="53"/>
  <c r="M500" i="53" s="1"/>
  <c r="AE500" i="53" s="1"/>
  <c r="AF500" i="53" s="1"/>
  <c r="L499" i="53"/>
  <c r="M499" i="53" s="1"/>
  <c r="AE499" i="53" s="1"/>
  <c r="AF499" i="53" s="1"/>
  <c r="L498" i="53"/>
  <c r="M498" i="53" s="1"/>
  <c r="AE498" i="53" s="1"/>
  <c r="AF498" i="53" s="1"/>
  <c r="L497" i="53"/>
  <c r="M497" i="53" s="1"/>
  <c r="AE497" i="53" s="1"/>
  <c r="AF497" i="53" s="1"/>
  <c r="L496" i="53"/>
  <c r="M496" i="53" s="1"/>
  <c r="AE496" i="53" s="1"/>
  <c r="AF496" i="53" s="1"/>
  <c r="L495" i="53"/>
  <c r="M495" i="53" s="1"/>
  <c r="AE495" i="53" s="1"/>
  <c r="AF495" i="53" s="1"/>
  <c r="L494" i="53"/>
  <c r="M494" i="53" s="1"/>
  <c r="AE494" i="53" s="1"/>
  <c r="AF494" i="53" s="1"/>
  <c r="L493" i="53"/>
  <c r="M493" i="53" s="1"/>
  <c r="AE493" i="53" s="1"/>
  <c r="AF493" i="53" s="1"/>
  <c r="L492" i="53"/>
  <c r="M492" i="53" s="1"/>
  <c r="AE492" i="53" s="1"/>
  <c r="AF492" i="53" s="1"/>
  <c r="L491" i="53"/>
  <c r="M491" i="53" s="1"/>
  <c r="AE491" i="53" s="1"/>
  <c r="AF491" i="53" s="1"/>
  <c r="L490" i="53"/>
  <c r="M490" i="53" s="1"/>
  <c r="AE490" i="53" s="1"/>
  <c r="AF490" i="53" s="1"/>
  <c r="L489" i="53"/>
  <c r="M489" i="53" s="1"/>
  <c r="AE489" i="53" s="1"/>
  <c r="AF489" i="53" s="1"/>
  <c r="L488" i="53"/>
  <c r="M488" i="53" s="1"/>
  <c r="AE488" i="53" s="1"/>
  <c r="AF488" i="53" s="1"/>
  <c r="L487" i="53"/>
  <c r="M487" i="53" s="1"/>
  <c r="AE487" i="53" s="1"/>
  <c r="AF487" i="53" s="1"/>
  <c r="L486" i="53"/>
  <c r="M486" i="53" s="1"/>
  <c r="AE486" i="53" s="1"/>
  <c r="AF486" i="53" s="1"/>
  <c r="L485" i="53"/>
  <c r="M485" i="53" s="1"/>
  <c r="AE485" i="53" s="1"/>
  <c r="AF485" i="53" s="1"/>
  <c r="L484" i="53"/>
  <c r="M484" i="53" s="1"/>
  <c r="AE484" i="53" s="1"/>
  <c r="AF484" i="53" s="1"/>
  <c r="L483" i="53"/>
  <c r="M483" i="53" s="1"/>
  <c r="AE483" i="53" s="1"/>
  <c r="AF483" i="53" s="1"/>
  <c r="L482" i="53"/>
  <c r="M482" i="53" s="1"/>
  <c r="AE482" i="53" s="1"/>
  <c r="AF482" i="53" s="1"/>
  <c r="AG482" i="53" s="1"/>
  <c r="L481" i="53"/>
  <c r="M481" i="53" s="1"/>
  <c r="AE481" i="53" s="1"/>
  <c r="AF481" i="53" s="1"/>
  <c r="L480" i="53"/>
  <c r="M480" i="53" s="1"/>
  <c r="AE480" i="53" s="1"/>
  <c r="AF480" i="53" s="1"/>
  <c r="L479" i="53"/>
  <c r="M479" i="53" s="1"/>
  <c r="AE479" i="53" s="1"/>
  <c r="AF479" i="53" s="1"/>
  <c r="AG479" i="53" s="1"/>
  <c r="L478" i="53"/>
  <c r="M478" i="53" s="1"/>
  <c r="AE478" i="53" s="1"/>
  <c r="AF478" i="53" s="1"/>
  <c r="AG478" i="53" s="1"/>
  <c r="L477" i="53"/>
  <c r="M477" i="53" s="1"/>
  <c r="AE477" i="53" s="1"/>
  <c r="AF477" i="53" s="1"/>
  <c r="L476" i="53"/>
  <c r="M476" i="53" s="1"/>
  <c r="AE476" i="53" s="1"/>
  <c r="AF476" i="53" s="1"/>
  <c r="L475" i="53"/>
  <c r="M475" i="53" s="1"/>
  <c r="AE475" i="53" s="1"/>
  <c r="AF475" i="53" s="1"/>
  <c r="L474" i="53"/>
  <c r="M474" i="53" s="1"/>
  <c r="AE474" i="53" s="1"/>
  <c r="AF474" i="53" s="1"/>
  <c r="L473" i="53"/>
  <c r="M473" i="53" s="1"/>
  <c r="AE473" i="53" s="1"/>
  <c r="AF473" i="53" s="1"/>
  <c r="L472" i="53"/>
  <c r="M472" i="53" s="1"/>
  <c r="AE472" i="53" s="1"/>
  <c r="AF472" i="53" s="1"/>
  <c r="L471" i="53"/>
  <c r="M471" i="53" s="1"/>
  <c r="AE471" i="53" s="1"/>
  <c r="AF471" i="53" s="1"/>
  <c r="L470" i="53"/>
  <c r="M470" i="53" s="1"/>
  <c r="AE470" i="53" s="1"/>
  <c r="AF470" i="53" s="1"/>
  <c r="AH470" i="53" s="1"/>
  <c r="L469" i="53"/>
  <c r="M469" i="53" s="1"/>
  <c r="AE469" i="53" s="1"/>
  <c r="AF469" i="53" s="1"/>
  <c r="L468" i="53"/>
  <c r="M468" i="53" s="1"/>
  <c r="AE468" i="53" s="1"/>
  <c r="AF468" i="53" s="1"/>
  <c r="L467" i="53"/>
  <c r="M467" i="53" s="1"/>
  <c r="AE467" i="53" s="1"/>
  <c r="AF467" i="53" s="1"/>
  <c r="AG467" i="53" s="1"/>
  <c r="L466" i="53"/>
  <c r="M466" i="53" s="1"/>
  <c r="AE466" i="53" s="1"/>
  <c r="AF466" i="53" s="1"/>
  <c r="L465" i="53"/>
  <c r="M465" i="53" s="1"/>
  <c r="AE465" i="53" s="1"/>
  <c r="AF465" i="53" s="1"/>
  <c r="L464" i="53"/>
  <c r="M464" i="53" s="1"/>
  <c r="AE464" i="53" s="1"/>
  <c r="AF464" i="53" s="1"/>
  <c r="L463" i="53"/>
  <c r="M463" i="53" s="1"/>
  <c r="AE463" i="53" s="1"/>
  <c r="AF463" i="53" s="1"/>
  <c r="L462" i="53"/>
  <c r="M462" i="53" s="1"/>
  <c r="AE462" i="53" s="1"/>
  <c r="AF462" i="53" s="1"/>
  <c r="L461" i="53"/>
  <c r="M461" i="53" s="1"/>
  <c r="AE461" i="53" s="1"/>
  <c r="AF461" i="53" s="1"/>
  <c r="L460" i="53"/>
  <c r="M460" i="53" s="1"/>
  <c r="AE460" i="53" s="1"/>
  <c r="AF460" i="53" s="1"/>
  <c r="L459" i="53"/>
  <c r="M459" i="53" s="1"/>
  <c r="AE459" i="53" s="1"/>
  <c r="AF459" i="53" s="1"/>
  <c r="AG459" i="53" s="1"/>
  <c r="L458" i="53"/>
  <c r="M458" i="53" s="1"/>
  <c r="AE458" i="53" s="1"/>
  <c r="AF458" i="53" s="1"/>
  <c r="L457" i="53"/>
  <c r="M457" i="53" s="1"/>
  <c r="AE457" i="53" s="1"/>
  <c r="AF457" i="53" s="1"/>
  <c r="L456" i="53"/>
  <c r="M456" i="53" s="1"/>
  <c r="AE456" i="53" s="1"/>
  <c r="AF456" i="53" s="1"/>
  <c r="AG456" i="53" s="1"/>
  <c r="L455" i="53"/>
  <c r="M455" i="53" s="1"/>
  <c r="AE455" i="53" s="1"/>
  <c r="AF455" i="53" s="1"/>
  <c r="AG455" i="53" s="1"/>
  <c r="L454" i="53"/>
  <c r="M454" i="53" s="1"/>
  <c r="AE454" i="53" s="1"/>
  <c r="AF454" i="53" s="1"/>
  <c r="L453" i="53"/>
  <c r="M453" i="53" s="1"/>
  <c r="AE453" i="53" s="1"/>
  <c r="AF453" i="53" s="1"/>
  <c r="L452" i="53"/>
  <c r="M452" i="53" s="1"/>
  <c r="AE452" i="53" s="1"/>
  <c r="AF452" i="53" s="1"/>
  <c r="L451" i="53"/>
  <c r="M451" i="53" s="1"/>
  <c r="AE451" i="53" s="1"/>
  <c r="AF451" i="53" s="1"/>
  <c r="L450" i="53"/>
  <c r="M450" i="53" s="1"/>
  <c r="AE450" i="53" s="1"/>
  <c r="AF450" i="53" s="1"/>
  <c r="L449" i="53"/>
  <c r="M449" i="53" s="1"/>
  <c r="AE449" i="53" s="1"/>
  <c r="AF449" i="53" s="1"/>
  <c r="AH449" i="53" s="1"/>
  <c r="L448" i="53"/>
  <c r="M448" i="53" s="1"/>
  <c r="AE448" i="53" s="1"/>
  <c r="AF448" i="53" s="1"/>
  <c r="AH448" i="53" s="1"/>
  <c r="L447" i="53"/>
  <c r="M447" i="53" s="1"/>
  <c r="AE447" i="53" s="1"/>
  <c r="AF447" i="53" s="1"/>
  <c r="L446" i="53"/>
  <c r="M446" i="53" s="1"/>
  <c r="AE446" i="53" s="1"/>
  <c r="AF446" i="53" s="1"/>
  <c r="L445" i="53"/>
  <c r="M445" i="53" s="1"/>
  <c r="AE445" i="53" s="1"/>
  <c r="AF445" i="53" s="1"/>
  <c r="L444" i="53"/>
  <c r="M444" i="53" s="1"/>
  <c r="AE444" i="53" s="1"/>
  <c r="AF444" i="53" s="1"/>
  <c r="L443" i="53"/>
  <c r="M443" i="53" s="1"/>
  <c r="AE443" i="53" s="1"/>
  <c r="AF443" i="53" s="1"/>
  <c r="L442" i="53"/>
  <c r="M442" i="53" s="1"/>
  <c r="AE442" i="53" s="1"/>
  <c r="AF442" i="53" s="1"/>
  <c r="L441" i="53"/>
  <c r="M441" i="53" s="1"/>
  <c r="AE441" i="53" s="1"/>
  <c r="AF441" i="53" s="1"/>
  <c r="L440" i="53"/>
  <c r="M440" i="53" s="1"/>
  <c r="AE440" i="53" s="1"/>
  <c r="AF440" i="53" s="1"/>
  <c r="L630" i="53"/>
  <c r="M630" i="53" s="1"/>
  <c r="AE630" i="53" s="1"/>
  <c r="AF630" i="53" s="1"/>
  <c r="AH630" i="53" s="1"/>
  <c r="L439" i="53"/>
  <c r="M439" i="53" s="1"/>
  <c r="AE439" i="53" s="1"/>
  <c r="AF439" i="53" s="1"/>
  <c r="L438" i="53"/>
  <c r="M438" i="53" s="1"/>
  <c r="AE438" i="53" s="1"/>
  <c r="AF438" i="53" s="1"/>
  <c r="L437" i="53"/>
  <c r="M437" i="53" s="1"/>
  <c r="AE437" i="53" s="1"/>
  <c r="AF437" i="53" s="1"/>
  <c r="L436" i="53"/>
  <c r="M436" i="53" s="1"/>
  <c r="AE436" i="53" s="1"/>
  <c r="AF436" i="53" s="1"/>
  <c r="L435" i="53"/>
  <c r="M435" i="53" s="1"/>
  <c r="AE435" i="53" s="1"/>
  <c r="AF435" i="53" s="1"/>
  <c r="AH435" i="53" s="1"/>
  <c r="L434" i="53"/>
  <c r="M434" i="53" s="1"/>
  <c r="AE434" i="53" s="1"/>
  <c r="AF434" i="53" s="1"/>
  <c r="L433" i="53"/>
  <c r="M433" i="53" s="1"/>
  <c r="AE433" i="53" s="1"/>
  <c r="AF433" i="53" s="1"/>
  <c r="AH433" i="53" s="1"/>
  <c r="L432" i="53"/>
  <c r="M432" i="53" s="1"/>
  <c r="AE432" i="53" s="1"/>
  <c r="AF432" i="53" s="1"/>
  <c r="L431" i="53"/>
  <c r="M431" i="53" s="1"/>
  <c r="AE431" i="53" s="1"/>
  <c r="AF431" i="53" s="1"/>
  <c r="AH431" i="53" s="1"/>
  <c r="L430" i="53"/>
  <c r="M430" i="53" s="1"/>
  <c r="AE430" i="53" s="1"/>
  <c r="AF430" i="53" s="1"/>
  <c r="L429" i="53"/>
  <c r="M429" i="53" s="1"/>
  <c r="AE429" i="53" s="1"/>
  <c r="AF429" i="53" s="1"/>
  <c r="L428" i="53"/>
  <c r="M428" i="53" s="1"/>
  <c r="AE428" i="53" s="1"/>
  <c r="AF428" i="53" s="1"/>
  <c r="L427" i="53"/>
  <c r="M427" i="53" s="1"/>
  <c r="AE427" i="53" s="1"/>
  <c r="AF427" i="53" s="1"/>
  <c r="L426" i="53"/>
  <c r="M426" i="53" s="1"/>
  <c r="AE426" i="53" s="1"/>
  <c r="AF426" i="53" s="1"/>
  <c r="L425" i="53"/>
  <c r="M425" i="53" s="1"/>
  <c r="AE425" i="53" s="1"/>
  <c r="AF425" i="53" s="1"/>
  <c r="L424" i="53"/>
  <c r="M424" i="53" s="1"/>
  <c r="AE424" i="53" s="1"/>
  <c r="AF424" i="53" s="1"/>
  <c r="L423" i="53"/>
  <c r="M423" i="53" s="1"/>
  <c r="AE423" i="53" s="1"/>
  <c r="AF423" i="53" s="1"/>
  <c r="AH423" i="53" s="1"/>
  <c r="L422" i="53"/>
  <c r="M422" i="53" s="1"/>
  <c r="AE422" i="53" s="1"/>
  <c r="AF422" i="53" s="1"/>
  <c r="L421" i="53"/>
  <c r="M421" i="53" s="1"/>
  <c r="AE421" i="53" s="1"/>
  <c r="AF421" i="53" s="1"/>
  <c r="AG421" i="53" s="1"/>
  <c r="L420" i="53"/>
  <c r="M420" i="53" s="1"/>
  <c r="AE420" i="53" s="1"/>
  <c r="AF420" i="53" s="1"/>
  <c r="L419" i="53"/>
  <c r="M419" i="53" s="1"/>
  <c r="AE419" i="53" s="1"/>
  <c r="AF419" i="53" s="1"/>
  <c r="L418" i="53"/>
  <c r="M418" i="53" s="1"/>
  <c r="AE418" i="53" s="1"/>
  <c r="AF418" i="53" s="1"/>
  <c r="L417" i="53"/>
  <c r="M417" i="53" s="1"/>
  <c r="AE417" i="53" s="1"/>
  <c r="AF417" i="53" s="1"/>
  <c r="L416" i="53"/>
  <c r="M416" i="53" s="1"/>
  <c r="AE416" i="53" s="1"/>
  <c r="AF416" i="53" s="1"/>
  <c r="L415" i="53"/>
  <c r="M415" i="53" s="1"/>
  <c r="AE415" i="53" s="1"/>
  <c r="AF415" i="53" s="1"/>
  <c r="L414" i="53"/>
  <c r="M414" i="53" s="1"/>
  <c r="AE414" i="53" s="1"/>
  <c r="AF414" i="53" s="1"/>
  <c r="L413" i="53"/>
  <c r="M413" i="53" s="1"/>
  <c r="AE413" i="53" s="1"/>
  <c r="AF413" i="53" s="1"/>
  <c r="L412" i="53"/>
  <c r="M412" i="53" s="1"/>
  <c r="AE412" i="53" s="1"/>
  <c r="AF412" i="53" s="1"/>
  <c r="AG412" i="53" s="1"/>
  <c r="L411" i="53"/>
  <c r="M411" i="53" s="1"/>
  <c r="AE411" i="53" s="1"/>
  <c r="AF411" i="53" s="1"/>
  <c r="L410" i="53"/>
  <c r="M410" i="53" s="1"/>
  <c r="AE410" i="53" s="1"/>
  <c r="AF410" i="53" s="1"/>
  <c r="AG410" i="53" s="1"/>
  <c r="L409" i="53"/>
  <c r="M409" i="53" s="1"/>
  <c r="AE409" i="53" s="1"/>
  <c r="AF409" i="53" s="1"/>
  <c r="L408" i="53"/>
  <c r="M408" i="53" s="1"/>
  <c r="AE408" i="53" s="1"/>
  <c r="AF408" i="53" s="1"/>
  <c r="AG408" i="53" s="1"/>
  <c r="L407" i="53"/>
  <c r="M407" i="53" s="1"/>
  <c r="AE407" i="53" s="1"/>
  <c r="AF407" i="53" s="1"/>
  <c r="L406" i="53"/>
  <c r="M406" i="53" s="1"/>
  <c r="AE406" i="53" s="1"/>
  <c r="AF406" i="53" s="1"/>
  <c r="L405" i="53"/>
  <c r="M405" i="53" s="1"/>
  <c r="AE405" i="53" s="1"/>
  <c r="AF405" i="53" s="1"/>
  <c r="L404" i="53"/>
  <c r="M404" i="53" s="1"/>
  <c r="AE404" i="53" s="1"/>
  <c r="AF404" i="53" s="1"/>
  <c r="L403" i="53"/>
  <c r="M403" i="53" s="1"/>
  <c r="AE403" i="53" s="1"/>
  <c r="AF403" i="53" s="1"/>
  <c r="L402" i="53"/>
  <c r="M402" i="53" s="1"/>
  <c r="AE402" i="53" s="1"/>
  <c r="AF402" i="53" s="1"/>
  <c r="L401" i="53"/>
  <c r="M401" i="53" s="1"/>
  <c r="AE401" i="53" s="1"/>
  <c r="AF401" i="53" s="1"/>
  <c r="L400" i="53"/>
  <c r="M400" i="53" s="1"/>
  <c r="AE400" i="53" s="1"/>
  <c r="AF400" i="53" s="1"/>
  <c r="L399" i="53"/>
  <c r="M399" i="53" s="1"/>
  <c r="AE399" i="53" s="1"/>
  <c r="AF399" i="53" s="1"/>
  <c r="AH399" i="53" s="1"/>
  <c r="L398" i="53"/>
  <c r="M398" i="53" s="1"/>
  <c r="AE398" i="53" s="1"/>
  <c r="AF398" i="53" s="1"/>
  <c r="L397" i="53"/>
  <c r="M397" i="53" s="1"/>
  <c r="AE397" i="53" s="1"/>
  <c r="AF397" i="53" s="1"/>
  <c r="L396" i="53"/>
  <c r="M396" i="53" s="1"/>
  <c r="AE396" i="53" s="1"/>
  <c r="AF396" i="53" s="1"/>
  <c r="L395" i="53"/>
  <c r="M395" i="53" s="1"/>
  <c r="AE395" i="53" s="1"/>
  <c r="AF395" i="53" s="1"/>
  <c r="L394" i="53"/>
  <c r="M394" i="53" s="1"/>
  <c r="AE394" i="53" s="1"/>
  <c r="AF394" i="53" s="1"/>
  <c r="AG394" i="53" s="1"/>
  <c r="L393" i="53"/>
  <c r="M393" i="53" s="1"/>
  <c r="AE393" i="53" s="1"/>
  <c r="AF393" i="53" s="1"/>
  <c r="L392" i="53"/>
  <c r="M392" i="53" s="1"/>
  <c r="AE392" i="53" s="1"/>
  <c r="AF392" i="53" s="1"/>
  <c r="L391" i="53"/>
  <c r="M391" i="53" s="1"/>
  <c r="AE391" i="53" s="1"/>
  <c r="AF391" i="53" s="1"/>
  <c r="L390" i="53"/>
  <c r="M390" i="53" s="1"/>
  <c r="AE390" i="53" s="1"/>
  <c r="AF390" i="53" s="1"/>
  <c r="L389" i="53"/>
  <c r="M389" i="53" s="1"/>
  <c r="AE389" i="53" s="1"/>
  <c r="AF389" i="53" s="1"/>
  <c r="L388" i="53"/>
  <c r="M388" i="53" s="1"/>
  <c r="AE388" i="53" s="1"/>
  <c r="AF388" i="53" s="1"/>
  <c r="AG388" i="53" s="1"/>
  <c r="L387" i="53"/>
  <c r="M387" i="53" s="1"/>
  <c r="AE387" i="53" s="1"/>
  <c r="AF387" i="53" s="1"/>
  <c r="L386" i="53"/>
  <c r="M386" i="53" s="1"/>
  <c r="AE386" i="53" s="1"/>
  <c r="AF386" i="53" s="1"/>
  <c r="L385" i="53"/>
  <c r="M385" i="53" s="1"/>
  <c r="AE385" i="53" s="1"/>
  <c r="AF385" i="53" s="1"/>
  <c r="L384" i="53"/>
  <c r="M384" i="53" s="1"/>
  <c r="AE384" i="53" s="1"/>
  <c r="AF384" i="53" s="1"/>
  <c r="AH383" i="53"/>
  <c r="AG383" i="53"/>
  <c r="L383" i="53"/>
  <c r="M383" i="53" s="1"/>
  <c r="AE383" i="53" s="1"/>
  <c r="L382" i="53"/>
  <c r="M382" i="53" s="1"/>
  <c r="AE382" i="53" s="1"/>
  <c r="AF382" i="53" s="1"/>
  <c r="AH382" i="53" s="1"/>
  <c r="L381" i="53"/>
  <c r="M381" i="53" s="1"/>
  <c r="AE381" i="53" s="1"/>
  <c r="AF381" i="53" s="1"/>
  <c r="L380" i="53"/>
  <c r="M380" i="53" s="1"/>
  <c r="AE380" i="53" s="1"/>
  <c r="AF380" i="53" s="1"/>
  <c r="L379" i="53"/>
  <c r="M379" i="53" s="1"/>
  <c r="AE379" i="53" s="1"/>
  <c r="AF379" i="53" s="1"/>
  <c r="L378" i="53"/>
  <c r="M378" i="53" s="1"/>
  <c r="AE378" i="53" s="1"/>
  <c r="AF378" i="53" s="1"/>
  <c r="L377" i="53"/>
  <c r="M377" i="53" s="1"/>
  <c r="AE377" i="53" s="1"/>
  <c r="AF377" i="53" s="1"/>
  <c r="L376" i="53"/>
  <c r="M376" i="53" s="1"/>
  <c r="AE376" i="53" s="1"/>
  <c r="AF376" i="53" s="1"/>
  <c r="L375" i="53"/>
  <c r="M375" i="53" s="1"/>
  <c r="AE375" i="53" s="1"/>
  <c r="AF375" i="53" s="1"/>
  <c r="L374" i="53"/>
  <c r="M374" i="53" s="1"/>
  <c r="AE374" i="53" s="1"/>
  <c r="AF374" i="53" s="1"/>
  <c r="L373" i="53"/>
  <c r="M373" i="53" s="1"/>
  <c r="AE373" i="53" s="1"/>
  <c r="AF373" i="53" s="1"/>
  <c r="L372" i="53"/>
  <c r="M372" i="53" s="1"/>
  <c r="AE372" i="53" s="1"/>
  <c r="AF372" i="53" s="1"/>
  <c r="AH372" i="53" s="1"/>
  <c r="L371" i="53"/>
  <c r="M371" i="53" s="1"/>
  <c r="AE371" i="53" s="1"/>
  <c r="AF371" i="53" s="1"/>
  <c r="L370" i="53"/>
  <c r="M370" i="53" s="1"/>
  <c r="AE370" i="53" s="1"/>
  <c r="AF370" i="53" s="1"/>
  <c r="L369" i="53"/>
  <c r="M369" i="53" s="1"/>
  <c r="AE369" i="53" s="1"/>
  <c r="AF369" i="53" s="1"/>
  <c r="L368" i="53"/>
  <c r="M368" i="53" s="1"/>
  <c r="AE368" i="53" s="1"/>
  <c r="AF368" i="53" s="1"/>
  <c r="L367" i="53"/>
  <c r="M367" i="53" s="1"/>
  <c r="AE367" i="53" s="1"/>
  <c r="AF367" i="53" s="1"/>
  <c r="AH367" i="53" s="1"/>
  <c r="L366" i="53"/>
  <c r="M366" i="53" s="1"/>
  <c r="AE366" i="53" s="1"/>
  <c r="AF366" i="53" s="1"/>
  <c r="L365" i="53"/>
  <c r="M365" i="53" s="1"/>
  <c r="AE365" i="53" s="1"/>
  <c r="AF365" i="53" s="1"/>
  <c r="L364" i="53"/>
  <c r="M364" i="53" s="1"/>
  <c r="AE364" i="53" s="1"/>
  <c r="AF364" i="53" s="1"/>
  <c r="L363" i="53"/>
  <c r="M363" i="53" s="1"/>
  <c r="AE363" i="53" s="1"/>
  <c r="AF363" i="53" s="1"/>
  <c r="L362" i="53"/>
  <c r="M362" i="53" s="1"/>
  <c r="AE362" i="53" s="1"/>
  <c r="AF362" i="53" s="1"/>
  <c r="L361" i="53"/>
  <c r="M361" i="53" s="1"/>
  <c r="AE361" i="53" s="1"/>
  <c r="AF361" i="53" s="1"/>
  <c r="L360" i="53"/>
  <c r="M360" i="53" s="1"/>
  <c r="AE360" i="53" s="1"/>
  <c r="AF360" i="53" s="1"/>
  <c r="L359" i="53"/>
  <c r="M359" i="53" s="1"/>
  <c r="AE359" i="53" s="1"/>
  <c r="AF359" i="53" s="1"/>
  <c r="L358" i="53"/>
  <c r="M358" i="53" s="1"/>
  <c r="AE358" i="53" s="1"/>
  <c r="AF358" i="53" s="1"/>
  <c r="L357" i="53"/>
  <c r="M357" i="53" s="1"/>
  <c r="AE357" i="53" s="1"/>
  <c r="AF357" i="53" s="1"/>
  <c r="L356" i="53"/>
  <c r="M356" i="53" s="1"/>
  <c r="AE356" i="53" s="1"/>
  <c r="AF356" i="53" s="1"/>
  <c r="L355" i="53"/>
  <c r="M355" i="53" s="1"/>
  <c r="AE355" i="53" s="1"/>
  <c r="AF355" i="53" s="1"/>
  <c r="L354" i="53"/>
  <c r="M354" i="53" s="1"/>
  <c r="AE354" i="53" s="1"/>
  <c r="AF354" i="53" s="1"/>
  <c r="L353" i="53"/>
  <c r="M353" i="53" s="1"/>
  <c r="AE353" i="53" s="1"/>
  <c r="AF353" i="53" s="1"/>
  <c r="L352" i="53"/>
  <c r="M352" i="53" s="1"/>
  <c r="AE352" i="53" s="1"/>
  <c r="AF352" i="53" s="1"/>
  <c r="L351" i="53"/>
  <c r="M351" i="53" s="1"/>
  <c r="AE351" i="53" s="1"/>
  <c r="AF351" i="53" s="1"/>
  <c r="L350" i="53"/>
  <c r="M350" i="53" s="1"/>
  <c r="AE350" i="53" s="1"/>
  <c r="AF350" i="53" s="1"/>
  <c r="L349" i="53"/>
  <c r="M349" i="53" s="1"/>
  <c r="AE349" i="53" s="1"/>
  <c r="AF349" i="53" s="1"/>
  <c r="L348" i="53"/>
  <c r="M348" i="53" s="1"/>
  <c r="AE348" i="53" s="1"/>
  <c r="AF348" i="53" s="1"/>
  <c r="L347" i="53"/>
  <c r="M347" i="53" s="1"/>
  <c r="AE347" i="53" s="1"/>
  <c r="AF347" i="53" s="1"/>
  <c r="L346" i="53"/>
  <c r="M346" i="53" s="1"/>
  <c r="AE346" i="53" s="1"/>
  <c r="AF346" i="53" s="1"/>
  <c r="L345" i="53"/>
  <c r="M345" i="53" s="1"/>
  <c r="AE345" i="53" s="1"/>
  <c r="AF345" i="53" s="1"/>
  <c r="L344" i="53"/>
  <c r="M344" i="53" s="1"/>
  <c r="AE344" i="53" s="1"/>
  <c r="AF344" i="53" s="1"/>
  <c r="L343" i="53"/>
  <c r="M343" i="53" s="1"/>
  <c r="AE343" i="53" s="1"/>
  <c r="AF343" i="53" s="1"/>
  <c r="L342" i="53"/>
  <c r="M342" i="53" s="1"/>
  <c r="AE342" i="53" s="1"/>
  <c r="AF342" i="53" s="1"/>
  <c r="L341" i="53"/>
  <c r="M341" i="53" s="1"/>
  <c r="AE341" i="53" s="1"/>
  <c r="AF341" i="53" s="1"/>
  <c r="L340" i="53"/>
  <c r="M340" i="53" s="1"/>
  <c r="AE340" i="53" s="1"/>
  <c r="AF340" i="53" s="1"/>
  <c r="L339" i="53"/>
  <c r="M339" i="53" s="1"/>
  <c r="AE339" i="53" s="1"/>
  <c r="AF339" i="53" s="1"/>
  <c r="L338" i="53"/>
  <c r="M338" i="53" s="1"/>
  <c r="AE338" i="53" s="1"/>
  <c r="AF338" i="53" s="1"/>
  <c r="AH338" i="53" s="1"/>
  <c r="L337" i="53"/>
  <c r="M337" i="53" s="1"/>
  <c r="AE337" i="53" s="1"/>
  <c r="AF337" i="53" s="1"/>
  <c r="AH337" i="53" s="1"/>
  <c r="L336" i="53"/>
  <c r="M336" i="53" s="1"/>
  <c r="AE336" i="53" s="1"/>
  <c r="AF336" i="53" s="1"/>
  <c r="L335" i="53"/>
  <c r="M335" i="53" s="1"/>
  <c r="AE335" i="53" s="1"/>
  <c r="AF335" i="53" s="1"/>
  <c r="L334" i="53"/>
  <c r="M334" i="53" s="1"/>
  <c r="AE334" i="53" s="1"/>
  <c r="AF334" i="53" s="1"/>
  <c r="L333" i="53"/>
  <c r="M333" i="53" s="1"/>
  <c r="AE333" i="53" s="1"/>
  <c r="AF333" i="53" s="1"/>
  <c r="L332" i="53"/>
  <c r="M332" i="53" s="1"/>
  <c r="AE332" i="53" s="1"/>
  <c r="AF332" i="53" s="1"/>
  <c r="L331" i="53"/>
  <c r="M331" i="53" s="1"/>
  <c r="AE331" i="53" s="1"/>
  <c r="AF331" i="53" s="1"/>
  <c r="L330" i="53"/>
  <c r="M330" i="53" s="1"/>
  <c r="AE330" i="53" s="1"/>
  <c r="AF330" i="53" s="1"/>
  <c r="L329" i="53"/>
  <c r="M329" i="53" s="1"/>
  <c r="AE329" i="53" s="1"/>
  <c r="AF329" i="53" s="1"/>
  <c r="L328" i="53"/>
  <c r="M328" i="53" s="1"/>
  <c r="AE328" i="53" s="1"/>
  <c r="AF328" i="53" s="1"/>
  <c r="L327" i="53"/>
  <c r="M327" i="53" s="1"/>
  <c r="AE327" i="53" s="1"/>
  <c r="AF327" i="53" s="1"/>
  <c r="L326" i="53"/>
  <c r="M326" i="53" s="1"/>
  <c r="AE326" i="53" s="1"/>
  <c r="AF326" i="53" s="1"/>
  <c r="L325" i="53"/>
  <c r="M325" i="53" s="1"/>
  <c r="AE325" i="53" s="1"/>
  <c r="AF325" i="53" s="1"/>
  <c r="AH325" i="53" s="1"/>
  <c r="L324" i="53"/>
  <c r="M324" i="53" s="1"/>
  <c r="AE324" i="53" s="1"/>
  <c r="AF324" i="53" s="1"/>
  <c r="L323" i="53"/>
  <c r="M323" i="53" s="1"/>
  <c r="AE323" i="53" s="1"/>
  <c r="AF323" i="53" s="1"/>
  <c r="L322" i="53"/>
  <c r="M322" i="53" s="1"/>
  <c r="AE322" i="53" s="1"/>
  <c r="AF322" i="53" s="1"/>
  <c r="L321" i="53"/>
  <c r="M321" i="53" s="1"/>
  <c r="AE321" i="53" s="1"/>
  <c r="AF321" i="53" s="1"/>
  <c r="L320" i="53"/>
  <c r="M320" i="53" s="1"/>
  <c r="AE320" i="53" s="1"/>
  <c r="AF320" i="53" s="1"/>
  <c r="L319" i="53"/>
  <c r="M319" i="53" s="1"/>
  <c r="AE319" i="53" s="1"/>
  <c r="AF319" i="53" s="1"/>
  <c r="L318" i="53"/>
  <c r="M318" i="53" s="1"/>
  <c r="AE318" i="53" s="1"/>
  <c r="AF318" i="53" s="1"/>
  <c r="L317" i="53"/>
  <c r="M317" i="53" s="1"/>
  <c r="AE317" i="53" s="1"/>
  <c r="AF317" i="53" s="1"/>
  <c r="L316" i="53"/>
  <c r="M316" i="53" s="1"/>
  <c r="AE316" i="53" s="1"/>
  <c r="AF316" i="53" s="1"/>
  <c r="L315" i="53"/>
  <c r="M315" i="53" s="1"/>
  <c r="AE315" i="53" s="1"/>
  <c r="AF315" i="53" s="1"/>
  <c r="L314" i="53"/>
  <c r="M314" i="53" s="1"/>
  <c r="AE314" i="53" s="1"/>
  <c r="AF314" i="53" s="1"/>
  <c r="L313" i="53"/>
  <c r="M313" i="53" s="1"/>
  <c r="AE313" i="53" s="1"/>
  <c r="AF313" i="53" s="1"/>
  <c r="AH313" i="53" s="1"/>
  <c r="L312" i="53"/>
  <c r="M312" i="53" s="1"/>
  <c r="AE312" i="53" s="1"/>
  <c r="AF312" i="53" s="1"/>
  <c r="L311" i="53"/>
  <c r="M311" i="53" s="1"/>
  <c r="AE311" i="53" s="1"/>
  <c r="AF311" i="53" s="1"/>
  <c r="AH311" i="53" s="1"/>
  <c r="L310" i="53"/>
  <c r="M310" i="53" s="1"/>
  <c r="AE310" i="53" s="1"/>
  <c r="AF310" i="53" s="1"/>
  <c r="L309" i="53"/>
  <c r="M309" i="53" s="1"/>
  <c r="AE309" i="53" s="1"/>
  <c r="AF309" i="53" s="1"/>
  <c r="L308" i="53"/>
  <c r="M308" i="53" s="1"/>
  <c r="AE308" i="53" s="1"/>
  <c r="AF308" i="53" s="1"/>
  <c r="L307" i="53"/>
  <c r="M307" i="53" s="1"/>
  <c r="AE307" i="53" s="1"/>
  <c r="AF307" i="53" s="1"/>
  <c r="L306" i="53"/>
  <c r="M306" i="53" s="1"/>
  <c r="AE306" i="53" s="1"/>
  <c r="AF306" i="53" s="1"/>
  <c r="L305" i="53"/>
  <c r="M305" i="53" s="1"/>
  <c r="AE305" i="53" s="1"/>
  <c r="AF305" i="53" s="1"/>
  <c r="L304" i="53"/>
  <c r="M304" i="53" s="1"/>
  <c r="AE304" i="53" s="1"/>
  <c r="AF304" i="53" s="1"/>
  <c r="AH304" i="53" s="1"/>
  <c r="L303" i="53"/>
  <c r="M303" i="53" s="1"/>
  <c r="AE303" i="53" s="1"/>
  <c r="AF303" i="53" s="1"/>
  <c r="L302" i="53"/>
  <c r="M302" i="53" s="1"/>
  <c r="AE302" i="53" s="1"/>
  <c r="AF302" i="53" s="1"/>
  <c r="L301" i="53"/>
  <c r="M301" i="53" s="1"/>
  <c r="AE301" i="53" s="1"/>
  <c r="AF301" i="53" s="1"/>
  <c r="AH301" i="53" s="1"/>
  <c r="L300" i="53"/>
  <c r="M300" i="53" s="1"/>
  <c r="AE300" i="53" s="1"/>
  <c r="AF300" i="53" s="1"/>
  <c r="L299" i="53"/>
  <c r="M299" i="53" s="1"/>
  <c r="AE299" i="53" s="1"/>
  <c r="AF299" i="53" s="1"/>
  <c r="AG299" i="53" s="1"/>
  <c r="L298" i="53"/>
  <c r="M298" i="53" s="1"/>
  <c r="AE298" i="53" s="1"/>
  <c r="AF298" i="53" s="1"/>
  <c r="L297" i="53"/>
  <c r="M297" i="53" s="1"/>
  <c r="AE297" i="53" s="1"/>
  <c r="AF297" i="53" s="1"/>
  <c r="L296" i="53"/>
  <c r="M296" i="53" s="1"/>
  <c r="AE296" i="53" s="1"/>
  <c r="AF296" i="53" s="1"/>
  <c r="L295" i="53"/>
  <c r="M295" i="53" s="1"/>
  <c r="AE295" i="53" s="1"/>
  <c r="AF295" i="53" s="1"/>
  <c r="L294" i="53"/>
  <c r="M294" i="53" s="1"/>
  <c r="AE294" i="53" s="1"/>
  <c r="AF294" i="53" s="1"/>
  <c r="L293" i="53"/>
  <c r="M293" i="53" s="1"/>
  <c r="AE293" i="53" s="1"/>
  <c r="AF293" i="53" s="1"/>
  <c r="L292" i="53"/>
  <c r="M292" i="53" s="1"/>
  <c r="AE292" i="53" s="1"/>
  <c r="AF292" i="53" s="1"/>
  <c r="L291" i="53"/>
  <c r="M291" i="53" s="1"/>
  <c r="AE291" i="53" s="1"/>
  <c r="AF291" i="53" s="1"/>
  <c r="L290" i="53"/>
  <c r="M290" i="53" s="1"/>
  <c r="AE290" i="53" s="1"/>
  <c r="AF290" i="53" s="1"/>
  <c r="L289" i="53"/>
  <c r="M289" i="53" s="1"/>
  <c r="AE289" i="53" s="1"/>
  <c r="AF289" i="53" s="1"/>
  <c r="AH289" i="53" s="1"/>
  <c r="L288" i="53"/>
  <c r="M288" i="53" s="1"/>
  <c r="AE288" i="53" s="1"/>
  <c r="AF288" i="53" s="1"/>
  <c r="L287" i="53"/>
  <c r="M287" i="53" s="1"/>
  <c r="AE287" i="53" s="1"/>
  <c r="AF287" i="53" s="1"/>
  <c r="L286" i="53"/>
  <c r="M286" i="53" s="1"/>
  <c r="AE286" i="53" s="1"/>
  <c r="AF286" i="53" s="1"/>
  <c r="L285" i="53"/>
  <c r="M285" i="53" s="1"/>
  <c r="AE285" i="53" s="1"/>
  <c r="AF285" i="53" s="1"/>
  <c r="L284" i="53"/>
  <c r="M284" i="53" s="1"/>
  <c r="AE284" i="53" s="1"/>
  <c r="AF284" i="53" s="1"/>
  <c r="L283" i="53"/>
  <c r="M283" i="53" s="1"/>
  <c r="AE283" i="53" s="1"/>
  <c r="AF283" i="53" s="1"/>
  <c r="L282" i="53"/>
  <c r="M282" i="53" s="1"/>
  <c r="AE282" i="53" s="1"/>
  <c r="AF282" i="53" s="1"/>
  <c r="L281" i="53"/>
  <c r="M281" i="53" s="1"/>
  <c r="AE281" i="53" s="1"/>
  <c r="AF281" i="53" s="1"/>
  <c r="L280" i="53"/>
  <c r="M280" i="53" s="1"/>
  <c r="AE280" i="53" s="1"/>
  <c r="AF280" i="53" s="1"/>
  <c r="L279" i="53"/>
  <c r="M279" i="53" s="1"/>
  <c r="AE279" i="53" s="1"/>
  <c r="AF279" i="53" s="1"/>
  <c r="AG279" i="53" s="1"/>
  <c r="L278" i="53"/>
  <c r="M278" i="53" s="1"/>
  <c r="AE278" i="53" s="1"/>
  <c r="AF278" i="53" s="1"/>
  <c r="L277" i="53"/>
  <c r="M277" i="53" s="1"/>
  <c r="AE277" i="53" s="1"/>
  <c r="AF277" i="53" s="1"/>
  <c r="L276" i="53"/>
  <c r="M276" i="53" s="1"/>
  <c r="AE276" i="53" s="1"/>
  <c r="AF276" i="53" s="1"/>
  <c r="AH276" i="53" s="1"/>
  <c r="L275" i="53"/>
  <c r="M275" i="53" s="1"/>
  <c r="AE275" i="53" s="1"/>
  <c r="AF275" i="53" s="1"/>
  <c r="L274" i="53"/>
  <c r="M274" i="53" s="1"/>
  <c r="AE274" i="53" s="1"/>
  <c r="AF274" i="53" s="1"/>
  <c r="L273" i="53"/>
  <c r="M273" i="53" s="1"/>
  <c r="AE273" i="53" s="1"/>
  <c r="AF273" i="53" s="1"/>
  <c r="L272" i="53"/>
  <c r="M272" i="53" s="1"/>
  <c r="AE272" i="53" s="1"/>
  <c r="AF272" i="53" s="1"/>
  <c r="L271" i="53"/>
  <c r="M271" i="53" s="1"/>
  <c r="AE271" i="53" s="1"/>
  <c r="AF271" i="53" s="1"/>
  <c r="AH271" i="53" s="1"/>
  <c r="L270" i="53"/>
  <c r="M270" i="53" s="1"/>
  <c r="AE270" i="53" s="1"/>
  <c r="AF270" i="53" s="1"/>
  <c r="L269" i="53"/>
  <c r="M269" i="53" s="1"/>
  <c r="AE269" i="53" s="1"/>
  <c r="AF269" i="53" s="1"/>
  <c r="AH268" i="53"/>
  <c r="AG268" i="53"/>
  <c r="L268" i="53"/>
  <c r="M268" i="53" s="1"/>
  <c r="AE268" i="53" s="1"/>
  <c r="L267" i="53"/>
  <c r="M267" i="53" s="1"/>
  <c r="AE267" i="53" s="1"/>
  <c r="AF267" i="53" s="1"/>
  <c r="L266" i="53"/>
  <c r="M266" i="53" s="1"/>
  <c r="AE266" i="53" s="1"/>
  <c r="AF266" i="53" s="1"/>
  <c r="AH266" i="53" s="1"/>
  <c r="L265" i="53"/>
  <c r="M265" i="53" s="1"/>
  <c r="AE265" i="53" s="1"/>
  <c r="AF265" i="53" s="1"/>
  <c r="L264" i="53"/>
  <c r="M264" i="53" s="1"/>
  <c r="AE264" i="53" s="1"/>
  <c r="AF264" i="53" s="1"/>
  <c r="L263" i="53"/>
  <c r="M263" i="53" s="1"/>
  <c r="AE263" i="53" s="1"/>
  <c r="AF263" i="53" s="1"/>
  <c r="AH263" i="53" s="1"/>
  <c r="L262" i="53"/>
  <c r="M262" i="53" s="1"/>
  <c r="AE262" i="53" s="1"/>
  <c r="AF262" i="53" s="1"/>
  <c r="AH262" i="53" s="1"/>
  <c r="L261" i="53"/>
  <c r="M261" i="53" s="1"/>
  <c r="AE261" i="53" s="1"/>
  <c r="AF261" i="53" s="1"/>
  <c r="L260" i="53"/>
  <c r="M260" i="53" s="1"/>
  <c r="AE260" i="53" s="1"/>
  <c r="AF260" i="53" s="1"/>
  <c r="AH260" i="53" s="1"/>
  <c r="L259" i="53"/>
  <c r="M259" i="53" s="1"/>
  <c r="AE259" i="53" s="1"/>
  <c r="AF259" i="53" s="1"/>
  <c r="L258" i="53"/>
  <c r="M258" i="53" s="1"/>
  <c r="AE258" i="53" s="1"/>
  <c r="AF258" i="53" s="1"/>
  <c r="AH258" i="53" s="1"/>
  <c r="L257" i="53"/>
  <c r="M257" i="53" s="1"/>
  <c r="AE257" i="53" s="1"/>
  <c r="AF257" i="53" s="1"/>
  <c r="AG257" i="53" s="1"/>
  <c r="L256" i="53"/>
  <c r="M256" i="53" s="1"/>
  <c r="AE256" i="53" s="1"/>
  <c r="AF256" i="53" s="1"/>
  <c r="L255" i="53"/>
  <c r="M255" i="53" s="1"/>
  <c r="AE255" i="53" s="1"/>
  <c r="AF255" i="53" s="1"/>
  <c r="AH255" i="53" s="1"/>
  <c r="L254" i="53"/>
  <c r="M254" i="53" s="1"/>
  <c r="AE254" i="53" s="1"/>
  <c r="AF254" i="53" s="1"/>
  <c r="AH253" i="53"/>
  <c r="AG253" i="53"/>
  <c r="L253" i="53"/>
  <c r="M253" i="53" s="1"/>
  <c r="AE253" i="53" s="1"/>
  <c r="L252" i="53"/>
  <c r="M252" i="53" s="1"/>
  <c r="AE252" i="53" s="1"/>
  <c r="AF252" i="53" s="1"/>
  <c r="L251" i="53"/>
  <c r="M251" i="53" s="1"/>
  <c r="AE251" i="53" s="1"/>
  <c r="AF251" i="53" s="1"/>
  <c r="L250" i="53"/>
  <c r="M250" i="53" s="1"/>
  <c r="AE250" i="53" s="1"/>
  <c r="AF250" i="53" s="1"/>
  <c r="L249" i="53"/>
  <c r="M249" i="53" s="1"/>
  <c r="AE249" i="53" s="1"/>
  <c r="AF249" i="53" s="1"/>
  <c r="L248" i="53"/>
  <c r="M248" i="53" s="1"/>
  <c r="AE248" i="53" s="1"/>
  <c r="AF248" i="53" s="1"/>
  <c r="L247" i="53"/>
  <c r="M247" i="53" s="1"/>
  <c r="AE247" i="53" s="1"/>
  <c r="AF247" i="53" s="1"/>
  <c r="AH247" i="53" s="1"/>
  <c r="L246" i="53"/>
  <c r="M246" i="53" s="1"/>
  <c r="AE246" i="53" s="1"/>
  <c r="AF246" i="53" s="1"/>
  <c r="AH245" i="53"/>
  <c r="AG245" i="53"/>
  <c r="L245" i="53"/>
  <c r="M245" i="53" s="1"/>
  <c r="AE245" i="53" s="1"/>
  <c r="L244" i="53"/>
  <c r="M244" i="53" s="1"/>
  <c r="AE244" i="53" s="1"/>
  <c r="AF244" i="53" s="1"/>
  <c r="L243" i="53"/>
  <c r="M243" i="53" s="1"/>
  <c r="AE243" i="53" s="1"/>
  <c r="AF243" i="53" s="1"/>
  <c r="L242" i="53"/>
  <c r="M242" i="53" s="1"/>
  <c r="AE242" i="53" s="1"/>
  <c r="AF242" i="53" s="1"/>
  <c r="L241" i="53"/>
  <c r="M241" i="53" s="1"/>
  <c r="AE241" i="53" s="1"/>
  <c r="AF241" i="53" s="1"/>
  <c r="L240" i="53"/>
  <c r="M240" i="53" s="1"/>
  <c r="AE240" i="53" s="1"/>
  <c r="AF240" i="53" s="1"/>
  <c r="AG240" i="53" s="1"/>
  <c r="L239" i="53"/>
  <c r="M239" i="53" s="1"/>
  <c r="AE239" i="53" s="1"/>
  <c r="AF239" i="53" s="1"/>
  <c r="L238" i="53"/>
  <c r="M238" i="53" s="1"/>
  <c r="AE238" i="53" s="1"/>
  <c r="AF238" i="53" s="1"/>
  <c r="AH238" i="53" s="1"/>
  <c r="L237" i="53"/>
  <c r="M237" i="53" s="1"/>
  <c r="AE237" i="53" s="1"/>
  <c r="AF237" i="53" s="1"/>
  <c r="L236" i="53"/>
  <c r="M236" i="53" s="1"/>
  <c r="AE236" i="53" s="1"/>
  <c r="AF236" i="53" s="1"/>
  <c r="L235" i="53"/>
  <c r="M235" i="53" s="1"/>
  <c r="AE235" i="53" s="1"/>
  <c r="AF235" i="53" s="1"/>
  <c r="L234" i="53"/>
  <c r="M234" i="53" s="1"/>
  <c r="AE234" i="53" s="1"/>
  <c r="AF234" i="53" s="1"/>
  <c r="AH234" i="53" s="1"/>
  <c r="L233" i="53"/>
  <c r="M233" i="53" s="1"/>
  <c r="AE233" i="53" s="1"/>
  <c r="AF233" i="53" s="1"/>
  <c r="L232" i="53"/>
  <c r="M232" i="53" s="1"/>
  <c r="AE232" i="53" s="1"/>
  <c r="AF232" i="53" s="1"/>
  <c r="L231" i="53"/>
  <c r="M231" i="53" s="1"/>
  <c r="AE231" i="53" s="1"/>
  <c r="AF231" i="53" s="1"/>
  <c r="L629" i="53"/>
  <c r="M629" i="53" s="1"/>
  <c r="AE629" i="53" s="1"/>
  <c r="AF629" i="53" s="1"/>
  <c r="AH629" i="53" s="1"/>
  <c r="L230" i="53"/>
  <c r="M230" i="53" s="1"/>
  <c r="AE230" i="53" s="1"/>
  <c r="AF230" i="53" s="1"/>
  <c r="L229" i="53"/>
  <c r="M229" i="53" s="1"/>
  <c r="AE229" i="53" s="1"/>
  <c r="AF229" i="53" s="1"/>
  <c r="L228" i="53"/>
  <c r="M228" i="53" s="1"/>
  <c r="AE228" i="53" s="1"/>
  <c r="AF228" i="53" s="1"/>
  <c r="L227" i="53"/>
  <c r="M227" i="53" s="1"/>
  <c r="AE227" i="53" s="1"/>
  <c r="AF227" i="53" s="1"/>
  <c r="L226" i="53"/>
  <c r="M226" i="53" s="1"/>
  <c r="AE226" i="53" s="1"/>
  <c r="AF226" i="53" s="1"/>
  <c r="AH225" i="53"/>
  <c r="AG225" i="53"/>
  <c r="L225" i="53"/>
  <c r="M225" i="53" s="1"/>
  <c r="AE225" i="53" s="1"/>
  <c r="L224" i="53"/>
  <c r="M224" i="53" s="1"/>
  <c r="AE224" i="53" s="1"/>
  <c r="AF224" i="53" s="1"/>
  <c r="L223" i="53"/>
  <c r="M223" i="53" s="1"/>
  <c r="AE223" i="53" s="1"/>
  <c r="AF223" i="53" s="1"/>
  <c r="L222" i="53"/>
  <c r="M222" i="53" s="1"/>
  <c r="AE222" i="53" s="1"/>
  <c r="AF222" i="53" s="1"/>
  <c r="L221" i="53"/>
  <c r="M221" i="53" s="1"/>
  <c r="AE221" i="53" s="1"/>
  <c r="AF221" i="53" s="1"/>
  <c r="L220" i="53"/>
  <c r="M220" i="53" s="1"/>
  <c r="AE220" i="53" s="1"/>
  <c r="AF220" i="53" s="1"/>
  <c r="L219" i="53"/>
  <c r="M219" i="53" s="1"/>
  <c r="AE219" i="53" s="1"/>
  <c r="AF219" i="53" s="1"/>
  <c r="L218" i="53"/>
  <c r="M218" i="53" s="1"/>
  <c r="AE218" i="53" s="1"/>
  <c r="AF218" i="53" s="1"/>
  <c r="L217" i="53"/>
  <c r="M217" i="53" s="1"/>
  <c r="AE217" i="53" s="1"/>
  <c r="AF217" i="53" s="1"/>
  <c r="AG217" i="53" s="1"/>
  <c r="L216" i="53"/>
  <c r="M216" i="53" s="1"/>
  <c r="AE216" i="53" s="1"/>
  <c r="AF216" i="53" s="1"/>
  <c r="L215" i="53"/>
  <c r="M215" i="53" s="1"/>
  <c r="AE215" i="53" s="1"/>
  <c r="AF215" i="53" s="1"/>
  <c r="L214" i="53"/>
  <c r="M214" i="53" s="1"/>
  <c r="AE214" i="53" s="1"/>
  <c r="AF214" i="53" s="1"/>
  <c r="L213" i="53"/>
  <c r="M213" i="53" s="1"/>
  <c r="AE213" i="53" s="1"/>
  <c r="AF213" i="53" s="1"/>
  <c r="L212" i="53"/>
  <c r="M212" i="53" s="1"/>
  <c r="AE212" i="53" s="1"/>
  <c r="AF212" i="53" s="1"/>
  <c r="L211" i="53"/>
  <c r="M211" i="53" s="1"/>
  <c r="AE211" i="53" s="1"/>
  <c r="AF211" i="53" s="1"/>
  <c r="L210" i="53"/>
  <c r="M210" i="53" s="1"/>
  <c r="AE210" i="53" s="1"/>
  <c r="AF210" i="53" s="1"/>
  <c r="L209" i="53"/>
  <c r="M209" i="53" s="1"/>
  <c r="AE209" i="53" s="1"/>
  <c r="AF209" i="53" s="1"/>
  <c r="L208" i="53"/>
  <c r="M208" i="53" s="1"/>
  <c r="AE208" i="53" s="1"/>
  <c r="AF208" i="53" s="1"/>
  <c r="AG208" i="53" s="1"/>
  <c r="L207" i="53"/>
  <c r="M207" i="53" s="1"/>
  <c r="AE207" i="53" s="1"/>
  <c r="AF207" i="53" s="1"/>
  <c r="AH207" i="53" s="1"/>
  <c r="L206" i="53"/>
  <c r="M206" i="53" s="1"/>
  <c r="AE206" i="53" s="1"/>
  <c r="AF206" i="53" s="1"/>
  <c r="L205" i="53"/>
  <c r="M205" i="53" s="1"/>
  <c r="AE205" i="53" s="1"/>
  <c r="AF205" i="53" s="1"/>
  <c r="L204" i="53"/>
  <c r="M204" i="53" s="1"/>
  <c r="AE204" i="53" s="1"/>
  <c r="AF204" i="53" s="1"/>
  <c r="AG204" i="53" s="1"/>
  <c r="L203" i="53"/>
  <c r="M203" i="53" s="1"/>
  <c r="AE203" i="53" s="1"/>
  <c r="AF203" i="53" s="1"/>
  <c r="L202" i="53"/>
  <c r="M202" i="53" s="1"/>
  <c r="AE202" i="53" s="1"/>
  <c r="AF202" i="53" s="1"/>
  <c r="L201" i="53"/>
  <c r="M201" i="53" s="1"/>
  <c r="AE201" i="53" s="1"/>
  <c r="AF201" i="53" s="1"/>
  <c r="L200" i="53"/>
  <c r="M200" i="53" s="1"/>
  <c r="AE200" i="53" s="1"/>
  <c r="AF200" i="53" s="1"/>
  <c r="AG200" i="53" s="1"/>
  <c r="L199" i="53"/>
  <c r="M199" i="53" s="1"/>
  <c r="AE199" i="53" s="1"/>
  <c r="AF199" i="53" s="1"/>
  <c r="L198" i="53"/>
  <c r="M198" i="53" s="1"/>
  <c r="AE198" i="53" s="1"/>
  <c r="AF198" i="53" s="1"/>
  <c r="L197" i="53"/>
  <c r="M197" i="53" s="1"/>
  <c r="AE197" i="53" s="1"/>
  <c r="AF197" i="53" s="1"/>
  <c r="AG197" i="53" s="1"/>
  <c r="L196" i="53"/>
  <c r="M196" i="53" s="1"/>
  <c r="AE196" i="53" s="1"/>
  <c r="AF196" i="53" s="1"/>
  <c r="L195" i="53"/>
  <c r="M195" i="53" s="1"/>
  <c r="AE195" i="53" s="1"/>
  <c r="AF195" i="53" s="1"/>
  <c r="L194" i="53"/>
  <c r="M194" i="53" s="1"/>
  <c r="AE194" i="53" s="1"/>
  <c r="AF194" i="53" s="1"/>
  <c r="L193" i="53"/>
  <c r="M193" i="53" s="1"/>
  <c r="AE193" i="53" s="1"/>
  <c r="AF193" i="53" s="1"/>
  <c r="L192" i="53"/>
  <c r="M192" i="53" s="1"/>
  <c r="AE192" i="53" s="1"/>
  <c r="AF192" i="53" s="1"/>
  <c r="L191" i="53"/>
  <c r="M191" i="53" s="1"/>
  <c r="AE191" i="53" s="1"/>
  <c r="AF191" i="53" s="1"/>
  <c r="L190" i="53"/>
  <c r="M190" i="53" s="1"/>
  <c r="AE190" i="53" s="1"/>
  <c r="AF190" i="53" s="1"/>
  <c r="L189" i="53"/>
  <c r="M189" i="53" s="1"/>
  <c r="AE189" i="53" s="1"/>
  <c r="AF189" i="53" s="1"/>
  <c r="AG189" i="53" s="1"/>
  <c r="L188" i="53"/>
  <c r="M188" i="53" s="1"/>
  <c r="AE188" i="53" s="1"/>
  <c r="AF188" i="53" s="1"/>
  <c r="L187" i="53"/>
  <c r="M187" i="53" s="1"/>
  <c r="AE187" i="53" s="1"/>
  <c r="AF187" i="53" s="1"/>
  <c r="L186" i="53"/>
  <c r="M186" i="53" s="1"/>
  <c r="AE186" i="53" s="1"/>
  <c r="AF186" i="53" s="1"/>
  <c r="L185" i="53"/>
  <c r="M185" i="53" s="1"/>
  <c r="AE185" i="53" s="1"/>
  <c r="AF185" i="53" s="1"/>
  <c r="L184" i="53"/>
  <c r="M184" i="53" s="1"/>
  <c r="AE184" i="53" s="1"/>
  <c r="AF184" i="53" s="1"/>
  <c r="AG184" i="53" s="1"/>
  <c r="L183" i="53"/>
  <c r="M183" i="53" s="1"/>
  <c r="AE183" i="53" s="1"/>
  <c r="AF183" i="53" s="1"/>
  <c r="L182" i="53"/>
  <c r="M182" i="53" s="1"/>
  <c r="AE182" i="53" s="1"/>
  <c r="AF182" i="53" s="1"/>
  <c r="L181" i="53"/>
  <c r="M181" i="53" s="1"/>
  <c r="AE181" i="53" s="1"/>
  <c r="AF181" i="53" s="1"/>
  <c r="AH181" i="53" s="1"/>
  <c r="L180" i="53"/>
  <c r="M180" i="53" s="1"/>
  <c r="AE180" i="53" s="1"/>
  <c r="AF180" i="53" s="1"/>
  <c r="L179" i="53"/>
  <c r="M179" i="53" s="1"/>
  <c r="AE179" i="53" s="1"/>
  <c r="AF179" i="53" s="1"/>
  <c r="L178" i="53"/>
  <c r="M178" i="53" s="1"/>
  <c r="AE178" i="53" s="1"/>
  <c r="AF178" i="53" s="1"/>
  <c r="AH178" i="53" s="1"/>
  <c r="L177" i="53"/>
  <c r="M177" i="53" s="1"/>
  <c r="AE177" i="53" s="1"/>
  <c r="AF177" i="53" s="1"/>
  <c r="AH177" i="53" s="1"/>
  <c r="L176" i="53"/>
  <c r="M176" i="53" s="1"/>
  <c r="AE176" i="53" s="1"/>
  <c r="AF176" i="53" s="1"/>
  <c r="AH176" i="53" s="1"/>
  <c r="L175" i="53"/>
  <c r="M175" i="53" s="1"/>
  <c r="AE175" i="53" s="1"/>
  <c r="AF175" i="53" s="1"/>
  <c r="L174" i="53"/>
  <c r="M174" i="53" s="1"/>
  <c r="AE174" i="53" s="1"/>
  <c r="AF174" i="53" s="1"/>
  <c r="L173" i="53"/>
  <c r="M173" i="53" s="1"/>
  <c r="AE173" i="53" s="1"/>
  <c r="AF173" i="53" s="1"/>
  <c r="L172" i="53"/>
  <c r="M172" i="53" s="1"/>
  <c r="AE172" i="53" s="1"/>
  <c r="AF172" i="53" s="1"/>
  <c r="AH172" i="53" s="1"/>
  <c r="L171" i="53"/>
  <c r="M171" i="53" s="1"/>
  <c r="AE171" i="53" s="1"/>
  <c r="AF171" i="53" s="1"/>
  <c r="L170" i="53"/>
  <c r="M170" i="53" s="1"/>
  <c r="AE170" i="53" s="1"/>
  <c r="AF170" i="53" s="1"/>
  <c r="L169" i="53"/>
  <c r="M169" i="53" s="1"/>
  <c r="AE169" i="53" s="1"/>
  <c r="AF169" i="53" s="1"/>
  <c r="L168" i="53"/>
  <c r="M168" i="53" s="1"/>
  <c r="AE168" i="53" s="1"/>
  <c r="AF168" i="53" s="1"/>
  <c r="AG168" i="53" s="1"/>
  <c r="L167" i="53"/>
  <c r="M167" i="53" s="1"/>
  <c r="AE167" i="53" s="1"/>
  <c r="AF167" i="53" s="1"/>
  <c r="L166" i="53"/>
  <c r="M166" i="53" s="1"/>
  <c r="AE166" i="53" s="1"/>
  <c r="AF166" i="53" s="1"/>
  <c r="L165" i="53"/>
  <c r="M165" i="53" s="1"/>
  <c r="AE165" i="53" s="1"/>
  <c r="AF165" i="53" s="1"/>
  <c r="L164" i="53"/>
  <c r="M164" i="53" s="1"/>
  <c r="AE164" i="53" s="1"/>
  <c r="AF164" i="53" s="1"/>
  <c r="L163" i="53"/>
  <c r="M163" i="53" s="1"/>
  <c r="AE163" i="53" s="1"/>
  <c r="AF163" i="53" s="1"/>
  <c r="AG163" i="53" s="1"/>
  <c r="L162" i="53"/>
  <c r="M162" i="53" s="1"/>
  <c r="AE162" i="53" s="1"/>
  <c r="AF162" i="53" s="1"/>
  <c r="L161" i="53"/>
  <c r="M161" i="53" s="1"/>
  <c r="AE161" i="53" s="1"/>
  <c r="AF161" i="53" s="1"/>
  <c r="AG161" i="53" s="1"/>
  <c r="L160" i="53"/>
  <c r="M160" i="53" s="1"/>
  <c r="AE160" i="53" s="1"/>
  <c r="AF160" i="53" s="1"/>
  <c r="L159" i="53"/>
  <c r="M159" i="53" s="1"/>
  <c r="AE159" i="53" s="1"/>
  <c r="AF159" i="53" s="1"/>
  <c r="L158" i="53"/>
  <c r="M158" i="53" s="1"/>
  <c r="AE158" i="53" s="1"/>
  <c r="AF158" i="53" s="1"/>
  <c r="L157" i="53"/>
  <c r="M157" i="53" s="1"/>
  <c r="AE157" i="53" s="1"/>
  <c r="AF157" i="53" s="1"/>
  <c r="L156" i="53"/>
  <c r="M156" i="53" s="1"/>
  <c r="AE156" i="53" s="1"/>
  <c r="AF156" i="53" s="1"/>
  <c r="L155" i="53"/>
  <c r="M155" i="53" s="1"/>
  <c r="AE155" i="53" s="1"/>
  <c r="AF155" i="53" s="1"/>
  <c r="L154" i="53"/>
  <c r="M154" i="53" s="1"/>
  <c r="AE154" i="53" s="1"/>
  <c r="AF154" i="53" s="1"/>
  <c r="AH154" i="53" s="1"/>
  <c r="L153" i="53"/>
  <c r="M153" i="53" s="1"/>
  <c r="AE153" i="53" s="1"/>
  <c r="AF153" i="53" s="1"/>
  <c r="AH153" i="53" s="1"/>
  <c r="L628" i="53"/>
  <c r="M628" i="53" s="1"/>
  <c r="AE628" i="53" s="1"/>
  <c r="AF628" i="53" s="1"/>
  <c r="AH628" i="53" s="1"/>
  <c r="L152" i="53"/>
  <c r="M152" i="53" s="1"/>
  <c r="AE152" i="53" s="1"/>
  <c r="AF152" i="53" s="1"/>
  <c r="AG152" i="53" s="1"/>
  <c r="L151" i="53"/>
  <c r="M151" i="53" s="1"/>
  <c r="AE151" i="53" s="1"/>
  <c r="AF151" i="53" s="1"/>
  <c r="L627" i="53"/>
  <c r="M627" i="53" s="1"/>
  <c r="AE627" i="53" s="1"/>
  <c r="AF627" i="53" s="1"/>
  <c r="AH627" i="53" s="1"/>
  <c r="L150" i="53"/>
  <c r="M150" i="53" s="1"/>
  <c r="AE150" i="53" s="1"/>
  <c r="AF150" i="53" s="1"/>
  <c r="L149" i="53"/>
  <c r="M149" i="53" s="1"/>
  <c r="AE149" i="53" s="1"/>
  <c r="AF149" i="53" s="1"/>
  <c r="L148" i="53"/>
  <c r="M148" i="53" s="1"/>
  <c r="AE148" i="53" s="1"/>
  <c r="AF148" i="53" s="1"/>
  <c r="L147" i="53"/>
  <c r="M147" i="53" s="1"/>
  <c r="AE147" i="53" s="1"/>
  <c r="AF147" i="53" s="1"/>
  <c r="AH147" i="53" s="1"/>
  <c r="L146" i="53"/>
  <c r="M146" i="53" s="1"/>
  <c r="AE146" i="53" s="1"/>
  <c r="AF146" i="53" s="1"/>
  <c r="L145" i="53"/>
  <c r="M145" i="53" s="1"/>
  <c r="AE145" i="53" s="1"/>
  <c r="AF145" i="53" s="1"/>
  <c r="L144" i="53"/>
  <c r="M144" i="53" s="1"/>
  <c r="AE144" i="53" s="1"/>
  <c r="AF144" i="53" s="1"/>
  <c r="L143" i="53"/>
  <c r="M143" i="53" s="1"/>
  <c r="AE143" i="53" s="1"/>
  <c r="AF143" i="53" s="1"/>
  <c r="L142" i="53"/>
  <c r="M142" i="53" s="1"/>
  <c r="AE142" i="53" s="1"/>
  <c r="AF142" i="53" s="1"/>
  <c r="L141" i="53"/>
  <c r="M141" i="53" s="1"/>
  <c r="AE141" i="53" s="1"/>
  <c r="AF141" i="53" s="1"/>
  <c r="L140" i="53"/>
  <c r="M140" i="53" s="1"/>
  <c r="AE140" i="53" s="1"/>
  <c r="AF140" i="53" s="1"/>
  <c r="L139" i="53"/>
  <c r="M139" i="53" s="1"/>
  <c r="AE139" i="53" s="1"/>
  <c r="AF139" i="53" s="1"/>
  <c r="AH139" i="53" s="1"/>
  <c r="L138" i="53"/>
  <c r="M138" i="53" s="1"/>
  <c r="AE138" i="53" s="1"/>
  <c r="AF138" i="53" s="1"/>
  <c r="L137" i="53"/>
  <c r="M137" i="53" s="1"/>
  <c r="AE137" i="53" s="1"/>
  <c r="AF137" i="53" s="1"/>
  <c r="L136" i="53"/>
  <c r="M136" i="53" s="1"/>
  <c r="AE136" i="53" s="1"/>
  <c r="AF136" i="53" s="1"/>
  <c r="L135" i="53"/>
  <c r="M135" i="53" s="1"/>
  <c r="AE135" i="53" s="1"/>
  <c r="AF135" i="53" s="1"/>
  <c r="AH135" i="53" s="1"/>
  <c r="L134" i="53"/>
  <c r="M134" i="53" s="1"/>
  <c r="AE134" i="53" s="1"/>
  <c r="AF134" i="53" s="1"/>
  <c r="L133" i="53"/>
  <c r="M133" i="53" s="1"/>
  <c r="AE133" i="53" s="1"/>
  <c r="AF133" i="53" s="1"/>
  <c r="L132" i="53"/>
  <c r="M132" i="53" s="1"/>
  <c r="AE132" i="53" s="1"/>
  <c r="AF132" i="53" s="1"/>
  <c r="AG132" i="53" s="1"/>
  <c r="L131" i="53"/>
  <c r="M131" i="53" s="1"/>
  <c r="AE131" i="53" s="1"/>
  <c r="AF131" i="53" s="1"/>
  <c r="AH131" i="53" s="1"/>
  <c r="L130" i="53"/>
  <c r="M130" i="53" s="1"/>
  <c r="AE130" i="53" s="1"/>
  <c r="AF130" i="53" s="1"/>
  <c r="AG130" i="53" s="1"/>
  <c r="L129" i="53"/>
  <c r="M129" i="53" s="1"/>
  <c r="AE129" i="53" s="1"/>
  <c r="AF129" i="53" s="1"/>
  <c r="AH129" i="53" s="1"/>
  <c r="L128" i="53"/>
  <c r="M128" i="53" s="1"/>
  <c r="AE128" i="53" s="1"/>
  <c r="AF128" i="53" s="1"/>
  <c r="L127" i="53"/>
  <c r="M127" i="53" s="1"/>
  <c r="AE127" i="53" s="1"/>
  <c r="AF127" i="53" s="1"/>
  <c r="L126" i="53"/>
  <c r="M126" i="53" s="1"/>
  <c r="AE126" i="53" s="1"/>
  <c r="AF126" i="53" s="1"/>
  <c r="L125" i="53"/>
  <c r="M125" i="53" s="1"/>
  <c r="AE125" i="53" s="1"/>
  <c r="AF125" i="53" s="1"/>
  <c r="L124" i="53"/>
  <c r="M124" i="53" s="1"/>
  <c r="AE124" i="53" s="1"/>
  <c r="AF124" i="53" s="1"/>
  <c r="L123" i="53"/>
  <c r="M123" i="53" s="1"/>
  <c r="AE123" i="53" s="1"/>
  <c r="AF123" i="53" s="1"/>
  <c r="AH123" i="53" s="1"/>
  <c r="L122" i="53"/>
  <c r="M122" i="53" s="1"/>
  <c r="AE122" i="53" s="1"/>
  <c r="AF122" i="53" s="1"/>
  <c r="L626" i="53"/>
  <c r="M626" i="53" s="1"/>
  <c r="AE626" i="53" s="1"/>
  <c r="AF626" i="53" s="1"/>
  <c r="AH626" i="53" s="1"/>
  <c r="L121" i="53"/>
  <c r="M121" i="53" s="1"/>
  <c r="AE121" i="53" s="1"/>
  <c r="AF121" i="53" s="1"/>
  <c r="L120" i="53"/>
  <c r="M120" i="53" s="1"/>
  <c r="AE120" i="53" s="1"/>
  <c r="AF120" i="53" s="1"/>
  <c r="L119" i="53"/>
  <c r="M119" i="53" s="1"/>
  <c r="AE119" i="53" s="1"/>
  <c r="AF119" i="53" s="1"/>
  <c r="L118" i="53"/>
  <c r="M118" i="53" s="1"/>
  <c r="AE118" i="53" s="1"/>
  <c r="AF118" i="53" s="1"/>
  <c r="AH118" i="53" s="1"/>
  <c r="L117" i="53"/>
  <c r="M117" i="53" s="1"/>
  <c r="AE117" i="53" s="1"/>
  <c r="AF117" i="53" s="1"/>
  <c r="L116" i="53"/>
  <c r="M116" i="53" s="1"/>
  <c r="AE116" i="53" s="1"/>
  <c r="AF116" i="53" s="1"/>
  <c r="L115" i="53"/>
  <c r="M115" i="53" s="1"/>
  <c r="AE115" i="53" s="1"/>
  <c r="AF115" i="53" s="1"/>
  <c r="L114" i="53"/>
  <c r="M114" i="53" s="1"/>
  <c r="AE114" i="53" s="1"/>
  <c r="AF114" i="53" s="1"/>
  <c r="L113" i="53"/>
  <c r="M113" i="53" s="1"/>
  <c r="AE113" i="53" s="1"/>
  <c r="AF113" i="53" s="1"/>
  <c r="L112" i="53"/>
  <c r="M112" i="53" s="1"/>
  <c r="AE112" i="53" s="1"/>
  <c r="AF112" i="53" s="1"/>
  <c r="L111" i="53"/>
  <c r="M111" i="53" s="1"/>
  <c r="AE111" i="53" s="1"/>
  <c r="AF111" i="53" s="1"/>
  <c r="L110" i="53"/>
  <c r="M110" i="53" s="1"/>
  <c r="AE110" i="53" s="1"/>
  <c r="AF110" i="53" s="1"/>
  <c r="AG110" i="53" s="1"/>
  <c r="L109" i="53"/>
  <c r="M109" i="53" s="1"/>
  <c r="AE109" i="53" s="1"/>
  <c r="AF109" i="53" s="1"/>
  <c r="L108" i="53"/>
  <c r="M108" i="53" s="1"/>
  <c r="AE108" i="53" s="1"/>
  <c r="AF108" i="53" s="1"/>
  <c r="AH108" i="53" s="1"/>
  <c r="L107" i="53"/>
  <c r="M107" i="53" s="1"/>
  <c r="AE107" i="53" s="1"/>
  <c r="AF107" i="53" s="1"/>
  <c r="L106" i="53"/>
  <c r="M106" i="53" s="1"/>
  <c r="AE106" i="53" s="1"/>
  <c r="AF106" i="53" s="1"/>
  <c r="L105" i="53"/>
  <c r="M105" i="53" s="1"/>
  <c r="AE105" i="53" s="1"/>
  <c r="AF105" i="53" s="1"/>
  <c r="L104" i="53"/>
  <c r="M104" i="53" s="1"/>
  <c r="AE104" i="53" s="1"/>
  <c r="AF104" i="53" s="1"/>
  <c r="L103" i="53"/>
  <c r="M103" i="53" s="1"/>
  <c r="AE103" i="53" s="1"/>
  <c r="AF103" i="53" s="1"/>
  <c r="AH103" i="53" s="1"/>
  <c r="L102" i="53"/>
  <c r="M102" i="53" s="1"/>
  <c r="AE102" i="53" s="1"/>
  <c r="AF102" i="53" s="1"/>
  <c r="L101" i="53"/>
  <c r="M101" i="53" s="1"/>
  <c r="AE101" i="53" s="1"/>
  <c r="AF101" i="53" s="1"/>
  <c r="AH101" i="53" s="1"/>
  <c r="L100" i="53"/>
  <c r="M100" i="53" s="1"/>
  <c r="AE100" i="53" s="1"/>
  <c r="AF100" i="53" s="1"/>
  <c r="L99" i="53"/>
  <c r="M99" i="53" s="1"/>
  <c r="AE99" i="53" s="1"/>
  <c r="AF99" i="53" s="1"/>
  <c r="L98" i="53"/>
  <c r="M98" i="53" s="1"/>
  <c r="AE98" i="53" s="1"/>
  <c r="AF98" i="53" s="1"/>
  <c r="AG98" i="53" s="1"/>
  <c r="L97" i="53"/>
  <c r="M97" i="53" s="1"/>
  <c r="AE97" i="53" s="1"/>
  <c r="AF97" i="53" s="1"/>
  <c r="L96" i="53"/>
  <c r="M96" i="53" s="1"/>
  <c r="AE96" i="53" s="1"/>
  <c r="AF96" i="53" s="1"/>
  <c r="L95" i="53"/>
  <c r="M95" i="53" s="1"/>
  <c r="AE95" i="53" s="1"/>
  <c r="AF95" i="53" s="1"/>
  <c r="L94" i="53"/>
  <c r="M94" i="53" s="1"/>
  <c r="AE94" i="53" s="1"/>
  <c r="AF94" i="53" s="1"/>
  <c r="L93" i="53"/>
  <c r="M93" i="53" s="1"/>
  <c r="AE93" i="53" s="1"/>
  <c r="AF93" i="53" s="1"/>
  <c r="L92" i="53"/>
  <c r="M92" i="53" s="1"/>
  <c r="AE92" i="53" s="1"/>
  <c r="AF92" i="53" s="1"/>
  <c r="AH92" i="53" s="1"/>
  <c r="L91" i="53"/>
  <c r="M91" i="53" s="1"/>
  <c r="AE91" i="53" s="1"/>
  <c r="AF91" i="53" s="1"/>
  <c r="L90" i="53"/>
  <c r="M90" i="53" s="1"/>
  <c r="AE90" i="53" s="1"/>
  <c r="AF90" i="53" s="1"/>
  <c r="L89" i="53"/>
  <c r="M89" i="53" s="1"/>
  <c r="AE89" i="53" s="1"/>
  <c r="AF89" i="53" s="1"/>
  <c r="L88" i="53"/>
  <c r="M88" i="53" s="1"/>
  <c r="AE88" i="53" s="1"/>
  <c r="AF88" i="53" s="1"/>
  <c r="L87" i="53"/>
  <c r="M87" i="53" s="1"/>
  <c r="AE87" i="53" s="1"/>
  <c r="AF87" i="53" s="1"/>
  <c r="L86" i="53"/>
  <c r="M86" i="53" s="1"/>
  <c r="AE86" i="53" s="1"/>
  <c r="AF86" i="53" s="1"/>
  <c r="L85" i="53"/>
  <c r="M85" i="53" s="1"/>
  <c r="AE85" i="53" s="1"/>
  <c r="AF85" i="53" s="1"/>
  <c r="L84" i="53"/>
  <c r="M84" i="53" s="1"/>
  <c r="AE84" i="53" s="1"/>
  <c r="AF84" i="53" s="1"/>
  <c r="L83" i="53"/>
  <c r="M83" i="53" s="1"/>
  <c r="AE83" i="53" s="1"/>
  <c r="AF83" i="53" s="1"/>
  <c r="L82" i="53"/>
  <c r="M82" i="53" s="1"/>
  <c r="AE82" i="53" s="1"/>
  <c r="AF82" i="53" s="1"/>
  <c r="L81" i="53"/>
  <c r="M81" i="53" s="1"/>
  <c r="AE81" i="53" s="1"/>
  <c r="AF81" i="53" s="1"/>
  <c r="L80" i="53"/>
  <c r="M80" i="53" s="1"/>
  <c r="AE80" i="53" s="1"/>
  <c r="AF80" i="53" s="1"/>
  <c r="L79" i="53"/>
  <c r="M79" i="53" s="1"/>
  <c r="AE79" i="53" s="1"/>
  <c r="AF79" i="53" s="1"/>
  <c r="AH79" i="53" s="1"/>
  <c r="L78" i="53"/>
  <c r="M78" i="53" s="1"/>
  <c r="AE78" i="53" s="1"/>
  <c r="AF78" i="53" s="1"/>
  <c r="L77" i="53"/>
  <c r="M77" i="53" s="1"/>
  <c r="AE77" i="53" s="1"/>
  <c r="AF77" i="53" s="1"/>
  <c r="L76" i="53"/>
  <c r="M76" i="53" s="1"/>
  <c r="AE76" i="53" s="1"/>
  <c r="AF76" i="53" s="1"/>
  <c r="AH76" i="53" s="1"/>
  <c r="L75" i="53"/>
  <c r="M75" i="53" s="1"/>
  <c r="AE75" i="53" s="1"/>
  <c r="AF75" i="53" s="1"/>
  <c r="L74" i="53"/>
  <c r="M74" i="53" s="1"/>
  <c r="AE74" i="53" s="1"/>
  <c r="AF74" i="53" s="1"/>
  <c r="L73" i="53"/>
  <c r="M73" i="53" s="1"/>
  <c r="AE73" i="53" s="1"/>
  <c r="AF73" i="53" s="1"/>
  <c r="L72" i="53"/>
  <c r="M72" i="53" s="1"/>
  <c r="AE72" i="53" s="1"/>
  <c r="AF72" i="53" s="1"/>
  <c r="AG72" i="53" s="1"/>
  <c r="L71" i="53"/>
  <c r="M71" i="53" s="1"/>
  <c r="AE71" i="53" s="1"/>
  <c r="AF71" i="53" s="1"/>
  <c r="L70" i="53"/>
  <c r="M70" i="53" s="1"/>
  <c r="AE70" i="53" s="1"/>
  <c r="AF70" i="53" s="1"/>
  <c r="AG70" i="53" s="1"/>
  <c r="L69" i="53"/>
  <c r="M69" i="53" s="1"/>
  <c r="AE69" i="53" s="1"/>
  <c r="AF69" i="53" s="1"/>
  <c r="L68" i="53"/>
  <c r="M68" i="53" s="1"/>
  <c r="AE68" i="53" s="1"/>
  <c r="AF68" i="53" s="1"/>
  <c r="L67" i="53"/>
  <c r="M67" i="53" s="1"/>
  <c r="AE67" i="53" s="1"/>
  <c r="AF67" i="53" s="1"/>
  <c r="L66" i="53"/>
  <c r="M66" i="53" s="1"/>
  <c r="AE66" i="53" s="1"/>
  <c r="AF66" i="53" s="1"/>
  <c r="L625" i="53"/>
  <c r="M625" i="53" s="1"/>
  <c r="AE625" i="53" s="1"/>
  <c r="AF625" i="53" s="1"/>
  <c r="AH625" i="53" s="1"/>
  <c r="L65" i="53"/>
  <c r="M65" i="53" s="1"/>
  <c r="AE65" i="53" s="1"/>
  <c r="AF65" i="53" s="1"/>
  <c r="AH65" i="53" s="1"/>
  <c r="L64" i="53"/>
  <c r="M64" i="53" s="1"/>
  <c r="AE64" i="53" s="1"/>
  <c r="AF64" i="53" s="1"/>
  <c r="L63" i="53"/>
  <c r="M63" i="53" s="1"/>
  <c r="AE63" i="53" s="1"/>
  <c r="AF63" i="53" s="1"/>
  <c r="L62" i="53"/>
  <c r="M62" i="53" s="1"/>
  <c r="AE62" i="53" s="1"/>
  <c r="AF62" i="53" s="1"/>
  <c r="L61" i="53"/>
  <c r="M61" i="53" s="1"/>
  <c r="AE61" i="53" s="1"/>
  <c r="AF61" i="53" s="1"/>
  <c r="L60" i="53"/>
  <c r="M60" i="53" s="1"/>
  <c r="AE60" i="53" s="1"/>
  <c r="AF60" i="53" s="1"/>
  <c r="L59" i="53"/>
  <c r="M59" i="53" s="1"/>
  <c r="AE59" i="53" s="1"/>
  <c r="AF59" i="53" s="1"/>
  <c r="L58" i="53"/>
  <c r="M58" i="53" s="1"/>
  <c r="AE58" i="53" s="1"/>
  <c r="AF58" i="53" s="1"/>
  <c r="L57" i="53"/>
  <c r="M57" i="53" s="1"/>
  <c r="AE57" i="53" s="1"/>
  <c r="AF57" i="53" s="1"/>
  <c r="L56" i="53"/>
  <c r="M56" i="53" s="1"/>
  <c r="AE56" i="53" s="1"/>
  <c r="AF56" i="53" s="1"/>
  <c r="L55" i="53"/>
  <c r="M55" i="53" s="1"/>
  <c r="AE55" i="53" s="1"/>
  <c r="AF55" i="53" s="1"/>
  <c r="AH55" i="53" s="1"/>
  <c r="L54" i="53"/>
  <c r="M54" i="53" s="1"/>
  <c r="AE54" i="53" s="1"/>
  <c r="AF54" i="53" s="1"/>
  <c r="L53" i="53"/>
  <c r="M53" i="53" s="1"/>
  <c r="AE53" i="53" s="1"/>
  <c r="AF53" i="53" s="1"/>
  <c r="L52" i="53"/>
  <c r="M52" i="53" s="1"/>
  <c r="AE52" i="53" s="1"/>
  <c r="AF52" i="53" s="1"/>
  <c r="L51" i="53"/>
  <c r="M51" i="53" s="1"/>
  <c r="AE51" i="53" s="1"/>
  <c r="AF51" i="53" s="1"/>
  <c r="AG51" i="53" s="1"/>
  <c r="L50" i="53"/>
  <c r="M50" i="53" s="1"/>
  <c r="AE50" i="53" s="1"/>
  <c r="AF50" i="53" s="1"/>
  <c r="L49" i="53"/>
  <c r="M49" i="53" s="1"/>
  <c r="AE49" i="53" s="1"/>
  <c r="AF49" i="53" s="1"/>
  <c r="AG49" i="53" s="1"/>
  <c r="L48" i="53"/>
  <c r="M48" i="53" s="1"/>
  <c r="AE48" i="53" s="1"/>
  <c r="AF48" i="53" s="1"/>
  <c r="L47" i="53"/>
  <c r="M47" i="53" s="1"/>
  <c r="AE47" i="53" s="1"/>
  <c r="AF47" i="53" s="1"/>
  <c r="L46" i="53"/>
  <c r="M46" i="53" s="1"/>
  <c r="AE46" i="53" s="1"/>
  <c r="AF46" i="53" s="1"/>
  <c r="L45" i="53"/>
  <c r="M45" i="53" s="1"/>
  <c r="AE45" i="53" s="1"/>
  <c r="AF45" i="53" s="1"/>
  <c r="L44" i="53"/>
  <c r="M44" i="53" s="1"/>
  <c r="AE44" i="53" s="1"/>
  <c r="AF44" i="53" s="1"/>
  <c r="L43" i="53"/>
  <c r="M43" i="53" s="1"/>
  <c r="AE43" i="53" s="1"/>
  <c r="AF43" i="53" s="1"/>
  <c r="L42" i="53"/>
  <c r="M42" i="53" s="1"/>
  <c r="AE42" i="53" s="1"/>
  <c r="AF42" i="53" s="1"/>
  <c r="L41" i="53"/>
  <c r="M41" i="53" s="1"/>
  <c r="AE41" i="53" s="1"/>
  <c r="AF41" i="53" s="1"/>
  <c r="L40" i="53"/>
  <c r="M40" i="53" s="1"/>
  <c r="AE40" i="53" s="1"/>
  <c r="AF40" i="53" s="1"/>
  <c r="L39" i="53"/>
  <c r="M39" i="53" s="1"/>
  <c r="AE39" i="53" s="1"/>
  <c r="AF39" i="53" s="1"/>
  <c r="L38" i="53"/>
  <c r="M38" i="53" s="1"/>
  <c r="AE38" i="53" s="1"/>
  <c r="AF38" i="53" s="1"/>
  <c r="L37" i="53"/>
  <c r="M37" i="53" s="1"/>
  <c r="AE37" i="53" s="1"/>
  <c r="AF37" i="53" s="1"/>
  <c r="L36" i="53"/>
  <c r="M36" i="53" s="1"/>
  <c r="AE36" i="53" s="1"/>
  <c r="AF36" i="53" s="1"/>
  <c r="L35" i="53"/>
  <c r="M35" i="53" s="1"/>
  <c r="AE35" i="53" s="1"/>
  <c r="AF35" i="53" s="1"/>
  <c r="L34" i="53"/>
  <c r="M34" i="53" s="1"/>
  <c r="AE34" i="53" s="1"/>
  <c r="AF34" i="53" s="1"/>
  <c r="L33" i="53"/>
  <c r="M33" i="53" s="1"/>
  <c r="AE33" i="53" s="1"/>
  <c r="AF33" i="53" s="1"/>
  <c r="L32" i="53"/>
  <c r="M32" i="53" s="1"/>
  <c r="AE32" i="53" s="1"/>
  <c r="AF32" i="53" s="1"/>
  <c r="L31" i="53"/>
  <c r="M31" i="53" s="1"/>
  <c r="AE31" i="53" s="1"/>
  <c r="AF31" i="53" s="1"/>
  <c r="L30" i="53"/>
  <c r="M30" i="53" s="1"/>
  <c r="AE30" i="53" s="1"/>
  <c r="AF30" i="53" s="1"/>
  <c r="L29" i="53"/>
  <c r="M29" i="53" s="1"/>
  <c r="AE29" i="53" s="1"/>
  <c r="AF29" i="53" s="1"/>
  <c r="L28" i="53"/>
  <c r="M28" i="53" s="1"/>
  <c r="AE28" i="53" s="1"/>
  <c r="AF28" i="53" s="1"/>
  <c r="L27" i="53"/>
  <c r="M27" i="53" s="1"/>
  <c r="AE27" i="53" s="1"/>
  <c r="AF27" i="53" s="1"/>
  <c r="L26" i="53"/>
  <c r="M26" i="53" s="1"/>
  <c r="AE26" i="53" s="1"/>
  <c r="AF26" i="53" s="1"/>
  <c r="L25" i="53"/>
  <c r="M25" i="53" s="1"/>
  <c r="AE25" i="53" s="1"/>
  <c r="AF25" i="53" s="1"/>
  <c r="L24" i="53"/>
  <c r="M24" i="53" s="1"/>
  <c r="AE24" i="53" s="1"/>
  <c r="AF24" i="53" s="1"/>
  <c r="L23" i="53"/>
  <c r="M23" i="53" s="1"/>
  <c r="AE23" i="53" s="1"/>
  <c r="AF23" i="53" s="1"/>
  <c r="L22" i="53"/>
  <c r="M22" i="53" s="1"/>
  <c r="AE22" i="53" s="1"/>
  <c r="AF22" i="53" s="1"/>
  <c r="L21" i="53"/>
  <c r="M21" i="53" s="1"/>
  <c r="AE21" i="53" s="1"/>
  <c r="AF21" i="53" s="1"/>
  <c r="L20" i="53"/>
  <c r="M20" i="53" s="1"/>
  <c r="AE20" i="53" s="1"/>
  <c r="AF20" i="53" s="1"/>
  <c r="L19" i="53"/>
  <c r="M19" i="53" s="1"/>
  <c r="AE19" i="53" s="1"/>
  <c r="AF19" i="53" s="1"/>
  <c r="L624" i="53"/>
  <c r="M624" i="53" s="1"/>
  <c r="AE624" i="53" s="1"/>
  <c r="AF624" i="53" s="1"/>
  <c r="AH624" i="53" s="1"/>
  <c r="L18" i="53"/>
  <c r="M18" i="53" s="1"/>
  <c r="AE18" i="53" s="1"/>
  <c r="AF18" i="53" s="1"/>
  <c r="L623" i="53"/>
  <c r="M623" i="53" s="1"/>
  <c r="AE623" i="53" s="1"/>
  <c r="AF623" i="53" s="1"/>
  <c r="AH623" i="53" s="1"/>
  <c r="L17" i="53"/>
  <c r="M17" i="53" s="1"/>
  <c r="AE17" i="53" s="1"/>
  <c r="AF17" i="53" s="1"/>
  <c r="L16" i="53"/>
  <c r="M16" i="53" s="1"/>
  <c r="AE16" i="53" s="1"/>
  <c r="AF16" i="53" s="1"/>
  <c r="L15" i="53"/>
  <c r="M15" i="53" s="1"/>
  <c r="AE15" i="53" s="1"/>
  <c r="AF15" i="53" s="1"/>
  <c r="L14" i="53"/>
  <c r="M14" i="53" s="1"/>
  <c r="AE14" i="53" s="1"/>
  <c r="AF14" i="53" s="1"/>
  <c r="L13" i="53"/>
  <c r="M13" i="53" s="1"/>
  <c r="AE13" i="53" s="1"/>
  <c r="AF13" i="53" s="1"/>
  <c r="L12" i="53"/>
  <c r="M12" i="53" s="1"/>
  <c r="AE12" i="53" s="1"/>
  <c r="AF12" i="53" s="1"/>
  <c r="B8" i="53" l="1"/>
  <c r="G8" i="53"/>
  <c r="C8" i="53"/>
  <c r="D8" i="53"/>
  <c r="H8" i="53"/>
  <c r="P34" i="33"/>
  <c r="S33" i="33"/>
  <c r="P35" i="33"/>
  <c r="R36" i="33"/>
  <c r="S20" i="33"/>
  <c r="X15" i="33"/>
  <c r="X20" i="33" s="1"/>
  <c r="U20" i="33"/>
  <c r="U22" i="33" s="1"/>
  <c r="T18" i="33"/>
  <c r="Y18" i="33"/>
  <c r="AH130" i="53"/>
  <c r="AG202" i="53"/>
  <c r="AH202" i="53"/>
  <c r="AH200" i="53"/>
  <c r="AG238" i="53"/>
  <c r="AH408" i="53"/>
  <c r="AG382" i="53"/>
  <c r="AH528" i="53"/>
  <c r="AG470" i="53"/>
  <c r="AH578" i="53"/>
  <c r="AG578" i="53"/>
  <c r="AH335" i="53"/>
  <c r="AG335" i="53"/>
  <c r="AH150" i="53"/>
  <c r="AG150" i="53"/>
  <c r="AG544" i="53"/>
  <c r="AH544" i="53"/>
  <c r="AH604" i="53"/>
  <c r="AG604" i="53"/>
  <c r="AG236" i="53"/>
  <c r="AH236" i="53"/>
  <c r="AG143" i="53"/>
  <c r="AH143" i="53"/>
  <c r="AH192" i="53"/>
  <c r="AG192" i="53"/>
  <c r="AG226" i="53"/>
  <c r="AH226" i="53"/>
  <c r="AH284" i="53"/>
  <c r="AG284" i="53"/>
  <c r="AG515" i="53"/>
  <c r="AH515" i="53"/>
  <c r="AH569" i="53"/>
  <c r="AG569" i="53"/>
  <c r="AG369" i="53"/>
  <c r="AH369" i="53"/>
  <c r="AG133" i="53"/>
  <c r="AH133" i="53"/>
  <c r="AH273" i="53"/>
  <c r="AG273" i="53"/>
  <c r="AG359" i="53"/>
  <c r="AH359" i="53"/>
  <c r="AG516" i="53"/>
  <c r="AH516" i="53"/>
  <c r="AH536" i="53"/>
  <c r="AG536" i="53"/>
  <c r="AH570" i="53"/>
  <c r="AG570" i="53"/>
  <c r="AG25" i="53"/>
  <c r="AH25" i="53"/>
  <c r="AG286" i="53"/>
  <c r="AH286" i="53"/>
  <c r="AG537" i="53"/>
  <c r="AH537" i="53"/>
  <c r="AH606" i="53"/>
  <c r="AG606" i="53"/>
  <c r="AH191" i="53"/>
  <c r="AG191" i="53"/>
  <c r="AG17" i="53"/>
  <c r="AH17" i="53"/>
  <c r="AG37" i="53"/>
  <c r="AH37" i="53"/>
  <c r="AH88" i="53"/>
  <c r="AG88" i="53"/>
  <c r="AG297" i="53"/>
  <c r="AH297" i="53"/>
  <c r="AH361" i="53"/>
  <c r="AG361" i="53"/>
  <c r="AH389" i="53"/>
  <c r="AG389" i="53"/>
  <c r="AG420" i="53"/>
  <c r="AH420" i="53"/>
  <c r="AG500" i="53"/>
  <c r="AH500" i="53"/>
  <c r="AG591" i="53"/>
  <c r="AH591" i="53"/>
  <c r="AG174" i="53"/>
  <c r="AH174" i="53"/>
  <c r="AG230" i="53"/>
  <c r="AH230" i="53"/>
  <c r="AG106" i="53"/>
  <c r="AH106" i="53"/>
  <c r="AH249" i="53"/>
  <c r="AG249" i="53"/>
  <c r="AG539" i="53"/>
  <c r="AH539" i="53"/>
  <c r="AH548" i="53"/>
  <c r="AG548" i="53"/>
  <c r="AG434" i="53"/>
  <c r="AH434" i="53"/>
  <c r="AG402" i="53"/>
  <c r="AH402" i="53"/>
  <c r="AG491" i="53"/>
  <c r="AH491" i="53"/>
  <c r="AG549" i="53"/>
  <c r="AH549" i="53"/>
  <c r="AG378" i="53"/>
  <c r="AH378" i="53"/>
  <c r="AG141" i="53"/>
  <c r="AH141" i="53"/>
  <c r="AH347" i="53"/>
  <c r="AG347" i="53"/>
  <c r="AG251" i="53"/>
  <c r="AH251" i="53"/>
  <c r="AH365" i="53"/>
  <c r="AG365" i="53"/>
  <c r="AH451" i="53"/>
  <c r="AG451" i="53"/>
  <c r="AH550" i="53"/>
  <c r="AG550" i="53"/>
  <c r="AG593" i="53"/>
  <c r="AH593" i="53"/>
  <c r="AH63" i="53"/>
  <c r="AG63" i="53"/>
  <c r="AH82" i="53"/>
  <c r="AG82" i="53"/>
  <c r="AH215" i="53"/>
  <c r="AG215" i="53"/>
  <c r="AH233" i="53"/>
  <c r="AG233" i="53"/>
  <c r="AH512" i="53"/>
  <c r="AG512" i="53"/>
  <c r="AH558" i="53"/>
  <c r="AG558" i="53"/>
  <c r="AH70" i="53"/>
  <c r="AG176" i="53"/>
  <c r="AF622" i="53"/>
  <c r="E8" i="53" s="1"/>
  <c r="C5" i="53" s="1"/>
  <c r="D5" i="53" s="1"/>
  <c r="E5" i="53" s="1"/>
  <c r="AH388" i="53"/>
  <c r="AG399" i="53"/>
  <c r="AG266" i="53"/>
  <c r="AG313" i="53"/>
  <c r="AH257" i="53"/>
  <c r="AH459" i="53"/>
  <c r="AH479" i="53"/>
  <c r="AG555" i="53"/>
  <c r="AH551" i="53"/>
  <c r="AH132" i="53"/>
  <c r="AH240" i="53"/>
  <c r="AG325" i="53"/>
  <c r="AG338" i="53"/>
  <c r="AH504" i="53"/>
  <c r="AH552" i="53"/>
  <c r="AG592" i="53"/>
  <c r="AH49" i="53"/>
  <c r="AH110" i="53"/>
  <c r="AG255" i="53"/>
  <c r="AH571" i="53"/>
  <c r="AG15" i="53"/>
  <c r="AH15" i="53"/>
  <c r="AH164" i="53"/>
  <c r="AG164" i="53"/>
  <c r="AG293" i="53"/>
  <c r="AH293" i="53"/>
  <c r="AH22" i="53"/>
  <c r="AG22" i="53"/>
  <c r="AH121" i="53"/>
  <c r="AG121" i="53"/>
  <c r="AH157" i="53"/>
  <c r="AG157" i="53"/>
  <c r="AH218" i="53"/>
  <c r="AG218" i="53"/>
  <c r="AG287" i="53"/>
  <c r="AH287" i="53"/>
  <c r="AG61" i="53"/>
  <c r="AH61" i="53"/>
  <c r="AH115" i="53"/>
  <c r="AG115" i="53"/>
  <c r="AH190" i="53"/>
  <c r="AG190" i="53"/>
  <c r="AH219" i="53"/>
  <c r="AG219" i="53"/>
  <c r="AH14" i="53"/>
  <c r="AG14" i="53"/>
  <c r="AH27" i="53"/>
  <c r="AG27" i="53"/>
  <c r="AH36" i="53"/>
  <c r="AG36" i="53"/>
  <c r="AH42" i="53"/>
  <c r="AG42" i="53"/>
  <c r="AG56" i="53"/>
  <c r="AH56" i="53"/>
  <c r="AH83" i="53"/>
  <c r="AG83" i="53"/>
  <c r="AH89" i="53"/>
  <c r="AG89" i="53"/>
  <c r="AH97" i="53"/>
  <c r="AG97" i="53"/>
  <c r="AH104" i="53"/>
  <c r="AG104" i="53"/>
  <c r="AH111" i="53"/>
  <c r="AG111" i="53"/>
  <c r="AH119" i="53"/>
  <c r="AG119" i="53"/>
  <c r="AH140" i="53"/>
  <c r="AG140" i="53"/>
  <c r="AH171" i="53"/>
  <c r="AG171" i="53"/>
  <c r="AH198" i="53"/>
  <c r="AG198" i="53"/>
  <c r="AG211" i="53"/>
  <c r="AH211" i="53"/>
  <c r="AG224" i="53"/>
  <c r="AH224" i="53"/>
  <c r="AH229" i="53"/>
  <c r="AG229" i="53"/>
  <c r="AH232" i="53"/>
  <c r="AG232" i="53"/>
  <c r="AH244" i="53"/>
  <c r="AG244" i="53"/>
  <c r="AG280" i="53"/>
  <c r="AH280" i="53"/>
  <c r="AH312" i="53"/>
  <c r="AG312" i="53"/>
  <c r="AH321" i="53"/>
  <c r="AG321" i="53"/>
  <c r="AG395" i="53"/>
  <c r="AH395" i="53"/>
  <c r="AH445" i="53"/>
  <c r="AG445" i="53"/>
  <c r="AH44" i="53"/>
  <c r="AG44" i="53"/>
  <c r="AH71" i="53"/>
  <c r="AG71" i="53"/>
  <c r="AH314" i="53"/>
  <c r="AG314" i="53"/>
  <c r="AG16" i="53"/>
  <c r="AH16" i="53"/>
  <c r="AH60" i="53"/>
  <c r="AG60" i="53"/>
  <c r="AH114" i="53"/>
  <c r="AG114" i="53"/>
  <c r="AG213" i="53"/>
  <c r="AH213" i="53"/>
  <c r="AG19" i="53"/>
  <c r="AH19" i="53"/>
  <c r="AH43" i="53"/>
  <c r="AG43" i="53"/>
  <c r="AG57" i="53"/>
  <c r="AH57" i="53"/>
  <c r="AH77" i="53"/>
  <c r="AG77" i="53"/>
  <c r="AH84" i="53"/>
  <c r="AG84" i="53"/>
  <c r="AG90" i="53"/>
  <c r="AH90" i="53"/>
  <c r="AH120" i="53"/>
  <c r="AG120" i="53"/>
  <c r="AG146" i="53"/>
  <c r="AH146" i="53"/>
  <c r="AG156" i="53"/>
  <c r="AH156" i="53"/>
  <c r="AG162" i="53"/>
  <c r="AH162" i="53"/>
  <c r="AG199" i="53"/>
  <c r="AH199" i="53"/>
  <c r="AH216" i="53"/>
  <c r="AG216" i="53"/>
  <c r="AH237" i="53"/>
  <c r="AG237" i="53"/>
  <c r="AH298" i="53"/>
  <c r="AG298" i="53"/>
  <c r="AH20" i="53"/>
  <c r="AG20" i="53"/>
  <c r="AH28" i="53"/>
  <c r="AG28" i="53"/>
  <c r="AG50" i="53"/>
  <c r="AH50" i="53"/>
  <c r="AG58" i="53"/>
  <c r="AH58" i="53"/>
  <c r="AH91" i="53"/>
  <c r="AG91" i="53"/>
  <c r="AH182" i="53"/>
  <c r="AG182" i="53"/>
  <c r="AG205" i="53"/>
  <c r="AH205" i="53"/>
  <c r="AH252" i="53"/>
  <c r="AG252" i="53"/>
  <c r="AG429" i="53"/>
  <c r="AH429" i="53"/>
  <c r="AG534" i="53"/>
  <c r="AH534" i="53"/>
  <c r="AG274" i="53"/>
  <c r="AH274" i="53"/>
  <c r="AG21" i="53"/>
  <c r="AH21" i="53"/>
  <c r="AH24" i="53"/>
  <c r="AG24" i="53"/>
  <c r="AG31" i="53"/>
  <c r="AH31" i="53"/>
  <c r="AG46" i="53"/>
  <c r="AH46" i="53"/>
  <c r="AH54" i="53"/>
  <c r="AG54" i="53"/>
  <c r="AH74" i="53"/>
  <c r="AG74" i="53"/>
  <c r="AG80" i="53"/>
  <c r="AH80" i="53"/>
  <c r="AH87" i="53"/>
  <c r="AG87" i="53"/>
  <c r="AH116" i="53"/>
  <c r="AG116" i="53"/>
  <c r="AG137" i="53"/>
  <c r="AH137" i="53"/>
  <c r="AH159" i="53"/>
  <c r="AG159" i="53"/>
  <c r="AH309" i="53"/>
  <c r="AG309" i="53"/>
  <c r="AH353" i="53"/>
  <c r="AG353" i="53"/>
  <c r="AH370" i="53"/>
  <c r="AG370" i="53"/>
  <c r="AH38" i="53"/>
  <c r="AG38" i="53"/>
  <c r="AH73" i="53"/>
  <c r="AG73" i="53"/>
  <c r="AH32" i="53"/>
  <c r="AG32" i="53"/>
  <c r="AH40" i="53"/>
  <c r="AG40" i="53"/>
  <c r="AH47" i="53"/>
  <c r="AG47" i="53"/>
  <c r="AG67" i="53"/>
  <c r="AH67" i="53"/>
  <c r="AH75" i="53"/>
  <c r="AG75" i="53"/>
  <c r="AH81" i="53"/>
  <c r="AG81" i="53"/>
  <c r="AH94" i="53"/>
  <c r="AG94" i="53"/>
  <c r="AG102" i="53"/>
  <c r="AH102" i="53"/>
  <c r="AH128" i="53"/>
  <c r="AG128" i="53"/>
  <c r="AH138" i="53"/>
  <c r="AG138" i="53"/>
  <c r="AH167" i="53"/>
  <c r="AG167" i="53"/>
  <c r="AG221" i="53"/>
  <c r="AH221" i="53"/>
  <c r="AG265" i="53"/>
  <c r="AH265" i="53"/>
  <c r="AH278" i="53"/>
  <c r="AG278" i="53"/>
  <c r="AH302" i="53"/>
  <c r="AG302" i="53"/>
  <c r="AH326" i="53"/>
  <c r="AG326" i="53"/>
  <c r="AG86" i="53"/>
  <c r="AH86" i="53"/>
  <c r="AH12" i="53"/>
  <c r="AG12" i="53"/>
  <c r="AG33" i="53"/>
  <c r="AH33" i="53"/>
  <c r="AH48" i="53"/>
  <c r="AG48" i="53"/>
  <c r="AH68" i="53"/>
  <c r="AG68" i="53"/>
  <c r="AH109" i="53"/>
  <c r="AG109" i="53"/>
  <c r="AH179" i="53"/>
  <c r="AG179" i="53"/>
  <c r="AG186" i="53"/>
  <c r="AH186" i="53"/>
  <c r="AH227" i="53"/>
  <c r="AG227" i="53"/>
  <c r="AH254" i="53"/>
  <c r="AG254" i="53"/>
  <c r="AH340" i="53"/>
  <c r="AG340" i="53"/>
  <c r="AH419" i="53"/>
  <c r="AG419" i="53"/>
  <c r="AH85" i="53"/>
  <c r="AG85" i="53"/>
  <c r="AG45" i="53"/>
  <c r="AH45" i="53"/>
  <c r="AH62" i="53"/>
  <c r="AG62" i="53"/>
  <c r="AH41" i="53"/>
  <c r="AG41" i="53"/>
  <c r="AH69" i="53"/>
  <c r="AG69" i="53"/>
  <c r="AH95" i="53"/>
  <c r="AG95" i="53"/>
  <c r="AH144" i="53"/>
  <c r="AG144" i="53"/>
  <c r="AG169" i="53"/>
  <c r="AH169" i="53"/>
  <c r="AG175" i="53"/>
  <c r="AH175" i="53"/>
  <c r="AH203" i="53"/>
  <c r="AG203" i="53"/>
  <c r="AG210" i="53"/>
  <c r="AH210" i="53"/>
  <c r="AH222" i="53"/>
  <c r="AG222" i="53"/>
  <c r="AH285" i="53"/>
  <c r="AG285" i="53"/>
  <c r="AH319" i="53"/>
  <c r="AG319" i="53"/>
  <c r="AH379" i="53"/>
  <c r="AG379" i="53"/>
  <c r="AG489" i="53"/>
  <c r="AH489" i="53"/>
  <c r="AH59" i="53"/>
  <c r="AG59" i="53"/>
  <c r="AH78" i="53"/>
  <c r="AG78" i="53"/>
  <c r="AH99" i="53"/>
  <c r="AG99" i="53"/>
  <c r="AH113" i="53"/>
  <c r="AG113" i="53"/>
  <c r="AG126" i="53"/>
  <c r="AH126" i="53"/>
  <c r="AH357" i="53"/>
  <c r="AG357" i="53"/>
  <c r="AH29" i="53"/>
  <c r="AG29" i="53"/>
  <c r="AH100" i="53"/>
  <c r="AG100" i="53"/>
  <c r="AH201" i="53"/>
  <c r="AG201" i="53"/>
  <c r="AH239" i="53"/>
  <c r="AG239" i="53"/>
  <c r="AG422" i="53"/>
  <c r="AH422" i="53"/>
  <c r="AH23" i="53"/>
  <c r="AG23" i="53"/>
  <c r="AH52" i="53"/>
  <c r="AG52" i="53"/>
  <c r="AH142" i="53"/>
  <c r="AG142" i="53"/>
  <c r="AG194" i="53"/>
  <c r="AH194" i="53"/>
  <c r="AH331" i="53"/>
  <c r="AG331" i="53"/>
  <c r="AH403" i="53"/>
  <c r="AG403" i="53"/>
  <c r="AG436" i="53"/>
  <c r="AH436" i="53"/>
  <c r="AH30" i="53"/>
  <c r="AG30" i="53"/>
  <c r="AH39" i="53"/>
  <c r="AG39" i="53"/>
  <c r="AH53" i="53"/>
  <c r="AG53" i="53"/>
  <c r="AG66" i="53"/>
  <c r="AH66" i="53"/>
  <c r="AH107" i="53"/>
  <c r="AG107" i="53"/>
  <c r="AH122" i="53"/>
  <c r="AG122" i="53"/>
  <c r="AH148" i="53"/>
  <c r="AG148" i="53"/>
  <c r="AH166" i="53"/>
  <c r="AG166" i="53"/>
  <c r="AH195" i="53"/>
  <c r="AG195" i="53"/>
  <c r="AH214" i="53"/>
  <c r="AG214" i="53"/>
  <c r="AH317" i="53"/>
  <c r="AG317" i="53"/>
  <c r="AH345" i="53"/>
  <c r="AG345" i="53"/>
  <c r="AH352" i="53"/>
  <c r="AG352" i="53"/>
  <c r="AH34" i="53"/>
  <c r="AG34" i="53"/>
  <c r="AH13" i="53"/>
  <c r="AG13" i="53"/>
  <c r="AG18" i="53"/>
  <c r="AH18" i="53"/>
  <c r="AH26" i="53"/>
  <c r="AG26" i="53"/>
  <c r="AH35" i="53"/>
  <c r="AG35" i="53"/>
  <c r="AG64" i="53"/>
  <c r="AH64" i="53"/>
  <c r="AH96" i="53"/>
  <c r="AG96" i="53"/>
  <c r="AH124" i="53"/>
  <c r="AG124" i="53"/>
  <c r="AH155" i="53"/>
  <c r="AG155" i="53"/>
  <c r="AH170" i="53"/>
  <c r="AG170" i="53"/>
  <c r="AH187" i="53"/>
  <c r="AG187" i="53"/>
  <c r="AH243" i="53"/>
  <c r="AG243" i="53"/>
  <c r="AH261" i="53"/>
  <c r="AG261" i="53"/>
  <c r="AH267" i="53"/>
  <c r="AG267" i="53"/>
  <c r="AH291" i="53"/>
  <c r="AG291" i="53"/>
  <c r="AH305" i="53"/>
  <c r="AG305" i="53"/>
  <c r="AG373" i="53"/>
  <c r="AH373" i="53"/>
  <c r="AG135" i="53"/>
  <c r="AH125" i="53"/>
  <c r="AG125" i="53"/>
  <c r="AH183" i="53"/>
  <c r="AG183" i="53"/>
  <c r="AH165" i="53"/>
  <c r="AG165" i="53"/>
  <c r="AH173" i="53"/>
  <c r="AG173" i="53"/>
  <c r="AH185" i="53"/>
  <c r="AG185" i="53"/>
  <c r="AG223" i="53"/>
  <c r="AH223" i="53"/>
  <c r="AG259" i="53"/>
  <c r="AH259" i="53"/>
  <c r="AH277" i="53"/>
  <c r="AG277" i="53"/>
  <c r="AG281" i="53"/>
  <c r="AH281" i="53"/>
  <c r="AH296" i="53"/>
  <c r="AG296" i="53"/>
  <c r="AH300" i="53"/>
  <c r="AG300" i="53"/>
  <c r="AH306" i="53"/>
  <c r="AG306" i="53"/>
  <c r="AH323" i="53"/>
  <c r="AG323" i="53"/>
  <c r="AH330" i="53"/>
  <c r="AG330" i="53"/>
  <c r="AH376" i="53"/>
  <c r="AG376" i="53"/>
  <c r="AG386" i="53"/>
  <c r="AH386" i="53"/>
  <c r="AH441" i="53"/>
  <c r="AG441" i="53"/>
  <c r="AH498" i="53"/>
  <c r="AG498" i="53"/>
  <c r="AG533" i="53"/>
  <c r="AH533" i="53"/>
  <c r="AH538" i="53"/>
  <c r="AG538" i="53"/>
  <c r="AG103" i="53"/>
  <c r="AH117" i="53"/>
  <c r="AG117" i="53"/>
  <c r="AH127" i="53"/>
  <c r="AG127" i="53"/>
  <c r="AH196" i="53"/>
  <c r="AG196" i="53"/>
  <c r="AH282" i="53"/>
  <c r="AG282" i="53"/>
  <c r="AH324" i="53"/>
  <c r="AG324" i="53"/>
  <c r="AH381" i="53"/>
  <c r="AG381" i="53"/>
  <c r="AG414" i="53"/>
  <c r="AH414" i="53"/>
  <c r="AG425" i="53"/>
  <c r="AH425" i="53"/>
  <c r="AG432" i="53"/>
  <c r="AH432" i="53"/>
  <c r="AG437" i="53"/>
  <c r="AH437" i="53"/>
  <c r="AG471" i="53"/>
  <c r="AH471" i="53"/>
  <c r="AG480" i="53"/>
  <c r="AH480" i="53"/>
  <c r="AG503" i="53"/>
  <c r="AH503" i="53"/>
  <c r="AG523" i="53"/>
  <c r="AH523" i="53"/>
  <c r="AG55" i="53"/>
  <c r="AG76" i="53"/>
  <c r="AG79" i="53"/>
  <c r="AH134" i="53"/>
  <c r="AG134" i="53"/>
  <c r="AG153" i="53"/>
  <c r="AH161" i="53"/>
  <c r="AG177" i="53"/>
  <c r="AG181" i="53"/>
  <c r="AH189" i="53"/>
  <c r="AH208" i="53"/>
  <c r="AH212" i="53"/>
  <c r="AG212" i="53"/>
  <c r="AG264" i="53"/>
  <c r="AH264" i="53"/>
  <c r="AG301" i="53"/>
  <c r="AH318" i="53"/>
  <c r="AG318" i="53"/>
  <c r="AH336" i="53"/>
  <c r="AG336" i="53"/>
  <c r="AG391" i="53"/>
  <c r="AH391" i="53"/>
  <c r="AG426" i="53"/>
  <c r="AH426" i="53"/>
  <c r="AG454" i="53"/>
  <c r="AH454" i="53"/>
  <c r="AH513" i="53"/>
  <c r="AH158" i="53"/>
  <c r="AG158" i="53"/>
  <c r="AH241" i="53"/>
  <c r="AG241" i="53"/>
  <c r="AH256" i="53"/>
  <c r="AG256" i="53"/>
  <c r="AH269" i="53"/>
  <c r="AG269" i="53"/>
  <c r="AH283" i="53"/>
  <c r="AG283" i="53"/>
  <c r="AH307" i="53"/>
  <c r="AG307" i="53"/>
  <c r="AH348" i="53"/>
  <c r="AG348" i="53"/>
  <c r="AH355" i="53"/>
  <c r="AG355" i="53"/>
  <c r="AH360" i="53"/>
  <c r="AG360" i="53"/>
  <c r="AH387" i="53"/>
  <c r="AG387" i="53"/>
  <c r="AG392" i="53"/>
  <c r="AH392" i="53"/>
  <c r="AG397" i="53"/>
  <c r="AH397" i="53"/>
  <c r="AH409" i="53"/>
  <c r="AG409" i="53"/>
  <c r="AG415" i="53"/>
  <c r="AH415" i="53"/>
  <c r="AG427" i="53"/>
  <c r="AH427" i="53"/>
  <c r="AG438" i="53"/>
  <c r="AH438" i="53"/>
  <c r="AG465" i="53"/>
  <c r="AH465" i="53"/>
  <c r="AG529" i="53"/>
  <c r="AH529" i="53"/>
  <c r="AG595" i="53"/>
  <c r="AH595" i="53"/>
  <c r="AG92" i="53"/>
  <c r="AG118" i="53"/>
  <c r="AG131" i="53"/>
  <c r="AG154" i="53"/>
  <c r="AG193" i="53"/>
  <c r="AH193" i="53"/>
  <c r="AH197" i="53"/>
  <c r="AH209" i="53"/>
  <c r="AG209" i="53"/>
  <c r="AH220" i="53"/>
  <c r="AG220" i="53"/>
  <c r="AG242" i="53"/>
  <c r="AH242" i="53"/>
  <c r="AH308" i="53"/>
  <c r="AG308" i="53"/>
  <c r="AH349" i="53"/>
  <c r="AG349" i="53"/>
  <c r="AG366" i="53"/>
  <c r="AH366" i="53"/>
  <c r="AG439" i="53"/>
  <c r="AH439" i="53"/>
  <c r="AH455" i="53"/>
  <c r="AG466" i="53"/>
  <c r="AH466" i="53"/>
  <c r="AG509" i="53"/>
  <c r="AH509" i="53"/>
  <c r="AH151" i="53"/>
  <c r="AG151" i="53"/>
  <c r="AH246" i="53"/>
  <c r="AG246" i="53"/>
  <c r="AH270" i="53"/>
  <c r="AG270" i="53"/>
  <c r="AH332" i="53"/>
  <c r="AG332" i="53"/>
  <c r="AH343" i="53"/>
  <c r="AG343" i="53"/>
  <c r="AH356" i="53"/>
  <c r="AG356" i="53"/>
  <c r="AG398" i="53"/>
  <c r="AH398" i="53"/>
  <c r="AG493" i="53"/>
  <c r="AH493" i="53"/>
  <c r="AG510" i="53"/>
  <c r="AH510" i="53"/>
  <c r="AH588" i="53"/>
  <c r="AG588" i="53"/>
  <c r="AH344" i="53"/>
  <c r="AG344" i="53"/>
  <c r="AG404" i="53"/>
  <c r="AH404" i="53"/>
  <c r="AH494" i="53"/>
  <c r="AG494" i="53"/>
  <c r="AH556" i="53"/>
  <c r="AG556" i="53"/>
  <c r="AH93" i="53"/>
  <c r="AG93" i="53"/>
  <c r="AG139" i="53"/>
  <c r="AH145" i="53"/>
  <c r="AG145" i="53"/>
  <c r="AH163" i="53"/>
  <c r="AG234" i="53"/>
  <c r="AG262" i="53"/>
  <c r="AG304" i="53"/>
  <c r="AG327" i="53"/>
  <c r="AH327" i="53"/>
  <c r="AH333" i="53"/>
  <c r="AG333" i="53"/>
  <c r="AG362" i="53"/>
  <c r="AH362" i="53"/>
  <c r="AG495" i="53"/>
  <c r="AH495" i="53"/>
  <c r="AH350" i="53"/>
  <c r="AG350" i="53"/>
  <c r="AH112" i="53"/>
  <c r="AG112" i="53"/>
  <c r="AH136" i="53"/>
  <c r="AG136" i="53"/>
  <c r="AH206" i="53"/>
  <c r="AG206" i="53"/>
  <c r="AH231" i="53"/>
  <c r="AG231" i="53"/>
  <c r="AH328" i="53"/>
  <c r="AG328" i="53"/>
  <c r="AH334" i="53"/>
  <c r="AG334" i="53"/>
  <c r="AH394" i="53"/>
  <c r="AH405" i="53"/>
  <c r="AG405" i="53"/>
  <c r="AG446" i="53"/>
  <c r="AH446" i="53"/>
  <c r="AH452" i="53"/>
  <c r="AG452" i="53"/>
  <c r="AG468" i="53"/>
  <c r="AH468" i="53"/>
  <c r="AG496" i="53"/>
  <c r="AH496" i="53"/>
  <c r="AG553" i="53"/>
  <c r="AH553" i="53"/>
  <c r="AH575" i="53"/>
  <c r="AG575" i="53"/>
  <c r="AH51" i="53"/>
  <c r="AG65" i="53"/>
  <c r="AH72" i="53"/>
  <c r="AG101" i="53"/>
  <c r="AG108" i="53"/>
  <c r="AG129" i="53"/>
  <c r="AH152" i="53"/>
  <c r="AH160" i="53"/>
  <c r="AG160" i="53"/>
  <c r="AH168" i="53"/>
  <c r="AG172" i="53"/>
  <c r="AH184" i="53"/>
  <c r="AH235" i="53"/>
  <c r="AG235" i="53"/>
  <c r="AG247" i="53"/>
  <c r="AG271" i="53"/>
  <c r="AG275" i="53"/>
  <c r="AH275" i="53"/>
  <c r="AG289" i="53"/>
  <c r="AH294" i="53"/>
  <c r="AG294" i="53"/>
  <c r="AH310" i="53"/>
  <c r="AG310" i="53"/>
  <c r="AH316" i="53"/>
  <c r="AG316" i="53"/>
  <c r="AH322" i="53"/>
  <c r="AG322" i="53"/>
  <c r="AH329" i="53"/>
  <c r="AG329" i="53"/>
  <c r="AH374" i="53"/>
  <c r="AG374" i="53"/>
  <c r="AG384" i="53"/>
  <c r="AH384" i="53"/>
  <c r="AG463" i="53"/>
  <c r="AH463" i="53"/>
  <c r="AG469" i="53"/>
  <c r="AH469" i="53"/>
  <c r="AH474" i="53"/>
  <c r="AG474" i="53"/>
  <c r="AH554" i="53"/>
  <c r="AG554" i="53"/>
  <c r="AH613" i="53"/>
  <c r="AG613" i="53"/>
  <c r="AH149" i="53"/>
  <c r="AG149" i="53"/>
  <c r="AH188" i="53"/>
  <c r="AG188" i="53"/>
  <c r="AG207" i="53"/>
  <c r="AG258" i="53"/>
  <c r="AG290" i="53"/>
  <c r="AH290" i="53"/>
  <c r="AG400" i="53"/>
  <c r="AH400" i="53"/>
  <c r="AH412" i="53"/>
  <c r="AH447" i="53"/>
  <c r="AG447" i="53"/>
  <c r="AH576" i="53"/>
  <c r="AG576" i="53"/>
  <c r="AH250" i="53"/>
  <c r="AG250" i="53"/>
  <c r="AH288" i="53"/>
  <c r="AG288" i="53"/>
  <c r="AH98" i="53"/>
  <c r="AH105" i="53"/>
  <c r="AG105" i="53"/>
  <c r="AG180" i="53"/>
  <c r="AH180" i="53"/>
  <c r="AH248" i="53"/>
  <c r="AG248" i="53"/>
  <c r="AH272" i="53"/>
  <c r="AG272" i="53"/>
  <c r="AG276" i="53"/>
  <c r="AH295" i="53"/>
  <c r="AG295" i="53"/>
  <c r="AH341" i="53"/>
  <c r="AG341" i="53"/>
  <c r="AH364" i="53"/>
  <c r="AG364" i="53"/>
  <c r="AG375" i="53"/>
  <c r="AH375" i="53"/>
  <c r="AG424" i="53"/>
  <c r="AH424" i="53"/>
  <c r="AH440" i="53"/>
  <c r="AG440" i="53"/>
  <c r="AG485" i="53"/>
  <c r="AH485" i="53"/>
  <c r="AG542" i="53"/>
  <c r="AH546" i="53"/>
  <c r="AG546" i="53"/>
  <c r="AG339" i="53"/>
  <c r="AH339" i="53"/>
  <c r="AG390" i="53"/>
  <c r="AH390" i="53"/>
  <c r="AG413" i="53"/>
  <c r="AH413" i="53"/>
  <c r="AH460" i="53"/>
  <c r="AG460" i="53"/>
  <c r="AG547" i="53"/>
  <c r="AH547" i="53"/>
  <c r="AH579" i="53"/>
  <c r="AG579" i="53"/>
  <c r="AG524" i="53"/>
  <c r="AH524" i="53"/>
  <c r="AG535" i="53"/>
  <c r="AH535" i="53"/>
  <c r="AH602" i="53"/>
  <c r="AG602" i="53"/>
  <c r="AG511" i="53"/>
  <c r="AH511" i="53"/>
  <c r="AH530" i="53"/>
  <c r="AG530" i="53"/>
  <c r="AG567" i="53"/>
  <c r="AH567" i="53"/>
  <c r="AH580" i="53"/>
  <c r="AG580" i="53"/>
  <c r="AH585" i="53"/>
  <c r="AG585" i="53"/>
  <c r="AG617" i="53"/>
  <c r="AG472" i="53"/>
  <c r="AH472" i="53"/>
  <c r="AG486" i="53"/>
  <c r="AH486" i="53"/>
  <c r="AG505" i="53"/>
  <c r="AH505" i="53"/>
  <c r="AG525" i="53"/>
  <c r="AH525" i="53"/>
  <c r="AG531" i="53"/>
  <c r="AH531" i="53"/>
  <c r="AH598" i="53"/>
  <c r="AG598" i="53"/>
  <c r="AG607" i="53"/>
  <c r="AH607" i="53"/>
  <c r="AH354" i="53"/>
  <c r="AG354" i="53"/>
  <c r="AH358" i="53"/>
  <c r="AG358" i="53"/>
  <c r="AG396" i="53"/>
  <c r="AH396" i="53"/>
  <c r="AG448" i="53"/>
  <c r="AG476" i="53"/>
  <c r="AH476" i="53"/>
  <c r="AG501" i="53"/>
  <c r="AH501" i="53"/>
  <c r="AH520" i="53"/>
  <c r="AH563" i="53"/>
  <c r="AG577" i="53"/>
  <c r="AH577" i="53"/>
  <c r="AG228" i="53"/>
  <c r="AH228" i="53"/>
  <c r="AG315" i="53"/>
  <c r="AH315" i="53"/>
  <c r="AH371" i="53"/>
  <c r="AG371" i="53"/>
  <c r="AG380" i="53"/>
  <c r="AH380" i="53"/>
  <c r="AH401" i="53"/>
  <c r="AG401" i="53"/>
  <c r="AH411" i="53"/>
  <c r="AG411" i="53"/>
  <c r="AH442" i="53"/>
  <c r="AG442" i="53"/>
  <c r="AG457" i="53"/>
  <c r="AH457" i="53"/>
  <c r="AG462" i="53"/>
  <c r="AH462" i="53"/>
  <c r="AG481" i="53"/>
  <c r="AH481" i="53"/>
  <c r="AG487" i="53"/>
  <c r="AH487" i="53"/>
  <c r="AH559" i="53"/>
  <c r="AH568" i="53"/>
  <c r="AG568" i="53"/>
  <c r="AH572" i="53"/>
  <c r="AG572" i="53"/>
  <c r="AG123" i="53"/>
  <c r="AG147" i="53"/>
  <c r="AG178" i="53"/>
  <c r="AH217" i="53"/>
  <c r="AG303" i="53"/>
  <c r="AH303" i="53"/>
  <c r="AH320" i="53"/>
  <c r="AG320" i="53"/>
  <c r="AG337" i="53"/>
  <c r="AH346" i="53"/>
  <c r="AG346" i="53"/>
  <c r="AH363" i="53"/>
  <c r="AG363" i="53"/>
  <c r="AG367" i="53"/>
  <c r="AH393" i="53"/>
  <c r="AG393" i="53"/>
  <c r="AH443" i="53"/>
  <c r="AG443" i="53"/>
  <c r="AG507" i="53"/>
  <c r="AH507" i="53"/>
  <c r="AG540" i="53"/>
  <c r="AH540" i="53"/>
  <c r="AH564" i="53"/>
  <c r="AG564" i="53"/>
  <c r="AG260" i="53"/>
  <c r="AG263" i="53"/>
  <c r="AH279" i="53"/>
  <c r="AG292" i="53"/>
  <c r="AH292" i="53"/>
  <c r="AH299" i="53"/>
  <c r="AG311" i="53"/>
  <c r="AH342" i="53"/>
  <c r="AG342" i="53"/>
  <c r="AG372" i="53"/>
  <c r="AG406" i="53"/>
  <c r="AH406" i="53"/>
  <c r="AG417" i="53"/>
  <c r="AH417" i="53"/>
  <c r="AG449" i="53"/>
  <c r="AH458" i="53"/>
  <c r="AG458" i="53"/>
  <c r="AG477" i="53"/>
  <c r="AH477" i="53"/>
  <c r="AH488" i="53"/>
  <c r="AG488" i="53"/>
  <c r="AG521" i="53"/>
  <c r="AH521" i="53"/>
  <c r="AG541" i="53"/>
  <c r="AH541" i="53"/>
  <c r="AH204" i="53"/>
  <c r="AG351" i="53"/>
  <c r="AH351" i="53"/>
  <c r="AH368" i="53"/>
  <c r="AG368" i="53"/>
  <c r="AH377" i="53"/>
  <c r="AG377" i="53"/>
  <c r="AH385" i="53"/>
  <c r="AG385" i="53"/>
  <c r="AG407" i="53"/>
  <c r="AH407" i="53"/>
  <c r="AH421" i="53"/>
  <c r="AG431" i="53"/>
  <c r="AG435" i="53"/>
  <c r="AG444" i="53"/>
  <c r="AH444" i="53"/>
  <c r="AH450" i="53"/>
  <c r="AG450" i="53"/>
  <c r="AG483" i="53"/>
  <c r="AH483" i="53"/>
  <c r="AG492" i="53"/>
  <c r="AH492" i="53"/>
  <c r="AG517" i="53"/>
  <c r="AH517" i="53"/>
  <c r="AG545" i="53"/>
  <c r="AH545" i="53"/>
  <c r="AG583" i="53"/>
  <c r="AH583" i="53"/>
  <c r="AG587" i="53"/>
  <c r="AH587" i="53"/>
  <c r="AH594" i="53"/>
  <c r="AG594" i="53"/>
  <c r="AH600" i="53"/>
  <c r="AG600" i="53"/>
  <c r="AH609" i="53"/>
  <c r="AG609" i="53"/>
  <c r="AG461" i="53"/>
  <c r="AH461" i="53"/>
  <c r="AH532" i="53"/>
  <c r="AG532" i="53"/>
  <c r="AH562" i="53"/>
  <c r="AG562" i="53"/>
  <c r="AH566" i="53"/>
  <c r="AG566" i="53"/>
  <c r="AH574" i="53"/>
  <c r="AG574" i="53"/>
  <c r="AH582" i="53"/>
  <c r="AG582" i="53"/>
  <c r="AH590" i="53"/>
  <c r="AG590" i="53"/>
  <c r="AH610" i="53"/>
  <c r="AG610" i="53"/>
  <c r="AG418" i="53"/>
  <c r="AH418" i="53"/>
  <c r="AG428" i="53"/>
  <c r="AH428" i="53"/>
  <c r="AG473" i="53"/>
  <c r="AH473" i="53"/>
  <c r="AG484" i="53"/>
  <c r="AH484" i="53"/>
  <c r="AG497" i="53"/>
  <c r="AH497" i="53"/>
  <c r="AH508" i="53"/>
  <c r="AG508" i="53"/>
  <c r="AH603" i="53"/>
  <c r="AG603" i="53"/>
  <c r="AG611" i="53"/>
  <c r="AH611" i="53"/>
  <c r="AH616" i="53"/>
  <c r="AG616" i="53"/>
  <c r="AG416" i="53"/>
  <c r="AH416" i="53"/>
  <c r="AG601" i="53"/>
  <c r="AH601" i="53"/>
  <c r="AH456" i="53"/>
  <c r="AH467" i="53"/>
  <c r="AH482" i="53"/>
  <c r="AG490" i="53"/>
  <c r="AH490" i="53"/>
  <c r="AG499" i="53"/>
  <c r="AH499" i="53"/>
  <c r="AH506" i="53"/>
  <c r="AG506" i="53"/>
  <c r="AG514" i="53"/>
  <c r="AG518" i="53"/>
  <c r="AH522" i="53"/>
  <c r="AG522" i="53"/>
  <c r="AG526" i="53"/>
  <c r="AG557" i="53"/>
  <c r="AH589" i="53"/>
  <c r="AG589" i="53"/>
  <c r="AH597" i="53"/>
  <c r="AG597" i="53"/>
  <c r="AG423" i="53"/>
  <c r="AG430" i="53"/>
  <c r="AH430" i="53"/>
  <c r="AG433" i="53"/>
  <c r="AG475" i="53"/>
  <c r="AH475" i="53"/>
  <c r="AH478" i="53"/>
  <c r="AH502" i="53"/>
  <c r="AG565" i="53"/>
  <c r="AH581" i="53"/>
  <c r="AG605" i="53"/>
  <c r="AG453" i="53"/>
  <c r="AH453" i="53"/>
  <c r="AH464" i="53"/>
  <c r="AG464" i="53"/>
  <c r="AG561" i="53"/>
  <c r="AH573" i="53"/>
  <c r="AG573" i="53"/>
  <c r="AH410" i="53"/>
  <c r="AH527" i="53"/>
  <c r="AG519" i="53"/>
  <c r="AH519" i="53"/>
  <c r="AG543" i="53"/>
  <c r="AH543" i="53"/>
  <c r="AH596" i="53"/>
  <c r="AG596" i="53"/>
  <c r="AH612" i="53"/>
  <c r="AG612" i="53"/>
  <c r="AH599" i="53"/>
  <c r="AG599" i="53"/>
  <c r="AH614" i="53"/>
  <c r="AG614" i="53"/>
  <c r="AH586" i="53"/>
  <c r="AG586" i="53"/>
  <c r="AH618" i="53"/>
  <c r="AG618" i="53"/>
  <c r="AG615" i="53"/>
  <c r="AG560" i="53"/>
  <c r="AG584" i="53"/>
  <c r="AG608" i="53"/>
  <c r="AH619" i="53"/>
  <c r="AG619" i="53"/>
  <c r="AH620" i="53"/>
  <c r="AG620" i="53"/>
  <c r="F8" i="53" l="1"/>
  <c r="I8" i="53" s="1"/>
  <c r="X21" i="33"/>
  <c r="Y20" i="33"/>
  <c r="U27" i="33"/>
  <c r="U23" i="33"/>
  <c r="X22" i="33"/>
  <c r="S35" i="33"/>
  <c r="T20" i="33"/>
  <c r="S34" i="33"/>
  <c r="P36" i="33"/>
  <c r="X7" i="35"/>
  <c r="T7" i="35"/>
  <c r="W7" i="35" s="1"/>
  <c r="Z37" i="4"/>
  <c r="AA37" i="4"/>
  <c r="AB37" i="4"/>
  <c r="Z38" i="4"/>
  <c r="AA38" i="4"/>
  <c r="AB38" i="4"/>
  <c r="Z39" i="4"/>
  <c r="AA39" i="4"/>
  <c r="AB39" i="4"/>
  <c r="Z40" i="4"/>
  <c r="AA40" i="4"/>
  <c r="AB40" i="4"/>
  <c r="Z41" i="4"/>
  <c r="AA41" i="4"/>
  <c r="AB41" i="4"/>
  <c r="Z42" i="4"/>
  <c r="AA42" i="4"/>
  <c r="AB42" i="4"/>
  <c r="Z43" i="4"/>
  <c r="AA43" i="4"/>
  <c r="AB43" i="4"/>
  <c r="Z44" i="4"/>
  <c r="AA44" i="4"/>
  <c r="AB44" i="4"/>
  <c r="Z45" i="4"/>
  <c r="AA45" i="4"/>
  <c r="AB45" i="4"/>
  <c r="Z46" i="4"/>
  <c r="AA46" i="4"/>
  <c r="AB46" i="4"/>
  <c r="Z47" i="4"/>
  <c r="AA47" i="4"/>
  <c r="AB47" i="4"/>
  <c r="Z48" i="4"/>
  <c r="AA48" i="4"/>
  <c r="AB48" i="4"/>
  <c r="Z49" i="4"/>
  <c r="AA49" i="4"/>
  <c r="AB49" i="4"/>
  <c r="Z50" i="4"/>
  <c r="AA50" i="4"/>
  <c r="AB50" i="4"/>
  <c r="Z51" i="4"/>
  <c r="AA51" i="4"/>
  <c r="AB51" i="4"/>
  <c r="Z52" i="4"/>
  <c r="AA52" i="4"/>
  <c r="AB52" i="4"/>
  <c r="Z53" i="4"/>
  <c r="AA53" i="4"/>
  <c r="AB53" i="4"/>
  <c r="Z54" i="4"/>
  <c r="AA54" i="4"/>
  <c r="AB54" i="4"/>
  <c r="Z55" i="4"/>
  <c r="AA55" i="4"/>
  <c r="AB55" i="4"/>
  <c r="Z56" i="4"/>
  <c r="AA56" i="4"/>
  <c r="AB56" i="4"/>
  <c r="Z57" i="4"/>
  <c r="AA57" i="4"/>
  <c r="AB57" i="4"/>
  <c r="Z58" i="4"/>
  <c r="AA58" i="4"/>
  <c r="AB58" i="4"/>
  <c r="Z59" i="4"/>
  <c r="AA59" i="4"/>
  <c r="AB59" i="4"/>
  <c r="Z60" i="4"/>
  <c r="AA60" i="4"/>
  <c r="AB60" i="4"/>
  <c r="Z61" i="4"/>
  <c r="AA61" i="4"/>
  <c r="AB61" i="4"/>
  <c r="Z62" i="4"/>
  <c r="AA62" i="4"/>
  <c r="AB62" i="4"/>
  <c r="Z63" i="4"/>
  <c r="AA63" i="4"/>
  <c r="AB63" i="4"/>
  <c r="Z64" i="4"/>
  <c r="AA64" i="4"/>
  <c r="AB64" i="4"/>
  <c r="Z65" i="4"/>
  <c r="AA65" i="4"/>
  <c r="AB65" i="4"/>
  <c r="Z66" i="4"/>
  <c r="AA66" i="4"/>
  <c r="AB66" i="4"/>
  <c r="Z67" i="4"/>
  <c r="AA67" i="4"/>
  <c r="AB67" i="4"/>
  <c r="Z68" i="4"/>
  <c r="AA68" i="4"/>
  <c r="AB68" i="4"/>
  <c r="Z69" i="4"/>
  <c r="AA69" i="4"/>
  <c r="AB69" i="4"/>
  <c r="Z70" i="4"/>
  <c r="AA70" i="4"/>
  <c r="AB70" i="4"/>
  <c r="Z71" i="4"/>
  <c r="AA71" i="4"/>
  <c r="AB71" i="4"/>
  <c r="Z72" i="4"/>
  <c r="AA72" i="4"/>
  <c r="AB72" i="4"/>
  <c r="Z73" i="4"/>
  <c r="AA73" i="4"/>
  <c r="AB73" i="4"/>
  <c r="Z74" i="4"/>
  <c r="AA74" i="4"/>
  <c r="AB74" i="4"/>
  <c r="Z75" i="4"/>
  <c r="AA75" i="4"/>
  <c r="AB75" i="4"/>
  <c r="AA36" i="4"/>
  <c r="AB36" i="4"/>
  <c r="Z36" i="4"/>
  <c r="AF27" i="51"/>
  <c r="AP27" i="51" s="1"/>
  <c r="AD27" i="51"/>
  <c r="AB27" i="51"/>
  <c r="AE27" i="51" s="1"/>
  <c r="AN27" i="51" s="1"/>
  <c r="I27" i="51"/>
  <c r="G27" i="51"/>
  <c r="H27" i="51" s="1"/>
  <c r="M27" i="51" s="1"/>
  <c r="D19" i="52"/>
  <c r="D20" i="52" s="1"/>
  <c r="C19" i="52"/>
  <c r="C20" i="52" s="1"/>
  <c r="B19" i="52"/>
  <c r="B20" i="52" s="1"/>
  <c r="G19" i="9"/>
  <c r="E19" i="9"/>
  <c r="Z5" i="36" s="1"/>
  <c r="AF5" i="36" s="1"/>
  <c r="AH5" i="36" s="1"/>
  <c r="P22" i="51"/>
  <c r="J22" i="51"/>
  <c r="K22" i="51"/>
  <c r="AA22" i="51"/>
  <c r="AC22" i="51"/>
  <c r="AJ5" i="49"/>
  <c r="AA19" i="17"/>
  <c r="AB19" i="17"/>
  <c r="Z19" i="17"/>
  <c r="AC19" i="17" s="1"/>
  <c r="U19" i="17"/>
  <c r="V19" i="17"/>
  <c r="T19" i="17"/>
  <c r="P19" i="17"/>
  <c r="AF26" i="51"/>
  <c r="AP26" i="51" s="1"/>
  <c r="AD26" i="51"/>
  <c r="AB26" i="51"/>
  <c r="AE26" i="51" s="1"/>
  <c r="AN26" i="51" s="1"/>
  <c r="I26" i="51"/>
  <c r="G26" i="51"/>
  <c r="H26" i="51" s="1"/>
  <c r="M26" i="51" s="1"/>
  <c r="AF23" i="51"/>
  <c r="AP23" i="51" s="1"/>
  <c r="AD23" i="51"/>
  <c r="AB23" i="51"/>
  <c r="I23" i="51"/>
  <c r="G23" i="51"/>
  <c r="H23" i="51" s="1"/>
  <c r="M23" i="51" s="1"/>
  <c r="AF24" i="51"/>
  <c r="AD24" i="51"/>
  <c r="AB24" i="51"/>
  <c r="AE24" i="51" s="1"/>
  <c r="I24" i="51"/>
  <c r="G24" i="51"/>
  <c r="H24" i="51" s="1"/>
  <c r="M24" i="51" s="1"/>
  <c r="AF28" i="51"/>
  <c r="AP28" i="51" s="1"/>
  <c r="AD28" i="51"/>
  <c r="AB28" i="51"/>
  <c r="AE28" i="51" s="1"/>
  <c r="AN28" i="51" s="1"/>
  <c r="L28" i="51"/>
  <c r="G28" i="51"/>
  <c r="AF25" i="51"/>
  <c r="AP25" i="51" s="1"/>
  <c r="AD25" i="51"/>
  <c r="AB25" i="51"/>
  <c r="AE25" i="51" s="1"/>
  <c r="AN25" i="51" s="1"/>
  <c r="I25" i="51"/>
  <c r="G25" i="51"/>
  <c r="H25" i="51" s="1"/>
  <c r="M25" i="51" s="1"/>
  <c r="AF29" i="51"/>
  <c r="AP29" i="51" s="1"/>
  <c r="AD29" i="51"/>
  <c r="AB29" i="51"/>
  <c r="AE29" i="51" s="1"/>
  <c r="AN29" i="51" s="1"/>
  <c r="L29" i="51"/>
  <c r="G29" i="51"/>
  <c r="AF43" i="51"/>
  <c r="AP43" i="51" s="1"/>
  <c r="AD43" i="51"/>
  <c r="AB43" i="51"/>
  <c r="AE43" i="51" s="1"/>
  <c r="AN43" i="51" s="1"/>
  <c r="G43" i="51"/>
  <c r="H43" i="51" s="1"/>
  <c r="M43" i="51" s="1"/>
  <c r="AF42" i="51"/>
  <c r="AP42" i="51" s="1"/>
  <c r="AD42" i="51"/>
  <c r="AB42" i="51"/>
  <c r="AE42" i="51" s="1"/>
  <c r="AN42" i="51" s="1"/>
  <c r="G42" i="51"/>
  <c r="H42" i="51" s="1"/>
  <c r="M42" i="51" s="1"/>
  <c r="AF41" i="51"/>
  <c r="AP41" i="51" s="1"/>
  <c r="AD41" i="51"/>
  <c r="AB41" i="51"/>
  <c r="AE41" i="51" s="1"/>
  <c r="AN41" i="51" s="1"/>
  <c r="G41" i="51"/>
  <c r="H41" i="51" s="1"/>
  <c r="M41" i="51" s="1"/>
  <c r="AF40" i="51"/>
  <c r="AP40" i="51" s="1"/>
  <c r="AD40" i="51"/>
  <c r="AB40" i="51"/>
  <c r="AE40" i="51" s="1"/>
  <c r="AN40" i="51" s="1"/>
  <c r="G40" i="51"/>
  <c r="H40" i="51" s="1"/>
  <c r="M40" i="51" s="1"/>
  <c r="AF39" i="51"/>
  <c r="AP39" i="51" s="1"/>
  <c r="AD39" i="51"/>
  <c r="AB39" i="51"/>
  <c r="AE39" i="51" s="1"/>
  <c r="AN39" i="51" s="1"/>
  <c r="G39" i="51"/>
  <c r="H39" i="51" s="1"/>
  <c r="M39" i="51" s="1"/>
  <c r="AF38" i="51"/>
  <c r="AP38" i="51" s="1"/>
  <c r="AD38" i="51"/>
  <c r="AB38" i="51"/>
  <c r="AE38" i="51" s="1"/>
  <c r="AN38" i="51" s="1"/>
  <c r="G38" i="51"/>
  <c r="H38" i="51" s="1"/>
  <c r="M38" i="51" s="1"/>
  <c r="AF37" i="51"/>
  <c r="AP37" i="51" s="1"/>
  <c r="AD37" i="51"/>
  <c r="AB37" i="51"/>
  <c r="AE37" i="51" s="1"/>
  <c r="AN37" i="51" s="1"/>
  <c r="G37" i="51"/>
  <c r="H37" i="51" s="1"/>
  <c r="M37" i="51" s="1"/>
  <c r="AF36" i="51"/>
  <c r="AP36" i="51" s="1"/>
  <c r="AD36" i="51"/>
  <c r="AB36" i="51"/>
  <c r="AE36" i="51" s="1"/>
  <c r="AN36" i="51" s="1"/>
  <c r="G36" i="51"/>
  <c r="H36" i="51" s="1"/>
  <c r="M36" i="51" s="1"/>
  <c r="AF35" i="51"/>
  <c r="AP35" i="51" s="1"/>
  <c r="AD35" i="51"/>
  <c r="AB35" i="51"/>
  <c r="AE35" i="51" s="1"/>
  <c r="AN35" i="51" s="1"/>
  <c r="G35" i="51"/>
  <c r="H35" i="51" s="1"/>
  <c r="M35" i="51" s="1"/>
  <c r="AF34" i="51"/>
  <c r="AP34" i="51" s="1"/>
  <c r="AD34" i="51"/>
  <c r="AB34" i="51"/>
  <c r="AE34" i="51" s="1"/>
  <c r="AN34" i="51" s="1"/>
  <c r="G34" i="51"/>
  <c r="H34" i="51" s="1"/>
  <c r="M34" i="51" s="1"/>
  <c r="AF33" i="51"/>
  <c r="AP33" i="51" s="1"/>
  <c r="AD33" i="51"/>
  <c r="AB33" i="51"/>
  <c r="AE33" i="51" s="1"/>
  <c r="AN33" i="51" s="1"/>
  <c r="G33" i="51"/>
  <c r="H33" i="51" s="1"/>
  <c r="M33" i="51" s="1"/>
  <c r="AF32" i="51"/>
  <c r="AP32" i="51" s="1"/>
  <c r="AD32" i="51"/>
  <c r="AB32" i="51"/>
  <c r="AE32" i="51" s="1"/>
  <c r="AN32" i="51" s="1"/>
  <c r="G32" i="51"/>
  <c r="H32" i="51" s="1"/>
  <c r="M32" i="51" s="1"/>
  <c r="AF31" i="51"/>
  <c r="AP31" i="51" s="1"/>
  <c r="AD31" i="51"/>
  <c r="AB31" i="51"/>
  <c r="AE31" i="51" s="1"/>
  <c r="AN31" i="51" s="1"/>
  <c r="G31" i="51"/>
  <c r="H31" i="51" s="1"/>
  <c r="M31" i="51" s="1"/>
  <c r="AF30" i="51"/>
  <c r="AP30" i="51" s="1"/>
  <c r="AD30" i="51"/>
  <c r="AB30" i="51"/>
  <c r="AE30" i="51" s="1"/>
  <c r="AN30" i="51" s="1"/>
  <c r="G30" i="51"/>
  <c r="H30" i="51" s="1"/>
  <c r="M30" i="51" s="1"/>
  <c r="AF44" i="51"/>
  <c r="AP44" i="51" s="1"/>
  <c r="AD44" i="51"/>
  <c r="AB44" i="51"/>
  <c r="AE44" i="51" s="1"/>
  <c r="AN44" i="51" s="1"/>
  <c r="G44" i="51"/>
  <c r="H44" i="51" s="1"/>
  <c r="M44" i="51" s="1"/>
  <c r="P17" i="51"/>
  <c r="W19" i="17" l="1"/>
  <c r="S36" i="33"/>
  <c r="U25" i="33"/>
  <c r="X25" i="33" s="1"/>
  <c r="U24" i="33"/>
  <c r="X24" i="33" s="1"/>
  <c r="U26" i="33"/>
  <c r="X26" i="33" s="1"/>
  <c r="X23" i="33"/>
  <c r="U28" i="33"/>
  <c r="X28" i="33" s="1"/>
  <c r="U29" i="33"/>
  <c r="X29" i="33" s="1"/>
  <c r="U30" i="33"/>
  <c r="X27" i="33"/>
  <c r="X30" i="33" s="1"/>
  <c r="AI27" i="51"/>
  <c r="R27" i="51"/>
  <c r="N27" i="51"/>
  <c r="L27" i="51"/>
  <c r="AM27" i="51"/>
  <c r="AO27" i="51" s="1"/>
  <c r="AQ27" i="51" s="1"/>
  <c r="AG27" i="51"/>
  <c r="AD22" i="51"/>
  <c r="AD17" i="51" s="1"/>
  <c r="AE23" i="51"/>
  <c r="AN23" i="51" s="1"/>
  <c r="AB22" i="51"/>
  <c r="AN24" i="51"/>
  <c r="AN22" i="51" s="1"/>
  <c r="AN17" i="51" s="1"/>
  <c r="AE22" i="51"/>
  <c r="AE17" i="51" s="1"/>
  <c r="AP24" i="51"/>
  <c r="AP22" i="51" s="1"/>
  <c r="AP17" i="51" s="1"/>
  <c r="AF22" i="51"/>
  <c r="AF17" i="51" s="1"/>
  <c r="AI26" i="51"/>
  <c r="R26" i="51"/>
  <c r="N26" i="51"/>
  <c r="L26" i="51"/>
  <c r="AM26" i="51"/>
  <c r="AO26" i="51" s="1"/>
  <c r="AQ26" i="51" s="1"/>
  <c r="AG26" i="51"/>
  <c r="AI23" i="51"/>
  <c r="R23" i="51"/>
  <c r="N23" i="51"/>
  <c r="L23" i="51"/>
  <c r="AM23" i="51"/>
  <c r="AO23" i="51" s="1"/>
  <c r="AQ23" i="51" s="1"/>
  <c r="AG23" i="51"/>
  <c r="AI24" i="51"/>
  <c r="R24" i="51"/>
  <c r="N24" i="51"/>
  <c r="L24" i="51"/>
  <c r="AM24" i="51"/>
  <c r="AG24" i="51"/>
  <c r="AI25" i="51"/>
  <c r="R25" i="51"/>
  <c r="N25" i="51"/>
  <c r="L25" i="51"/>
  <c r="AM25" i="51"/>
  <c r="AO25" i="51" s="1"/>
  <c r="AQ25" i="51" s="1"/>
  <c r="AG25" i="51"/>
  <c r="N28" i="51"/>
  <c r="H28" i="51"/>
  <c r="M28" i="51" s="1"/>
  <c r="AH28" i="51"/>
  <c r="V28" i="51"/>
  <c r="Q28" i="51"/>
  <c r="O28" i="51"/>
  <c r="AM28" i="51"/>
  <c r="AO28" i="51" s="1"/>
  <c r="AQ28" i="51" s="1"/>
  <c r="AG28" i="51"/>
  <c r="N29" i="51"/>
  <c r="H29" i="51"/>
  <c r="M29" i="51" s="1"/>
  <c r="AH29" i="51"/>
  <c r="V29" i="51"/>
  <c r="Q29" i="51"/>
  <c r="O29" i="51"/>
  <c r="AM29" i="51"/>
  <c r="AO29" i="51" s="1"/>
  <c r="AQ29" i="51" s="1"/>
  <c r="AG29" i="51"/>
  <c r="AI30" i="51"/>
  <c r="R30" i="51"/>
  <c r="N30" i="51"/>
  <c r="L30" i="51"/>
  <c r="AM30" i="51"/>
  <c r="AO30" i="51" s="1"/>
  <c r="AQ30" i="51" s="1"/>
  <c r="AG30" i="51"/>
  <c r="AI31" i="51"/>
  <c r="R31" i="51"/>
  <c r="N31" i="51"/>
  <c r="L31" i="51"/>
  <c r="AM31" i="51"/>
  <c r="AO31" i="51" s="1"/>
  <c r="AQ31" i="51" s="1"/>
  <c r="AG31" i="51"/>
  <c r="AI32" i="51"/>
  <c r="R32" i="51"/>
  <c r="N32" i="51"/>
  <c r="L32" i="51"/>
  <c r="AM32" i="51"/>
  <c r="AO32" i="51" s="1"/>
  <c r="AQ32" i="51" s="1"/>
  <c r="AG32" i="51"/>
  <c r="AI33" i="51"/>
  <c r="R33" i="51"/>
  <c r="N33" i="51"/>
  <c r="L33" i="51"/>
  <c r="AM33" i="51"/>
  <c r="AO33" i="51" s="1"/>
  <c r="AQ33" i="51" s="1"/>
  <c r="AG33" i="51"/>
  <c r="AI34" i="51"/>
  <c r="R34" i="51"/>
  <c r="N34" i="51"/>
  <c r="L34" i="51"/>
  <c r="AM34" i="51"/>
  <c r="AO34" i="51" s="1"/>
  <c r="AQ34" i="51" s="1"/>
  <c r="AG34" i="51"/>
  <c r="AI35" i="51"/>
  <c r="R35" i="51"/>
  <c r="N35" i="51"/>
  <c r="L35" i="51"/>
  <c r="AM35" i="51"/>
  <c r="AO35" i="51" s="1"/>
  <c r="AQ35" i="51" s="1"/>
  <c r="AG35" i="51"/>
  <c r="AI36" i="51"/>
  <c r="R36" i="51"/>
  <c r="N36" i="51"/>
  <c r="L36" i="51"/>
  <c r="AM36" i="51"/>
  <c r="AO36" i="51" s="1"/>
  <c r="AQ36" i="51" s="1"/>
  <c r="AG36" i="51"/>
  <c r="AI37" i="51"/>
  <c r="R37" i="51"/>
  <c r="N37" i="51"/>
  <c r="L37" i="51"/>
  <c r="AM37" i="51"/>
  <c r="AO37" i="51" s="1"/>
  <c r="AQ37" i="51" s="1"/>
  <c r="AG37" i="51"/>
  <c r="AI38" i="51"/>
  <c r="R38" i="51"/>
  <c r="N38" i="51"/>
  <c r="L38" i="51"/>
  <c r="AM38" i="51"/>
  <c r="AO38" i="51" s="1"/>
  <c r="AQ38" i="51" s="1"/>
  <c r="AG38" i="51"/>
  <c r="AI39" i="51"/>
  <c r="R39" i="51"/>
  <c r="N39" i="51"/>
  <c r="L39" i="51"/>
  <c r="AM39" i="51"/>
  <c r="AO39" i="51" s="1"/>
  <c r="AQ39" i="51" s="1"/>
  <c r="AG39" i="51"/>
  <c r="AI40" i="51"/>
  <c r="R40" i="51"/>
  <c r="N40" i="51"/>
  <c r="L40" i="51"/>
  <c r="AM40" i="51"/>
  <c r="AO40" i="51" s="1"/>
  <c r="AQ40" i="51" s="1"/>
  <c r="AG40" i="51"/>
  <c r="AI41" i="51"/>
  <c r="R41" i="51"/>
  <c r="N41" i="51"/>
  <c r="L41" i="51"/>
  <c r="AM41" i="51"/>
  <c r="AO41" i="51" s="1"/>
  <c r="AQ41" i="51" s="1"/>
  <c r="AG41" i="51"/>
  <c r="AI42" i="51"/>
  <c r="R42" i="51"/>
  <c r="N42" i="51"/>
  <c r="L42" i="51"/>
  <c r="AM42" i="51"/>
  <c r="AO42" i="51" s="1"/>
  <c r="AQ42" i="51" s="1"/>
  <c r="AG42" i="51"/>
  <c r="AI43" i="51"/>
  <c r="R43" i="51"/>
  <c r="N43" i="51"/>
  <c r="L43" i="51"/>
  <c r="AM43" i="51"/>
  <c r="AO43" i="51" s="1"/>
  <c r="AQ43" i="51" s="1"/>
  <c r="AG43" i="51"/>
  <c r="AI44" i="51"/>
  <c r="R44" i="51"/>
  <c r="N44" i="51"/>
  <c r="L44" i="51"/>
  <c r="AM44" i="51"/>
  <c r="AO44" i="51" s="1"/>
  <c r="AQ44" i="51" s="1"/>
  <c r="AG44" i="51"/>
  <c r="AP6" i="17"/>
  <c r="AP14" i="17"/>
  <c r="AP15" i="17"/>
  <c r="AP16" i="17"/>
  <c r="AP5" i="35"/>
  <c r="AM5" i="35"/>
  <c r="AN5" i="35"/>
  <c r="AM6" i="35"/>
  <c r="AN6" i="35"/>
  <c r="AG6" i="35"/>
  <c r="AH6" i="35"/>
  <c r="AG5" i="35"/>
  <c r="AH5" i="35"/>
  <c r="AJ5" i="35"/>
  <c r="AD26" i="17"/>
  <c r="AE25" i="17"/>
  <c r="Y25" i="17"/>
  <c r="X26" i="17"/>
  <c r="Z5" i="35"/>
  <c r="AL5" i="35" s="1"/>
  <c r="T5" i="35"/>
  <c r="W5" i="35" s="1"/>
  <c r="Y5" i="35" s="1"/>
  <c r="Q5" i="35"/>
  <c r="K5" i="35"/>
  <c r="M5" i="35" s="1"/>
  <c r="AR5" i="35" s="1"/>
  <c r="F5" i="35"/>
  <c r="AJ6" i="17"/>
  <c r="AJ8" i="17"/>
  <c r="AJ14" i="17"/>
  <c r="AJ15" i="17"/>
  <c r="AJ16" i="17"/>
  <c r="AJ5" i="17"/>
  <c r="AH7" i="17"/>
  <c r="AH8" i="17"/>
  <c r="AH9" i="17"/>
  <c r="AH14" i="17"/>
  <c r="AH5" i="17"/>
  <c r="AG16" i="17"/>
  <c r="AG15" i="17"/>
  <c r="AG14" i="17"/>
  <c r="AG8" i="17"/>
  <c r="AG5" i="17"/>
  <c r="AF15" i="17"/>
  <c r="AF16" i="17"/>
  <c r="AF6" i="17"/>
  <c r="AF8" i="17"/>
  <c r="AF14" i="17"/>
  <c r="AF5" i="17"/>
  <c r="AN7" i="17"/>
  <c r="AN8" i="17"/>
  <c r="AN9" i="17"/>
  <c r="AN14" i="17"/>
  <c r="AN5" i="17"/>
  <c r="AM5" i="36"/>
  <c r="AL5" i="36"/>
  <c r="AM7" i="36"/>
  <c r="AQ5" i="36"/>
  <c r="AO5" i="36"/>
  <c r="AD6" i="36"/>
  <c r="AI6" i="36" s="1"/>
  <c r="AC7" i="36"/>
  <c r="K5" i="36"/>
  <c r="K7" i="36"/>
  <c r="Q5" i="36"/>
  <c r="S5" i="36" s="1"/>
  <c r="Q7" i="36"/>
  <c r="W7" i="36"/>
  <c r="Y7" i="36" s="1"/>
  <c r="AI5" i="17" l="1"/>
  <c r="AI8" i="17"/>
  <c r="AK8" i="17" s="1"/>
  <c r="AI14" i="17"/>
  <c r="AK14" i="17" s="1"/>
  <c r="AH27" i="51"/>
  <c r="V27" i="51"/>
  <c r="Q27" i="51"/>
  <c r="O27" i="51"/>
  <c r="AK27" i="51"/>
  <c r="T27" i="51"/>
  <c r="Y27" i="51" s="1"/>
  <c r="M22" i="51"/>
  <c r="AG22" i="51"/>
  <c r="L22" i="51"/>
  <c r="N22" i="51"/>
  <c r="AO24" i="51"/>
  <c r="AM22" i="51"/>
  <c r="AK5" i="36"/>
  <c r="AC5" i="36"/>
  <c r="AH26" i="51"/>
  <c r="V26" i="51"/>
  <c r="Q26" i="51"/>
  <c r="O26" i="51"/>
  <c r="AK26" i="51"/>
  <c r="T26" i="51"/>
  <c r="Y26" i="51" s="1"/>
  <c r="AH23" i="51"/>
  <c r="V23" i="51"/>
  <c r="Q23" i="51"/>
  <c r="O23" i="51"/>
  <c r="AK23" i="51"/>
  <c r="T23" i="51"/>
  <c r="Y23" i="51" s="1"/>
  <c r="AH24" i="51"/>
  <c r="V24" i="51"/>
  <c r="Q24" i="51"/>
  <c r="O24" i="51"/>
  <c r="AK24" i="51"/>
  <c r="T24" i="51"/>
  <c r="W28" i="51"/>
  <c r="X28" i="51"/>
  <c r="AI28" i="51"/>
  <c r="R28" i="51"/>
  <c r="AK28" i="51"/>
  <c r="T28" i="51"/>
  <c r="Y28" i="51" s="1"/>
  <c r="AH25" i="51"/>
  <c r="V25" i="51"/>
  <c r="Q25" i="51"/>
  <c r="O25" i="51"/>
  <c r="AK25" i="51"/>
  <c r="T25" i="51"/>
  <c r="Y25" i="51" s="1"/>
  <c r="L17" i="51"/>
  <c r="W29" i="51"/>
  <c r="X29" i="51"/>
  <c r="AI29" i="51"/>
  <c r="R29" i="51"/>
  <c r="AK29" i="51"/>
  <c r="T29" i="51"/>
  <c r="Y29" i="51" s="1"/>
  <c r="AH43" i="51"/>
  <c r="V43" i="51"/>
  <c r="Q43" i="51"/>
  <c r="O43" i="51"/>
  <c r="AK43" i="51"/>
  <c r="T43" i="51"/>
  <c r="Y43" i="51" s="1"/>
  <c r="AH42" i="51"/>
  <c r="V42" i="51"/>
  <c r="Q42" i="51"/>
  <c r="O42" i="51"/>
  <c r="AK42" i="51"/>
  <c r="T42" i="51"/>
  <c r="Y42" i="51" s="1"/>
  <c r="AH41" i="51"/>
  <c r="V41" i="51"/>
  <c r="Q41" i="51"/>
  <c r="O41" i="51"/>
  <c r="AK41" i="51"/>
  <c r="T41" i="51"/>
  <c r="Y41" i="51" s="1"/>
  <c r="AH40" i="51"/>
  <c r="V40" i="51"/>
  <c r="Q40" i="51"/>
  <c r="O40" i="51"/>
  <c r="AK40" i="51"/>
  <c r="T40" i="51"/>
  <c r="Y40" i="51" s="1"/>
  <c r="AH39" i="51"/>
  <c r="V39" i="51"/>
  <c r="Q39" i="51"/>
  <c r="O39" i="51"/>
  <c r="AK39" i="51"/>
  <c r="T39" i="51"/>
  <c r="Y39" i="51" s="1"/>
  <c r="AH38" i="51"/>
  <c r="V38" i="51"/>
  <c r="Q38" i="51"/>
  <c r="O38" i="51"/>
  <c r="AK38" i="51"/>
  <c r="T38" i="51"/>
  <c r="Y38" i="51" s="1"/>
  <c r="AH37" i="51"/>
  <c r="V37" i="51"/>
  <c r="Q37" i="51"/>
  <c r="O37" i="51"/>
  <c r="AK37" i="51"/>
  <c r="T37" i="51"/>
  <c r="Y37" i="51" s="1"/>
  <c r="AH36" i="51"/>
  <c r="V36" i="51"/>
  <c r="Q36" i="51"/>
  <c r="O36" i="51"/>
  <c r="AK36" i="51"/>
  <c r="T36" i="51"/>
  <c r="Y36" i="51" s="1"/>
  <c r="AH35" i="51"/>
  <c r="V35" i="51"/>
  <c r="Q35" i="51"/>
  <c r="O35" i="51"/>
  <c r="AK35" i="51"/>
  <c r="T35" i="51"/>
  <c r="Y35" i="51" s="1"/>
  <c r="AH34" i="51"/>
  <c r="V34" i="51"/>
  <c r="Q34" i="51"/>
  <c r="O34" i="51"/>
  <c r="AK34" i="51"/>
  <c r="T34" i="51"/>
  <c r="Y34" i="51" s="1"/>
  <c r="AH33" i="51"/>
  <c r="V33" i="51"/>
  <c r="Q33" i="51"/>
  <c r="O33" i="51"/>
  <c r="AK33" i="51"/>
  <c r="T33" i="51"/>
  <c r="Y33" i="51" s="1"/>
  <c r="AH32" i="51"/>
  <c r="V32" i="51"/>
  <c r="Q32" i="51"/>
  <c r="O32" i="51"/>
  <c r="AK32" i="51"/>
  <c r="T32" i="51"/>
  <c r="Y32" i="51" s="1"/>
  <c r="AH31" i="51"/>
  <c r="V31" i="51"/>
  <c r="Q31" i="51"/>
  <c r="O31" i="51"/>
  <c r="AK31" i="51"/>
  <c r="T31" i="51"/>
  <c r="Y31" i="51" s="1"/>
  <c r="AH30" i="51"/>
  <c r="V30" i="51"/>
  <c r="Q30" i="51"/>
  <c r="O30" i="51"/>
  <c r="AK30" i="51"/>
  <c r="T30" i="51"/>
  <c r="Y30" i="51" s="1"/>
  <c r="AH44" i="51"/>
  <c r="V44" i="51"/>
  <c r="Q44" i="51"/>
  <c r="O44" i="51"/>
  <c r="AK44" i="51"/>
  <c r="T44" i="51"/>
  <c r="Y44" i="51" s="1"/>
  <c r="AO22" i="51"/>
  <c r="AM17" i="51"/>
  <c r="M17" i="51"/>
  <c r="N17" i="51"/>
  <c r="AF5" i="35"/>
  <c r="AC5" i="35"/>
  <c r="W26" i="17"/>
  <c r="Y26" i="17"/>
  <c r="S5" i="35"/>
  <c r="AE5" i="36"/>
  <c r="AP5" i="36" s="1"/>
  <c r="AE5" i="35" l="1"/>
  <c r="AK5" i="35" s="1"/>
  <c r="AI5" i="35"/>
  <c r="AS5" i="35"/>
  <c r="AQ5" i="35"/>
  <c r="AO5" i="35"/>
  <c r="AC26" i="17"/>
  <c r="AE26" i="17" s="1"/>
  <c r="W27" i="51"/>
  <c r="S27" i="51"/>
  <c r="U27" i="51" s="1"/>
  <c r="X27" i="51"/>
  <c r="Z27" i="51" s="1"/>
  <c r="AJ27" i="51"/>
  <c r="AL27" i="51" s="1"/>
  <c r="R22" i="51"/>
  <c r="AI22" i="51"/>
  <c r="AK22" i="51"/>
  <c r="AK17" i="51" s="1"/>
  <c r="O22" i="51"/>
  <c r="O17" i="51" s="1"/>
  <c r="Q22" i="51"/>
  <c r="Q17" i="51" s="1"/>
  <c r="V22" i="51"/>
  <c r="V17" i="51" s="1"/>
  <c r="AH22" i="51"/>
  <c r="AH17" i="51" s="1"/>
  <c r="Y24" i="51"/>
  <c r="Y22" i="51" s="1"/>
  <c r="T22" i="51"/>
  <c r="AQ24" i="51"/>
  <c r="AN5" i="36"/>
  <c r="AE11" i="36"/>
  <c r="W26" i="51"/>
  <c r="S26" i="51"/>
  <c r="U26" i="51" s="1"/>
  <c r="X26" i="51"/>
  <c r="Z26" i="51" s="1"/>
  <c r="AJ26" i="51"/>
  <c r="AL26" i="51" s="1"/>
  <c r="W23" i="51"/>
  <c r="S23" i="51"/>
  <c r="U23" i="51" s="1"/>
  <c r="X23" i="51"/>
  <c r="Z23" i="51" s="1"/>
  <c r="AJ23" i="51"/>
  <c r="AL23" i="51" s="1"/>
  <c r="W24" i="51"/>
  <c r="S24" i="51"/>
  <c r="X24" i="51"/>
  <c r="AJ24" i="51"/>
  <c r="W25" i="51"/>
  <c r="S25" i="51"/>
  <c r="U25" i="51" s="1"/>
  <c r="X25" i="51"/>
  <c r="Z25" i="51" s="1"/>
  <c r="AJ25" i="51"/>
  <c r="AL25" i="51" s="1"/>
  <c r="S28" i="51"/>
  <c r="U28" i="51" s="1"/>
  <c r="AJ28" i="51"/>
  <c r="AL28" i="51" s="1"/>
  <c r="Z28" i="51"/>
  <c r="S29" i="51"/>
  <c r="U29" i="51" s="1"/>
  <c r="AJ29" i="51"/>
  <c r="AL29" i="51" s="1"/>
  <c r="Z29" i="51"/>
  <c r="W30" i="51"/>
  <c r="S30" i="51"/>
  <c r="U30" i="51" s="1"/>
  <c r="X30" i="51"/>
  <c r="Z30" i="51" s="1"/>
  <c r="AJ30" i="51"/>
  <c r="AL30" i="51" s="1"/>
  <c r="W31" i="51"/>
  <c r="S31" i="51"/>
  <c r="U31" i="51" s="1"/>
  <c r="X31" i="51"/>
  <c r="Z31" i="51" s="1"/>
  <c r="AJ31" i="51"/>
  <c r="AL31" i="51" s="1"/>
  <c r="W32" i="51"/>
  <c r="S32" i="51"/>
  <c r="U32" i="51" s="1"/>
  <c r="X32" i="51"/>
  <c r="Z32" i="51" s="1"/>
  <c r="AJ32" i="51"/>
  <c r="AL32" i="51" s="1"/>
  <c r="W33" i="51"/>
  <c r="S33" i="51"/>
  <c r="U33" i="51" s="1"/>
  <c r="X33" i="51"/>
  <c r="Z33" i="51" s="1"/>
  <c r="AJ33" i="51"/>
  <c r="AL33" i="51" s="1"/>
  <c r="W34" i="51"/>
  <c r="S34" i="51"/>
  <c r="U34" i="51" s="1"/>
  <c r="X34" i="51"/>
  <c r="Z34" i="51" s="1"/>
  <c r="AJ34" i="51"/>
  <c r="AL34" i="51" s="1"/>
  <c r="W35" i="51"/>
  <c r="S35" i="51"/>
  <c r="U35" i="51" s="1"/>
  <c r="X35" i="51"/>
  <c r="Z35" i="51" s="1"/>
  <c r="AJ35" i="51"/>
  <c r="AL35" i="51" s="1"/>
  <c r="W36" i="51"/>
  <c r="S36" i="51"/>
  <c r="U36" i="51" s="1"/>
  <c r="X36" i="51"/>
  <c r="Z36" i="51" s="1"/>
  <c r="AJ36" i="51"/>
  <c r="AL36" i="51" s="1"/>
  <c r="W37" i="51"/>
  <c r="S37" i="51"/>
  <c r="U37" i="51" s="1"/>
  <c r="X37" i="51"/>
  <c r="Z37" i="51" s="1"/>
  <c r="AJ37" i="51"/>
  <c r="AL37" i="51" s="1"/>
  <c r="W38" i="51"/>
  <c r="S38" i="51"/>
  <c r="U38" i="51" s="1"/>
  <c r="X38" i="51"/>
  <c r="Z38" i="51" s="1"/>
  <c r="AJ38" i="51"/>
  <c r="AL38" i="51" s="1"/>
  <c r="W39" i="51"/>
  <c r="S39" i="51"/>
  <c r="U39" i="51" s="1"/>
  <c r="X39" i="51"/>
  <c r="Z39" i="51" s="1"/>
  <c r="AJ39" i="51"/>
  <c r="AL39" i="51" s="1"/>
  <c r="W40" i="51"/>
  <c r="S40" i="51"/>
  <c r="U40" i="51" s="1"/>
  <c r="X40" i="51"/>
  <c r="Z40" i="51" s="1"/>
  <c r="AJ40" i="51"/>
  <c r="AL40" i="51" s="1"/>
  <c r="W41" i="51"/>
  <c r="S41" i="51"/>
  <c r="U41" i="51" s="1"/>
  <c r="X41" i="51"/>
  <c r="Z41" i="51" s="1"/>
  <c r="AJ41" i="51"/>
  <c r="AL41" i="51" s="1"/>
  <c r="W42" i="51"/>
  <c r="S42" i="51"/>
  <c r="U42" i="51" s="1"/>
  <c r="X42" i="51"/>
  <c r="Z42" i="51" s="1"/>
  <c r="AJ42" i="51"/>
  <c r="AL42" i="51" s="1"/>
  <c r="W43" i="51"/>
  <c r="S43" i="51"/>
  <c r="U43" i="51" s="1"/>
  <c r="X43" i="51"/>
  <c r="Z43" i="51" s="1"/>
  <c r="AJ43" i="51"/>
  <c r="AL43" i="51" s="1"/>
  <c r="Y17" i="51"/>
  <c r="T17" i="51"/>
  <c r="R17" i="51"/>
  <c r="AI17" i="51"/>
  <c r="AQ22" i="51"/>
  <c r="AQ17" i="51" s="1"/>
  <c r="AG17" i="51"/>
  <c r="W44" i="51"/>
  <c r="S44" i="51"/>
  <c r="U44" i="51" s="1"/>
  <c r="X44" i="51"/>
  <c r="Z44" i="51" s="1"/>
  <c r="AJ44" i="51"/>
  <c r="AL44" i="51" s="1"/>
  <c r="AS5" i="36"/>
  <c r="M16" i="52" s="1"/>
  <c r="N16" i="52" s="1"/>
  <c r="L5" i="52" l="1"/>
  <c r="AT5" i="35"/>
  <c r="M5" i="52" s="1"/>
  <c r="N5" i="52" s="1"/>
  <c r="W22" i="51"/>
  <c r="W17" i="51" s="1"/>
  <c r="AL24" i="51"/>
  <c r="AL22" i="51" s="1"/>
  <c r="AJ22" i="51"/>
  <c r="Z24" i="51"/>
  <c r="Z22" i="51" s="1"/>
  <c r="X22" i="51"/>
  <c r="X17" i="51" s="1"/>
  <c r="U24" i="51"/>
  <c r="U22" i="51" s="1"/>
  <c r="S22" i="51"/>
  <c r="AO17" i="51"/>
  <c r="AO14" i="51" s="1"/>
  <c r="AJ17" i="51"/>
  <c r="AL17" i="51"/>
  <c r="S17" i="51"/>
  <c r="U17" i="51"/>
  <c r="L6" i="36"/>
  <c r="R6" i="36"/>
  <c r="X6" i="36"/>
  <c r="BC31" i="43"/>
  <c r="BD31" i="43"/>
  <c r="BB31" i="43"/>
  <c r="L17" i="17"/>
  <c r="R17" i="17"/>
  <c r="X17" i="17"/>
  <c r="AD17" i="17"/>
  <c r="AJ17" i="17" s="1"/>
  <c r="L19" i="47"/>
  <c r="Q19" i="47" s="1"/>
  <c r="K19" i="47"/>
  <c r="P19" i="47" s="1"/>
  <c r="L17" i="47"/>
  <c r="Q17" i="47" s="1"/>
  <c r="K17" i="47"/>
  <c r="P17" i="47" s="1"/>
  <c r="J17" i="47"/>
  <c r="L16" i="47"/>
  <c r="Q16" i="47" s="1"/>
  <c r="K16" i="47"/>
  <c r="P16" i="47" s="1"/>
  <c r="J16" i="47"/>
  <c r="L15" i="47"/>
  <c r="Q15" i="47" s="1"/>
  <c r="K15" i="47"/>
  <c r="P15" i="47" s="1"/>
  <c r="J14" i="47"/>
  <c r="O14" i="47" s="1"/>
  <c r="L13" i="47"/>
  <c r="Q13" i="47" s="1"/>
  <c r="K13" i="47"/>
  <c r="P13" i="47" s="1"/>
  <c r="J13" i="47"/>
  <c r="AN44" i="50"/>
  <c r="AY34" i="50"/>
  <c r="BD33" i="50"/>
  <c r="BC33" i="50"/>
  <c r="BF33" i="50" s="1"/>
  <c r="AY33" i="50"/>
  <c r="AQ33" i="50"/>
  <c r="AR33" i="50" s="1"/>
  <c r="AP33" i="50"/>
  <c r="AL44" i="50"/>
  <c r="AJ33" i="50"/>
  <c r="AI33" i="50"/>
  <c r="AH33" i="50"/>
  <c r="AA33" i="50"/>
  <c r="BE33" i="50" s="1"/>
  <c r="U33" i="50"/>
  <c r="AZ33" i="50" s="1"/>
  <c r="T33" i="50"/>
  <c r="S33" i="50"/>
  <c r="V33" i="50" s="1"/>
  <c r="I33" i="50"/>
  <c r="AY32" i="50"/>
  <c r="AX32" i="50"/>
  <c r="BA32" i="50" s="1"/>
  <c r="AQ32" i="50"/>
  <c r="AP32" i="50"/>
  <c r="AR32" i="50" s="1"/>
  <c r="AN32" i="50"/>
  <c r="AN43" i="50" s="1"/>
  <c r="AJ32" i="50"/>
  <c r="AI32" i="50"/>
  <c r="AH32" i="50"/>
  <c r="V32" i="50"/>
  <c r="U32" i="50"/>
  <c r="AZ32" i="50" s="1"/>
  <c r="T32" i="50"/>
  <c r="S32" i="50"/>
  <c r="I32" i="50"/>
  <c r="BD31" i="50"/>
  <c r="BC31" i="50"/>
  <c r="AY31" i="50"/>
  <c r="AX31" i="50"/>
  <c r="BA31" i="50" s="1"/>
  <c r="AQ31" i="50"/>
  <c r="AP31" i="50"/>
  <c r="AR31" i="50" s="1"/>
  <c r="AL42" i="50"/>
  <c r="AJ31" i="50"/>
  <c r="AI31" i="50"/>
  <c r="AH31" i="50"/>
  <c r="AA31" i="50"/>
  <c r="AD31" i="50" s="1"/>
  <c r="U31" i="50"/>
  <c r="AZ31" i="50" s="1"/>
  <c r="T31" i="50"/>
  <c r="S31" i="50"/>
  <c r="I31" i="50"/>
  <c r="AY30" i="50"/>
  <c r="AQ30" i="50"/>
  <c r="AP30" i="50"/>
  <c r="AA30" i="50" s="1"/>
  <c r="AL41" i="50"/>
  <c r="AJ30" i="50"/>
  <c r="AI30" i="50"/>
  <c r="AH30" i="50"/>
  <c r="U30" i="50"/>
  <c r="AZ30" i="50" s="1"/>
  <c r="AZ34" i="50" s="1"/>
  <c r="T30" i="50"/>
  <c r="T34" i="50" s="1"/>
  <c r="S30" i="50"/>
  <c r="AX30" i="50" s="1"/>
  <c r="I30" i="50"/>
  <c r="A28" i="50"/>
  <c r="AD27" i="50"/>
  <c r="AA27" i="50"/>
  <c r="AN23" i="50"/>
  <c r="AR16" i="50"/>
  <c r="AL23" i="50"/>
  <c r="AJ16" i="50"/>
  <c r="AI16" i="50"/>
  <c r="AH16" i="50"/>
  <c r="AA16" i="50"/>
  <c r="BD16" i="50" s="1"/>
  <c r="U16" i="50"/>
  <c r="V16" i="50" s="1"/>
  <c r="T16" i="50"/>
  <c r="AY16" i="50" s="1"/>
  <c r="S16" i="50"/>
  <c r="AX16" i="50" s="1"/>
  <c r="I16" i="50"/>
  <c r="AY15" i="50"/>
  <c r="AR15" i="50"/>
  <c r="AL22" i="50"/>
  <c r="AJ15" i="50"/>
  <c r="AI15" i="50"/>
  <c r="AH15" i="50"/>
  <c r="AA15" i="50"/>
  <c r="BE15" i="50" s="1"/>
  <c r="U15" i="50"/>
  <c r="AZ15" i="50" s="1"/>
  <c r="T15" i="50"/>
  <c r="S15" i="50"/>
  <c r="V15" i="50" s="1"/>
  <c r="I15" i="50"/>
  <c r="BE14" i="50"/>
  <c r="BD14" i="50"/>
  <c r="AY14" i="50"/>
  <c r="AR14" i="50"/>
  <c r="AL21" i="50"/>
  <c r="AJ14" i="50"/>
  <c r="AI14" i="50"/>
  <c r="AH14" i="50"/>
  <c r="AA14" i="50"/>
  <c r="BC14" i="50" s="1"/>
  <c r="BF14" i="50" s="1"/>
  <c r="U14" i="50"/>
  <c r="AZ14" i="50" s="1"/>
  <c r="T14" i="50"/>
  <c r="S14" i="50"/>
  <c r="S17" i="50" s="1"/>
  <c r="I14" i="50"/>
  <c r="AX13" i="50"/>
  <c r="AR13" i="50"/>
  <c r="AN13" i="50"/>
  <c r="AN20" i="50" s="1"/>
  <c r="AJ13" i="50"/>
  <c r="AI13" i="50"/>
  <c r="AH13" i="50"/>
  <c r="AA13" i="50"/>
  <c r="BE13" i="50" s="1"/>
  <c r="U13" i="50"/>
  <c r="AZ13" i="50" s="1"/>
  <c r="T13" i="50"/>
  <c r="T17" i="50" s="1"/>
  <c r="T41" i="50" s="1"/>
  <c r="S13" i="50"/>
  <c r="V13" i="50" s="1"/>
  <c r="I13" i="50"/>
  <c r="AN30" i="50" l="1"/>
  <c r="AN41" i="50" s="1"/>
  <c r="AN31" i="50"/>
  <c r="AN42" i="50" s="1"/>
  <c r="M13" i="47"/>
  <c r="AN14" i="50"/>
  <c r="AN21" i="50" s="1"/>
  <c r="Z17" i="51"/>
  <c r="AG16" i="51"/>
  <c r="AP17" i="17"/>
  <c r="H6" i="36"/>
  <c r="J6" i="36"/>
  <c r="I6" i="36"/>
  <c r="N6" i="36"/>
  <c r="P6" i="36"/>
  <c r="O6" i="36"/>
  <c r="T6" i="36"/>
  <c r="V6" i="36"/>
  <c r="U6" i="36"/>
  <c r="Z6" i="36"/>
  <c r="AF6" i="36" s="1"/>
  <c r="AB6" i="36"/>
  <c r="AA6" i="36"/>
  <c r="AG6" i="36" s="1"/>
  <c r="L18" i="47"/>
  <c r="Q18" i="47"/>
  <c r="E20" i="47"/>
  <c r="J32" i="47" s="1"/>
  <c r="J33" i="47" s="1"/>
  <c r="H14" i="47"/>
  <c r="G20" i="47"/>
  <c r="L32" i="47" s="1"/>
  <c r="L33" i="47" s="1"/>
  <c r="L36" i="47" s="1"/>
  <c r="H18" i="47"/>
  <c r="H13" i="47"/>
  <c r="N13" i="47" s="1"/>
  <c r="AL43" i="50"/>
  <c r="H19" i="47"/>
  <c r="M17" i="47"/>
  <c r="O17" i="47"/>
  <c r="R17" i="47" s="1"/>
  <c r="M16" i="47"/>
  <c r="O16" i="47"/>
  <c r="R16" i="47" s="1"/>
  <c r="H12" i="47"/>
  <c r="J19" i="47"/>
  <c r="L14" i="47"/>
  <c r="H16" i="47"/>
  <c r="O13" i="47"/>
  <c r="R13" i="47" s="1"/>
  <c r="S13" i="47" s="1"/>
  <c r="H15" i="47"/>
  <c r="K14" i="47"/>
  <c r="J15" i="47"/>
  <c r="H17" i="47"/>
  <c r="F20" i="47"/>
  <c r="K32" i="47" s="1"/>
  <c r="K33" i="47" s="1"/>
  <c r="K36" i="47" s="1"/>
  <c r="K42" i="47" s="1"/>
  <c r="AT31" i="50"/>
  <c r="BJ31" i="50"/>
  <c r="BI31" i="50"/>
  <c r="AP42" i="50"/>
  <c r="BH31" i="50"/>
  <c r="BK31" i="50" s="1"/>
  <c r="BA16" i="50"/>
  <c r="AX34" i="50"/>
  <c r="BA30" i="50"/>
  <c r="BA34" i="50" s="1"/>
  <c r="AZ17" i="50"/>
  <c r="AZ41" i="50" s="1"/>
  <c r="BE17" i="50"/>
  <c r="BE30" i="50"/>
  <c r="BD30" i="50"/>
  <c r="BC30" i="50"/>
  <c r="AD30" i="50"/>
  <c r="AZ16" i="50"/>
  <c r="AD15" i="50"/>
  <c r="AL20" i="50"/>
  <c r="BE16" i="50"/>
  <c r="AY13" i="50"/>
  <c r="AY17" i="50" s="1"/>
  <c r="AY41" i="50" s="1"/>
  <c r="AN15" i="50"/>
  <c r="AN22" i="50" s="1"/>
  <c r="AA32" i="50"/>
  <c r="AX14" i="50"/>
  <c r="BA14" i="50" s="1"/>
  <c r="AR30" i="50"/>
  <c r="BE31" i="50"/>
  <c r="BF31" i="50" s="1"/>
  <c r="AX33" i="50"/>
  <c r="BA33" i="50" s="1"/>
  <c r="S34" i="50"/>
  <c r="S41" i="50" s="1"/>
  <c r="AD13" i="50"/>
  <c r="BC13" i="50"/>
  <c r="V14" i="50"/>
  <c r="V17" i="50" s="1"/>
  <c r="V41" i="50" s="1"/>
  <c r="AX15" i="50"/>
  <c r="BA15" i="50" s="1"/>
  <c r="V30" i="50"/>
  <c r="V34" i="50" s="1"/>
  <c r="BD13" i="50"/>
  <c r="U34" i="50"/>
  <c r="AD14" i="50"/>
  <c r="AD33" i="50"/>
  <c r="BC15" i="50"/>
  <c r="BF15" i="50" s="1"/>
  <c r="BD15" i="50"/>
  <c r="U17" i="50"/>
  <c r="U41" i="50" s="1"/>
  <c r="V31" i="50"/>
  <c r="BC16" i="50"/>
  <c r="AD16" i="50"/>
  <c r="Q6" i="36" l="1"/>
  <c r="AH6" i="36"/>
  <c r="S17" i="47"/>
  <c r="AC6" i="36"/>
  <c r="AE6" i="36" s="1"/>
  <c r="W6" i="36"/>
  <c r="Y6" i="36" s="1"/>
  <c r="AM6" i="36"/>
  <c r="AM8" i="36" s="1"/>
  <c r="K6" i="36"/>
  <c r="M32" i="47"/>
  <c r="S6" i="36"/>
  <c r="AN6" i="36"/>
  <c r="J35" i="47"/>
  <c r="M35" i="47" s="1"/>
  <c r="J34" i="47"/>
  <c r="M34" i="47" s="1"/>
  <c r="M33" i="47"/>
  <c r="O15" i="47"/>
  <c r="R15" i="47" s="1"/>
  <c r="M15" i="47"/>
  <c r="N15" i="47" s="1"/>
  <c r="P14" i="47"/>
  <c r="M14" i="47"/>
  <c r="O18" i="47"/>
  <c r="R12" i="47"/>
  <c r="P18" i="47"/>
  <c r="O19" i="47"/>
  <c r="R19" i="47" s="1"/>
  <c r="M19" i="47"/>
  <c r="K18" i="47"/>
  <c r="K20" i="47" s="1"/>
  <c r="K22" i="47" s="1"/>
  <c r="J18" i="47"/>
  <c r="M18" i="47" s="1"/>
  <c r="N18" i="47" s="1"/>
  <c r="M12" i="47"/>
  <c r="N17" i="47"/>
  <c r="Q14" i="47"/>
  <c r="Q20" i="47" s="1"/>
  <c r="L20" i="47"/>
  <c r="L22" i="47" s="1"/>
  <c r="H20" i="47"/>
  <c r="BF16" i="50"/>
  <c r="AT16" i="50"/>
  <c r="BJ16" i="50"/>
  <c r="BI16" i="50"/>
  <c r="BH16" i="50"/>
  <c r="AP23" i="50"/>
  <c r="BC17" i="50"/>
  <c r="BF13" i="50"/>
  <c r="BF17" i="50" s="1"/>
  <c r="BJ13" i="50"/>
  <c r="AP20" i="50"/>
  <c r="AT13" i="50"/>
  <c r="BI13" i="50"/>
  <c r="BH13" i="50"/>
  <c r="BA13" i="50"/>
  <c r="BA17" i="50" s="1"/>
  <c r="BA41" i="50" s="1"/>
  <c r="AP44" i="50"/>
  <c r="BI33" i="50"/>
  <c r="AT33" i="50"/>
  <c r="BJ33" i="50"/>
  <c r="BH33" i="50"/>
  <c r="BK33" i="50" s="1"/>
  <c r="BD34" i="50"/>
  <c r="AP22" i="50"/>
  <c r="AT15" i="50"/>
  <c r="BJ15" i="50"/>
  <c r="BI15" i="50"/>
  <c r="BH15" i="50"/>
  <c r="BH30" i="50"/>
  <c r="AT30" i="50"/>
  <c r="BJ30" i="50"/>
  <c r="AP41" i="50"/>
  <c r="BI30" i="50"/>
  <c r="BH14" i="50"/>
  <c r="BJ14" i="50"/>
  <c r="AP21" i="50"/>
  <c r="AT14" i="50"/>
  <c r="BI14" i="50"/>
  <c r="AX17" i="50"/>
  <c r="AX41" i="50" s="1"/>
  <c r="BF30" i="50"/>
  <c r="BD17" i="50"/>
  <c r="BE32" i="50"/>
  <c r="BE34" i="50" s="1"/>
  <c r="BE41" i="50" s="1"/>
  <c r="BD32" i="50"/>
  <c r="BC32" i="50"/>
  <c r="BF32" i="50" s="1"/>
  <c r="AD32" i="50"/>
  <c r="M6" i="36" l="1"/>
  <c r="J36" i="47"/>
  <c r="M36" i="47" s="1"/>
  <c r="L42" i="47" s="1"/>
  <c r="P20" i="47"/>
  <c r="P22" i="47" s="1"/>
  <c r="P27" i="47" s="1"/>
  <c r="R18" i="47"/>
  <c r="S18" i="47" s="1"/>
  <c r="R14" i="47"/>
  <c r="S14" i="47" s="1"/>
  <c r="J20" i="47"/>
  <c r="J22" i="47" s="1"/>
  <c r="O20" i="47"/>
  <c r="Q22" i="47"/>
  <c r="K27" i="47"/>
  <c r="K23" i="47"/>
  <c r="I6" i="49" s="1"/>
  <c r="I18" i="17" s="1"/>
  <c r="S15" i="47"/>
  <c r="L27" i="47"/>
  <c r="L23" i="47"/>
  <c r="N12" i="47"/>
  <c r="M20" i="47"/>
  <c r="S12" i="47"/>
  <c r="BJ17" i="50"/>
  <c r="BK14" i="50"/>
  <c r="BK16" i="50"/>
  <c r="BI34" i="50"/>
  <c r="BD41" i="50"/>
  <c r="BF34" i="50"/>
  <c r="BH34" i="50"/>
  <c r="BK30" i="50"/>
  <c r="BC34" i="50"/>
  <c r="BC41" i="50" s="1"/>
  <c r="BJ32" i="50"/>
  <c r="BJ34" i="50" s="1"/>
  <c r="BI32" i="50"/>
  <c r="BH32" i="50"/>
  <c r="AP43" i="50"/>
  <c r="AT32" i="50"/>
  <c r="BK15" i="50"/>
  <c r="BH17" i="50"/>
  <c r="BK13" i="50"/>
  <c r="BK17" i="50" s="1"/>
  <c r="BF41" i="50"/>
  <c r="BI17" i="50"/>
  <c r="BI41" i="50" s="1"/>
  <c r="O22" i="47" l="1"/>
  <c r="J42" i="47"/>
  <c r="P30" i="47"/>
  <c r="AA6" i="49"/>
  <c r="O6" i="49"/>
  <c r="L26" i="47"/>
  <c r="J6" i="49"/>
  <c r="J18" i="17" s="1"/>
  <c r="L30" i="47"/>
  <c r="P6" i="49"/>
  <c r="P23" i="47"/>
  <c r="K39" i="47"/>
  <c r="K26" i="47"/>
  <c r="K30" i="47"/>
  <c r="K40" i="47"/>
  <c r="Q27" i="47"/>
  <c r="Q23" i="47"/>
  <c r="R22" i="47"/>
  <c r="O27" i="47"/>
  <c r="Z6" i="49" s="1"/>
  <c r="O23" i="47"/>
  <c r="T6" i="49" s="1"/>
  <c r="R20" i="47"/>
  <c r="J27" i="47"/>
  <c r="M22" i="47"/>
  <c r="J23" i="47"/>
  <c r="H6" i="49" s="1"/>
  <c r="H18" i="17" s="1"/>
  <c r="N20" i="47"/>
  <c r="M21" i="47"/>
  <c r="BH41" i="50"/>
  <c r="BK32" i="50"/>
  <c r="BK34" i="50" s="1"/>
  <c r="BK41" i="50" s="1"/>
  <c r="BJ41" i="50"/>
  <c r="Q26" i="47" l="1"/>
  <c r="V6" i="49"/>
  <c r="V18" i="17" s="1"/>
  <c r="Q30" i="47"/>
  <c r="AB6" i="49"/>
  <c r="AB18" i="17" s="1"/>
  <c r="AH18" i="17" s="1"/>
  <c r="P26" i="47"/>
  <c r="U6" i="49"/>
  <c r="U18" i="17" s="1"/>
  <c r="P18" i="17"/>
  <c r="O18" i="17"/>
  <c r="AG6" i="49"/>
  <c r="N6" i="49"/>
  <c r="AF6" i="49" s="1"/>
  <c r="AA18" i="17"/>
  <c r="AG18" i="17" s="1"/>
  <c r="R27" i="47"/>
  <c r="O29" i="47"/>
  <c r="O28" i="47"/>
  <c r="R28" i="47" s="1"/>
  <c r="J29" i="47"/>
  <c r="M27" i="47"/>
  <c r="J40" i="47"/>
  <c r="J28" i="47"/>
  <c r="M28" i="47" s="1"/>
  <c r="L40" i="47" s="1"/>
  <c r="O24" i="47"/>
  <c r="R24" i="47" s="1"/>
  <c r="R23" i="47"/>
  <c r="O25" i="47"/>
  <c r="R21" i="47"/>
  <c r="S20" i="47"/>
  <c r="J39" i="47"/>
  <c r="J24" i="47"/>
  <c r="M24" i="47" s="1"/>
  <c r="L39" i="47" s="1"/>
  <c r="M23" i="47"/>
  <c r="J25" i="47"/>
  <c r="AN18" i="17" l="1"/>
  <c r="AH6" i="49"/>
  <c r="AI6" i="49"/>
  <c r="R25" i="47"/>
  <c r="X6" i="49"/>
  <c r="X18" i="17" s="1"/>
  <c r="O26" i="47"/>
  <c r="R26" i="47" s="1"/>
  <c r="R29" i="47"/>
  <c r="AD6" i="49"/>
  <c r="M25" i="47"/>
  <c r="N39" i="47" s="1"/>
  <c r="L6" i="49"/>
  <c r="L18" i="17" s="1"/>
  <c r="AC6" i="49"/>
  <c r="AC18" i="17" s="1"/>
  <c r="Z18" i="17"/>
  <c r="AF18" i="17" s="1"/>
  <c r="AI18" i="17" s="1"/>
  <c r="N18" i="17"/>
  <c r="Q6" i="49"/>
  <c r="M29" i="47"/>
  <c r="N40" i="47" s="1"/>
  <c r="R6" i="49"/>
  <c r="O30" i="47"/>
  <c r="T18" i="17"/>
  <c r="W6" i="49"/>
  <c r="J26" i="47"/>
  <c r="M26" i="47" s="1"/>
  <c r="O39" i="47" s="1"/>
  <c r="J30" i="47"/>
  <c r="M40" i="47"/>
  <c r="M39" i="47"/>
  <c r="R30" i="47"/>
  <c r="M30" i="47" l="1"/>
  <c r="O40" i="47" s="1"/>
  <c r="R18" i="17"/>
  <c r="AJ6" i="49"/>
  <c r="S6" i="49"/>
  <c r="AD18" i="17"/>
  <c r="AJ18" i="17" s="1"/>
  <c r="AK18" i="17" s="1"/>
  <c r="Y6" i="49"/>
  <c r="Y18" i="17" s="1"/>
  <c r="W18" i="17"/>
  <c r="AE6" i="49"/>
  <c r="AN6" i="49"/>
  <c r="AL6" i="49"/>
  <c r="K6" i="49"/>
  <c r="F6" i="49"/>
  <c r="AN5" i="49"/>
  <c r="F5" i="49"/>
  <c r="AD1" i="49"/>
  <c r="X1" i="49"/>
  <c r="R1" i="49"/>
  <c r="L1" i="49"/>
  <c r="D16" i="45"/>
  <c r="L22" i="44"/>
  <c r="Q22" i="44" s="1"/>
  <c r="K22" i="44"/>
  <c r="P22" i="44" s="1"/>
  <c r="J22" i="44"/>
  <c r="O22" i="44" s="1"/>
  <c r="L20" i="44"/>
  <c r="Q20" i="44" s="1"/>
  <c r="K20" i="44"/>
  <c r="J20" i="44"/>
  <c r="O20" i="44" s="1"/>
  <c r="L19" i="44"/>
  <c r="Q19" i="44" s="1"/>
  <c r="K19" i="44"/>
  <c r="J19" i="44"/>
  <c r="O19" i="44" s="1"/>
  <c r="R18" i="44"/>
  <c r="M18" i="44"/>
  <c r="R17" i="44"/>
  <c r="M17" i="44"/>
  <c r="L16" i="44"/>
  <c r="Q16" i="44" s="1"/>
  <c r="K16" i="44"/>
  <c r="P16" i="44" s="1"/>
  <c r="J16" i="44"/>
  <c r="O16" i="44" s="1"/>
  <c r="AR27" i="43"/>
  <c r="AP23" i="43"/>
  <c r="AK23" i="43"/>
  <c r="AJ23" i="43"/>
  <c r="AI23" i="43"/>
  <c r="AL23" i="43" s="1"/>
  <c r="AF23" i="43"/>
  <c r="AE23" i="43"/>
  <c r="AD23" i="43"/>
  <c r="AO22" i="43"/>
  <c r="AK22" i="43"/>
  <c r="AJ22" i="43"/>
  <c r="AI22" i="43"/>
  <c r="AN22" i="43" s="1"/>
  <c r="AF22" i="43"/>
  <c r="AP22" i="43" s="1"/>
  <c r="AE22" i="43"/>
  <c r="AV22" i="43" s="1"/>
  <c r="AD22" i="43"/>
  <c r="AU22" i="43" s="1"/>
  <c r="AN21" i="43"/>
  <c r="AK21" i="43"/>
  <c r="AP21" i="43" s="1"/>
  <c r="AJ21" i="43"/>
  <c r="AI21" i="43"/>
  <c r="AF21" i="43"/>
  <c r="AW21" i="43" s="1"/>
  <c r="AE21" i="43"/>
  <c r="AD21" i="43"/>
  <c r="AW20" i="43"/>
  <c r="AP20" i="43"/>
  <c r="AK20" i="43"/>
  <c r="AJ20" i="43"/>
  <c r="AI20" i="43"/>
  <c r="AL20" i="43" s="1"/>
  <c r="AF20" i="43"/>
  <c r="AE20" i="43"/>
  <c r="AD20" i="43"/>
  <c r="AO19" i="43"/>
  <c r="AK19" i="43"/>
  <c r="AJ19" i="43"/>
  <c r="AI19" i="43"/>
  <c r="AN19" i="43" s="1"/>
  <c r="AF19" i="43"/>
  <c r="AE19" i="43"/>
  <c r="AV19" i="43" s="1"/>
  <c r="AD19" i="43"/>
  <c r="AU19" i="43" s="1"/>
  <c r="AN18" i="43"/>
  <c r="AK18" i="43"/>
  <c r="AP18" i="43" s="1"/>
  <c r="AJ18" i="43"/>
  <c r="AI18" i="43"/>
  <c r="AF18" i="43"/>
  <c r="AW18" i="43" s="1"/>
  <c r="AE18" i="43"/>
  <c r="AD18" i="43"/>
  <c r="AW17" i="43"/>
  <c r="AP17" i="43"/>
  <c r="AK17" i="43"/>
  <c r="AJ17" i="43"/>
  <c r="AI17" i="43"/>
  <c r="AL17" i="43" s="1"/>
  <c r="AF17" i="43"/>
  <c r="AE17" i="43"/>
  <c r="AD17" i="43"/>
  <c r="AO16" i="43"/>
  <c r="AK16" i="43"/>
  <c r="AJ16" i="43"/>
  <c r="AI16" i="43"/>
  <c r="AN16" i="43" s="1"/>
  <c r="AF16" i="43"/>
  <c r="AE16" i="43"/>
  <c r="AV16" i="43" s="1"/>
  <c r="AD16" i="43"/>
  <c r="AU16" i="43" s="1"/>
  <c r="AN15" i="43"/>
  <c r="AK15" i="43"/>
  <c r="AP15" i="43" s="1"/>
  <c r="AJ15" i="43"/>
  <c r="AI15" i="43"/>
  <c r="AF15" i="43"/>
  <c r="AW15" i="43" s="1"/>
  <c r="AE15" i="43"/>
  <c r="AD15" i="43"/>
  <c r="AW14" i="43"/>
  <c r="AP14" i="43"/>
  <c r="AK14" i="43"/>
  <c r="AJ14" i="43"/>
  <c r="AI14" i="43"/>
  <c r="AL14" i="43" s="1"/>
  <c r="AF14" i="43"/>
  <c r="AE14" i="43"/>
  <c r="AD14" i="43"/>
  <c r="AN14" i="43" s="1"/>
  <c r="AO13" i="43"/>
  <c r="AK13" i="43"/>
  <c r="AJ13" i="43"/>
  <c r="AI13" i="43"/>
  <c r="AN13" i="43" s="1"/>
  <c r="AF13" i="43"/>
  <c r="AE13" i="43"/>
  <c r="AV13" i="43" s="1"/>
  <c r="AD13" i="43"/>
  <c r="AU13" i="43" s="1"/>
  <c r="AN12" i="43"/>
  <c r="AK12" i="43"/>
  <c r="AP12" i="43" s="1"/>
  <c r="AJ12" i="43"/>
  <c r="AI12" i="43"/>
  <c r="AF12" i="43"/>
  <c r="AW12" i="43" s="1"/>
  <c r="AE12" i="43"/>
  <c r="AD12" i="43"/>
  <c r="AP11" i="43"/>
  <c r="AK11" i="43"/>
  <c r="AJ11" i="43"/>
  <c r="AI11" i="43"/>
  <c r="AL11" i="43" s="1"/>
  <c r="AF11" i="43"/>
  <c r="AE11" i="43"/>
  <c r="AD11" i="43"/>
  <c r="AO10" i="43"/>
  <c r="AK10" i="43"/>
  <c r="AJ10" i="43"/>
  <c r="AI10" i="43"/>
  <c r="AN10" i="43" s="1"/>
  <c r="AF10" i="43"/>
  <c r="AE10" i="43"/>
  <c r="AV10" i="43" s="1"/>
  <c r="AD10" i="43"/>
  <c r="AU10" i="43" s="1"/>
  <c r="AN9" i="43"/>
  <c r="AK9" i="43"/>
  <c r="AP9" i="43" s="1"/>
  <c r="AJ9" i="43"/>
  <c r="AI9" i="43"/>
  <c r="AF9" i="43"/>
  <c r="AW9" i="43" s="1"/>
  <c r="AE9" i="43"/>
  <c r="AD9" i="43"/>
  <c r="AP8" i="43"/>
  <c r="AK8" i="43"/>
  <c r="AK24" i="43" s="1"/>
  <c r="AJ8" i="43"/>
  <c r="AJ24" i="43" s="1"/>
  <c r="AI8" i="43"/>
  <c r="AL8" i="43" s="1"/>
  <c r="AF8" i="43"/>
  <c r="AE8" i="43"/>
  <c r="AD8" i="43"/>
  <c r="AN8" i="43" s="1"/>
  <c r="J4" i="43"/>
  <c r="G4" i="43"/>
  <c r="G23" i="43" s="1"/>
  <c r="J23" i="43" s="1"/>
  <c r="H18" i="44" l="1"/>
  <c r="AQ6" i="49"/>
  <c r="AR6" i="49"/>
  <c r="H15" i="44"/>
  <c r="AE18" i="17"/>
  <c r="AK6" i="49"/>
  <c r="R22" i="44"/>
  <c r="H21" i="44"/>
  <c r="H17" i="44"/>
  <c r="G23" i="44"/>
  <c r="L37" i="44" s="1"/>
  <c r="L38" i="44" s="1"/>
  <c r="L41" i="44" s="1"/>
  <c r="H22" i="44"/>
  <c r="AP18" i="17"/>
  <c r="M6" i="49"/>
  <c r="K18" i="17"/>
  <c r="AO6" i="49"/>
  <c r="Q18" i="17"/>
  <c r="AO18" i="17" s="1"/>
  <c r="AM6" i="49"/>
  <c r="P20" i="44"/>
  <c r="R20" i="44" s="1"/>
  <c r="M20" i="44"/>
  <c r="BD17" i="43"/>
  <c r="AQ21" i="43"/>
  <c r="BC12" i="43"/>
  <c r="AX22" i="43"/>
  <c r="AQ14" i="43"/>
  <c r="AQ22" i="43"/>
  <c r="R16" i="44"/>
  <c r="BD20" i="43"/>
  <c r="M16" i="44"/>
  <c r="AQ12" i="43"/>
  <c r="BB21" i="43"/>
  <c r="P19" i="44"/>
  <c r="R19" i="44" s="1"/>
  <c r="M19" i="44"/>
  <c r="BC21" i="43"/>
  <c r="Q23" i="44"/>
  <c r="BB12" i="43"/>
  <c r="BD11" i="43"/>
  <c r="AN24" i="43"/>
  <c r="AL15" i="43"/>
  <c r="AL24" i="43" s="1"/>
  <c r="AG16" i="43"/>
  <c r="AL18" i="43"/>
  <c r="AG19" i="43"/>
  <c r="AL21" i="43"/>
  <c r="AG22" i="43"/>
  <c r="H16" i="44"/>
  <c r="AL12" i="43"/>
  <c r="AU8" i="43"/>
  <c r="F9" i="43"/>
  <c r="AU11" i="43"/>
  <c r="F12" i="43"/>
  <c r="AU14" i="43"/>
  <c r="AX14" i="43" s="1"/>
  <c r="F15" i="43"/>
  <c r="AU17" i="43"/>
  <c r="F18" i="43"/>
  <c r="AU20" i="43"/>
  <c r="AX20" i="43" s="1"/>
  <c r="F21" i="43"/>
  <c r="AU23" i="43"/>
  <c r="AD24" i="43"/>
  <c r="H19" i="44"/>
  <c r="H20" i="44"/>
  <c r="AL9" i="43"/>
  <c r="AG10" i="43"/>
  <c r="AG13" i="43"/>
  <c r="AV8" i="43"/>
  <c r="G9" i="43"/>
  <c r="J9" i="43" s="1"/>
  <c r="AO9" i="43"/>
  <c r="AQ9" i="43" s="1"/>
  <c r="AV11" i="43"/>
  <c r="G12" i="43"/>
  <c r="J12" i="43" s="1"/>
  <c r="AO12" i="43"/>
  <c r="AV14" i="43"/>
  <c r="G15" i="43"/>
  <c r="J15" i="43" s="1"/>
  <c r="AO15" i="43"/>
  <c r="AQ15" i="43" s="1"/>
  <c r="AV17" i="43"/>
  <c r="G18" i="43"/>
  <c r="J18" i="43" s="1"/>
  <c r="AO18" i="43"/>
  <c r="AQ18" i="43" s="1"/>
  <c r="AV20" i="43"/>
  <c r="G21" i="43"/>
  <c r="J21" i="43" s="1"/>
  <c r="AO21" i="43"/>
  <c r="AV23" i="43"/>
  <c r="AE24" i="43"/>
  <c r="L23" i="44"/>
  <c r="M22" i="44"/>
  <c r="BD19" i="43"/>
  <c r="BD22" i="43"/>
  <c r="AW23" i="43"/>
  <c r="AF24" i="43"/>
  <c r="AG8" i="43"/>
  <c r="AL10" i="43"/>
  <c r="AG11" i="43"/>
  <c r="AL13" i="43"/>
  <c r="AG14" i="43"/>
  <c r="AL16" i="43"/>
  <c r="AG17" i="43"/>
  <c r="AL19" i="43"/>
  <c r="AG20" i="43"/>
  <c r="AL22" i="43"/>
  <c r="AG23" i="43"/>
  <c r="AW13" i="43"/>
  <c r="AX13" i="43" s="1"/>
  <c r="AW16" i="43"/>
  <c r="AX16" i="43" s="1"/>
  <c r="AU9" i="43"/>
  <c r="F10" i="43"/>
  <c r="AU12" i="43"/>
  <c r="F13" i="43"/>
  <c r="BB14" i="43"/>
  <c r="AU15" i="43"/>
  <c r="AX15" i="43" s="1"/>
  <c r="F16" i="43"/>
  <c r="AU18" i="43"/>
  <c r="F19" i="43"/>
  <c r="AU21" i="43"/>
  <c r="F22" i="43"/>
  <c r="AI24" i="43"/>
  <c r="AV9" i="43"/>
  <c r="G10" i="43"/>
  <c r="J10" i="43" s="1"/>
  <c r="AV12" i="43"/>
  <c r="G13" i="43"/>
  <c r="J13" i="43" s="1"/>
  <c r="AV15" i="43"/>
  <c r="G16" i="43"/>
  <c r="J16" i="43" s="1"/>
  <c r="AV18" i="43"/>
  <c r="G19" i="43"/>
  <c r="J19" i="43" s="1"/>
  <c r="AV21" i="43"/>
  <c r="G22" i="43"/>
  <c r="J22" i="43" s="1"/>
  <c r="AW8" i="43"/>
  <c r="AW11" i="43"/>
  <c r="AP10" i="43"/>
  <c r="AQ10" i="43" s="1"/>
  <c r="AP13" i="43"/>
  <c r="AQ13" i="43" s="1"/>
  <c r="AP16" i="43"/>
  <c r="AQ16" i="43" s="1"/>
  <c r="AG12" i="43"/>
  <c r="AG15" i="43"/>
  <c r="AG18" i="43"/>
  <c r="AG21" i="43"/>
  <c r="E23" i="44"/>
  <c r="J37" i="44" s="1"/>
  <c r="AW10" i="43"/>
  <c r="AX10" i="43" s="1"/>
  <c r="AW19" i="43"/>
  <c r="AX19" i="43" s="1"/>
  <c r="AW22" i="43"/>
  <c r="AP19" i="43"/>
  <c r="AQ19" i="43" s="1"/>
  <c r="AG9" i="43"/>
  <c r="F8" i="43"/>
  <c r="AN11" i="43"/>
  <c r="F14" i="43"/>
  <c r="AN17" i="43"/>
  <c r="AN20" i="43"/>
  <c r="AN23" i="43"/>
  <c r="F11" i="43"/>
  <c r="F17" i="43"/>
  <c r="F20" i="43"/>
  <c r="F23" i="43"/>
  <c r="F23" i="44"/>
  <c r="K37" i="44" s="1"/>
  <c r="K38" i="44" s="1"/>
  <c r="K41" i="44" s="1"/>
  <c r="G8" i="43"/>
  <c r="J8" i="43" s="1"/>
  <c r="AO8" i="43"/>
  <c r="G11" i="43"/>
  <c r="J11" i="43" s="1"/>
  <c r="AO11" i="43"/>
  <c r="G14" i="43"/>
  <c r="J14" i="43" s="1"/>
  <c r="AO14" i="43"/>
  <c r="G17" i="43"/>
  <c r="J17" i="43" s="1"/>
  <c r="AO17" i="43"/>
  <c r="G20" i="43"/>
  <c r="J20" i="43" s="1"/>
  <c r="AO20" i="43"/>
  <c r="AO23" i="43"/>
  <c r="H23" i="44" l="1"/>
  <c r="AQ18" i="17"/>
  <c r="N22" i="44"/>
  <c r="K23" i="44"/>
  <c r="L25" i="44"/>
  <c r="AS6" i="49"/>
  <c r="S18" i="17"/>
  <c r="AP6" i="49"/>
  <c r="M18" i="17"/>
  <c r="AR18" i="17" s="1"/>
  <c r="AN1" i="49"/>
  <c r="AJ1" i="49"/>
  <c r="I8" i="43"/>
  <c r="BC8" i="43"/>
  <c r="I16" i="43"/>
  <c r="BC16" i="43"/>
  <c r="BB16" i="43"/>
  <c r="BE16" i="43" s="1"/>
  <c r="I23" i="43"/>
  <c r="BC23" i="43"/>
  <c r="I18" i="43"/>
  <c r="BD18" i="43"/>
  <c r="BC20" i="43"/>
  <c r="I20" i="43"/>
  <c r="BE14" i="43"/>
  <c r="BD16" i="43"/>
  <c r="AX17" i="43"/>
  <c r="AP24" i="43"/>
  <c r="BC17" i="43"/>
  <c r="I17" i="43"/>
  <c r="BD13" i="43"/>
  <c r="I13" i="43"/>
  <c r="BC13" i="43"/>
  <c r="BB13" i="43"/>
  <c r="BE13" i="43" s="1"/>
  <c r="BD10" i="43"/>
  <c r="AV24" i="43"/>
  <c r="AV27" i="43" s="1"/>
  <c r="BD15" i="43"/>
  <c r="I15" i="43"/>
  <c r="BC18" i="43"/>
  <c r="BC11" i="43"/>
  <c r="I11" i="43"/>
  <c r="AX12" i="43"/>
  <c r="N20" i="44"/>
  <c r="AQ23" i="43"/>
  <c r="AW24" i="43"/>
  <c r="AW27" i="43" s="1"/>
  <c r="BB23" i="43"/>
  <c r="BE23" i="43" s="1"/>
  <c r="BB11" i="43"/>
  <c r="L30" i="44"/>
  <c r="L33" i="44" s="1"/>
  <c r="L26" i="44"/>
  <c r="L29" i="44" s="1"/>
  <c r="J5" i="49" s="1"/>
  <c r="J17" i="17" s="1"/>
  <c r="I12" i="43"/>
  <c r="BD12" i="43"/>
  <c r="BE12" i="43" s="1"/>
  <c r="AQ20" i="43"/>
  <c r="J38" i="44"/>
  <c r="M37" i="44"/>
  <c r="I22" i="43"/>
  <c r="BC22" i="43"/>
  <c r="BB22" i="43"/>
  <c r="BE22" i="43" s="1"/>
  <c r="I10" i="43"/>
  <c r="BC10" i="43"/>
  <c r="BB10" i="43"/>
  <c r="AX11" i="43"/>
  <c r="K25" i="44"/>
  <c r="Q25" i="44"/>
  <c r="BC15" i="43"/>
  <c r="AQ17" i="43"/>
  <c r="AX21" i="43"/>
  <c r="AX9" i="43"/>
  <c r="I9" i="43"/>
  <c r="BD9" i="43"/>
  <c r="P23" i="44"/>
  <c r="P25" i="44" s="1"/>
  <c r="J21" i="44"/>
  <c r="M21" i="44" s="1"/>
  <c r="M15" i="44"/>
  <c r="BD8" i="43"/>
  <c r="BD23" i="43"/>
  <c r="BB20" i="43"/>
  <c r="BE20" i="43" s="1"/>
  <c r="BB8" i="43"/>
  <c r="AX8" i="43"/>
  <c r="AU24" i="43"/>
  <c r="AU27" i="43" s="1"/>
  <c r="R15" i="44"/>
  <c r="O21" i="44"/>
  <c r="R21" i="44" s="1"/>
  <c r="BB9" i="43"/>
  <c r="BE9" i="43" s="1"/>
  <c r="I14" i="43"/>
  <c r="BC14" i="43"/>
  <c r="I19" i="43"/>
  <c r="BC19" i="43"/>
  <c r="BB19" i="43"/>
  <c r="BE19" i="43" s="1"/>
  <c r="AG24" i="43"/>
  <c r="BB18" i="43"/>
  <c r="BE18" i="43" s="1"/>
  <c r="BD14" i="43"/>
  <c r="BB15" i="43"/>
  <c r="AO24" i="43"/>
  <c r="AQ11" i="43"/>
  <c r="AX18" i="43"/>
  <c r="AX23" i="43"/>
  <c r="BC9" i="43"/>
  <c r="BB17" i="43"/>
  <c r="BD21" i="43"/>
  <c r="BE21" i="43" s="1"/>
  <c r="I21" i="43"/>
  <c r="AQ8" i="43"/>
  <c r="N16" i="44"/>
  <c r="AS18" i="17" l="1"/>
  <c r="P5" i="49"/>
  <c r="BE11" i="43"/>
  <c r="P30" i="44"/>
  <c r="P33" i="44" s="1"/>
  <c r="AA5" i="49" s="1"/>
  <c r="P26" i="44"/>
  <c r="P29" i="44" s="1"/>
  <c r="U5" i="49" s="1"/>
  <c r="BJ10" i="43"/>
  <c r="BI10" i="43"/>
  <c r="BL10" i="43" s="1"/>
  <c r="BK10" i="43"/>
  <c r="BK20" i="43"/>
  <c r="BI20" i="43"/>
  <c r="BJ20" i="43"/>
  <c r="O23" i="44"/>
  <c r="BE15" i="43"/>
  <c r="R23" i="44"/>
  <c r="BK9" i="43"/>
  <c r="BI9" i="43"/>
  <c r="BJ9" i="43"/>
  <c r="BJ22" i="43"/>
  <c r="BI22" i="43"/>
  <c r="BL22" i="43" s="1"/>
  <c r="BK22" i="43"/>
  <c r="BK18" i="43"/>
  <c r="BI18" i="43"/>
  <c r="BJ18" i="43"/>
  <c r="AX24" i="43"/>
  <c r="BJ13" i="43"/>
  <c r="BI13" i="43"/>
  <c r="BL13" i="43" s="1"/>
  <c r="BK13" i="43"/>
  <c r="AQ24" i="43"/>
  <c r="BE8" i="43"/>
  <c r="BE24" i="43" s="1"/>
  <c r="BB24" i="43"/>
  <c r="BB27" i="43" s="1"/>
  <c r="J40" i="44"/>
  <c r="M40" i="44" s="1"/>
  <c r="J39" i="44"/>
  <c r="M39" i="44" s="1"/>
  <c r="M38" i="44"/>
  <c r="BK11" i="43"/>
  <c r="BI11" i="43"/>
  <c r="BL11" i="43" s="1"/>
  <c r="BJ11" i="43"/>
  <c r="BK23" i="43"/>
  <c r="BI23" i="43"/>
  <c r="BJ23" i="43"/>
  <c r="BK21" i="43"/>
  <c r="BI21" i="43"/>
  <c r="BJ21" i="43"/>
  <c r="BK17" i="43"/>
  <c r="BI17" i="43"/>
  <c r="BJ17" i="43"/>
  <c r="Q30" i="44"/>
  <c r="Q33" i="44" s="1"/>
  <c r="AB5" i="49" s="1"/>
  <c r="Q26" i="44"/>
  <c r="Q29" i="44" s="1"/>
  <c r="BE17" i="43"/>
  <c r="BJ19" i="43"/>
  <c r="BI19" i="43"/>
  <c r="BK19" i="43"/>
  <c r="BD24" i="43"/>
  <c r="BD27" i="43" s="1"/>
  <c r="K30" i="44"/>
  <c r="K33" i="44" s="1"/>
  <c r="K26" i="44"/>
  <c r="BK12" i="43"/>
  <c r="BI12" i="43"/>
  <c r="BJ12" i="43"/>
  <c r="BJ16" i="43"/>
  <c r="BI16" i="43"/>
  <c r="BL16" i="43" s="1"/>
  <c r="BK16" i="43"/>
  <c r="J23" i="44"/>
  <c r="J25" i="44" s="1"/>
  <c r="BC24" i="43"/>
  <c r="BC27" i="43" s="1"/>
  <c r="BK14" i="43"/>
  <c r="BJ14" i="43"/>
  <c r="BI14" i="43"/>
  <c r="M23" i="44"/>
  <c r="N15" i="44"/>
  <c r="BE10" i="43"/>
  <c r="BK15" i="43"/>
  <c r="BI15" i="43"/>
  <c r="BJ15" i="43"/>
  <c r="BK8" i="43"/>
  <c r="BJ8" i="43"/>
  <c r="BI8" i="43"/>
  <c r="V5" i="49" l="1"/>
  <c r="V17" i="17" s="1"/>
  <c r="P17" i="17"/>
  <c r="AH5" i="49"/>
  <c r="AB17" i="17"/>
  <c r="AH17" i="17" s="1"/>
  <c r="O5" i="49"/>
  <c r="AG5" i="49" s="1"/>
  <c r="J41" i="44"/>
  <c r="M41" i="44" s="1"/>
  <c r="B7" i="45" s="1"/>
  <c r="BJ24" i="43"/>
  <c r="BJ27" i="43" s="1"/>
  <c r="M25" i="44"/>
  <c r="J26" i="44"/>
  <c r="J30" i="44"/>
  <c r="S23" i="44"/>
  <c r="BK24" i="43"/>
  <c r="BK27" i="43" s="1"/>
  <c r="O25" i="44"/>
  <c r="BL15" i="43"/>
  <c r="BL18" i="43"/>
  <c r="BL20" i="43"/>
  <c r="BL12" i="43"/>
  <c r="BL17" i="43"/>
  <c r="M24" i="44"/>
  <c r="N23" i="44"/>
  <c r="K29" i="44"/>
  <c r="I5" i="49" s="1"/>
  <c r="K34" i="44"/>
  <c r="BL14" i="43"/>
  <c r="BL21" i="43"/>
  <c r="BE27" i="43"/>
  <c r="BE31" i="43"/>
  <c r="BB29" i="43"/>
  <c r="BE29" i="43" s="1"/>
  <c r="BD29" i="43"/>
  <c r="BL9" i="43"/>
  <c r="BI24" i="43"/>
  <c r="BI27" i="43" s="1"/>
  <c r="BL8" i="43"/>
  <c r="BC29" i="43"/>
  <c r="BL19" i="43"/>
  <c r="BL23" i="43"/>
  <c r="AN17" i="17" l="1"/>
  <c r="AA17" i="17"/>
  <c r="AG17" i="17" s="1"/>
  <c r="AG1" i="49"/>
  <c r="AA1" i="49"/>
  <c r="I17" i="17"/>
  <c r="I1" i="49"/>
  <c r="U17" i="17"/>
  <c r="U1" i="49"/>
  <c r="O17" i="17"/>
  <c r="O1" i="49"/>
  <c r="AL5" i="49"/>
  <c r="AL1" i="49" s="1"/>
  <c r="BK35" i="43"/>
  <c r="BK33" i="43"/>
  <c r="J27" i="44"/>
  <c r="M27" i="44" s="1"/>
  <c r="M26" i="44"/>
  <c r="J28" i="44"/>
  <c r="M28" i="44" s="1"/>
  <c r="R25" i="44"/>
  <c r="O30" i="44"/>
  <c r="O26" i="44"/>
  <c r="J32" i="44"/>
  <c r="M32" i="44" s="1"/>
  <c r="M30" i="44"/>
  <c r="J31" i="44"/>
  <c r="M31" i="44" s="1"/>
  <c r="BL24" i="43"/>
  <c r="BI35" i="43"/>
  <c r="BL27" i="43"/>
  <c r="BI33" i="43"/>
  <c r="BJ35" i="43"/>
  <c r="BJ33" i="43"/>
  <c r="J33" i="44" l="1"/>
  <c r="O27" i="44"/>
  <c r="R27" i="44" s="1"/>
  <c r="R26" i="44"/>
  <c r="O28" i="44"/>
  <c r="R28" i="44" s="1"/>
  <c r="J29" i="44"/>
  <c r="R30" i="44"/>
  <c r="O32" i="44"/>
  <c r="R32" i="44" s="1"/>
  <c r="O31" i="44"/>
  <c r="R31" i="44" s="1"/>
  <c r="O33" i="44"/>
  <c r="Z5" i="49" s="1"/>
  <c r="BL33" i="43"/>
  <c r="BL35" i="43"/>
  <c r="M29" i="44" l="1"/>
  <c r="H5" i="49"/>
  <c r="M33" i="44"/>
  <c r="N5" i="49"/>
  <c r="AF5" i="49" s="1"/>
  <c r="AI5" i="49" s="1"/>
  <c r="R33" i="44"/>
  <c r="P37" i="44"/>
  <c r="C8" i="45"/>
  <c r="C7" i="45" s="1"/>
  <c r="C9" i="45" s="1"/>
  <c r="O29" i="44"/>
  <c r="R29" i="44" l="1"/>
  <c r="T5" i="49"/>
  <c r="Q5" i="49"/>
  <c r="N17" i="17"/>
  <c r="N1" i="49"/>
  <c r="Z17" i="17"/>
  <c r="AF17" i="17" s="1"/>
  <c r="AI17" i="17" s="1"/>
  <c r="AK17" i="17" s="1"/>
  <c r="AF1" i="49"/>
  <c r="AC5" i="49"/>
  <c r="Z1" i="49"/>
  <c r="H17" i="17"/>
  <c r="H1" i="49"/>
  <c r="K5" i="49"/>
  <c r="D8" i="45"/>
  <c r="P38" i="44"/>
  <c r="E8" i="45"/>
  <c r="E7" i="45" s="1"/>
  <c r="E9" i="45" s="1"/>
  <c r="P39" i="44"/>
  <c r="K17" i="17" l="1"/>
  <c r="M5" i="49"/>
  <c r="K1" i="49"/>
  <c r="W5" i="49"/>
  <c r="T17" i="17"/>
  <c r="T1" i="49"/>
  <c r="AE5" i="49"/>
  <c r="AI1" i="49"/>
  <c r="AC17" i="17"/>
  <c r="AC1" i="49"/>
  <c r="Q17" i="17"/>
  <c r="Q1" i="49"/>
  <c r="S5" i="49"/>
  <c r="AM5" i="49"/>
  <c r="AM1" i="49" s="1"/>
  <c r="D17" i="45"/>
  <c r="D7" i="45"/>
  <c r="D9" i="45" s="1"/>
  <c r="AO17" i="17" l="1"/>
  <c r="AQ17" i="17" s="1"/>
  <c r="AQ5" i="49"/>
  <c r="AK5" i="49"/>
  <c r="AK1" i="49" s="1"/>
  <c r="AE17" i="17"/>
  <c r="AE1" i="49"/>
  <c r="Y5" i="49"/>
  <c r="AR5" i="49" s="1"/>
  <c r="AR1" i="49" s="1"/>
  <c r="W17" i="17"/>
  <c r="W1" i="49"/>
  <c r="AQ1" i="49"/>
  <c r="AO5" i="49"/>
  <c r="AO1" i="49" s="1"/>
  <c r="S17" i="17"/>
  <c r="S1" i="49"/>
  <c r="AS1" i="49"/>
  <c r="M1" i="49"/>
  <c r="AP5" i="49"/>
  <c r="AP1" i="49" s="1"/>
  <c r="M17" i="17"/>
  <c r="AR17" i="17" s="1"/>
  <c r="G19" i="52" s="1"/>
  <c r="AA7" i="35"/>
  <c r="AB7" i="35"/>
  <c r="K8" i="35"/>
  <c r="AD19" i="17"/>
  <c r="AJ19" i="17" s="1"/>
  <c r="AH19" i="17"/>
  <c r="AG19" i="17"/>
  <c r="AF19" i="17"/>
  <c r="X19" i="17"/>
  <c r="R19" i="17"/>
  <c r="O19" i="17"/>
  <c r="N19" i="17"/>
  <c r="Q19" i="17" s="1"/>
  <c r="AO19" i="17" s="1"/>
  <c r="J19" i="17"/>
  <c r="J20" i="17" s="1"/>
  <c r="J23" i="17" s="1"/>
  <c r="I19" i="17"/>
  <c r="H19" i="17"/>
  <c r="L19" i="17"/>
  <c r="K7" i="17"/>
  <c r="K9" i="17"/>
  <c r="M9" i="17" s="1"/>
  <c r="AR9" i="17" s="1"/>
  <c r="AW9" i="17" s="1"/>
  <c r="K10" i="17"/>
  <c r="M10" i="17" s="1"/>
  <c r="AR10" i="17" s="1"/>
  <c r="K11" i="17"/>
  <c r="M11" i="17" s="1"/>
  <c r="AR11" i="17" s="1"/>
  <c r="K12" i="17"/>
  <c r="M12" i="17" s="1"/>
  <c r="AR12" i="17" s="1"/>
  <c r="K13" i="17"/>
  <c r="M13" i="17" s="1"/>
  <c r="AR13" i="17" s="1"/>
  <c r="K14" i="17"/>
  <c r="M14" i="17" s="1"/>
  <c r="AR14" i="17" s="1"/>
  <c r="AW14" i="17" s="1"/>
  <c r="K15" i="17"/>
  <c r="M15" i="17" s="1"/>
  <c r="AR15" i="17" s="1"/>
  <c r="AW15" i="17" s="1"/>
  <c r="K16" i="17"/>
  <c r="M16" i="17" s="1"/>
  <c r="AR16" i="17" s="1"/>
  <c r="AW16" i="17" s="1"/>
  <c r="L43" i="42"/>
  <c r="L46" i="42" s="1"/>
  <c r="C19" i="40" s="1"/>
  <c r="K43" i="42"/>
  <c r="M43" i="42" s="1"/>
  <c r="J43" i="42"/>
  <c r="J45" i="42" s="1"/>
  <c r="M45" i="42" s="1"/>
  <c r="M42" i="42"/>
  <c r="L42" i="42"/>
  <c r="K42" i="42"/>
  <c r="J42" i="42"/>
  <c r="G36" i="42"/>
  <c r="L20" i="42" s="1"/>
  <c r="L28" i="42" s="1"/>
  <c r="L30" i="42" s="1"/>
  <c r="F36" i="42"/>
  <c r="E36" i="42"/>
  <c r="O28" i="42"/>
  <c r="H28" i="42"/>
  <c r="G28" i="42"/>
  <c r="F28" i="42"/>
  <c r="E28" i="42"/>
  <c r="R27" i="42"/>
  <c r="Q27" i="42"/>
  <c r="P27" i="42"/>
  <c r="O27" i="42"/>
  <c r="M27" i="42"/>
  <c r="L27" i="42"/>
  <c r="K27" i="42"/>
  <c r="J27" i="42"/>
  <c r="H27" i="42"/>
  <c r="R26" i="42"/>
  <c r="Q26" i="42"/>
  <c r="P26" i="42"/>
  <c r="O26" i="42"/>
  <c r="M26" i="42"/>
  <c r="L26" i="42"/>
  <c r="K26" i="42"/>
  <c r="J26" i="42"/>
  <c r="H26" i="42"/>
  <c r="R25" i="42"/>
  <c r="Q25" i="42"/>
  <c r="P25" i="42"/>
  <c r="O25" i="42"/>
  <c r="M25" i="42"/>
  <c r="L25" i="42"/>
  <c r="K25" i="42"/>
  <c r="J25" i="42"/>
  <c r="H25" i="42"/>
  <c r="R24" i="42"/>
  <c r="M24" i="42"/>
  <c r="H24" i="42"/>
  <c r="R23" i="42"/>
  <c r="Q23" i="42"/>
  <c r="P23" i="42"/>
  <c r="O23" i="42"/>
  <c r="M23" i="42"/>
  <c r="L23" i="42"/>
  <c r="K23" i="42"/>
  <c r="J23" i="42"/>
  <c r="H23" i="42"/>
  <c r="R22" i="42"/>
  <c r="M22" i="42"/>
  <c r="H22" i="42"/>
  <c r="R21" i="42"/>
  <c r="Q21" i="42"/>
  <c r="P21" i="42"/>
  <c r="O21" i="42"/>
  <c r="M21" i="42"/>
  <c r="L21" i="42"/>
  <c r="K21" i="42"/>
  <c r="J21" i="42"/>
  <c r="H21" i="42"/>
  <c r="P20" i="42"/>
  <c r="P28" i="42" s="1"/>
  <c r="O20" i="42"/>
  <c r="J20" i="42"/>
  <c r="J28" i="42" s="1"/>
  <c r="J30" i="42" s="1"/>
  <c r="H20" i="42"/>
  <c r="Q13" i="42"/>
  <c r="O13" i="42"/>
  <c r="N13" i="42"/>
  <c r="L13" i="42"/>
  <c r="K13" i="42"/>
  <c r="J13" i="42"/>
  <c r="I13" i="42"/>
  <c r="G13" i="42"/>
  <c r="F13" i="42"/>
  <c r="E13" i="42"/>
  <c r="D13" i="42"/>
  <c r="Q12" i="42"/>
  <c r="P12" i="42"/>
  <c r="O12" i="42"/>
  <c r="N12" i="42"/>
  <c r="Q11" i="42"/>
  <c r="P11" i="42"/>
  <c r="K20" i="42" s="1"/>
  <c r="O11" i="42"/>
  <c r="N11" i="42"/>
  <c r="Q10" i="42"/>
  <c r="P10" i="42"/>
  <c r="P13" i="42" s="1"/>
  <c r="O10" i="42"/>
  <c r="N10" i="42"/>
  <c r="Z41" i="41"/>
  <c r="Y41" i="41"/>
  <c r="X41" i="41"/>
  <c r="S41" i="41"/>
  <c r="R41" i="41"/>
  <c r="Q41" i="41"/>
  <c r="BD27" i="41"/>
  <c r="BD29" i="41" s="1"/>
  <c r="D15" i="40" s="1"/>
  <c r="E15" i="40" s="1"/>
  <c r="AR27" i="41"/>
  <c r="BJ24" i="41"/>
  <c r="BD24" i="41"/>
  <c r="AW24" i="41"/>
  <c r="AW27" i="41" s="1"/>
  <c r="AV24" i="41"/>
  <c r="AV27" i="41" s="1"/>
  <c r="AP24" i="41"/>
  <c r="AO24" i="41"/>
  <c r="AK24" i="41"/>
  <c r="AJ24" i="41"/>
  <c r="AI24" i="41"/>
  <c r="AF24" i="41"/>
  <c r="AE24" i="41"/>
  <c r="AD24" i="41"/>
  <c r="Z24" i="41"/>
  <c r="Y24" i="41"/>
  <c r="X24" i="41"/>
  <c r="S24" i="41"/>
  <c r="R24" i="41"/>
  <c r="Q24" i="41"/>
  <c r="BJ23" i="41"/>
  <c r="BI23" i="41"/>
  <c r="BL23" i="41" s="1"/>
  <c r="BE23" i="41"/>
  <c r="BD23" i="41"/>
  <c r="BC23" i="41"/>
  <c r="BB23" i="41"/>
  <c r="AX23" i="41"/>
  <c r="AW23" i="41"/>
  <c r="AV23" i="41"/>
  <c r="AU23" i="41"/>
  <c r="AQ23" i="41"/>
  <c r="AP23" i="41"/>
  <c r="AO23" i="41"/>
  <c r="AN23" i="41"/>
  <c r="AL23" i="41"/>
  <c r="AK23" i="41"/>
  <c r="AJ23" i="41"/>
  <c r="AI23" i="41"/>
  <c r="AG23" i="41"/>
  <c r="AF23" i="41"/>
  <c r="AE23" i="41"/>
  <c r="AD23" i="41"/>
  <c r="J23" i="41"/>
  <c r="BK23" i="41" s="1"/>
  <c r="BK24" i="41" s="1"/>
  <c r="BK27" i="41" s="1"/>
  <c r="I23" i="41"/>
  <c r="G23" i="41"/>
  <c r="F23" i="41"/>
  <c r="BL22" i="41"/>
  <c r="BK22" i="41"/>
  <c r="BJ22" i="41"/>
  <c r="BI22" i="41"/>
  <c r="BE22" i="41"/>
  <c r="BD22" i="41"/>
  <c r="BC22" i="41"/>
  <c r="BB22" i="41"/>
  <c r="AW22" i="41"/>
  <c r="AV22" i="41"/>
  <c r="AU22" i="41"/>
  <c r="AX22" i="41" s="1"/>
  <c r="AQ22" i="41"/>
  <c r="AP22" i="41"/>
  <c r="AO22" i="41"/>
  <c r="AN22" i="41"/>
  <c r="AL22" i="41"/>
  <c r="AK22" i="41"/>
  <c r="AJ22" i="41"/>
  <c r="AI22" i="41"/>
  <c r="AG22" i="41"/>
  <c r="AF22" i="41"/>
  <c r="AE22" i="41"/>
  <c r="AD22" i="41"/>
  <c r="J22" i="41"/>
  <c r="I22" i="41"/>
  <c r="G22" i="41"/>
  <c r="F22" i="41"/>
  <c r="BL21" i="41"/>
  <c r="BK21" i="41"/>
  <c r="BJ21" i="41"/>
  <c r="BI21" i="41"/>
  <c r="BD21" i="41"/>
  <c r="BC21" i="41"/>
  <c r="BB21" i="41"/>
  <c r="BE21" i="41" s="1"/>
  <c r="AX21" i="41"/>
  <c r="AW21" i="41"/>
  <c r="AV21" i="41"/>
  <c r="AU21" i="41"/>
  <c r="AQ21" i="41"/>
  <c r="AP21" i="41"/>
  <c r="AO21" i="41"/>
  <c r="AN21" i="41"/>
  <c r="AL21" i="41"/>
  <c r="AK21" i="41"/>
  <c r="AJ21" i="41"/>
  <c r="AI21" i="41"/>
  <c r="AG21" i="41"/>
  <c r="AF21" i="41"/>
  <c r="AE21" i="41"/>
  <c r="AD21" i="41"/>
  <c r="J21" i="41"/>
  <c r="I21" i="41"/>
  <c r="G21" i="41"/>
  <c r="F21" i="41"/>
  <c r="BK20" i="41"/>
  <c r="BJ20" i="41"/>
  <c r="BI20" i="41"/>
  <c r="BL20" i="41" s="1"/>
  <c r="BE20" i="41"/>
  <c r="BD20" i="41"/>
  <c r="BC20" i="41"/>
  <c r="BB20" i="41"/>
  <c r="AX20" i="41"/>
  <c r="AW20" i="41"/>
  <c r="AV20" i="41"/>
  <c r="AU20" i="41"/>
  <c r="AQ20" i="41"/>
  <c r="AP20" i="41"/>
  <c r="AO20" i="41"/>
  <c r="AN20" i="41"/>
  <c r="AL20" i="41"/>
  <c r="AK20" i="41"/>
  <c r="AJ20" i="41"/>
  <c r="AI20" i="41"/>
  <c r="AG20" i="41"/>
  <c r="AF20" i="41"/>
  <c r="AE20" i="41"/>
  <c r="AD20" i="41"/>
  <c r="J20" i="41"/>
  <c r="I20" i="41"/>
  <c r="G20" i="41"/>
  <c r="F20" i="41"/>
  <c r="BL19" i="41"/>
  <c r="BK19" i="41"/>
  <c r="BJ19" i="41"/>
  <c r="BI19" i="41"/>
  <c r="BE19" i="41"/>
  <c r="BD19" i="41"/>
  <c r="BC19" i="41"/>
  <c r="BB19" i="41"/>
  <c r="AW19" i="41"/>
  <c r="AV19" i="41"/>
  <c r="AU19" i="41"/>
  <c r="AX19" i="41" s="1"/>
  <c r="AQ19" i="41"/>
  <c r="AP19" i="41"/>
  <c r="AO19" i="41"/>
  <c r="AN19" i="41"/>
  <c r="AL19" i="41"/>
  <c r="AK19" i="41"/>
  <c r="AJ19" i="41"/>
  <c r="AI19" i="41"/>
  <c r="AG19" i="41"/>
  <c r="AF19" i="41"/>
  <c r="AE19" i="41"/>
  <c r="AD19" i="41"/>
  <c r="J19" i="41"/>
  <c r="I19" i="41"/>
  <c r="G19" i="41"/>
  <c r="F19" i="41"/>
  <c r="BL18" i="41"/>
  <c r="BK18" i="41"/>
  <c r="BJ18" i="41"/>
  <c r="BI18" i="41"/>
  <c r="BD18" i="41"/>
  <c r="BC18" i="41"/>
  <c r="BB18" i="41"/>
  <c r="BE18" i="41" s="1"/>
  <c r="AX18" i="41"/>
  <c r="AW18" i="41"/>
  <c r="AV18" i="41"/>
  <c r="AU18" i="41"/>
  <c r="AQ18" i="41"/>
  <c r="AP18" i="41"/>
  <c r="AO18" i="41"/>
  <c r="AN18" i="41"/>
  <c r="AL18" i="41"/>
  <c r="AK18" i="41"/>
  <c r="AJ18" i="41"/>
  <c r="AI18" i="41"/>
  <c r="AG18" i="41"/>
  <c r="AF18" i="41"/>
  <c r="AE18" i="41"/>
  <c r="AD18" i="41"/>
  <c r="J18" i="41"/>
  <c r="I18" i="41"/>
  <c r="G18" i="41"/>
  <c r="F18" i="41"/>
  <c r="BK17" i="41"/>
  <c r="BJ17" i="41"/>
  <c r="BI17" i="41"/>
  <c r="BL17" i="41" s="1"/>
  <c r="BE17" i="41"/>
  <c r="BD17" i="41"/>
  <c r="BC17" i="41"/>
  <c r="BB17" i="41"/>
  <c r="AX17" i="41"/>
  <c r="AW17" i="41"/>
  <c r="AV17" i="41"/>
  <c r="AU17" i="41"/>
  <c r="AQ17" i="41"/>
  <c r="AP17" i="41"/>
  <c r="AO17" i="41"/>
  <c r="AN17" i="41"/>
  <c r="AL17" i="41"/>
  <c r="AK17" i="41"/>
  <c r="AJ17" i="41"/>
  <c r="AI17" i="41"/>
  <c r="AG17" i="41"/>
  <c r="AF17" i="41"/>
  <c r="AE17" i="41"/>
  <c r="AD17" i="41"/>
  <c r="J17" i="41"/>
  <c r="I17" i="41"/>
  <c r="G17" i="41"/>
  <c r="F17" i="41"/>
  <c r="BL16" i="41"/>
  <c r="BK16" i="41"/>
  <c r="BJ16" i="41"/>
  <c r="BI16" i="41"/>
  <c r="BE16" i="41"/>
  <c r="BD16" i="41"/>
  <c r="BC16" i="41"/>
  <c r="BB16" i="41"/>
  <c r="AW16" i="41"/>
  <c r="AV16" i="41"/>
  <c r="AU16" i="41"/>
  <c r="AX16" i="41" s="1"/>
  <c r="AQ16" i="41"/>
  <c r="AP16" i="41"/>
  <c r="AO16" i="41"/>
  <c r="AN16" i="41"/>
  <c r="AL16" i="41"/>
  <c r="AK16" i="41"/>
  <c r="AJ16" i="41"/>
  <c r="AI16" i="41"/>
  <c r="AG16" i="41"/>
  <c r="AF16" i="41"/>
  <c r="AE16" i="41"/>
  <c r="AD16" i="41"/>
  <c r="J16" i="41"/>
  <c r="I16" i="41"/>
  <c r="G16" i="41"/>
  <c r="F16" i="41"/>
  <c r="BL15" i="41"/>
  <c r="BK15" i="41"/>
  <c r="BJ15" i="41"/>
  <c r="BI15" i="41"/>
  <c r="BD15" i="41"/>
  <c r="BC15" i="41"/>
  <c r="BB15" i="41"/>
  <c r="BE15" i="41" s="1"/>
  <c r="AX15" i="41"/>
  <c r="AW15" i="41"/>
  <c r="AV15" i="41"/>
  <c r="AU15" i="41"/>
  <c r="AQ15" i="41"/>
  <c r="AP15" i="41"/>
  <c r="AO15" i="41"/>
  <c r="AN15" i="41"/>
  <c r="AL15" i="41"/>
  <c r="AK15" i="41"/>
  <c r="AJ15" i="41"/>
  <c r="AI15" i="41"/>
  <c r="AG15" i="41"/>
  <c r="AF15" i="41"/>
  <c r="AE15" i="41"/>
  <c r="AD15" i="41"/>
  <c r="J15" i="41"/>
  <c r="I15" i="41"/>
  <c r="G15" i="41"/>
  <c r="F15" i="41"/>
  <c r="BK14" i="41"/>
  <c r="BJ14" i="41"/>
  <c r="BI14" i="41"/>
  <c r="BL14" i="41" s="1"/>
  <c r="BE14" i="41"/>
  <c r="BD14" i="41"/>
  <c r="BC14" i="41"/>
  <c r="BB14" i="41"/>
  <c r="AX14" i="41"/>
  <c r="AW14" i="41"/>
  <c r="AV14" i="41"/>
  <c r="AU14" i="41"/>
  <c r="AQ14" i="41"/>
  <c r="AP14" i="41"/>
  <c r="AO14" i="41"/>
  <c r="AN14" i="41"/>
  <c r="AL14" i="41"/>
  <c r="AK14" i="41"/>
  <c r="AJ14" i="41"/>
  <c r="AI14" i="41"/>
  <c r="AG14" i="41"/>
  <c r="AF14" i="41"/>
  <c r="AE14" i="41"/>
  <c r="AD14" i="41"/>
  <c r="J14" i="41"/>
  <c r="I14" i="41"/>
  <c r="G14" i="41"/>
  <c r="F14" i="41"/>
  <c r="BK13" i="41"/>
  <c r="BJ13" i="41"/>
  <c r="BI13" i="41"/>
  <c r="BL13" i="41" s="1"/>
  <c r="BE13" i="41"/>
  <c r="BD13" i="41"/>
  <c r="BC13" i="41"/>
  <c r="BB13" i="41"/>
  <c r="AW13" i="41"/>
  <c r="AV13" i="41"/>
  <c r="AU13" i="41"/>
  <c r="AX13" i="41" s="1"/>
  <c r="AQ13" i="41"/>
  <c r="AP13" i="41"/>
  <c r="AO13" i="41"/>
  <c r="AN13" i="41"/>
  <c r="AL13" i="41"/>
  <c r="AK13" i="41"/>
  <c r="AJ13" i="41"/>
  <c r="AI13" i="41"/>
  <c r="AG13" i="41"/>
  <c r="AF13" i="41"/>
  <c r="AE13" i="41"/>
  <c r="AD13" i="41"/>
  <c r="J13" i="41"/>
  <c r="I13" i="41"/>
  <c r="G13" i="41"/>
  <c r="F13" i="41"/>
  <c r="BL12" i="41"/>
  <c r="BK12" i="41"/>
  <c r="BJ12" i="41"/>
  <c r="BI12" i="41"/>
  <c r="BD12" i="41"/>
  <c r="BC12" i="41"/>
  <c r="BB12" i="41"/>
  <c r="BE12" i="41" s="1"/>
  <c r="AX12" i="41"/>
  <c r="AW12" i="41"/>
  <c r="AV12" i="41"/>
  <c r="AU12" i="41"/>
  <c r="AQ12" i="41"/>
  <c r="AP12" i="41"/>
  <c r="AO12" i="41"/>
  <c r="AN12" i="41"/>
  <c r="AL12" i="41"/>
  <c r="AK12" i="41"/>
  <c r="AJ12" i="41"/>
  <c r="AI12" i="41"/>
  <c r="AG12" i="41"/>
  <c r="AF12" i="41"/>
  <c r="AE12" i="41"/>
  <c r="AD12" i="41"/>
  <c r="J12" i="41"/>
  <c r="I12" i="41"/>
  <c r="G12" i="41"/>
  <c r="F12" i="41"/>
  <c r="BK11" i="41"/>
  <c r="BJ11" i="41"/>
  <c r="BI11" i="41"/>
  <c r="BL11" i="41" s="1"/>
  <c r="BD11" i="41"/>
  <c r="BC11" i="41"/>
  <c r="BB11" i="41"/>
  <c r="BE11" i="41" s="1"/>
  <c r="AX11" i="41"/>
  <c r="AW11" i="41"/>
  <c r="AV11" i="41"/>
  <c r="AU11" i="41"/>
  <c r="AP11" i="41"/>
  <c r="AO11" i="41"/>
  <c r="AN11" i="41"/>
  <c r="AN24" i="41" s="1"/>
  <c r="AL11" i="41"/>
  <c r="AK11" i="41"/>
  <c r="AJ11" i="41"/>
  <c r="AI11" i="41"/>
  <c r="AG11" i="41"/>
  <c r="AF11" i="41"/>
  <c r="AE11" i="41"/>
  <c r="AD11" i="41"/>
  <c r="J11" i="41"/>
  <c r="I11" i="41"/>
  <c r="G11" i="41"/>
  <c r="F11" i="41"/>
  <c r="BL10" i="41"/>
  <c r="BK10" i="41"/>
  <c r="BJ10" i="41"/>
  <c r="BI10" i="41"/>
  <c r="BE10" i="41"/>
  <c r="BD10" i="41"/>
  <c r="BC10" i="41"/>
  <c r="BB10" i="41"/>
  <c r="AW10" i="41"/>
  <c r="AV10" i="41"/>
  <c r="AU10" i="41"/>
  <c r="AX10" i="41" s="1"/>
  <c r="AQ10" i="41"/>
  <c r="AP10" i="41"/>
  <c r="AO10" i="41"/>
  <c r="AN10" i="41"/>
  <c r="AL10" i="41"/>
  <c r="AK10" i="41"/>
  <c r="AJ10" i="41"/>
  <c r="AI10" i="41"/>
  <c r="AG10" i="41"/>
  <c r="AG24" i="41" s="1"/>
  <c r="AF10" i="41"/>
  <c r="AE10" i="41"/>
  <c r="AD10" i="41"/>
  <c r="J10" i="41"/>
  <c r="I10" i="41"/>
  <c r="G10" i="41"/>
  <c r="F10" i="41"/>
  <c r="BL9" i="41"/>
  <c r="BK9" i="41"/>
  <c r="BJ9" i="41"/>
  <c r="BI9" i="41"/>
  <c r="BD9" i="41"/>
  <c r="BC9" i="41"/>
  <c r="BC24" i="41" s="1"/>
  <c r="BC27" i="41" s="1"/>
  <c r="BB9" i="41"/>
  <c r="BE9" i="41" s="1"/>
  <c r="AX9" i="41"/>
  <c r="AW9" i="41"/>
  <c r="AV9" i="41"/>
  <c r="AU9" i="41"/>
  <c r="AQ9" i="41"/>
  <c r="AP9" i="41"/>
  <c r="AO9" i="41"/>
  <c r="AN9" i="41"/>
  <c r="AL9" i="41"/>
  <c r="AL24" i="41" s="1"/>
  <c r="AK9" i="41"/>
  <c r="AJ9" i="41"/>
  <c r="AI9" i="41"/>
  <c r="AG9" i="41"/>
  <c r="AF9" i="41"/>
  <c r="AE9" i="41"/>
  <c r="AD9" i="41"/>
  <c r="J9" i="41"/>
  <c r="I9" i="41"/>
  <c r="G9" i="41"/>
  <c r="F9" i="41"/>
  <c r="BK8" i="41"/>
  <c r="BJ8" i="41"/>
  <c r="BI8" i="41"/>
  <c r="BI24" i="41" s="1"/>
  <c r="BE8" i="41"/>
  <c r="BD8" i="41"/>
  <c r="BC8" i="41"/>
  <c r="BB8" i="41"/>
  <c r="AX8" i="41"/>
  <c r="AW8" i="41"/>
  <c r="AV8" i="41"/>
  <c r="AU8" i="41"/>
  <c r="AQ8" i="41"/>
  <c r="AP8" i="41"/>
  <c r="AO8" i="41"/>
  <c r="AN8" i="41"/>
  <c r="AL8" i="41"/>
  <c r="AK8" i="41"/>
  <c r="AJ8" i="41"/>
  <c r="AI8" i="41"/>
  <c r="AG8" i="41"/>
  <c r="AF8" i="41"/>
  <c r="AE8" i="41"/>
  <c r="AD8" i="41"/>
  <c r="J8" i="41"/>
  <c r="I8" i="41"/>
  <c r="G8" i="41"/>
  <c r="F8" i="41"/>
  <c r="C15" i="40"/>
  <c r="C14" i="40"/>
  <c r="F5" i="37"/>
  <c r="V5" i="37"/>
  <c r="W5" i="37" s="1"/>
  <c r="Y5" i="37" s="1"/>
  <c r="AQ5" i="37" s="1"/>
  <c r="AB5" i="37"/>
  <c r="AC5" i="37" s="1"/>
  <c r="AN5" i="37"/>
  <c r="AP5" i="37"/>
  <c r="L1" i="37"/>
  <c r="AI1" i="37"/>
  <c r="AG1" i="37"/>
  <c r="AF1" i="37"/>
  <c r="H1" i="37"/>
  <c r="I8" i="36"/>
  <c r="J8" i="36"/>
  <c r="K8" i="36"/>
  <c r="L8" i="36"/>
  <c r="N8" i="36"/>
  <c r="O8" i="36"/>
  <c r="P8" i="36"/>
  <c r="Q8" i="36"/>
  <c r="R8" i="36"/>
  <c r="U8" i="36"/>
  <c r="V8" i="36"/>
  <c r="X8" i="36"/>
  <c r="Z8" i="36"/>
  <c r="AA8" i="36"/>
  <c r="AB8" i="36"/>
  <c r="AC8" i="36"/>
  <c r="AD8" i="36"/>
  <c r="AI8" i="36" s="1"/>
  <c r="AF8" i="36"/>
  <c r="AG8" i="36"/>
  <c r="H8" i="36"/>
  <c r="AA8" i="35"/>
  <c r="V8" i="35"/>
  <c r="U8" i="35"/>
  <c r="P8" i="35"/>
  <c r="O8" i="35"/>
  <c r="J8" i="35"/>
  <c r="I8" i="35"/>
  <c r="AO7" i="36"/>
  <c r="AL7" i="36"/>
  <c r="AK7" i="36"/>
  <c r="AH7" i="36"/>
  <c r="AJ7" i="36" s="1"/>
  <c r="AE7" i="36"/>
  <c r="AE8" i="36" s="1"/>
  <c r="S7" i="36"/>
  <c r="S8" i="36" s="1"/>
  <c r="M7" i="36"/>
  <c r="AQ7" i="36" s="1"/>
  <c r="G16" i="52" s="1"/>
  <c r="F7" i="36"/>
  <c r="AO6" i="36"/>
  <c r="AL6" i="36"/>
  <c r="AK6" i="36"/>
  <c r="AJ6" i="36"/>
  <c r="AQ6" i="36"/>
  <c r="G20" i="52" s="1"/>
  <c r="F6" i="36"/>
  <c r="X1" i="36"/>
  <c r="H1" i="36"/>
  <c r="Z1" i="36"/>
  <c r="I1" i="36"/>
  <c r="AD1" i="36"/>
  <c r="U1" i="36"/>
  <c r="AI1" i="36"/>
  <c r="AG1" i="36"/>
  <c r="AF1" i="36"/>
  <c r="AA1" i="36"/>
  <c r="R1" i="36"/>
  <c r="O1" i="36"/>
  <c r="N1" i="36"/>
  <c r="L1" i="36"/>
  <c r="O1" i="35"/>
  <c r="U1" i="35"/>
  <c r="I27" i="34"/>
  <c r="AC27" i="34"/>
  <c r="AG7" i="35" l="1"/>
  <c r="AG8" i="35" s="1"/>
  <c r="AM7" i="35"/>
  <c r="AB8" i="35"/>
  <c r="AN7" i="35"/>
  <c r="AH7" i="35"/>
  <c r="AH8" i="35" s="1"/>
  <c r="AW13" i="17"/>
  <c r="AP19" i="17"/>
  <c r="AJ8" i="36"/>
  <c r="AL8" i="36"/>
  <c r="AK8" i="36"/>
  <c r="G21" i="52"/>
  <c r="AQ19" i="17"/>
  <c r="AI19" i="17"/>
  <c r="AK19" i="17" s="1"/>
  <c r="Y17" i="17"/>
  <c r="Y1" i="49"/>
  <c r="AN8" i="35"/>
  <c r="M8" i="36"/>
  <c r="AQ8" i="36"/>
  <c r="AH8" i="36"/>
  <c r="AO8" i="36"/>
  <c r="K19" i="17"/>
  <c r="M19" i="17" s="1"/>
  <c r="AR19" i="17" s="1"/>
  <c r="G12" i="52" s="1"/>
  <c r="J35" i="42"/>
  <c r="J31" i="42"/>
  <c r="AX24" i="41"/>
  <c r="AX31" i="41" s="1"/>
  <c r="L35" i="42"/>
  <c r="L38" i="42" s="1"/>
  <c r="L31" i="42"/>
  <c r="L34" i="42" s="1"/>
  <c r="D19" i="40" s="1"/>
  <c r="BK33" i="41"/>
  <c r="BK35" i="41"/>
  <c r="F15" i="40" s="1"/>
  <c r="BE24" i="41"/>
  <c r="K28" i="42"/>
  <c r="K30" i="42" s="1"/>
  <c r="M20" i="42"/>
  <c r="M28" i="42" s="1"/>
  <c r="M29" i="42" s="1"/>
  <c r="O30" i="42"/>
  <c r="BC31" i="41"/>
  <c r="BC29" i="41"/>
  <c r="D14" i="40" s="1"/>
  <c r="E14" i="40" s="1"/>
  <c r="BJ27" i="41"/>
  <c r="BD31" i="41"/>
  <c r="AU24" i="41"/>
  <c r="Q20" i="42"/>
  <c r="Q28" i="42" s="1"/>
  <c r="Q30" i="42" s="1"/>
  <c r="J46" i="42"/>
  <c r="K46" i="42"/>
  <c r="C18" i="40" s="1"/>
  <c r="BB24" i="41"/>
  <c r="BB27" i="41" s="1"/>
  <c r="BL8" i="41"/>
  <c r="BL24" i="41" s="1"/>
  <c r="AQ11" i="41"/>
  <c r="AQ24" i="41" s="1"/>
  <c r="J44" i="42"/>
  <c r="M44" i="42" s="1"/>
  <c r="T1" i="37"/>
  <c r="AE5" i="37"/>
  <c r="AM5" i="37"/>
  <c r="R1" i="37"/>
  <c r="X1" i="37"/>
  <c r="I1" i="37"/>
  <c r="AN1" i="37"/>
  <c r="AJ1" i="37"/>
  <c r="U1" i="37"/>
  <c r="AL1" i="37"/>
  <c r="K1" i="37"/>
  <c r="M1" i="37"/>
  <c r="AP1" i="37"/>
  <c r="N1" i="37"/>
  <c r="Z1" i="37"/>
  <c r="O1" i="37"/>
  <c r="AD1" i="37"/>
  <c r="AA1" i="37"/>
  <c r="AH1" i="37"/>
  <c r="AH1" i="36"/>
  <c r="AN7" i="36"/>
  <c r="AN8" i="36" s="1"/>
  <c r="K1" i="36"/>
  <c r="AS7" i="36"/>
  <c r="I16" i="52" s="1"/>
  <c r="AR7" i="36"/>
  <c r="H16" i="52" s="1"/>
  <c r="AP7" i="36"/>
  <c r="AS6" i="36"/>
  <c r="AR6" i="36"/>
  <c r="H20" i="52" s="1"/>
  <c r="AP6" i="36"/>
  <c r="AP1" i="36" s="1"/>
  <c r="Q1" i="36"/>
  <c r="AL1" i="36"/>
  <c r="AK1" i="36"/>
  <c r="AJ1" i="36"/>
  <c r="AO1" i="36"/>
  <c r="I1" i="35"/>
  <c r="AM1" i="35"/>
  <c r="AA1" i="35"/>
  <c r="K1" i="35"/>
  <c r="AS17" i="17" l="1"/>
  <c r="H19" i="52" s="1"/>
  <c r="H21" i="52" s="1"/>
  <c r="AS8" i="36"/>
  <c r="AG1" i="35"/>
  <c r="AM8" i="35"/>
  <c r="AP8" i="36"/>
  <c r="K35" i="42"/>
  <c r="K38" i="42" s="1"/>
  <c r="K31" i="42"/>
  <c r="K34" i="42" s="1"/>
  <c r="D18" i="40" s="1"/>
  <c r="AU27" i="41"/>
  <c r="C13" i="40"/>
  <c r="C16" i="40" s="1"/>
  <c r="M31" i="42"/>
  <c r="J33" i="42"/>
  <c r="M33" i="42" s="1"/>
  <c r="J32" i="42"/>
  <c r="M32" i="42" s="1"/>
  <c r="C17" i="40"/>
  <c r="C20" i="40" s="1"/>
  <c r="M46" i="42"/>
  <c r="C7" i="40" s="1"/>
  <c r="Q31" i="42"/>
  <c r="Q34" i="42" s="1"/>
  <c r="Q35" i="42"/>
  <c r="Q38" i="42" s="1"/>
  <c r="F19" i="40" s="1"/>
  <c r="BB31" i="41"/>
  <c r="BE31" i="41" s="1"/>
  <c r="D13" i="40"/>
  <c r="BE27" i="41"/>
  <c r="BB29" i="41"/>
  <c r="BE29" i="41" s="1"/>
  <c r="P30" i="42"/>
  <c r="BI27" i="41"/>
  <c r="M30" i="42"/>
  <c r="O35" i="42"/>
  <c r="O31" i="42"/>
  <c r="R30" i="42"/>
  <c r="R20" i="42"/>
  <c r="R28" i="42" s="1"/>
  <c r="E19" i="40"/>
  <c r="BJ35" i="41"/>
  <c r="F14" i="40" s="1"/>
  <c r="BJ33" i="41"/>
  <c r="J37" i="42"/>
  <c r="M37" i="42" s="1"/>
  <c r="M35" i="42"/>
  <c r="J36" i="42"/>
  <c r="M36" i="42" s="1"/>
  <c r="J38" i="42"/>
  <c r="AK1" i="37"/>
  <c r="Q1" i="37"/>
  <c r="AR5" i="37"/>
  <c r="AO5" i="37"/>
  <c r="Y1" i="37"/>
  <c r="W1" i="37"/>
  <c r="AC1" i="37"/>
  <c r="S1" i="37"/>
  <c r="AC1" i="36"/>
  <c r="AN1" i="36"/>
  <c r="AE1" i="36"/>
  <c r="AS1" i="36"/>
  <c r="AQ1" i="36"/>
  <c r="M1" i="36"/>
  <c r="S1" i="36"/>
  <c r="O36" i="42" l="1"/>
  <c r="R36" i="42" s="1"/>
  <c r="O37" i="42"/>
  <c r="R37" i="42" s="1"/>
  <c r="T46" i="42" s="1"/>
  <c r="O32" i="42"/>
  <c r="R32" i="42" s="1"/>
  <c r="O33" i="42"/>
  <c r="R33" i="42" s="1"/>
  <c r="O34" i="42"/>
  <c r="M38" i="42"/>
  <c r="E17" i="40"/>
  <c r="E20" i="40" s="1"/>
  <c r="BI35" i="41"/>
  <c r="BL35" i="41" s="1"/>
  <c r="BL27" i="41"/>
  <c r="BI33" i="41"/>
  <c r="P31" i="42"/>
  <c r="P34" i="42" s="1"/>
  <c r="P35" i="42"/>
  <c r="P38" i="42" s="1"/>
  <c r="F18" i="40" s="1"/>
  <c r="J34" i="42"/>
  <c r="S46" i="42"/>
  <c r="D16" i="40"/>
  <c r="E13" i="40"/>
  <c r="E16" i="40" s="1"/>
  <c r="E18" i="40"/>
  <c r="AQ1" i="37"/>
  <c r="AE1" i="37"/>
  <c r="AM1" i="37"/>
  <c r="R34" i="42" l="1"/>
  <c r="M34" i="42"/>
  <c r="D17" i="40"/>
  <c r="D20" i="40" s="1"/>
  <c r="P43" i="42"/>
  <c r="R31" i="42"/>
  <c r="S45" i="42" s="1"/>
  <c r="S47" i="42" s="1"/>
  <c r="F13" i="40"/>
  <c r="BL33" i="41"/>
  <c r="R35" i="42"/>
  <c r="O38" i="42"/>
  <c r="F17" i="40" s="1"/>
  <c r="F20" i="40" s="1"/>
  <c r="E8" i="40"/>
  <c r="AR1" i="37"/>
  <c r="AO1" i="37"/>
  <c r="F16" i="40" l="1"/>
  <c r="F8" i="40" s="1"/>
  <c r="F7" i="40" s="1"/>
  <c r="G13" i="40"/>
  <c r="G16" i="40" s="1"/>
  <c r="R38" i="42"/>
  <c r="T45" i="42"/>
  <c r="T47" i="42" s="1"/>
  <c r="D8" i="40"/>
  <c r="P42" i="42"/>
  <c r="E7" i="40" l="1"/>
  <c r="D7" i="40"/>
  <c r="G8" i="40"/>
  <c r="G7" i="40" s="1"/>
  <c r="P44" i="42"/>
  <c r="J22" i="34"/>
  <c r="K22" i="34"/>
  <c r="AA22" i="34"/>
  <c r="AF27" i="34" l="1"/>
  <c r="AP27" i="34" s="1"/>
  <c r="AD27" i="34"/>
  <c r="AM27" i="34" s="1"/>
  <c r="AB27" i="34"/>
  <c r="AE27" i="34" s="1"/>
  <c r="L27" i="34"/>
  <c r="G27" i="34"/>
  <c r="H27" i="34" s="1"/>
  <c r="M27" i="34" s="1"/>
  <c r="G26" i="34"/>
  <c r="AF25" i="34"/>
  <c r="AP25" i="34" s="1"/>
  <c r="AD25" i="34"/>
  <c r="AM25" i="34" s="1"/>
  <c r="AB25" i="34"/>
  <c r="AE25" i="34" s="1"/>
  <c r="AN25" i="34" s="1"/>
  <c r="L25" i="34"/>
  <c r="G25" i="34"/>
  <c r="H25" i="34" s="1"/>
  <c r="M25" i="34" s="1"/>
  <c r="AF24" i="34"/>
  <c r="AP24" i="34" s="1"/>
  <c r="AD24" i="34"/>
  <c r="AM24" i="34" s="1"/>
  <c r="AB24" i="34"/>
  <c r="AE24" i="34" s="1"/>
  <c r="N24" i="34"/>
  <c r="H24" i="34"/>
  <c r="M24" i="34" s="1"/>
  <c r="G24" i="34"/>
  <c r="AF23" i="34"/>
  <c r="AD23" i="34"/>
  <c r="AB23" i="34"/>
  <c r="L23" i="34"/>
  <c r="G23" i="34"/>
  <c r="N23" i="34" s="1"/>
  <c r="P17" i="34"/>
  <c r="AM23" i="34" l="1"/>
  <c r="AP23" i="34"/>
  <c r="AE23" i="34"/>
  <c r="N25" i="34"/>
  <c r="AK25" i="34" s="1"/>
  <c r="V23" i="34"/>
  <c r="AG23" i="34"/>
  <c r="AH23" i="34"/>
  <c r="Q23" i="34"/>
  <c r="V25" i="34"/>
  <c r="AH25" i="34"/>
  <c r="Q25" i="34"/>
  <c r="AH27" i="34"/>
  <c r="V27" i="34"/>
  <c r="Q27" i="34"/>
  <c r="AG27" i="34"/>
  <c r="AN27" i="34"/>
  <c r="AO27" i="34" s="1"/>
  <c r="AQ27" i="34" s="1"/>
  <c r="R25" i="34"/>
  <c r="AI25" i="34"/>
  <c r="AI27" i="34"/>
  <c r="R27" i="34"/>
  <c r="AO25" i="34"/>
  <c r="AQ25" i="34" s="1"/>
  <c r="N27" i="34"/>
  <c r="O27" i="34" s="1"/>
  <c r="AG25" i="34"/>
  <c r="AK23" i="34"/>
  <c r="T23" i="34"/>
  <c r="AK24" i="34"/>
  <c r="T24" i="34"/>
  <c r="AN24" i="34"/>
  <c r="AO24" i="34" s="1"/>
  <c r="AQ24" i="34" s="1"/>
  <c r="AI24" i="34"/>
  <c r="R24" i="34"/>
  <c r="L24" i="34"/>
  <c r="H23" i="34"/>
  <c r="M23" i="34" s="1"/>
  <c r="AG24" i="34"/>
  <c r="O25" i="34" l="1"/>
  <c r="T25" i="34"/>
  <c r="Y25" i="34" s="1"/>
  <c r="Y24" i="34"/>
  <c r="AN23" i="34"/>
  <c r="T27" i="34"/>
  <c r="Y27" i="34" s="1"/>
  <c r="AK27" i="34"/>
  <c r="W25" i="34"/>
  <c r="X25" i="34" s="1"/>
  <c r="S25" i="34"/>
  <c r="AJ25" i="34"/>
  <c r="AL25" i="34" s="1"/>
  <c r="S27" i="34"/>
  <c r="W27" i="34"/>
  <c r="X27" i="34" s="1"/>
  <c r="AJ27" i="34"/>
  <c r="R23" i="34"/>
  <c r="O23" i="34"/>
  <c r="AI23" i="34"/>
  <c r="W23" i="34"/>
  <c r="Y23" i="34"/>
  <c r="V24" i="34"/>
  <c r="AH24" i="34"/>
  <c r="Q24" i="34"/>
  <c r="O24" i="34"/>
  <c r="U27" i="34" l="1"/>
  <c r="AL27" i="34"/>
  <c r="Z27" i="34"/>
  <c r="U25" i="34"/>
  <c r="AO23" i="34"/>
  <c r="Z25" i="34"/>
  <c r="S24" i="34"/>
  <c r="W24" i="34"/>
  <c r="S23" i="34"/>
  <c r="U23" i="34" s="1"/>
  <c r="AJ23" i="34"/>
  <c r="AJ24" i="34"/>
  <c r="AL24" i="34" s="1"/>
  <c r="X23" i="34"/>
  <c r="U24" i="34" l="1"/>
  <c r="X24" i="34"/>
  <c r="AL23" i="34"/>
  <c r="AQ23" i="34"/>
  <c r="Z23" i="34"/>
  <c r="Z24" i="34" l="1"/>
  <c r="H68" i="22" l="1"/>
  <c r="V15" i="17" s="1"/>
  <c r="W15" i="17" s="1"/>
  <c r="Y15" i="17" s="1"/>
  <c r="AX15" i="17" s="1"/>
  <c r="AI15" i="17"/>
  <c r="AK15" i="17" s="1"/>
  <c r="AD12" i="17"/>
  <c r="AD11" i="17"/>
  <c r="AD10" i="17"/>
  <c r="AB13" i="17"/>
  <c r="AA13" i="17"/>
  <c r="AG13" i="17" s="1"/>
  <c r="Z13" i="17"/>
  <c r="AF13" i="17" s="1"/>
  <c r="AB12" i="17"/>
  <c r="AA12" i="17"/>
  <c r="AG12" i="17" s="1"/>
  <c r="Z12" i="17"/>
  <c r="AF12" i="17" s="1"/>
  <c r="AB11" i="17"/>
  <c r="AA11" i="17"/>
  <c r="AG11" i="17" s="1"/>
  <c r="Z11" i="17"/>
  <c r="AF11" i="17" s="1"/>
  <c r="AB10" i="17"/>
  <c r="AA10" i="17"/>
  <c r="AG10" i="17" s="1"/>
  <c r="Z10" i="17"/>
  <c r="AF10" i="17" s="1"/>
  <c r="X13" i="17"/>
  <c r="X12" i="17"/>
  <c r="X11" i="17"/>
  <c r="X10" i="17"/>
  <c r="U10" i="17"/>
  <c r="V10" i="17"/>
  <c r="U11" i="17"/>
  <c r="V11" i="17"/>
  <c r="U12" i="17"/>
  <c r="V12" i="17"/>
  <c r="V13" i="17"/>
  <c r="T11" i="17"/>
  <c r="T12" i="17"/>
  <c r="T13" i="17"/>
  <c r="T10" i="17"/>
  <c r="AD8" i="27"/>
  <c r="AO8" i="27" s="1"/>
  <c r="AB8" i="27"/>
  <c r="AH8" i="27" s="1"/>
  <c r="AA8" i="27"/>
  <c r="AG8" i="27" s="1"/>
  <c r="Z8" i="27"/>
  <c r="X8" i="27"/>
  <c r="V8" i="27"/>
  <c r="U8" i="27"/>
  <c r="U13" i="17" s="1"/>
  <c r="T8" i="27"/>
  <c r="AI7" i="27"/>
  <c r="AI6" i="27"/>
  <c r="AI5" i="27"/>
  <c r="AF6" i="27"/>
  <c r="AG6" i="27"/>
  <c r="AH6" i="27"/>
  <c r="AJ6" i="27"/>
  <c r="AF7" i="27"/>
  <c r="AG7" i="27"/>
  <c r="AH7" i="27"/>
  <c r="AJ7" i="27"/>
  <c r="AF8" i="27"/>
  <c r="AG5" i="27"/>
  <c r="AH5" i="27"/>
  <c r="AJ5" i="27"/>
  <c r="AF5" i="27"/>
  <c r="AB7" i="27"/>
  <c r="AA7" i="27"/>
  <c r="V7" i="27"/>
  <c r="W7" i="27" s="1"/>
  <c r="Y7" i="27" s="1"/>
  <c r="U7" i="27"/>
  <c r="AD6" i="27"/>
  <c r="AO6" i="27" s="1"/>
  <c r="AB6" i="27"/>
  <c r="AC6" i="27" s="1"/>
  <c r="AA6" i="27"/>
  <c r="AM6" i="27" s="1"/>
  <c r="Z6" i="27"/>
  <c r="X6" i="27"/>
  <c r="V6" i="27"/>
  <c r="U6" i="27"/>
  <c r="U1" i="27" s="1"/>
  <c r="T6" i="27"/>
  <c r="T1" i="27" s="1"/>
  <c r="AB5" i="27"/>
  <c r="AA5" i="27"/>
  <c r="AM5" i="27" s="1"/>
  <c r="V5" i="27"/>
  <c r="U5" i="27"/>
  <c r="AL8" i="27"/>
  <c r="Q8" i="27"/>
  <c r="S8" i="27" s="1"/>
  <c r="K8" i="27"/>
  <c r="M8" i="27" s="1"/>
  <c r="AQ8" i="27" s="1"/>
  <c r="F8" i="27"/>
  <c r="AO7" i="27"/>
  <c r="AL7" i="27"/>
  <c r="AK7" i="27"/>
  <c r="S7" i="27"/>
  <c r="Q7" i="27"/>
  <c r="K7" i="27"/>
  <c r="M7" i="27" s="1"/>
  <c r="AQ7" i="27" s="1"/>
  <c r="F7" i="27"/>
  <c r="AL6" i="27"/>
  <c r="AK6" i="27"/>
  <c r="Q6" i="27"/>
  <c r="S6" i="27" s="1"/>
  <c r="K6" i="27"/>
  <c r="M6" i="27" s="1"/>
  <c r="AQ6" i="27" s="1"/>
  <c r="F6" i="27"/>
  <c r="AO5" i="27"/>
  <c r="AL5" i="27"/>
  <c r="AC5" i="27"/>
  <c r="AE5" i="27" s="1"/>
  <c r="Q5" i="27"/>
  <c r="S5" i="27" s="1"/>
  <c r="K5" i="27"/>
  <c r="M5" i="27" s="1"/>
  <c r="F5" i="27"/>
  <c r="Z1" i="27"/>
  <c r="X1" i="27"/>
  <c r="R1" i="27"/>
  <c r="Q1" i="27"/>
  <c r="O1" i="27"/>
  <c r="N1" i="27"/>
  <c r="L1" i="27"/>
  <c r="I1" i="27"/>
  <c r="H1" i="27"/>
  <c r="O46" i="31"/>
  <c r="M46" i="31"/>
  <c r="O45" i="31"/>
  <c r="O47" i="31" s="1"/>
  <c r="M45" i="31"/>
  <c r="M47" i="31" s="1"/>
  <c r="AJ8" i="27" l="1"/>
  <c r="AD13" i="17"/>
  <c r="AD1" i="27"/>
  <c r="AJ10" i="17"/>
  <c r="AP10" i="17"/>
  <c r="AJ11" i="17"/>
  <c r="AP11" i="17"/>
  <c r="AJ12" i="17"/>
  <c r="AP12" i="17"/>
  <c r="AJ13" i="17"/>
  <c r="AP13" i="17"/>
  <c r="AN13" i="17"/>
  <c r="AH13" i="17"/>
  <c r="AI13" i="17" s="1"/>
  <c r="AN10" i="17"/>
  <c r="AH10" i="17"/>
  <c r="AI10" i="17" s="1"/>
  <c r="AN11" i="17"/>
  <c r="AH11" i="17"/>
  <c r="AI11" i="17" s="1"/>
  <c r="AN12" i="17"/>
  <c r="AH12" i="17"/>
  <c r="AI12" i="17" s="1"/>
  <c r="AC15" i="17"/>
  <c r="AN15" i="17"/>
  <c r="AC8" i="27"/>
  <c r="AE8" i="27" s="1"/>
  <c r="AS8" i="27" s="1"/>
  <c r="AM8" i="27"/>
  <c r="AI8" i="27"/>
  <c r="AK8" i="27" s="1"/>
  <c r="AF1" i="27"/>
  <c r="AG1" i="27"/>
  <c r="W8" i="27"/>
  <c r="Y8" i="27" s="1"/>
  <c r="AR8" i="27" s="1"/>
  <c r="AJ1" i="27"/>
  <c r="AL1" i="27"/>
  <c r="K1" i="27"/>
  <c r="AO1" i="27"/>
  <c r="AE6" i="27"/>
  <c r="AS6" i="27"/>
  <c r="AN6" i="27"/>
  <c r="W6" i="27"/>
  <c r="Y6" i="27" s="1"/>
  <c r="AN5" i="27"/>
  <c r="W5" i="27"/>
  <c r="Y5" i="27"/>
  <c r="AR5" i="27" s="1"/>
  <c r="W1" i="27"/>
  <c r="AQ5" i="27"/>
  <c r="AQ1" i="27" s="1"/>
  <c r="M1" i="27"/>
  <c r="AP5" i="27"/>
  <c r="S1" i="27"/>
  <c r="AS5" i="27"/>
  <c r="AR7" i="27"/>
  <c r="AK5" i="27"/>
  <c r="AP6" i="27"/>
  <c r="AR6" i="27"/>
  <c r="AK12" i="17" l="1"/>
  <c r="AK11" i="17"/>
  <c r="AK10" i="17"/>
  <c r="AI1" i="27"/>
  <c r="AN8" i="27"/>
  <c r="AK13" i="17"/>
  <c r="AE15" i="17"/>
  <c r="AO15" i="17"/>
  <c r="AQ15" i="17" s="1"/>
  <c r="AP8" i="27"/>
  <c r="AK1" i="27"/>
  <c r="Y1" i="27"/>
  <c r="AR1" i="27"/>
  <c r="AM7" i="27"/>
  <c r="AM1" i="27" s="1"/>
  <c r="AC7" i="27"/>
  <c r="AA1" i="27"/>
  <c r="AY15" i="17" l="1"/>
  <c r="AN7" i="27"/>
  <c r="AN1" i="27" s="1"/>
  <c r="AE7" i="27"/>
  <c r="AC1" i="27"/>
  <c r="AP7" i="27" l="1"/>
  <c r="AP1" i="27" s="1"/>
  <c r="AE1" i="27"/>
  <c r="AS7" i="27"/>
  <c r="AS1" i="27" s="1"/>
  <c r="AD9" i="17" l="1"/>
  <c r="AA9" i="17"/>
  <c r="AG9" i="17" s="1"/>
  <c r="Z9" i="17"/>
  <c r="AF9" i="17" s="1"/>
  <c r="X9" i="17"/>
  <c r="U9" i="17"/>
  <c r="T9" i="17"/>
  <c r="AD7" i="17"/>
  <c r="AA7" i="17"/>
  <c r="AG7" i="17" s="1"/>
  <c r="Z7" i="17"/>
  <c r="AF7" i="17" s="1"/>
  <c r="X7" i="17"/>
  <c r="U7" i="17"/>
  <c r="T7" i="17"/>
  <c r="AI7" i="17" l="1"/>
  <c r="AJ7" i="17"/>
  <c r="AK7" i="17" s="1"/>
  <c r="AP7" i="17"/>
  <c r="AJ9" i="17"/>
  <c r="AP9" i="17"/>
  <c r="AI9" i="17"/>
  <c r="AK9" i="17" s="1"/>
  <c r="W7" i="17" l="1"/>
  <c r="Y7" i="17" s="1"/>
  <c r="W8" i="17"/>
  <c r="Y8" i="17" s="1"/>
  <c r="W9" i="17"/>
  <c r="Y9" i="17" s="1"/>
  <c r="W10" i="17"/>
  <c r="Y10" i="17" s="1"/>
  <c r="W11" i="17"/>
  <c r="Y11" i="17" s="1"/>
  <c r="W12" i="17"/>
  <c r="Y12" i="17" s="1"/>
  <c r="W13" i="17"/>
  <c r="Y13" i="17" s="1"/>
  <c r="W14" i="17"/>
  <c r="Y14" i="17" s="1"/>
  <c r="AC7" i="17"/>
  <c r="AE7" i="17" s="1"/>
  <c r="AC8" i="17"/>
  <c r="AE8" i="17" s="1"/>
  <c r="AC9" i="17"/>
  <c r="AC10" i="17"/>
  <c r="AE10" i="17" s="1"/>
  <c r="AC11" i="17"/>
  <c r="AE11" i="17" s="1"/>
  <c r="AC13" i="17"/>
  <c r="AE13" i="17" s="1"/>
  <c r="AC14" i="17"/>
  <c r="AE14" i="17" s="1"/>
  <c r="Q7" i="17"/>
  <c r="Q9" i="17"/>
  <c r="S9" i="17" s="1"/>
  <c r="Q10" i="17"/>
  <c r="Q11" i="17"/>
  <c r="Q12" i="17"/>
  <c r="Q13" i="17"/>
  <c r="Q14" i="17"/>
  <c r="R8" i="17"/>
  <c r="AP8" i="17" s="1"/>
  <c r="O8" i="17"/>
  <c r="AM8" i="17" s="1"/>
  <c r="N8" i="17"/>
  <c r="L8" i="17"/>
  <c r="L20" i="17" s="1"/>
  <c r="L23" i="17" s="1"/>
  <c r="I8" i="17"/>
  <c r="H8" i="17"/>
  <c r="K6" i="17"/>
  <c r="M6" i="17" s="1"/>
  <c r="AR6" i="17" s="1"/>
  <c r="AW6" i="17" s="1"/>
  <c r="M7" i="17"/>
  <c r="AR7" i="17" s="1"/>
  <c r="K5" i="17"/>
  <c r="Q6" i="17"/>
  <c r="Q5" i="17"/>
  <c r="S5" i="17" s="1"/>
  <c r="AA6" i="17"/>
  <c r="AB6" i="17"/>
  <c r="AH6" i="17" s="1"/>
  <c r="AC5" i="17"/>
  <c r="AE5" i="17" s="1"/>
  <c r="T6" i="17"/>
  <c r="X6" i="17"/>
  <c r="W5" i="17"/>
  <c r="Y5" i="17" s="1"/>
  <c r="V6" i="17"/>
  <c r="U6" i="17"/>
  <c r="U20" i="17" s="1"/>
  <c r="U23" i="17" s="1"/>
  <c r="R13" i="21"/>
  <c r="S19" i="21"/>
  <c r="X19" i="21" s="1"/>
  <c r="R19" i="21"/>
  <c r="W19" i="21" s="1"/>
  <c r="Q19" i="21"/>
  <c r="V19" i="21" s="1"/>
  <c r="Y19" i="21" s="1"/>
  <c r="M19" i="21"/>
  <c r="L19" i="21"/>
  <c r="K19" i="21"/>
  <c r="V18" i="21"/>
  <c r="Y18" i="21" s="1"/>
  <c r="Z18" i="21" s="1"/>
  <c r="S18" i="21"/>
  <c r="R18" i="21"/>
  <c r="Q18" i="21"/>
  <c r="T18" i="21" s="1"/>
  <c r="S17" i="21"/>
  <c r="X17" i="21" s="1"/>
  <c r="R17" i="21"/>
  <c r="W17" i="21" s="1"/>
  <c r="Q17" i="21"/>
  <c r="X16" i="21"/>
  <c r="W16" i="21"/>
  <c r="V16" i="21"/>
  <c r="Y16" i="21" s="1"/>
  <c r="Z16" i="21" s="1"/>
  <c r="T16" i="21"/>
  <c r="N16" i="21"/>
  <c r="H16" i="21"/>
  <c r="X15" i="21"/>
  <c r="W15" i="21"/>
  <c r="V15" i="21"/>
  <c r="Y15" i="21" s="1"/>
  <c r="Z15" i="21" s="1"/>
  <c r="T15" i="21"/>
  <c r="N15" i="21"/>
  <c r="H15" i="21"/>
  <c r="S14" i="21"/>
  <c r="X14" i="21" s="1"/>
  <c r="R14" i="21"/>
  <c r="W14" i="21" s="1"/>
  <c r="M14" i="21"/>
  <c r="L14" i="21"/>
  <c r="K14" i="21"/>
  <c r="N14" i="21" s="1"/>
  <c r="H14" i="21"/>
  <c r="Q14" i="21"/>
  <c r="V13" i="21"/>
  <c r="S13" i="21"/>
  <c r="Q13" i="21"/>
  <c r="H13" i="21"/>
  <c r="Y12" i="21"/>
  <c r="S20" i="21"/>
  <c r="T12" i="21"/>
  <c r="M13" i="21"/>
  <c r="L13" i="21"/>
  <c r="G20" i="21"/>
  <c r="F20" i="21"/>
  <c r="E20" i="21"/>
  <c r="F4" i="21"/>
  <c r="AI16" i="17" l="1"/>
  <c r="AK16" i="17" s="1"/>
  <c r="W16" i="17"/>
  <c r="V20" i="17"/>
  <c r="V23" i="17" s="1"/>
  <c r="S6" i="17"/>
  <c r="S14" i="17"/>
  <c r="AY14" i="17" s="1"/>
  <c r="AO14" i="17"/>
  <c r="AQ14" i="17" s="1"/>
  <c r="S13" i="17"/>
  <c r="AO13" i="17"/>
  <c r="AQ13" i="17" s="1"/>
  <c r="S12" i="17"/>
  <c r="S11" i="17"/>
  <c r="AO11" i="17"/>
  <c r="AQ11" i="17" s="1"/>
  <c r="S10" i="17"/>
  <c r="AO10" i="17"/>
  <c r="AQ10" i="17" s="1"/>
  <c r="S7" i="17"/>
  <c r="AO7" i="17"/>
  <c r="AQ7" i="17" s="1"/>
  <c r="AS9" i="17"/>
  <c r="AX9" i="17" s="1"/>
  <c r="AE9" i="17"/>
  <c r="AY9" i="17" s="1"/>
  <c r="AO9" i="17"/>
  <c r="AQ9" i="17" s="1"/>
  <c r="T20" i="17"/>
  <c r="T23" i="17" s="1"/>
  <c r="AJ20" i="17"/>
  <c r="AJ23" i="17" s="1"/>
  <c r="X20" i="17"/>
  <c r="X23" i="17" s="1"/>
  <c r="X28" i="17" s="1"/>
  <c r="AN6" i="17"/>
  <c r="AA20" i="17"/>
  <c r="AA23" i="17" s="1"/>
  <c r="AG6" i="17"/>
  <c r="Z20" i="17"/>
  <c r="Z23" i="17" s="1"/>
  <c r="AD20" i="17"/>
  <c r="AD23" i="17" s="1"/>
  <c r="AD28" i="17" s="1"/>
  <c r="I20" i="17"/>
  <c r="I23" i="17" s="1"/>
  <c r="O20" i="17"/>
  <c r="O23" i="17" s="1"/>
  <c r="K8" i="17"/>
  <c r="M8" i="17" s="1"/>
  <c r="AR8" i="17" s="1"/>
  <c r="G11" i="52" s="1"/>
  <c r="H20" i="17"/>
  <c r="H23" i="17" s="1"/>
  <c r="M5" i="17"/>
  <c r="AL8" i="17"/>
  <c r="N20" i="17"/>
  <c r="N23" i="17" s="1"/>
  <c r="R20" i="17"/>
  <c r="R23" i="17" s="1"/>
  <c r="W6" i="17"/>
  <c r="Y6" i="17" s="1"/>
  <c r="AC6" i="17"/>
  <c r="Q8" i="17"/>
  <c r="AO8" i="17" s="1"/>
  <c r="AQ8" i="17" s="1"/>
  <c r="R32" i="21"/>
  <c r="R33" i="21" s="1"/>
  <c r="R36" i="21" s="1"/>
  <c r="F33" i="21"/>
  <c r="V14" i="21"/>
  <c r="Y14" i="21" s="1"/>
  <c r="Z14" i="21" s="1"/>
  <c r="T14" i="21"/>
  <c r="T13" i="21"/>
  <c r="R20" i="21"/>
  <c r="T17" i="21"/>
  <c r="T20" i="21" s="1"/>
  <c r="V17" i="21"/>
  <c r="Y17" i="21" s="1"/>
  <c r="Z17" i="21" s="1"/>
  <c r="Z12" i="21"/>
  <c r="X20" i="21"/>
  <c r="X22" i="21" s="1"/>
  <c r="Q32" i="21"/>
  <c r="E33" i="21"/>
  <c r="G33" i="21"/>
  <c r="S32" i="21"/>
  <c r="S33" i="21" s="1"/>
  <c r="S36" i="21" s="1"/>
  <c r="N19" i="21"/>
  <c r="K17" i="21"/>
  <c r="N17" i="21" s="1"/>
  <c r="L20" i="21"/>
  <c r="L22" i="21" s="1"/>
  <c r="L23" i="21" s="1"/>
  <c r="L26" i="21" s="1"/>
  <c r="H17" i="21"/>
  <c r="W13" i="21"/>
  <c r="L17" i="21"/>
  <c r="T19" i="21"/>
  <c r="Z19" i="21" s="1"/>
  <c r="H12" i="21"/>
  <c r="N12" i="21"/>
  <c r="X13" i="21"/>
  <c r="M17" i="21"/>
  <c r="M20" i="21" s="1"/>
  <c r="W20" i="21"/>
  <c r="K13" i="21"/>
  <c r="N13" i="21" s="1"/>
  <c r="H18" i="21"/>
  <c r="H19" i="21"/>
  <c r="Q20" i="21"/>
  <c r="AW7" i="17" l="1"/>
  <c r="AC16" i="17"/>
  <c r="AO16" i="17" s="1"/>
  <c r="AQ16" i="17" s="1"/>
  <c r="AN16" i="17"/>
  <c r="AB20" i="17"/>
  <c r="AB23" i="17" s="1"/>
  <c r="AH20" i="17"/>
  <c r="AH23" i="17" s="1"/>
  <c r="AE6" i="17"/>
  <c r="AY6" i="17" s="1"/>
  <c r="AO6" i="17"/>
  <c r="AQ6" i="17" s="1"/>
  <c r="AS7" i="17"/>
  <c r="AS10" i="17"/>
  <c r="AS11" i="17"/>
  <c r="AS12" i="17"/>
  <c r="AS13" i="17"/>
  <c r="AS14" i="17"/>
  <c r="AX14" i="17" s="1"/>
  <c r="AS6" i="17"/>
  <c r="AX6" i="17" s="1"/>
  <c r="AG20" i="17"/>
  <c r="AG23" i="17" s="1"/>
  <c r="AI6" i="17"/>
  <c r="AK6" i="17" s="1"/>
  <c r="AF20" i="17"/>
  <c r="AF23" i="17" s="1"/>
  <c r="K20" i="17"/>
  <c r="K23" i="17" s="1"/>
  <c r="S8" i="17"/>
  <c r="M22" i="21"/>
  <c r="M23" i="21" s="1"/>
  <c r="M26" i="21" s="1"/>
  <c r="S22" i="21"/>
  <c r="S23" i="21" s="1"/>
  <c r="S26" i="21" s="1"/>
  <c r="W22" i="21"/>
  <c r="K20" i="21"/>
  <c r="K22" i="21" s="1"/>
  <c r="R22" i="21"/>
  <c r="R23" i="21" s="1"/>
  <c r="R26" i="21" s="1"/>
  <c r="K18" i="21"/>
  <c r="N18" i="21" s="1"/>
  <c r="N20" i="21" s="1"/>
  <c r="T21" i="21" s="1"/>
  <c r="H20" i="21"/>
  <c r="H33" i="21" s="1"/>
  <c r="V20" i="21"/>
  <c r="V22" i="21" s="1"/>
  <c r="Q33" i="21"/>
  <c r="T32" i="21"/>
  <c r="X23" i="21"/>
  <c r="X26" i="21" s="1"/>
  <c r="X27" i="21"/>
  <c r="X30" i="21" s="1"/>
  <c r="Q22" i="21"/>
  <c r="Y13" i="21"/>
  <c r="AX13" i="17" l="1"/>
  <c r="I11" i="52"/>
  <c r="AS8" i="17"/>
  <c r="H11" i="52" s="1"/>
  <c r="Q35" i="21"/>
  <c r="T35" i="21" s="1"/>
  <c r="T33" i="21"/>
  <c r="Q34" i="21"/>
  <c r="T34" i="21" s="1"/>
  <c r="V27" i="21"/>
  <c r="Y22" i="21"/>
  <c r="V23" i="21"/>
  <c r="K23" i="21"/>
  <c r="N22" i="21"/>
  <c r="Z13" i="21"/>
  <c r="Y20" i="21"/>
  <c r="W23" i="21"/>
  <c r="W26" i="21" s="1"/>
  <c r="W27" i="21"/>
  <c r="W30" i="21" s="1"/>
  <c r="Q23" i="21"/>
  <c r="T22" i="21"/>
  <c r="AX7" i="17" l="1"/>
  <c r="AY7" i="17"/>
  <c r="Y21" i="21"/>
  <c r="Z20" i="21"/>
  <c r="K24" i="21"/>
  <c r="N24" i="21" s="1"/>
  <c r="N23" i="21"/>
  <c r="K25" i="21"/>
  <c r="N25" i="21" s="1"/>
  <c r="V25" i="21"/>
  <c r="Y25" i="21" s="1"/>
  <c r="Y23" i="21"/>
  <c r="V24" i="21"/>
  <c r="Y24" i="21" s="1"/>
  <c r="V29" i="21"/>
  <c r="Y29" i="21" s="1"/>
  <c r="Y27" i="21"/>
  <c r="V28" i="21"/>
  <c r="Y28" i="21" s="1"/>
  <c r="Q25" i="21"/>
  <c r="T25" i="21" s="1"/>
  <c r="Q24" i="21"/>
  <c r="T24" i="21" s="1"/>
  <c r="T23" i="21"/>
  <c r="Q36" i="21"/>
  <c r="T36" i="21" s="1"/>
  <c r="Q26" i="21" l="1"/>
  <c r="T26" i="21" s="1"/>
  <c r="K26" i="21"/>
  <c r="N26" i="21" s="1"/>
  <c r="V30" i="21"/>
  <c r="V26" i="21"/>
  <c r="Y26" i="21" s="1"/>
  <c r="Y30" i="21"/>
  <c r="AA56" i="18" l="1"/>
  <c r="Y56" i="18"/>
  <c r="W56" i="18"/>
  <c r="AD56" i="18" s="1"/>
  <c r="V56" i="18"/>
  <c r="AB56" i="18" s="1"/>
  <c r="AC56" i="18" s="1"/>
  <c r="AE56" i="18" s="1"/>
  <c r="S56" i="18"/>
  <c r="R56" i="18"/>
  <c r="Q56" i="18"/>
  <c r="T56" i="18" s="1"/>
  <c r="AD55" i="18"/>
  <c r="AB55" i="18"/>
  <c r="AA55" i="18"/>
  <c r="AC55" i="18" s="1"/>
  <c r="AE55" i="18" s="1"/>
  <c r="Y55" i="18"/>
  <c r="W55" i="18"/>
  <c r="X55" i="18" s="1"/>
  <c r="Z55" i="18" s="1"/>
  <c r="V55" i="18"/>
  <c r="S55" i="18"/>
  <c r="R55" i="18"/>
  <c r="T55" i="18" s="1"/>
  <c r="Q55" i="18"/>
  <c r="AA54" i="18"/>
  <c r="AC54" i="18" s="1"/>
  <c r="Y54" i="18"/>
  <c r="W54" i="18"/>
  <c r="AD54" i="18" s="1"/>
  <c r="V54" i="18"/>
  <c r="AB54" i="18" s="1"/>
  <c r="T54" i="18"/>
  <c r="S54" i="18"/>
  <c r="R54" i="18"/>
  <c r="Q54" i="18"/>
  <c r="AB53" i="18"/>
  <c r="AA53" i="18"/>
  <c r="AC53" i="18" s="1"/>
  <c r="Y53" i="18"/>
  <c r="X53" i="18"/>
  <c r="Z53" i="18" s="1"/>
  <c r="W53" i="18"/>
  <c r="AD53" i="18" s="1"/>
  <c r="V53" i="18"/>
  <c r="T53" i="18"/>
  <c r="S53" i="18"/>
  <c r="R53" i="18"/>
  <c r="Q53" i="18"/>
  <c r="AA52" i="18"/>
  <c r="AC52" i="18" s="1"/>
  <c r="Y52" i="18"/>
  <c r="W52" i="18"/>
  <c r="X52" i="18" s="1"/>
  <c r="Z52" i="18" s="1"/>
  <c r="V52" i="18"/>
  <c r="AB52" i="18" s="1"/>
  <c r="S52" i="18"/>
  <c r="R52" i="18"/>
  <c r="Q52" i="18"/>
  <c r="T52" i="18" s="1"/>
  <c r="AB51" i="18"/>
  <c r="AA51" i="18"/>
  <c r="AC51" i="18" s="1"/>
  <c r="AE51" i="18" s="1"/>
  <c r="Y51" i="18"/>
  <c r="W51" i="18"/>
  <c r="AD51" i="18" s="1"/>
  <c r="V51" i="18"/>
  <c r="X51" i="18" s="1"/>
  <c r="Z51" i="18" s="1"/>
  <c r="S51" i="18"/>
  <c r="T51" i="18" s="1"/>
  <c r="R51" i="18"/>
  <c r="Q51" i="18"/>
  <c r="AD50" i="18"/>
  <c r="AA50" i="18"/>
  <c r="Y50" i="18"/>
  <c r="W50" i="18"/>
  <c r="V50" i="18"/>
  <c r="AB50" i="18" s="1"/>
  <c r="AC50" i="18" s="1"/>
  <c r="AE50" i="18" s="1"/>
  <c r="S50" i="18"/>
  <c r="R50" i="18"/>
  <c r="Q50" i="18"/>
  <c r="T50" i="18" s="1"/>
  <c r="AE49" i="18"/>
  <c r="AD49" i="18"/>
  <c r="AC49" i="18"/>
  <c r="AB49" i="18"/>
  <c r="AA49" i="18"/>
  <c r="Y49" i="18"/>
  <c r="X49" i="18"/>
  <c r="Z49" i="18" s="1"/>
  <c r="W49" i="18"/>
  <c r="V49" i="18"/>
  <c r="S49" i="18"/>
  <c r="R49" i="18"/>
  <c r="T49" i="18" s="1"/>
  <c r="Q49" i="18"/>
  <c r="AA48" i="18"/>
  <c r="AC48" i="18" s="1"/>
  <c r="Y48" i="18"/>
  <c r="W48" i="18"/>
  <c r="AD48" i="18" s="1"/>
  <c r="V48" i="18"/>
  <c r="AB48" i="18" s="1"/>
  <c r="T48" i="18"/>
  <c r="S48" i="18"/>
  <c r="R48" i="18"/>
  <c r="Q48" i="18"/>
  <c r="AB47" i="18"/>
  <c r="AC47" i="18" s="1"/>
  <c r="AA47" i="18"/>
  <c r="Y47" i="18"/>
  <c r="X47" i="18"/>
  <c r="Z47" i="18" s="1"/>
  <c r="W47" i="18"/>
  <c r="AD47" i="18" s="1"/>
  <c r="V47" i="18"/>
  <c r="T47" i="18"/>
  <c r="S47" i="18"/>
  <c r="R47" i="18"/>
  <c r="Q47" i="18"/>
  <c r="AA46" i="18"/>
  <c r="Y46" i="18"/>
  <c r="W46" i="18"/>
  <c r="X46" i="18" s="1"/>
  <c r="Z46" i="18" s="1"/>
  <c r="V46" i="18"/>
  <c r="AB46" i="18" s="1"/>
  <c r="S46" i="18"/>
  <c r="R46" i="18"/>
  <c r="Q46" i="18"/>
  <c r="T46" i="18" s="1"/>
  <c r="AB45" i="18"/>
  <c r="AA45" i="18"/>
  <c r="AC45" i="18" s="1"/>
  <c r="AE45" i="18" s="1"/>
  <c r="Y45" i="18"/>
  <c r="W45" i="18"/>
  <c r="AD45" i="18" s="1"/>
  <c r="V45" i="18"/>
  <c r="X45" i="18" s="1"/>
  <c r="Z45" i="18" s="1"/>
  <c r="S45" i="18"/>
  <c r="T45" i="18" s="1"/>
  <c r="R45" i="18"/>
  <c r="Q45" i="18"/>
  <c r="AD44" i="18"/>
  <c r="AA44" i="18"/>
  <c r="Y44" i="18"/>
  <c r="W44" i="18"/>
  <c r="V44" i="18"/>
  <c r="AB44" i="18" s="1"/>
  <c r="AC44" i="18" s="1"/>
  <c r="AE44" i="18" s="1"/>
  <c r="S44" i="18"/>
  <c r="R44" i="18"/>
  <c r="Q44" i="18"/>
  <c r="T44" i="18" s="1"/>
  <c r="AD43" i="18"/>
  <c r="AA43" i="18"/>
  <c r="Y43" i="18"/>
  <c r="X43" i="18"/>
  <c r="Z43" i="18" s="1"/>
  <c r="W43" i="18"/>
  <c r="V43" i="18"/>
  <c r="AB43" i="18" s="1"/>
  <c r="AC43" i="18" s="1"/>
  <c r="AE43" i="18" s="1"/>
  <c r="S43" i="18"/>
  <c r="R43" i="18"/>
  <c r="T43" i="18" s="1"/>
  <c r="Q43" i="18"/>
  <c r="AA42" i="18"/>
  <c r="AC42" i="18" s="1"/>
  <c r="AE42" i="18" s="1"/>
  <c r="Y42" i="18"/>
  <c r="W42" i="18"/>
  <c r="AD42" i="18" s="1"/>
  <c r="V42" i="18"/>
  <c r="AB42" i="18" s="1"/>
  <c r="T42" i="18"/>
  <c r="S42" i="18"/>
  <c r="R42" i="18"/>
  <c r="Q42" i="18"/>
  <c r="AB41" i="18"/>
  <c r="AA41" i="18"/>
  <c r="AC41" i="18" s="1"/>
  <c r="Y41" i="18"/>
  <c r="X41" i="18"/>
  <c r="Z41" i="18" s="1"/>
  <c r="W41" i="18"/>
  <c r="AD41" i="18" s="1"/>
  <c r="V41" i="18"/>
  <c r="T41" i="18"/>
  <c r="S41" i="18"/>
  <c r="R41" i="18"/>
  <c r="Q41" i="18"/>
  <c r="AA40" i="18"/>
  <c r="Y40" i="18"/>
  <c r="W40" i="18"/>
  <c r="X40" i="18" s="1"/>
  <c r="Z40" i="18" s="1"/>
  <c r="V40" i="18"/>
  <c r="AB40" i="18" s="1"/>
  <c r="S40" i="18"/>
  <c r="R40" i="18"/>
  <c r="Q40" i="18"/>
  <c r="T40" i="18" s="1"/>
  <c r="AB39" i="18"/>
  <c r="AA39" i="18"/>
  <c r="AC39" i="18" s="1"/>
  <c r="Y39" i="18"/>
  <c r="W39" i="18"/>
  <c r="AD39" i="18" s="1"/>
  <c r="V39" i="18"/>
  <c r="X39" i="18" s="1"/>
  <c r="Z39" i="18" s="1"/>
  <c r="S39" i="18"/>
  <c r="R39" i="18"/>
  <c r="T39" i="18" s="1"/>
  <c r="Q39" i="18"/>
  <c r="AD38" i="18"/>
  <c r="AA38" i="18"/>
  <c r="Y38" i="18"/>
  <c r="W38" i="18"/>
  <c r="V38" i="18"/>
  <c r="AB38" i="18" s="1"/>
  <c r="AC38" i="18" s="1"/>
  <c r="AE38" i="18" s="1"/>
  <c r="S38" i="18"/>
  <c r="R38" i="18"/>
  <c r="Q38" i="18"/>
  <c r="T38" i="18" s="1"/>
  <c r="AD37" i="18"/>
  <c r="AA37" i="18"/>
  <c r="Y37" i="18"/>
  <c r="X37" i="18"/>
  <c r="Z37" i="18" s="1"/>
  <c r="W37" i="18"/>
  <c r="V37" i="18"/>
  <c r="AB37" i="18" s="1"/>
  <c r="AC37" i="18" s="1"/>
  <c r="AE37" i="18" s="1"/>
  <c r="S37" i="18"/>
  <c r="R37" i="18"/>
  <c r="T37" i="18" s="1"/>
  <c r="Q37" i="18"/>
  <c r="AA36" i="18"/>
  <c r="Y36" i="18"/>
  <c r="W36" i="18"/>
  <c r="AD36" i="18" s="1"/>
  <c r="V36" i="18"/>
  <c r="AB36" i="18" s="1"/>
  <c r="T36" i="18"/>
  <c r="S36" i="18"/>
  <c r="R36" i="18"/>
  <c r="Q36" i="18"/>
  <c r="AB35" i="18"/>
  <c r="AA35" i="18"/>
  <c r="AC35" i="18" s="1"/>
  <c r="AE35" i="18" s="1"/>
  <c r="Y35" i="18"/>
  <c r="X35" i="18"/>
  <c r="Z35" i="18" s="1"/>
  <c r="W35" i="18"/>
  <c r="AD35" i="18" s="1"/>
  <c r="V35" i="18"/>
  <c r="T35" i="18"/>
  <c r="S35" i="18"/>
  <c r="R35" i="18"/>
  <c r="Q35" i="18"/>
  <c r="AA34" i="18"/>
  <c r="Y34" i="18"/>
  <c r="W34" i="18"/>
  <c r="X34" i="18" s="1"/>
  <c r="Z34" i="18" s="1"/>
  <c r="V34" i="18"/>
  <c r="AB34" i="18" s="1"/>
  <c r="S34" i="18"/>
  <c r="R34" i="18"/>
  <c r="Q34" i="18"/>
  <c r="T34" i="18" s="1"/>
  <c r="AB33" i="18"/>
  <c r="AA33" i="18"/>
  <c r="AC33" i="18" s="1"/>
  <c r="AE33" i="18" s="1"/>
  <c r="Y33" i="18"/>
  <c r="W33" i="18"/>
  <c r="AD33" i="18" s="1"/>
  <c r="V33" i="18"/>
  <c r="X33" i="18" s="1"/>
  <c r="Z33" i="18" s="1"/>
  <c r="S33" i="18"/>
  <c r="R33" i="18"/>
  <c r="T33" i="18" s="1"/>
  <c r="Q33" i="18"/>
  <c r="AD32" i="18"/>
  <c r="AA32" i="18"/>
  <c r="Y32" i="18"/>
  <c r="W32" i="18"/>
  <c r="V32" i="18"/>
  <c r="AB32" i="18" s="1"/>
  <c r="AC32" i="18" s="1"/>
  <c r="AE32" i="18" s="1"/>
  <c r="S32" i="18"/>
  <c r="R32" i="18"/>
  <c r="Q32" i="18"/>
  <c r="T32" i="18" s="1"/>
  <c r="AA31" i="18"/>
  <c r="Y31" i="18"/>
  <c r="X31" i="18"/>
  <c r="Z31" i="18" s="1"/>
  <c r="W31" i="18"/>
  <c r="AD31" i="18" s="1"/>
  <c r="V31" i="18"/>
  <c r="AB31" i="18" s="1"/>
  <c r="AC31" i="18" s="1"/>
  <c r="AE31" i="18" s="1"/>
  <c r="S31" i="18"/>
  <c r="R31" i="18"/>
  <c r="T31" i="18" s="1"/>
  <c r="Q31" i="18"/>
  <c r="AA30" i="18"/>
  <c r="Y30" i="18"/>
  <c r="W30" i="18"/>
  <c r="AD30" i="18" s="1"/>
  <c r="V30" i="18"/>
  <c r="AB30" i="18" s="1"/>
  <c r="T30" i="18"/>
  <c r="S30" i="18"/>
  <c r="R30" i="18"/>
  <c r="Q30" i="18"/>
  <c r="AB29" i="18"/>
  <c r="AA29" i="18"/>
  <c r="AC29" i="18" s="1"/>
  <c r="AE29" i="18" s="1"/>
  <c r="Y29" i="18"/>
  <c r="X29" i="18"/>
  <c r="Z29" i="18" s="1"/>
  <c r="W29" i="18"/>
  <c r="AD29" i="18" s="1"/>
  <c r="V29" i="18"/>
  <c r="T29" i="18"/>
  <c r="S29" i="18"/>
  <c r="R29" i="18"/>
  <c r="Q29" i="18"/>
  <c r="AA28" i="18"/>
  <c r="Y28" i="18"/>
  <c r="W28" i="18"/>
  <c r="X28" i="18" s="1"/>
  <c r="Z28" i="18" s="1"/>
  <c r="V28" i="18"/>
  <c r="AB28" i="18" s="1"/>
  <c r="S28" i="18"/>
  <c r="R28" i="18"/>
  <c r="Q28" i="18"/>
  <c r="T28" i="18" s="1"/>
  <c r="AA27" i="18"/>
  <c r="V27" i="18"/>
  <c r="S27" i="18"/>
  <c r="Q27" i="18"/>
  <c r="M27" i="18"/>
  <c r="R27" i="18" s="1"/>
  <c r="S26" i="18"/>
  <c r="S25" i="18" s="1"/>
  <c r="R26" i="18"/>
  <c r="W26" i="18" s="1"/>
  <c r="Q26" i="18"/>
  <c r="AA26" i="18" s="1"/>
  <c r="M26" i="18"/>
  <c r="P25" i="18"/>
  <c r="AJ1" i="17"/>
  <c r="AG1" i="17"/>
  <c r="AF1" i="17"/>
  <c r="AD1" i="17"/>
  <c r="Z1" i="17"/>
  <c r="X1" i="17"/>
  <c r="U1" i="17"/>
  <c r="T1" i="17"/>
  <c r="R1" i="17"/>
  <c r="O1" i="17"/>
  <c r="N1" i="17"/>
  <c r="L1" i="17"/>
  <c r="I1" i="17"/>
  <c r="H1" i="17"/>
  <c r="F17" i="17"/>
  <c r="AL17" i="17"/>
  <c r="AM17" i="17"/>
  <c r="F18" i="17"/>
  <c r="AL18" i="17"/>
  <c r="AM18" i="17"/>
  <c r="AM14" i="17"/>
  <c r="AL14" i="17"/>
  <c r="F14" i="17"/>
  <c r="AM9" i="17"/>
  <c r="AL9" i="17"/>
  <c r="F9" i="17"/>
  <c r="F8" i="17"/>
  <c r="AM7" i="17"/>
  <c r="AL7" i="17"/>
  <c r="F7" i="17"/>
  <c r="N59" i="16"/>
  <c r="AR5" i="17"/>
  <c r="AW5" i="17" s="1"/>
  <c r="AP5" i="17"/>
  <c r="AM5" i="17"/>
  <c r="AL5" i="17"/>
  <c r="AS5" i="17"/>
  <c r="AX5" i="17" s="1"/>
  <c r="F5" i="17"/>
  <c r="AM19" i="17"/>
  <c r="AL19" i="17"/>
  <c r="F19" i="17"/>
  <c r="AM15" i="17"/>
  <c r="AL15" i="17"/>
  <c r="F15" i="17"/>
  <c r="AM16" i="17"/>
  <c r="AL16" i="17"/>
  <c r="Y16" i="17"/>
  <c r="F16" i="17"/>
  <c r="AM6" i="17"/>
  <c r="AL6" i="17"/>
  <c r="F6" i="17"/>
  <c r="AM13" i="17"/>
  <c r="AL13" i="17"/>
  <c r="F13" i="17"/>
  <c r="AL12" i="17"/>
  <c r="F12" i="17"/>
  <c r="AM11" i="17"/>
  <c r="AL11" i="17"/>
  <c r="F11" i="17"/>
  <c r="AM10" i="17"/>
  <c r="AL10" i="17"/>
  <c r="F10" i="17"/>
  <c r="B74" i="16"/>
  <c r="P80" i="16"/>
  <c r="S80" i="16"/>
  <c r="E67" i="16"/>
  <c r="G67" i="16"/>
  <c r="I67" i="16"/>
  <c r="E68" i="16"/>
  <c r="G68" i="16"/>
  <c r="I68" i="16"/>
  <c r="E44" i="16"/>
  <c r="E45" i="16"/>
  <c r="E46" i="16"/>
  <c r="F47" i="16"/>
  <c r="E47" i="16" s="1"/>
  <c r="F48" i="16"/>
  <c r="E48" i="16" s="1"/>
  <c r="F49" i="16"/>
  <c r="H49" i="16"/>
  <c r="I49" i="16"/>
  <c r="J49" i="16"/>
  <c r="K49" i="16"/>
  <c r="L49" i="16"/>
  <c r="M49" i="16"/>
  <c r="N49" i="16"/>
  <c r="M57" i="16"/>
  <c r="W30" i="16"/>
  <c r="E72" i="16"/>
  <c r="G72" i="16" s="1"/>
  <c r="I72" i="16" s="1"/>
  <c r="B33" i="16"/>
  <c r="E39" i="16"/>
  <c r="W16" i="16"/>
  <c r="N17" i="16"/>
  <c r="J17" i="16"/>
  <c r="T17" i="16"/>
  <c r="W17" i="16"/>
  <c r="L18" i="16"/>
  <c r="G18" i="16"/>
  <c r="J18" i="16"/>
  <c r="K18" i="16"/>
  <c r="T18" i="16"/>
  <c r="W18" i="16"/>
  <c r="W19" i="16" s="1"/>
  <c r="W20" i="16" s="1"/>
  <c r="W21" i="16" s="1"/>
  <c r="W22" i="16" s="1"/>
  <c r="W23" i="16" s="1"/>
  <c r="W24" i="16" s="1"/>
  <c r="W25" i="16" s="1"/>
  <c r="W26" i="16" s="1"/>
  <c r="L19" i="16"/>
  <c r="T19" i="16"/>
  <c r="K20" i="16"/>
  <c r="F20" i="16"/>
  <c r="T20" i="16"/>
  <c r="K21" i="16"/>
  <c r="F21" i="16"/>
  <c r="T21" i="16"/>
  <c r="J22" i="16"/>
  <c r="F22" i="16"/>
  <c r="I22" i="16"/>
  <c r="T22" i="16"/>
  <c r="G23" i="16"/>
  <c r="F23" i="16"/>
  <c r="J23" i="16"/>
  <c r="T23" i="16"/>
  <c r="K24" i="16"/>
  <c r="F24" i="16"/>
  <c r="G24" i="16"/>
  <c r="J24" i="16"/>
  <c r="T24" i="16"/>
  <c r="T25" i="16"/>
  <c r="N26" i="16"/>
  <c r="F26" i="16"/>
  <c r="L26" i="16"/>
  <c r="T26" i="16"/>
  <c r="AI13" i="1"/>
  <c r="AH13" i="1"/>
  <c r="AG13" i="1"/>
  <c r="AF13" i="1"/>
  <c r="AC13" i="1"/>
  <c r="AE13" i="1" s="1"/>
  <c r="Z13" i="1"/>
  <c r="X13" i="1"/>
  <c r="S13" i="1"/>
  <c r="U13" i="1" s="1"/>
  <c r="N13" i="1"/>
  <c r="P13" i="1" s="1"/>
  <c r="I13" i="1"/>
  <c r="K13" i="1" s="1"/>
  <c r="AK13" i="1" s="1"/>
  <c r="E13" i="1"/>
  <c r="AK12" i="1"/>
  <c r="AI12" i="1"/>
  <c r="AG12" i="1"/>
  <c r="AF12" i="1"/>
  <c r="AC12" i="1"/>
  <c r="AE12" i="1" s="1"/>
  <c r="X12" i="1"/>
  <c r="Z12" i="1" s="1"/>
  <c r="S12" i="1"/>
  <c r="U12" i="1" s="1"/>
  <c r="N12" i="1"/>
  <c r="P12" i="1" s="1"/>
  <c r="K12" i="1"/>
  <c r="E12" i="1"/>
  <c r="AX16" i="17" l="1"/>
  <c r="AS16" i="17"/>
  <c r="M26" i="16"/>
  <c r="J21" i="16"/>
  <c r="G39" i="16"/>
  <c r="G26" i="16"/>
  <c r="K23" i="16"/>
  <c r="I26" i="34"/>
  <c r="G22" i="16"/>
  <c r="F17" i="16"/>
  <c r="L10" i="52"/>
  <c r="L13" i="52" s="1"/>
  <c r="AK5" i="17"/>
  <c r="AI20" i="17"/>
  <c r="AI23" i="17" s="1"/>
  <c r="AL20" i="17"/>
  <c r="AL23" i="17" s="1"/>
  <c r="AP20" i="17"/>
  <c r="AP23" i="17" s="1"/>
  <c r="AE19" i="17"/>
  <c r="Y19" i="17"/>
  <c r="Y20" i="17" s="1"/>
  <c r="Y23" i="17" s="1"/>
  <c r="Y28" i="17" s="1"/>
  <c r="W20" i="17"/>
  <c r="W23" i="17" s="1"/>
  <c r="W28" i="17" s="1"/>
  <c r="S19" i="17"/>
  <c r="Q20" i="17"/>
  <c r="Q23" i="17" s="1"/>
  <c r="AR1" i="17"/>
  <c r="M20" i="17"/>
  <c r="M23" i="17" s="1"/>
  <c r="AL1" i="17"/>
  <c r="K1" i="17"/>
  <c r="AI1" i="17"/>
  <c r="Q1" i="17"/>
  <c r="M1" i="17"/>
  <c r="AP1" i="17"/>
  <c r="AC28" i="18"/>
  <c r="AB27" i="18"/>
  <c r="W27" i="18"/>
  <c r="T27" i="18"/>
  <c r="AE41" i="18"/>
  <c r="AC34" i="18"/>
  <c r="AE48" i="18"/>
  <c r="X27" i="18"/>
  <c r="Z27" i="18" s="1"/>
  <c r="AC40" i="18"/>
  <c r="AE40" i="18" s="1"/>
  <c r="AE47" i="18"/>
  <c r="AD25" i="18"/>
  <c r="AE54" i="18"/>
  <c r="AC30" i="18"/>
  <c r="AE30" i="18" s="1"/>
  <c r="AC36" i="18"/>
  <c r="AE36" i="18" s="1"/>
  <c r="AE53" i="18"/>
  <c r="W25" i="18"/>
  <c r="AC27" i="18"/>
  <c r="AE27" i="18" s="1"/>
  <c r="AC46" i="18"/>
  <c r="AE46" i="18" s="1"/>
  <c r="AE39" i="18"/>
  <c r="AA25" i="18"/>
  <c r="T26" i="18"/>
  <c r="T25" i="18" s="1"/>
  <c r="X30" i="18"/>
  <c r="Z30" i="18" s="1"/>
  <c r="X36" i="18"/>
  <c r="Z36" i="18" s="1"/>
  <c r="X42" i="18"/>
  <c r="Z42" i="18" s="1"/>
  <c r="X48" i="18"/>
  <c r="Z48" i="18" s="1"/>
  <c r="X54" i="18"/>
  <c r="Z54" i="18" s="1"/>
  <c r="V26" i="18"/>
  <c r="AD28" i="18"/>
  <c r="AD40" i="18"/>
  <c r="AD52" i="18"/>
  <c r="AE52" i="18" s="1"/>
  <c r="Q25" i="18"/>
  <c r="Y25" i="18"/>
  <c r="AI25" i="18" s="1"/>
  <c r="X32" i="18"/>
  <c r="Z32" i="18" s="1"/>
  <c r="X38" i="18"/>
  <c r="Z38" i="18" s="1"/>
  <c r="X44" i="18"/>
  <c r="Z44" i="18" s="1"/>
  <c r="X50" i="18"/>
  <c r="Z50" i="18" s="1"/>
  <c r="X56" i="18"/>
  <c r="Z56" i="18" s="1"/>
  <c r="R25" i="18"/>
  <c r="AD34" i="18"/>
  <c r="AD46" i="18"/>
  <c r="W1" i="17"/>
  <c r="AO5" i="17"/>
  <c r="AQ5" i="17" s="1"/>
  <c r="AY5" i="17"/>
  <c r="X30" i="16"/>
  <c r="E49" i="16"/>
  <c r="I19" i="16"/>
  <c r="G19" i="16"/>
  <c r="F19" i="16"/>
  <c r="L17" i="16"/>
  <c r="K17" i="16"/>
  <c r="G17" i="16"/>
  <c r="E80" i="16"/>
  <c r="F18" i="16"/>
  <c r="E70" i="16"/>
  <c r="C6" i="16" s="1"/>
  <c r="F25" i="16" s="1"/>
  <c r="E25" i="16" s="1"/>
  <c r="K19" i="16"/>
  <c r="J19" i="16"/>
  <c r="I80" i="16"/>
  <c r="AE16" i="17"/>
  <c r="M56" i="16"/>
  <c r="G20" i="16"/>
  <c r="M17" i="16"/>
  <c r="I21" i="16"/>
  <c r="I18" i="16"/>
  <c r="I17" i="16"/>
  <c r="G21" i="16"/>
  <c r="H18" i="16"/>
  <c r="H17" i="16"/>
  <c r="K80" i="16"/>
  <c r="J20" i="16"/>
  <c r="I20" i="16"/>
  <c r="L57" i="16"/>
  <c r="L60" i="16"/>
  <c r="L52" i="16"/>
  <c r="L58" i="16"/>
  <c r="L61" i="16"/>
  <c r="L53" i="16"/>
  <c r="L54" i="16"/>
  <c r="L55" i="16"/>
  <c r="L62" i="16"/>
  <c r="L56" i="16"/>
  <c r="P72" i="16"/>
  <c r="K72" i="16"/>
  <c r="M55" i="16"/>
  <c r="M61" i="16"/>
  <c r="M60" i="16"/>
  <c r="N21" i="16"/>
  <c r="M58" i="16"/>
  <c r="N24" i="16"/>
  <c r="N20" i="16"/>
  <c r="M23" i="16"/>
  <c r="M21" i="16"/>
  <c r="M54" i="16"/>
  <c r="M53" i="16"/>
  <c r="N23" i="16"/>
  <c r="M22" i="16"/>
  <c r="Z30" i="16"/>
  <c r="M52" i="16"/>
  <c r="L24" i="16"/>
  <c r="L23" i="16"/>
  <c r="AC26" i="34" s="1"/>
  <c r="K22" i="16"/>
  <c r="L21" i="16"/>
  <c r="L20" i="16"/>
  <c r="M19" i="16"/>
  <c r="M18" i="16"/>
  <c r="Y30" i="16"/>
  <c r="N22" i="16"/>
  <c r="M24" i="16"/>
  <c r="L22" i="16"/>
  <c r="M20" i="16"/>
  <c r="N19" i="16"/>
  <c r="N18" i="16"/>
  <c r="AM13" i="1"/>
  <c r="AL13" i="1"/>
  <c r="AJ13" i="1"/>
  <c r="AJ12" i="1"/>
  <c r="AM12" i="1"/>
  <c r="AL12" i="1"/>
  <c r="AH12" i="1"/>
  <c r="AS19" i="17" l="1"/>
  <c r="H12" i="52" s="1"/>
  <c r="AY16" i="17"/>
  <c r="L26" i="34"/>
  <c r="H26" i="34"/>
  <c r="M26" i="34" s="1"/>
  <c r="N26" i="34"/>
  <c r="AC22" i="34"/>
  <c r="AF26" i="34"/>
  <c r="AD26" i="34"/>
  <c r="AB26" i="34"/>
  <c r="I12" i="52"/>
  <c r="S20" i="17"/>
  <c r="S23" i="17" s="1"/>
  <c r="S1" i="17"/>
  <c r="AK20" i="17"/>
  <c r="AK23" i="17" s="1"/>
  <c r="AR20" i="17"/>
  <c r="AR23" i="17" s="1"/>
  <c r="AA1" i="17"/>
  <c r="AC12" i="17"/>
  <c r="AM12" i="17"/>
  <c r="AK1" i="17"/>
  <c r="AE34" i="18"/>
  <c r="V25" i="18"/>
  <c r="AB26" i="18"/>
  <c r="X26" i="18"/>
  <c r="AE28" i="18"/>
  <c r="AS1" i="17"/>
  <c r="Y1" i="17"/>
  <c r="G80" i="16"/>
  <c r="B78" i="16"/>
  <c r="B37" i="16"/>
  <c r="N25" i="16"/>
  <c r="G25" i="16"/>
  <c r="L25" i="16"/>
  <c r="M25" i="16"/>
  <c r="E27" i="16"/>
  <c r="S72" i="16"/>
  <c r="AP26" i="34" l="1"/>
  <c r="AP22" i="34" s="1"/>
  <c r="AF22" i="34"/>
  <c r="AE26" i="34"/>
  <c r="AB22" i="34"/>
  <c r="AM26" i="34"/>
  <c r="AM22" i="34" s="1"/>
  <c r="AD22" i="34"/>
  <c r="AG26" i="34"/>
  <c r="AG22" i="34" s="1"/>
  <c r="N22" i="34"/>
  <c r="N17" i="34" s="1"/>
  <c r="T26" i="34"/>
  <c r="AK26" i="34"/>
  <c r="AK22" i="34" s="1"/>
  <c r="AK17" i="34" s="1"/>
  <c r="AI26" i="34"/>
  <c r="AI22" i="34" s="1"/>
  <c r="AI17" i="34" s="1"/>
  <c r="R26" i="34"/>
  <c r="R22" i="34" s="1"/>
  <c r="R17" i="34" s="1"/>
  <c r="M22" i="34"/>
  <c r="M17" i="34" s="1"/>
  <c r="Q26" i="34"/>
  <c r="AH26" i="34"/>
  <c r="V26" i="34"/>
  <c r="L22" i="34"/>
  <c r="L17" i="34" s="1"/>
  <c r="O26" i="34"/>
  <c r="O22" i="34" s="1"/>
  <c r="O17" i="34" s="1"/>
  <c r="AC1" i="17"/>
  <c r="AO12" i="17"/>
  <c r="AQ12" i="17" s="1"/>
  <c r="AS20" i="17"/>
  <c r="AS23" i="17" s="1"/>
  <c r="AO20" i="17"/>
  <c r="AO23" i="17" s="1"/>
  <c r="AM1" i="17"/>
  <c r="AM20" i="17"/>
  <c r="AM23" i="17" s="1"/>
  <c r="AE12" i="17"/>
  <c r="AC20" i="17"/>
  <c r="AC23" i="17" s="1"/>
  <c r="AC28" i="17" s="1"/>
  <c r="Z26" i="18"/>
  <c r="Z25" i="18" s="1"/>
  <c r="X25" i="18"/>
  <c r="AB25" i="18"/>
  <c r="AC26" i="18"/>
  <c r="I105" i="11"/>
  <c r="J105" i="11"/>
  <c r="K105" i="11"/>
  <c r="P105" i="11"/>
  <c r="AC105" i="11"/>
  <c r="I106" i="11"/>
  <c r="J106" i="11"/>
  <c r="K106" i="11"/>
  <c r="P106" i="11"/>
  <c r="AC106" i="11"/>
  <c r="J107" i="11"/>
  <c r="K107" i="11"/>
  <c r="P107" i="11"/>
  <c r="AA107" i="11"/>
  <c r="I108" i="11"/>
  <c r="J108" i="11"/>
  <c r="P108" i="11"/>
  <c r="AA108" i="11"/>
  <c r="AC108" i="11"/>
  <c r="I109" i="11"/>
  <c r="J109" i="11"/>
  <c r="P109" i="11"/>
  <c r="AA109" i="11"/>
  <c r="AC109" i="11"/>
  <c r="J22" i="11"/>
  <c r="P22" i="11"/>
  <c r="P17" i="11" s="1"/>
  <c r="AB99" i="11"/>
  <c r="K99" i="11"/>
  <c r="N99" i="11" s="1"/>
  <c r="G99" i="11"/>
  <c r="H99" i="11" s="1"/>
  <c r="AB98" i="11"/>
  <c r="AE98" i="11" s="1"/>
  <c r="K98" i="11"/>
  <c r="AF98" i="11" s="1"/>
  <c r="G98" i="11"/>
  <c r="N98" i="11" s="1"/>
  <c r="AB97" i="11"/>
  <c r="AE97" i="11" s="1"/>
  <c r="K97" i="11"/>
  <c r="G97" i="11"/>
  <c r="H97" i="11" s="1"/>
  <c r="M97" i="11" s="1"/>
  <c r="AB96" i="11"/>
  <c r="K96" i="11"/>
  <c r="L96" i="11" s="1"/>
  <c r="G96" i="11"/>
  <c r="N96" i="11" s="1"/>
  <c r="AB95" i="11"/>
  <c r="K95" i="11"/>
  <c r="G95" i="11"/>
  <c r="AB94" i="11"/>
  <c r="K94" i="11"/>
  <c r="AD94" i="11" s="1"/>
  <c r="G94" i="11"/>
  <c r="N94" i="11" s="1"/>
  <c r="T94" i="11" s="1"/>
  <c r="Y94" i="11" s="1"/>
  <c r="AB93" i="11"/>
  <c r="AE93" i="11" s="1"/>
  <c r="K93" i="11"/>
  <c r="L93" i="11" s="1"/>
  <c r="V93" i="11" s="1"/>
  <c r="G93" i="11"/>
  <c r="AB92" i="11"/>
  <c r="AE92" i="11" s="1"/>
  <c r="K92" i="11"/>
  <c r="L92" i="11" s="1"/>
  <c r="G92" i="11"/>
  <c r="AB91" i="11"/>
  <c r="K91" i="11"/>
  <c r="L91" i="11" s="1"/>
  <c r="G91" i="11"/>
  <c r="H91" i="11" s="1"/>
  <c r="AB90" i="11"/>
  <c r="K90" i="11"/>
  <c r="G90" i="11"/>
  <c r="H90" i="11" s="1"/>
  <c r="AC89" i="11"/>
  <c r="AF89" i="11" s="1"/>
  <c r="I89" i="11"/>
  <c r="L89" i="11" s="1"/>
  <c r="Q89" i="11" s="1"/>
  <c r="G89" i="11"/>
  <c r="AC88" i="11"/>
  <c r="AF88" i="11" s="1"/>
  <c r="I88" i="11"/>
  <c r="L88" i="11" s="1"/>
  <c r="Q88" i="11" s="1"/>
  <c r="G88" i="11"/>
  <c r="AC87" i="11"/>
  <c r="AF87" i="11" s="1"/>
  <c r="I87" i="11"/>
  <c r="G87" i="11"/>
  <c r="AC86" i="11"/>
  <c r="AF86" i="11" s="1"/>
  <c r="AB86" i="11"/>
  <c r="AE86" i="11" s="1"/>
  <c r="I86" i="11"/>
  <c r="L86" i="11" s="1"/>
  <c r="G86" i="11"/>
  <c r="N86" i="11" s="1"/>
  <c r="AC85" i="11"/>
  <c r="AD85" i="11" s="1"/>
  <c r="I85" i="11"/>
  <c r="G85" i="11"/>
  <c r="AC84" i="11"/>
  <c r="AF84" i="11" s="1"/>
  <c r="I84" i="11"/>
  <c r="G84" i="11"/>
  <c r="AC83" i="11"/>
  <c r="AF83" i="11" s="1"/>
  <c r="I83" i="11"/>
  <c r="G83" i="11"/>
  <c r="AC82" i="11"/>
  <c r="AF82" i="11" s="1"/>
  <c r="I82" i="11"/>
  <c r="G82" i="11"/>
  <c r="AC81" i="11"/>
  <c r="AB81" i="11" s="1"/>
  <c r="AE81" i="11" s="1"/>
  <c r="I81" i="11"/>
  <c r="L81" i="11" s="1"/>
  <c r="G81" i="11"/>
  <c r="N81" i="11" s="1"/>
  <c r="T81" i="11" s="1"/>
  <c r="Y81" i="11" s="1"/>
  <c r="AC80" i="11"/>
  <c r="AF80" i="11" s="1"/>
  <c r="N80" i="11"/>
  <c r="T80" i="11" s="1"/>
  <c r="Y80" i="11" s="1"/>
  <c r="I80" i="11"/>
  <c r="L80" i="11" s="1"/>
  <c r="G80" i="11"/>
  <c r="AC79" i="11"/>
  <c r="I79" i="11"/>
  <c r="L79" i="11" s="1"/>
  <c r="Q79" i="11" s="1"/>
  <c r="G79" i="11"/>
  <c r="AC78" i="11"/>
  <c r="AF78" i="11" s="1"/>
  <c r="I78" i="11"/>
  <c r="G78" i="11"/>
  <c r="AC77" i="11"/>
  <c r="AF77" i="11" s="1"/>
  <c r="AB77" i="11"/>
  <c r="AE77" i="11" s="1"/>
  <c r="I77" i="11"/>
  <c r="G77" i="11"/>
  <c r="AC76" i="11"/>
  <c r="AF76" i="11" s="1"/>
  <c r="I76" i="11"/>
  <c r="G76" i="11"/>
  <c r="AC75" i="11"/>
  <c r="AF75" i="11" s="1"/>
  <c r="AB75" i="11"/>
  <c r="AE75" i="11" s="1"/>
  <c r="I75" i="11"/>
  <c r="G75" i="11"/>
  <c r="H75" i="11" s="1"/>
  <c r="M75" i="11" s="1"/>
  <c r="AC74" i="11"/>
  <c r="AF74" i="11" s="1"/>
  <c r="AB74" i="11"/>
  <c r="AE74" i="11" s="1"/>
  <c r="I74" i="11"/>
  <c r="G74" i="11"/>
  <c r="AC73" i="11"/>
  <c r="AD73" i="11" s="1"/>
  <c r="I73" i="11"/>
  <c r="L73" i="11" s="1"/>
  <c r="G73" i="11"/>
  <c r="AC72" i="11"/>
  <c r="AF72" i="11" s="1"/>
  <c r="I72" i="11"/>
  <c r="G72" i="11"/>
  <c r="H72" i="11" s="1"/>
  <c r="M72" i="11" s="1"/>
  <c r="R72" i="11" s="1"/>
  <c r="AC71" i="11"/>
  <c r="AB71" i="11" s="1"/>
  <c r="AE71" i="11" s="1"/>
  <c r="I71" i="11"/>
  <c r="G71" i="11"/>
  <c r="AC70" i="11"/>
  <c r="AF70" i="11" s="1"/>
  <c r="I70" i="11"/>
  <c r="G70" i="11"/>
  <c r="AC69" i="11"/>
  <c r="AD69" i="11" s="1"/>
  <c r="I69" i="11"/>
  <c r="L69" i="11" s="1"/>
  <c r="V69" i="11" s="1"/>
  <c r="G69" i="11"/>
  <c r="H69" i="11" s="1"/>
  <c r="M69" i="11" s="1"/>
  <c r="R69" i="11" s="1"/>
  <c r="AC68" i="11"/>
  <c r="AF68" i="11" s="1"/>
  <c r="AB68" i="11"/>
  <c r="AE68" i="11" s="1"/>
  <c r="I68" i="11"/>
  <c r="G68" i="11"/>
  <c r="AC67" i="11"/>
  <c r="AB67" i="11" s="1"/>
  <c r="AE67" i="11" s="1"/>
  <c r="I67" i="11"/>
  <c r="G67" i="11"/>
  <c r="AC66" i="11"/>
  <c r="AD66" i="11" s="1"/>
  <c r="I66" i="11"/>
  <c r="G66" i="11"/>
  <c r="AC65" i="11"/>
  <c r="AF65" i="11" s="1"/>
  <c r="I65" i="11"/>
  <c r="G65" i="11"/>
  <c r="AC64" i="11"/>
  <c r="I64" i="11"/>
  <c r="L64" i="11" s="1"/>
  <c r="Q64" i="11" s="1"/>
  <c r="G64" i="11"/>
  <c r="AC63" i="11"/>
  <c r="AF63" i="11" s="1"/>
  <c r="I63" i="11"/>
  <c r="G63" i="11"/>
  <c r="AC62" i="11"/>
  <c r="AF62" i="11" s="1"/>
  <c r="I62" i="11"/>
  <c r="G62" i="11"/>
  <c r="AC61" i="11"/>
  <c r="AF61" i="11" s="1"/>
  <c r="AB61" i="11"/>
  <c r="AE61" i="11" s="1"/>
  <c r="I61" i="11"/>
  <c r="G61" i="11"/>
  <c r="AC60" i="11"/>
  <c r="AD60" i="11" s="1"/>
  <c r="I60" i="11"/>
  <c r="L60" i="11" s="1"/>
  <c r="G60" i="11"/>
  <c r="AC59" i="11"/>
  <c r="AF59" i="11" s="1"/>
  <c r="I59" i="11"/>
  <c r="G59" i="11"/>
  <c r="AC58" i="11"/>
  <c r="AF58" i="11" s="1"/>
  <c r="AB58" i="11"/>
  <c r="AE58" i="11" s="1"/>
  <c r="I58" i="11"/>
  <c r="L58" i="11" s="1"/>
  <c r="Q58" i="11" s="1"/>
  <c r="G58" i="11"/>
  <c r="H58" i="11" s="1"/>
  <c r="M58" i="11" s="1"/>
  <c r="AC57" i="11"/>
  <c r="AB57" i="11" s="1"/>
  <c r="AE57" i="11" s="1"/>
  <c r="I57" i="11"/>
  <c r="G57" i="11"/>
  <c r="AC56" i="11"/>
  <c r="AD56" i="11" s="1"/>
  <c r="I56" i="11"/>
  <c r="G56" i="11"/>
  <c r="AC55" i="11"/>
  <c r="AD55" i="11" s="1"/>
  <c r="AB55" i="11"/>
  <c r="AE55" i="11" s="1"/>
  <c r="I55" i="11"/>
  <c r="G55" i="11"/>
  <c r="AC54" i="11"/>
  <c r="AF54" i="11" s="1"/>
  <c r="I54" i="11"/>
  <c r="G54" i="11"/>
  <c r="AC53" i="11"/>
  <c r="AF53" i="11" s="1"/>
  <c r="I53" i="11"/>
  <c r="G53" i="11"/>
  <c r="AC52" i="11"/>
  <c r="AD52" i="11" s="1"/>
  <c r="I52" i="11"/>
  <c r="G52" i="11"/>
  <c r="AC51" i="11"/>
  <c r="AF51" i="11" s="1"/>
  <c r="I51" i="11"/>
  <c r="G51" i="11"/>
  <c r="AC50" i="11"/>
  <c r="AD50" i="11" s="1"/>
  <c r="I50" i="11"/>
  <c r="G50" i="11"/>
  <c r="AC49" i="11"/>
  <c r="AF49" i="11" s="1"/>
  <c r="I49" i="11"/>
  <c r="G49" i="11"/>
  <c r="AC48" i="11"/>
  <c r="AF48" i="11" s="1"/>
  <c r="AB48" i="11"/>
  <c r="AE48" i="11" s="1"/>
  <c r="I48" i="11"/>
  <c r="L48" i="11" s="1"/>
  <c r="G48" i="11"/>
  <c r="AC47" i="11"/>
  <c r="AD47" i="11" s="1"/>
  <c r="I47" i="11"/>
  <c r="G47" i="11"/>
  <c r="AC46" i="11"/>
  <c r="AF46" i="11" s="1"/>
  <c r="I46" i="11"/>
  <c r="L46" i="11" s="1"/>
  <c r="G46" i="11"/>
  <c r="AC45" i="11"/>
  <c r="AB45" i="11" s="1"/>
  <c r="AE45" i="11" s="1"/>
  <c r="I45" i="11"/>
  <c r="G45" i="11"/>
  <c r="AC44" i="11"/>
  <c r="AB44" i="11"/>
  <c r="AE44" i="11" s="1"/>
  <c r="I44" i="11"/>
  <c r="G44" i="11"/>
  <c r="AC43" i="11"/>
  <c r="AB43" i="11" s="1"/>
  <c r="AE43" i="11" s="1"/>
  <c r="I43" i="11"/>
  <c r="G43" i="11"/>
  <c r="AC42" i="11"/>
  <c r="AF42" i="11" s="1"/>
  <c r="I42" i="11"/>
  <c r="L42" i="11" s="1"/>
  <c r="V42" i="11" s="1"/>
  <c r="G42" i="11"/>
  <c r="AC41" i="11"/>
  <c r="AF41" i="11" s="1"/>
  <c r="I41" i="11"/>
  <c r="G41" i="11"/>
  <c r="AC40" i="11"/>
  <c r="AB40" i="11" s="1"/>
  <c r="AE40" i="11" s="1"/>
  <c r="I40" i="11"/>
  <c r="L40" i="11" s="1"/>
  <c r="G40" i="11"/>
  <c r="AC39" i="11"/>
  <c r="AF39" i="11" s="1"/>
  <c r="I39" i="11"/>
  <c r="G39" i="11"/>
  <c r="AC38" i="11"/>
  <c r="AB38" i="11" s="1"/>
  <c r="AE38" i="11" s="1"/>
  <c r="L38" i="11"/>
  <c r="Q38" i="11" s="1"/>
  <c r="G38" i="11"/>
  <c r="N38" i="11" s="1"/>
  <c r="AC37" i="11"/>
  <c r="AD37" i="11" s="1"/>
  <c r="L37" i="11"/>
  <c r="Q37" i="11" s="1"/>
  <c r="G37" i="11"/>
  <c r="N37" i="11" s="1"/>
  <c r="AF36" i="11"/>
  <c r="AC36" i="11"/>
  <c r="AB36" i="11" s="1"/>
  <c r="AE36" i="11" s="1"/>
  <c r="L36" i="11"/>
  <c r="Q36" i="11" s="1"/>
  <c r="G36" i="11"/>
  <c r="N36" i="11" s="1"/>
  <c r="T36" i="11" s="1"/>
  <c r="Y36" i="11" s="1"/>
  <c r="AC35" i="11"/>
  <c r="AB35" i="11" s="1"/>
  <c r="AE35" i="11" s="1"/>
  <c r="L35" i="11"/>
  <c r="Q35" i="11" s="1"/>
  <c r="G35" i="11"/>
  <c r="N35" i="11" s="1"/>
  <c r="T35" i="11" s="1"/>
  <c r="Y35" i="11" s="1"/>
  <c r="AC34" i="11"/>
  <c r="AB34" i="11" s="1"/>
  <c r="AE34" i="11" s="1"/>
  <c r="L34" i="11"/>
  <c r="Q34" i="11" s="1"/>
  <c r="G34" i="11"/>
  <c r="AC33" i="11"/>
  <c r="AF33" i="11" s="1"/>
  <c r="AB33" i="11"/>
  <c r="AE33" i="11" s="1"/>
  <c r="L33" i="11"/>
  <c r="V33" i="11" s="1"/>
  <c r="G33" i="11"/>
  <c r="H33" i="11" s="1"/>
  <c r="M33" i="11" s="1"/>
  <c r="AC32" i="11"/>
  <c r="AD32" i="11" s="1"/>
  <c r="AB32" i="11"/>
  <c r="AE32" i="11" s="1"/>
  <c r="L32" i="11"/>
  <c r="V32" i="11" s="1"/>
  <c r="G32" i="11"/>
  <c r="H32" i="11" s="1"/>
  <c r="M32" i="11" s="1"/>
  <c r="R32" i="11" s="1"/>
  <c r="AC31" i="11"/>
  <c r="AF31" i="11" s="1"/>
  <c r="L31" i="11"/>
  <c r="Q31" i="11" s="1"/>
  <c r="G31" i="11"/>
  <c r="H31" i="11" s="1"/>
  <c r="M31" i="11" s="1"/>
  <c r="AC30" i="11"/>
  <c r="AF30" i="11" s="1"/>
  <c r="AB30" i="11"/>
  <c r="AE30" i="11" s="1"/>
  <c r="L30" i="11"/>
  <c r="Q30" i="11" s="1"/>
  <c r="G30" i="11"/>
  <c r="N30" i="11" s="1"/>
  <c r="AC29" i="11"/>
  <c r="AB29" i="11"/>
  <c r="AE29" i="11" s="1"/>
  <c r="L29" i="11"/>
  <c r="Q29" i="11" s="1"/>
  <c r="G29" i="11"/>
  <c r="H29" i="11" s="1"/>
  <c r="M29" i="11" s="1"/>
  <c r="AC28" i="11"/>
  <c r="AF28" i="11" s="1"/>
  <c r="L28" i="11"/>
  <c r="Q28" i="11" s="1"/>
  <c r="G28" i="11"/>
  <c r="N28" i="11" s="1"/>
  <c r="T28" i="11" s="1"/>
  <c r="Y28" i="11" s="1"/>
  <c r="AD27" i="11"/>
  <c r="AM27" i="11" s="1"/>
  <c r="AB27" i="11"/>
  <c r="AE27" i="11" s="1"/>
  <c r="AN27" i="11" s="1"/>
  <c r="L27" i="11"/>
  <c r="V27" i="11" s="1"/>
  <c r="G27" i="11"/>
  <c r="H27" i="11" s="1"/>
  <c r="M27" i="11" s="1"/>
  <c r="AF26" i="11"/>
  <c r="AP26" i="11" s="1"/>
  <c r="AD26" i="11"/>
  <c r="AM26" i="11" s="1"/>
  <c r="AB26" i="11"/>
  <c r="AE26" i="11" s="1"/>
  <c r="L26" i="11"/>
  <c r="G26" i="11"/>
  <c r="N26" i="11" s="1"/>
  <c r="AD25" i="11"/>
  <c r="AM25" i="11" s="1"/>
  <c r="L25" i="11"/>
  <c r="V25" i="11" s="1"/>
  <c r="G25" i="11"/>
  <c r="AD24" i="11"/>
  <c r="AM24" i="11" s="1"/>
  <c r="AF24" i="11"/>
  <c r="L24" i="11"/>
  <c r="G24" i="11"/>
  <c r="H24" i="11" s="1"/>
  <c r="M24" i="11" s="1"/>
  <c r="R24" i="11" s="1"/>
  <c r="AD23" i="11"/>
  <c r="AF23" i="11"/>
  <c r="L23" i="11"/>
  <c r="G23" i="11"/>
  <c r="N23" i="11" s="1"/>
  <c r="T23" i="11" s="1"/>
  <c r="L7" i="10"/>
  <c r="M7" i="10"/>
  <c r="O7" i="10"/>
  <c r="Q7" i="10"/>
  <c r="R7" i="10"/>
  <c r="S7" i="10"/>
  <c r="T7" i="10"/>
  <c r="V7" i="10"/>
  <c r="W7" i="10"/>
  <c r="Y7" i="10"/>
  <c r="AA7" i="10"/>
  <c r="AB7" i="10"/>
  <c r="AD7" i="10"/>
  <c r="D7" i="10"/>
  <c r="F7" i="10"/>
  <c r="G7" i="10"/>
  <c r="H7" i="10"/>
  <c r="J7" i="10"/>
  <c r="C7" i="10"/>
  <c r="AI6" i="10"/>
  <c r="AG6" i="10"/>
  <c r="AF6" i="10"/>
  <c r="AC6" i="10"/>
  <c r="AE6" i="10" s="1"/>
  <c r="X6" i="10"/>
  <c r="Z6" i="10" s="1"/>
  <c r="S6" i="10"/>
  <c r="U6" i="10" s="1"/>
  <c r="N6" i="10"/>
  <c r="I6" i="10"/>
  <c r="K6" i="10" s="1"/>
  <c r="AK6" i="10" s="1"/>
  <c r="E6" i="10"/>
  <c r="AI5" i="10"/>
  <c r="AG5" i="10"/>
  <c r="AF5" i="10"/>
  <c r="AC5" i="10"/>
  <c r="AE5" i="10" s="1"/>
  <c r="X5" i="10"/>
  <c r="Z5" i="10" s="1"/>
  <c r="S5" i="10"/>
  <c r="U5" i="10" s="1"/>
  <c r="N5" i="10"/>
  <c r="I5" i="10"/>
  <c r="K5" i="10" s="1"/>
  <c r="AK5" i="10" s="1"/>
  <c r="E5" i="10"/>
  <c r="AI4" i="10"/>
  <c r="AG4" i="10"/>
  <c r="AF4" i="10"/>
  <c r="AC4" i="10"/>
  <c r="AE4" i="10" s="1"/>
  <c r="X4" i="10"/>
  <c r="Z4" i="10" s="1"/>
  <c r="S4" i="10"/>
  <c r="U4" i="10" s="1"/>
  <c r="N4" i="10"/>
  <c r="I4" i="10"/>
  <c r="K4" i="10" s="1"/>
  <c r="AK4" i="10" s="1"/>
  <c r="E4" i="10"/>
  <c r="AO1" i="17" l="1"/>
  <c r="M10" i="52"/>
  <c r="M13" i="52" s="1"/>
  <c r="M23" i="52" s="1"/>
  <c r="AY13" i="17"/>
  <c r="K108" i="11"/>
  <c r="Y26" i="34"/>
  <c r="Y22" i="34" s="1"/>
  <c r="T22" i="34"/>
  <c r="AG17" i="34"/>
  <c r="AD17" i="34"/>
  <c r="AM17" i="34"/>
  <c r="V22" i="34"/>
  <c r="V17" i="34" s="1"/>
  <c r="AJ26" i="34"/>
  <c r="AJ22" i="34" s="1"/>
  <c r="AJ17" i="34" s="1"/>
  <c r="AH22" i="34"/>
  <c r="AH17" i="34" s="1"/>
  <c r="AN26" i="34"/>
  <c r="AE22" i="34"/>
  <c r="AE17" i="34" s="1"/>
  <c r="S26" i="34"/>
  <c r="W26" i="34"/>
  <c r="W22" i="34" s="1"/>
  <c r="W17" i="34" s="1"/>
  <c r="Q22" i="34"/>
  <c r="AF17" i="34"/>
  <c r="AP17" i="34"/>
  <c r="AD6" i="35"/>
  <c r="AJ6" i="35" s="1"/>
  <c r="AE20" i="17"/>
  <c r="AE23" i="17" s="1"/>
  <c r="AE28" i="17" s="1"/>
  <c r="AE1" i="17"/>
  <c r="V34" i="11"/>
  <c r="AB41" i="11"/>
  <c r="AE41" i="11" s="1"/>
  <c r="N45" i="11"/>
  <c r="H60" i="11"/>
  <c r="M60" i="11" s="1"/>
  <c r="N67" i="11"/>
  <c r="H70" i="11"/>
  <c r="M70" i="11" s="1"/>
  <c r="R70" i="11" s="1"/>
  <c r="H74" i="11"/>
  <c r="M74" i="11" s="1"/>
  <c r="AE99" i="11"/>
  <c r="H43" i="11"/>
  <c r="M43" i="11" s="1"/>
  <c r="R43" i="11" s="1"/>
  <c r="AD99" i="11"/>
  <c r="N32" i="11"/>
  <c r="T32" i="11" s="1"/>
  <c r="Y32" i="11" s="1"/>
  <c r="AD63" i="11"/>
  <c r="N89" i="11"/>
  <c r="T89" i="11" s="1"/>
  <c r="Y89" i="11" s="1"/>
  <c r="AF92" i="11"/>
  <c r="N83" i="11"/>
  <c r="T83" i="11" s="1"/>
  <c r="Y83" i="11" s="1"/>
  <c r="AD36" i="11"/>
  <c r="N51" i="11"/>
  <c r="H73" i="11"/>
  <c r="M73" i="11" s="1"/>
  <c r="N87" i="11"/>
  <c r="T87" i="11" s="1"/>
  <c r="Y87" i="11" s="1"/>
  <c r="M91" i="11"/>
  <c r="AB69" i="11"/>
  <c r="AE69" i="11" s="1"/>
  <c r="AI69" i="11" s="1"/>
  <c r="M99" i="11"/>
  <c r="R99" i="11" s="1"/>
  <c r="AO27" i="11"/>
  <c r="AD34" i="11"/>
  <c r="AH34" i="11" s="1"/>
  <c r="AM34" i="11" s="1"/>
  <c r="AF34" i="11"/>
  <c r="AD90" i="11"/>
  <c r="H52" i="11"/>
  <c r="M52" i="11" s="1"/>
  <c r="R52" i="11" s="1"/>
  <c r="AF90" i="11"/>
  <c r="AF55" i="11"/>
  <c r="AG55" i="11" s="1"/>
  <c r="N85" i="11"/>
  <c r="T85" i="11" s="1"/>
  <c r="Y85" i="11" s="1"/>
  <c r="H49" i="11"/>
  <c r="M49" i="11" s="1"/>
  <c r="R49" i="11" s="1"/>
  <c r="H53" i="11"/>
  <c r="M53" i="11" s="1"/>
  <c r="R53" i="11" s="1"/>
  <c r="Q69" i="11"/>
  <c r="S69" i="11" s="1"/>
  <c r="N91" i="11"/>
  <c r="T91" i="11" s="1"/>
  <c r="Y91" i="11" s="1"/>
  <c r="AA106" i="11"/>
  <c r="N76" i="11"/>
  <c r="AK76" i="11" s="1"/>
  <c r="AP76" i="11" s="1"/>
  <c r="AE94" i="11"/>
  <c r="AF56" i="11"/>
  <c r="AH69" i="11"/>
  <c r="AM69" i="11" s="1"/>
  <c r="AB76" i="11"/>
  <c r="AE76" i="11" s="1"/>
  <c r="AD91" i="11"/>
  <c r="N55" i="11"/>
  <c r="T55" i="11" s="1"/>
  <c r="Y55" i="11" s="1"/>
  <c r="N75" i="11"/>
  <c r="T75" i="11" s="1"/>
  <c r="Y75" i="11" s="1"/>
  <c r="AF93" i="11"/>
  <c r="Q33" i="11"/>
  <c r="W33" i="11" s="1"/>
  <c r="X33" i="11" s="1"/>
  <c r="H59" i="11"/>
  <c r="M59" i="11" s="1"/>
  <c r="R59" i="11" s="1"/>
  <c r="N69" i="11"/>
  <c r="T69" i="11" s="1"/>
  <c r="Y69" i="11" s="1"/>
  <c r="L105" i="11"/>
  <c r="N97" i="11"/>
  <c r="T97" i="11" s="1"/>
  <c r="Y97" i="11" s="1"/>
  <c r="AH26" i="11"/>
  <c r="AB54" i="11"/>
  <c r="AE54" i="11" s="1"/>
  <c r="AB47" i="11"/>
  <c r="AE47" i="11" s="1"/>
  <c r="AB70" i="11"/>
  <c r="AE70" i="11" s="1"/>
  <c r="N77" i="11"/>
  <c r="T77" i="11" s="1"/>
  <c r="Y77" i="11" s="1"/>
  <c r="AB109" i="11"/>
  <c r="V91" i="11"/>
  <c r="Q91" i="11"/>
  <c r="W91" i="11" s="1"/>
  <c r="X91" i="11" s="1"/>
  <c r="S32" i="11"/>
  <c r="N73" i="11"/>
  <c r="T73" i="11" s="1"/>
  <c r="Y73" i="11" s="1"/>
  <c r="N60" i="11"/>
  <c r="T60" i="11" s="1"/>
  <c r="Y60" i="11" s="1"/>
  <c r="N63" i="11"/>
  <c r="AK63" i="11" s="1"/>
  <c r="AP63" i="11" s="1"/>
  <c r="N71" i="11"/>
  <c r="T71" i="11" s="1"/>
  <c r="Y71" i="11" s="1"/>
  <c r="H87" i="11"/>
  <c r="M87" i="11" s="1"/>
  <c r="R87" i="11" s="1"/>
  <c r="AF105" i="11"/>
  <c r="AF25" i="11"/>
  <c r="AP25" i="11" s="1"/>
  <c r="Q32" i="11"/>
  <c r="W32" i="11" s="1"/>
  <c r="X32" i="11" s="1"/>
  <c r="H47" i="11"/>
  <c r="M47" i="11" s="1"/>
  <c r="R47" i="11" s="1"/>
  <c r="N49" i="11"/>
  <c r="AK49" i="11" s="1"/>
  <c r="AP49" i="11" s="1"/>
  <c r="V58" i="11"/>
  <c r="AB60" i="11"/>
  <c r="AE60" i="11" s="1"/>
  <c r="AI60" i="11" s="1"/>
  <c r="H67" i="11"/>
  <c r="M67" i="11" s="1"/>
  <c r="AI67" i="11" s="1"/>
  <c r="H79" i="11"/>
  <c r="M79" i="11" s="1"/>
  <c r="R79" i="11" s="1"/>
  <c r="S79" i="11" s="1"/>
  <c r="L87" i="11"/>
  <c r="Q87" i="11" s="1"/>
  <c r="W87" i="11" s="1"/>
  <c r="AE91" i="11"/>
  <c r="AD105" i="11"/>
  <c r="G107" i="11"/>
  <c r="H44" i="11"/>
  <c r="M44" i="11" s="1"/>
  <c r="AI44" i="11" s="1"/>
  <c r="N74" i="11"/>
  <c r="L90" i="11"/>
  <c r="AF91" i="11"/>
  <c r="AH32" i="11"/>
  <c r="AM32" i="11" s="1"/>
  <c r="V26" i="11"/>
  <c r="V106" i="11" s="1"/>
  <c r="H56" i="11"/>
  <c r="M56" i="11" s="1"/>
  <c r="R56" i="11" s="1"/>
  <c r="AD58" i="11"/>
  <c r="AG58" i="11" s="1"/>
  <c r="AF69" i="11"/>
  <c r="G109" i="11"/>
  <c r="AH91" i="11"/>
  <c r="AM91" i="11" s="1"/>
  <c r="AF60" i="11"/>
  <c r="AH24" i="11"/>
  <c r="H28" i="11"/>
  <c r="M28" i="11" s="1"/>
  <c r="R28" i="11" s="1"/>
  <c r="S28" i="11" s="1"/>
  <c r="N72" i="11"/>
  <c r="AK72" i="11" s="1"/>
  <c r="AP72" i="11" s="1"/>
  <c r="N90" i="11"/>
  <c r="T90" i="11" s="1"/>
  <c r="Y90" i="11" s="1"/>
  <c r="H83" i="11"/>
  <c r="M83" i="11" s="1"/>
  <c r="R83" i="11" s="1"/>
  <c r="AE90" i="11"/>
  <c r="K109" i="11"/>
  <c r="L98" i="11"/>
  <c r="AF38" i="11"/>
  <c r="AK38" i="11" s="1"/>
  <c r="AP38" i="11" s="1"/>
  <c r="H65" i="11"/>
  <c r="M65" i="11" s="1"/>
  <c r="R65" i="11" s="1"/>
  <c r="G106" i="11"/>
  <c r="N42" i="11"/>
  <c r="T42" i="11" s="1"/>
  <c r="Y42" i="11" s="1"/>
  <c r="AD48" i="11"/>
  <c r="AG48" i="11" s="1"/>
  <c r="H57" i="11"/>
  <c r="M57" i="11" s="1"/>
  <c r="R57" i="11" s="1"/>
  <c r="AG36" i="11"/>
  <c r="N39" i="11"/>
  <c r="T39" i="11" s="1"/>
  <c r="Y39" i="11" s="1"/>
  <c r="H62" i="11"/>
  <c r="M62" i="11" s="1"/>
  <c r="R62" i="11" s="1"/>
  <c r="AD70" i="11"/>
  <c r="L75" i="11"/>
  <c r="Q75" i="11" s="1"/>
  <c r="W75" i="11" s="1"/>
  <c r="H84" i="11"/>
  <c r="M84" i="11" s="1"/>
  <c r="R84" i="11" s="1"/>
  <c r="AD86" i="11"/>
  <c r="AH86" i="11" s="1"/>
  <c r="AM86" i="11" s="1"/>
  <c r="G105" i="11"/>
  <c r="N25" i="11"/>
  <c r="T25" i="11" s="1"/>
  <c r="AD57" i="11"/>
  <c r="H78" i="11"/>
  <c r="M78" i="11" s="1"/>
  <c r="R78" i="11" s="1"/>
  <c r="T86" i="11"/>
  <c r="Y86" i="11" s="1"/>
  <c r="AK86" i="11"/>
  <c r="AP86" i="11" s="1"/>
  <c r="AN26" i="11"/>
  <c r="AO26" i="11" s="1"/>
  <c r="AQ26" i="11" s="1"/>
  <c r="AG26" i="11"/>
  <c r="AK77" i="11"/>
  <c r="AP77" i="11" s="1"/>
  <c r="T30" i="11"/>
  <c r="Y30" i="11" s="1"/>
  <c r="R58" i="11"/>
  <c r="S58" i="11" s="1"/>
  <c r="AI58" i="11"/>
  <c r="AN58" i="11" s="1"/>
  <c r="AH73" i="11"/>
  <c r="AM73" i="11" s="1"/>
  <c r="AF43" i="11"/>
  <c r="AF52" i="11"/>
  <c r="N58" i="11"/>
  <c r="T58" i="11" s="1"/>
  <c r="Y58" i="11" s="1"/>
  <c r="N59" i="11"/>
  <c r="T59" i="11" s="1"/>
  <c r="Y59" i="11" s="1"/>
  <c r="L106" i="11"/>
  <c r="AH27" i="11"/>
  <c r="N24" i="11"/>
  <c r="T24" i="11" s="1"/>
  <c r="Y24" i="11" s="1"/>
  <c r="AB25" i="11"/>
  <c r="H23" i="11"/>
  <c r="H30" i="11"/>
  <c r="M30" i="11" s="1"/>
  <c r="R30" i="11" s="1"/>
  <c r="S30" i="11" s="1"/>
  <c r="U30" i="11" s="1"/>
  <c r="N31" i="11"/>
  <c r="T31" i="11" s="1"/>
  <c r="Y31" i="11" s="1"/>
  <c r="V35" i="11"/>
  <c r="AD38" i="11"/>
  <c r="L49" i="11"/>
  <c r="Q49" i="11" s="1"/>
  <c r="S49" i="11" s="1"/>
  <c r="H51" i="11"/>
  <c r="M51" i="11" s="1"/>
  <c r="R51" i="11" s="1"/>
  <c r="H55" i="11"/>
  <c r="M55" i="11" s="1"/>
  <c r="R55" i="11" s="1"/>
  <c r="AB59" i="11"/>
  <c r="AE59" i="11" s="1"/>
  <c r="H63" i="11"/>
  <c r="M63" i="11" s="1"/>
  <c r="N64" i="11"/>
  <c r="AB66" i="11"/>
  <c r="AE66" i="11" s="1"/>
  <c r="L74" i="11"/>
  <c r="Q74" i="11" s="1"/>
  <c r="W74" i="11" s="1"/>
  <c r="AB78" i="11"/>
  <c r="AE78" i="11" s="1"/>
  <c r="H80" i="11"/>
  <c r="M80" i="11" s="1"/>
  <c r="O80" i="11" s="1"/>
  <c r="L83" i="11"/>
  <c r="H85" i="11"/>
  <c r="M85" i="11" s="1"/>
  <c r="R85" i="11" s="1"/>
  <c r="AB88" i="11"/>
  <c r="AE88" i="11" s="1"/>
  <c r="M90" i="11"/>
  <c r="AD92" i="11"/>
  <c r="K22" i="11"/>
  <c r="I107" i="11"/>
  <c r="L85" i="11"/>
  <c r="Q85" i="11" s="1"/>
  <c r="AB87" i="11"/>
  <c r="AE87" i="11" s="1"/>
  <c r="H41" i="11"/>
  <c r="M41" i="11" s="1"/>
  <c r="R41" i="11" s="1"/>
  <c r="L53" i="11"/>
  <c r="AD59" i="11"/>
  <c r="L63" i="11"/>
  <c r="Q63" i="11" s="1"/>
  <c r="AF66" i="11"/>
  <c r="G108" i="11"/>
  <c r="AD35" i="11"/>
  <c r="AH35" i="11" s="1"/>
  <c r="AM35" i="11" s="1"/>
  <c r="AH36" i="11"/>
  <c r="AM36" i="11" s="1"/>
  <c r="H25" i="11"/>
  <c r="N27" i="11"/>
  <c r="T27" i="11" s="1"/>
  <c r="Y27" i="11" s="1"/>
  <c r="AB28" i="11"/>
  <c r="AB31" i="11"/>
  <c r="AE31" i="11" s="1"/>
  <c r="AI31" i="11" s="1"/>
  <c r="AF35" i="11"/>
  <c r="AK35" i="11" s="1"/>
  <c r="AP35" i="11" s="1"/>
  <c r="H39" i="11"/>
  <c r="M39" i="11" s="1"/>
  <c r="R39" i="11" s="1"/>
  <c r="L41" i="11"/>
  <c r="Q41" i="11" s="1"/>
  <c r="AB42" i="11"/>
  <c r="AE42" i="11" s="1"/>
  <c r="N44" i="11"/>
  <c r="T44" i="11" s="1"/>
  <c r="Y44" i="11" s="1"/>
  <c r="AB46" i="11"/>
  <c r="AE46" i="11" s="1"/>
  <c r="AB51" i="11"/>
  <c r="AE51" i="11" s="1"/>
  <c r="H61" i="11"/>
  <c r="M61" i="11" s="1"/>
  <c r="AI61" i="11" s="1"/>
  <c r="L72" i="11"/>
  <c r="V72" i="11" s="1"/>
  <c r="H82" i="11"/>
  <c r="M82" i="11" s="1"/>
  <c r="R82" i="11" s="1"/>
  <c r="AD83" i="11"/>
  <c r="N93" i="11"/>
  <c r="AD106" i="11"/>
  <c r="Q73" i="11"/>
  <c r="W73" i="11" s="1"/>
  <c r="X73" i="11" s="1"/>
  <c r="AB80" i="11"/>
  <c r="AE80" i="11" s="1"/>
  <c r="AI80" i="11" s="1"/>
  <c r="L82" i="11"/>
  <c r="V82" i="11" s="1"/>
  <c r="AK83" i="11"/>
  <c r="AP83" i="11" s="1"/>
  <c r="H89" i="11"/>
  <c r="M89" i="11" s="1"/>
  <c r="R89" i="11" s="1"/>
  <c r="S89" i="11" s="1"/>
  <c r="H93" i="11"/>
  <c r="M93" i="11" s="1"/>
  <c r="R93" i="11" s="1"/>
  <c r="AC107" i="11"/>
  <c r="N53" i="11"/>
  <c r="AK53" i="11" s="1"/>
  <c r="AP53" i="11" s="1"/>
  <c r="AM23" i="11"/>
  <c r="N33" i="11"/>
  <c r="T33" i="11" s="1"/>
  <c r="Y33" i="11" s="1"/>
  <c r="V37" i="11"/>
  <c r="AB39" i="11"/>
  <c r="AE39" i="11" s="1"/>
  <c r="N41" i="11"/>
  <c r="AB49" i="11"/>
  <c r="AE49" i="11" s="1"/>
  <c r="AI49" i="11" s="1"/>
  <c r="AB65" i="11"/>
  <c r="AE65" i="11" s="1"/>
  <c r="L67" i="11"/>
  <c r="V67" i="11" s="1"/>
  <c r="H71" i="11"/>
  <c r="M71" i="11" s="1"/>
  <c r="AI71" i="11" s="1"/>
  <c r="V73" i="11"/>
  <c r="H76" i="11"/>
  <c r="M76" i="11" s="1"/>
  <c r="R76" i="11" s="1"/>
  <c r="H77" i="11"/>
  <c r="M77" i="11" s="1"/>
  <c r="R77" i="11" s="1"/>
  <c r="AK80" i="11"/>
  <c r="AP80" i="11" s="1"/>
  <c r="N82" i="11"/>
  <c r="T82" i="11" s="1"/>
  <c r="Y82" i="11" s="1"/>
  <c r="N95" i="11"/>
  <c r="AB108" i="11"/>
  <c r="AM106" i="11"/>
  <c r="Q25" i="11"/>
  <c r="AF27" i="11"/>
  <c r="AP27" i="11" s="1"/>
  <c r="N29" i="11"/>
  <c r="T29" i="11" s="1"/>
  <c r="Y29" i="11" s="1"/>
  <c r="AF37" i="11"/>
  <c r="AK37" i="11" s="1"/>
  <c r="AP37" i="11" s="1"/>
  <c r="AD39" i="11"/>
  <c r="N43" i="11"/>
  <c r="T43" i="11" s="1"/>
  <c r="Y43" i="11" s="1"/>
  <c r="H45" i="11"/>
  <c r="M45" i="11" s="1"/>
  <c r="R45" i="11" s="1"/>
  <c r="L47" i="11"/>
  <c r="Q47" i="11" s="1"/>
  <c r="AB52" i="11"/>
  <c r="AE52" i="11" s="1"/>
  <c r="AF57" i="11"/>
  <c r="AD65" i="11"/>
  <c r="L71" i="11"/>
  <c r="AB72" i="11"/>
  <c r="AE72" i="11" s="1"/>
  <c r="AI72" i="11" s="1"/>
  <c r="L76" i="11"/>
  <c r="Q76" i="11" s="1"/>
  <c r="L77" i="11"/>
  <c r="Q77" i="11" s="1"/>
  <c r="L78" i="11"/>
  <c r="Q78" i="11" s="1"/>
  <c r="N79" i="11"/>
  <c r="T79" i="11" s="1"/>
  <c r="Y79" i="11" s="1"/>
  <c r="H81" i="11"/>
  <c r="M81" i="11" s="1"/>
  <c r="AI81" i="11" s="1"/>
  <c r="AB82" i="11"/>
  <c r="AE82" i="11" s="1"/>
  <c r="L84" i="11"/>
  <c r="Q84" i="11" s="1"/>
  <c r="H86" i="11"/>
  <c r="M86" i="11" s="1"/>
  <c r="AI86" i="11" s="1"/>
  <c r="H88" i="11"/>
  <c r="M88" i="11" s="1"/>
  <c r="W88" i="11" s="1"/>
  <c r="AD93" i="11"/>
  <c r="AH93" i="11" s="1"/>
  <c r="AM93" i="11" s="1"/>
  <c r="V36" i="11"/>
  <c r="N62" i="11"/>
  <c r="T62" i="11" s="1"/>
  <c r="Y62" i="11" s="1"/>
  <c r="N70" i="11"/>
  <c r="N78" i="11"/>
  <c r="N84" i="11"/>
  <c r="AA105" i="11"/>
  <c r="AD43" i="11"/>
  <c r="AG43" i="11" s="1"/>
  <c r="N47" i="11"/>
  <c r="T47" i="11" s="1"/>
  <c r="Y47" i="11" s="1"/>
  <c r="L59" i="11"/>
  <c r="V59" i="11" s="1"/>
  <c r="H68" i="11"/>
  <c r="M68" i="11" s="1"/>
  <c r="R68" i="11" s="1"/>
  <c r="N88" i="11"/>
  <c r="O88" i="11" s="1"/>
  <c r="AB89" i="11"/>
  <c r="AE89" i="11" s="1"/>
  <c r="H96" i="11"/>
  <c r="M96" i="11" s="1"/>
  <c r="R96" i="11" s="1"/>
  <c r="H40" i="11"/>
  <c r="M40" i="11" s="1"/>
  <c r="AI40" i="11" s="1"/>
  <c r="AD41" i="11"/>
  <c r="AF50" i="11"/>
  <c r="AD54" i="11"/>
  <c r="W58" i="11"/>
  <c r="AD62" i="11"/>
  <c r="H64" i="11"/>
  <c r="M64" i="11" s="1"/>
  <c r="R64" i="11" s="1"/>
  <c r="S64" i="11" s="1"/>
  <c r="N68" i="11"/>
  <c r="AK90" i="11"/>
  <c r="AC25" i="18"/>
  <c r="AE26" i="18"/>
  <c r="AE25" i="18" s="1"/>
  <c r="AH25" i="18"/>
  <c r="AI7" i="10"/>
  <c r="E7" i="10"/>
  <c r="N7" i="10"/>
  <c r="U7" i="10"/>
  <c r="AG7" i="10"/>
  <c r="AK7" i="10"/>
  <c r="AC7" i="10"/>
  <c r="AE7" i="10"/>
  <c r="AF7" i="10"/>
  <c r="I7" i="10"/>
  <c r="K7" i="10"/>
  <c r="X7" i="10"/>
  <c r="AK23" i="11"/>
  <c r="AP23" i="11"/>
  <c r="T38" i="11"/>
  <c r="Y38" i="11" s="1"/>
  <c r="Q96" i="11"/>
  <c r="V96" i="11"/>
  <c r="R31" i="11"/>
  <c r="S31" i="11" s="1"/>
  <c r="R29" i="11"/>
  <c r="S29" i="11" s="1"/>
  <c r="U29" i="11" s="1"/>
  <c r="AI29" i="11"/>
  <c r="AP24" i="11"/>
  <c r="V48" i="11"/>
  <c r="Q48" i="11"/>
  <c r="T26" i="11"/>
  <c r="Y26" i="11" s="1"/>
  <c r="AK26" i="11"/>
  <c r="Q40" i="11"/>
  <c r="V40" i="11"/>
  <c r="R27" i="11"/>
  <c r="AI27" i="11"/>
  <c r="AJ27" i="11" s="1"/>
  <c r="Y23" i="11"/>
  <c r="W29" i="11"/>
  <c r="AI33" i="11"/>
  <c r="L39" i="11"/>
  <c r="AD33" i="11"/>
  <c r="AH33" i="11" s="1"/>
  <c r="AM33" i="11" s="1"/>
  <c r="N40" i="11"/>
  <c r="AD42" i="11"/>
  <c r="AH42" i="11" s="1"/>
  <c r="AM42" i="11" s="1"/>
  <c r="H50" i="11"/>
  <c r="M50" i="11" s="1"/>
  <c r="N50" i="11"/>
  <c r="L50" i="11"/>
  <c r="R73" i="11"/>
  <c r="T99" i="11"/>
  <c r="Y99" i="11" s="1"/>
  <c r="H37" i="11"/>
  <c r="M37" i="11" s="1"/>
  <c r="V23" i="11"/>
  <c r="AH23" i="11"/>
  <c r="Q27" i="11"/>
  <c r="O27" i="11"/>
  <c r="V29" i="11"/>
  <c r="T45" i="11"/>
  <c r="Y45" i="11" s="1"/>
  <c r="V46" i="11"/>
  <c r="Q46" i="11"/>
  <c r="V92" i="11"/>
  <c r="Q92" i="11"/>
  <c r="R97" i="11"/>
  <c r="AI97" i="11"/>
  <c r="H38" i="11"/>
  <c r="M38" i="11" s="1"/>
  <c r="AD45" i="11"/>
  <c r="N34" i="11"/>
  <c r="H34" i="11"/>
  <c r="M34" i="11" s="1"/>
  <c r="V86" i="11"/>
  <c r="Q86" i="11"/>
  <c r="T96" i="11"/>
  <c r="Y96" i="11" s="1"/>
  <c r="O29" i="11"/>
  <c r="Q23" i="11"/>
  <c r="AB23" i="11"/>
  <c r="AF47" i="11"/>
  <c r="AH60" i="11"/>
  <c r="AM60" i="11" s="1"/>
  <c r="T67" i="11"/>
  <c r="Y67" i="11" s="1"/>
  <c r="AH25" i="11"/>
  <c r="O32" i="11"/>
  <c r="AF32" i="11"/>
  <c r="AK32" i="11" s="1"/>
  <c r="AP32" i="11" s="1"/>
  <c r="AK36" i="11"/>
  <c r="AP36" i="11" s="1"/>
  <c r="AH37" i="11"/>
  <c r="AM37" i="11" s="1"/>
  <c r="V38" i="11"/>
  <c r="AF44" i="11"/>
  <c r="AD44" i="11"/>
  <c r="N61" i="11"/>
  <c r="H48" i="11"/>
  <c r="M48" i="11" s="1"/>
  <c r="N48" i="11"/>
  <c r="AK51" i="11"/>
  <c r="AP51" i="11" s="1"/>
  <c r="T51" i="11"/>
  <c r="Y51" i="11" s="1"/>
  <c r="AB24" i="11"/>
  <c r="AE24" i="11" s="1"/>
  <c r="AN24" i="11" s="1"/>
  <c r="AO24" i="11" s="1"/>
  <c r="H26" i="11"/>
  <c r="M26" i="11" s="1"/>
  <c r="H54" i="11"/>
  <c r="M54" i="11" s="1"/>
  <c r="N54" i="11"/>
  <c r="L54" i="11"/>
  <c r="L62" i="11"/>
  <c r="V30" i="11"/>
  <c r="AD30" i="11"/>
  <c r="AG30" i="11" s="1"/>
  <c r="R33" i="11"/>
  <c r="S33" i="11" s="1"/>
  <c r="H36" i="11"/>
  <c r="M36" i="11" s="1"/>
  <c r="O36" i="11" s="1"/>
  <c r="AD49" i="11"/>
  <c r="AD51" i="11"/>
  <c r="AB53" i="11"/>
  <c r="AE53" i="11" s="1"/>
  <c r="AF45" i="11"/>
  <c r="AK45" i="11" s="1"/>
  <c r="AP45" i="11" s="1"/>
  <c r="R60" i="11"/>
  <c r="AI32" i="11"/>
  <c r="V64" i="11"/>
  <c r="Q26" i="11"/>
  <c r="AK28" i="11"/>
  <c r="AD96" i="11"/>
  <c r="AH96" i="11" s="1"/>
  <c r="AM96" i="11" s="1"/>
  <c r="AF96" i="11"/>
  <c r="AK96" i="11" s="1"/>
  <c r="AP96" i="11" s="1"/>
  <c r="W31" i="11"/>
  <c r="T37" i="11"/>
  <c r="Y37" i="11" s="1"/>
  <c r="AF79" i="11"/>
  <c r="AD79" i="11"/>
  <c r="AH79" i="11" s="1"/>
  <c r="AM79" i="11" s="1"/>
  <c r="AB79" i="11"/>
  <c r="AE79" i="11" s="1"/>
  <c r="AG86" i="11"/>
  <c r="AF40" i="11"/>
  <c r="AD40" i="11"/>
  <c r="AH40" i="11" s="1"/>
  <c r="AM40" i="11" s="1"/>
  <c r="T53" i="11"/>
  <c r="Y53" i="11" s="1"/>
  <c r="N65" i="11"/>
  <c r="L65" i="11"/>
  <c r="Q24" i="11"/>
  <c r="AD31" i="11"/>
  <c r="L61" i="11"/>
  <c r="V28" i="11"/>
  <c r="V24" i="11"/>
  <c r="AF29" i="11"/>
  <c r="AK29" i="11" s="1"/>
  <c r="AP29" i="11" s="1"/>
  <c r="AD29" i="11"/>
  <c r="AK30" i="11"/>
  <c r="AP30" i="11" s="1"/>
  <c r="H35" i="11"/>
  <c r="M35" i="11" s="1"/>
  <c r="Q42" i="11"/>
  <c r="L44" i="11"/>
  <c r="H46" i="11"/>
  <c r="M46" i="11" s="1"/>
  <c r="N46" i="11"/>
  <c r="L51" i="11"/>
  <c r="AD53" i="11"/>
  <c r="N57" i="11"/>
  <c r="L57" i="11"/>
  <c r="AB63" i="11"/>
  <c r="AE63" i="11" s="1"/>
  <c r="AB64" i="11"/>
  <c r="AE64" i="11" s="1"/>
  <c r="AF64" i="11"/>
  <c r="AD64" i="11"/>
  <c r="AH64" i="11" s="1"/>
  <c r="AM64" i="11" s="1"/>
  <c r="AF71" i="11"/>
  <c r="AK71" i="11" s="1"/>
  <c r="AP71" i="11" s="1"/>
  <c r="AD71" i="11"/>
  <c r="AD80" i="11"/>
  <c r="AF81" i="11"/>
  <c r="AK81" i="11" s="1"/>
  <c r="AP81" i="11" s="1"/>
  <c r="AD81" i="11"/>
  <c r="AH81" i="11" s="1"/>
  <c r="AM81" i="11" s="1"/>
  <c r="H92" i="11"/>
  <c r="M92" i="11" s="1"/>
  <c r="N92" i="11"/>
  <c r="AI75" i="11"/>
  <c r="R75" i="11"/>
  <c r="AF85" i="11"/>
  <c r="AB85" i="11"/>
  <c r="AE85" i="11" s="1"/>
  <c r="AI93" i="11"/>
  <c r="AD28" i="11"/>
  <c r="AB37" i="11"/>
  <c r="AE37" i="11" s="1"/>
  <c r="H42" i="11"/>
  <c r="M42" i="11" s="1"/>
  <c r="L43" i="11"/>
  <c r="AD46" i="11"/>
  <c r="AH46" i="11" s="1"/>
  <c r="AM46" i="11" s="1"/>
  <c r="AB50" i="11"/>
  <c r="AE50" i="11" s="1"/>
  <c r="L52" i="11"/>
  <c r="AD74" i="11"/>
  <c r="AH74" i="11" s="1"/>
  <c r="AM74" i="11" s="1"/>
  <c r="AB84" i="11"/>
  <c r="AE84" i="11" s="1"/>
  <c r="H95" i="11"/>
  <c r="V31" i="11"/>
  <c r="Q60" i="11"/>
  <c r="W60" i="11" s="1"/>
  <c r="V60" i="11"/>
  <c r="N66" i="11"/>
  <c r="H66" i="11"/>
  <c r="M66" i="11" s="1"/>
  <c r="AI74" i="11"/>
  <c r="R74" i="11"/>
  <c r="AD95" i="11"/>
  <c r="AF95" i="11"/>
  <c r="AE95" i="11"/>
  <c r="L45" i="11"/>
  <c r="N52" i="11"/>
  <c r="L55" i="11"/>
  <c r="N56" i="11"/>
  <c r="L56" i="11"/>
  <c r="AB62" i="11"/>
  <c r="AE62" i="11" s="1"/>
  <c r="L66" i="11"/>
  <c r="AD84" i="11"/>
  <c r="R91" i="11"/>
  <c r="T93" i="11"/>
  <c r="Y93" i="11" s="1"/>
  <c r="L95" i="11"/>
  <c r="V80" i="11"/>
  <c r="Q80" i="11"/>
  <c r="T98" i="11"/>
  <c r="Y98" i="11" s="1"/>
  <c r="AK98" i="11"/>
  <c r="AP98" i="11" s="1"/>
  <c r="AE96" i="11"/>
  <c r="H98" i="11"/>
  <c r="M98" i="11" s="1"/>
  <c r="L68" i="11"/>
  <c r="AD68" i="11"/>
  <c r="AG68" i="11" s="1"/>
  <c r="AF73" i="11"/>
  <c r="AB73" i="11"/>
  <c r="AE73" i="11" s="1"/>
  <c r="AD82" i="11"/>
  <c r="AB83" i="11"/>
  <c r="AE83" i="11" s="1"/>
  <c r="Q93" i="11"/>
  <c r="W93" i="11" s="1"/>
  <c r="X93" i="11" s="1"/>
  <c r="AF67" i="11"/>
  <c r="AK67" i="11" s="1"/>
  <c r="AP67" i="11" s="1"/>
  <c r="AD67" i="11"/>
  <c r="T74" i="11"/>
  <c r="Y74" i="11" s="1"/>
  <c r="AK74" i="11"/>
  <c r="AP74" i="11" s="1"/>
  <c r="V81" i="11"/>
  <c r="Q81" i="11"/>
  <c r="AF99" i="11"/>
  <c r="L99" i="11"/>
  <c r="AB56" i="11"/>
  <c r="AE56" i="11" s="1"/>
  <c r="V79" i="11"/>
  <c r="AD61" i="11"/>
  <c r="AG61" i="11" s="1"/>
  <c r="L70" i="11"/>
  <c r="AD72" i="11"/>
  <c r="AD78" i="11"/>
  <c r="V89" i="11"/>
  <c r="AD89" i="11"/>
  <c r="AH89" i="11" s="1"/>
  <c r="AM89" i="11" s="1"/>
  <c r="H94" i="11"/>
  <c r="M94" i="11" s="1"/>
  <c r="AD75" i="11"/>
  <c r="AG75" i="11" s="1"/>
  <c r="AD76" i="11"/>
  <c r="AG76" i="11" s="1"/>
  <c r="V77" i="11"/>
  <c r="AD77" i="11"/>
  <c r="AH77" i="11" s="1"/>
  <c r="AM77" i="11" s="1"/>
  <c r="V88" i="11"/>
  <c r="AD88" i="11"/>
  <c r="AH88" i="11" s="1"/>
  <c r="AM88" i="11" s="1"/>
  <c r="L94" i="11"/>
  <c r="AF94" i="11"/>
  <c r="AF97" i="11"/>
  <c r="AD97" i="11"/>
  <c r="AD87" i="11"/>
  <c r="L97" i="11"/>
  <c r="AD98" i="11"/>
  <c r="AH4" i="10"/>
  <c r="P4" i="10"/>
  <c r="AH5" i="10"/>
  <c r="P5" i="10"/>
  <c r="AH6" i="10"/>
  <c r="P6" i="10"/>
  <c r="Z7" i="10"/>
  <c r="I22" i="2"/>
  <c r="F19" i="9"/>
  <c r="T5" i="36" s="1"/>
  <c r="H19" i="9"/>
  <c r="I19" i="9"/>
  <c r="D19" i="9"/>
  <c r="AM24" i="8"/>
  <c r="AL24" i="8"/>
  <c r="AK24" i="8"/>
  <c r="AK23" i="8"/>
  <c r="AM22" i="8"/>
  <c r="AK22" i="8"/>
  <c r="AE22" i="8"/>
  <c r="U22" i="8"/>
  <c r="AL22" i="8" s="1"/>
  <c r="Y21" i="8"/>
  <c r="V21" i="8"/>
  <c r="T21" i="8"/>
  <c r="R21" i="8"/>
  <c r="Q21" i="8"/>
  <c r="O21" i="8"/>
  <c r="M21" i="8"/>
  <c r="L21" i="8"/>
  <c r="J21" i="8"/>
  <c r="H21" i="8"/>
  <c r="G21" i="8"/>
  <c r="D21" i="8"/>
  <c r="C21" i="8"/>
  <c r="AI20" i="8"/>
  <c r="AG20" i="8"/>
  <c r="AF20" i="8"/>
  <c r="AC20" i="8"/>
  <c r="AE20" i="8" s="1"/>
  <c r="X20" i="8"/>
  <c r="Z20" i="8" s="1"/>
  <c r="S20" i="8"/>
  <c r="U20" i="8" s="1"/>
  <c r="N20" i="8"/>
  <c r="I20" i="8"/>
  <c r="K20" i="8" s="1"/>
  <c r="AK20" i="8" s="1"/>
  <c r="E20" i="8"/>
  <c r="AK19" i="8"/>
  <c r="AI19" i="8"/>
  <c r="AG19" i="8"/>
  <c r="AF19" i="8"/>
  <c r="X19" i="8"/>
  <c r="S19" i="8"/>
  <c r="U19" i="8" s="1"/>
  <c r="AL19" i="8" s="1"/>
  <c r="E19" i="8"/>
  <c r="AI18" i="8"/>
  <c r="AG18" i="8"/>
  <c r="AF18" i="8"/>
  <c r="AC18" i="8"/>
  <c r="AE18" i="8" s="1"/>
  <c r="X18" i="8"/>
  <c r="S18" i="8"/>
  <c r="U18" i="8" s="1"/>
  <c r="P18" i="8"/>
  <c r="I18" i="8"/>
  <c r="K18" i="8" s="1"/>
  <c r="AK18" i="8" s="1"/>
  <c r="E18" i="8"/>
  <c r="AI17" i="8"/>
  <c r="AG17" i="8"/>
  <c r="AF17" i="8"/>
  <c r="AC17" i="8"/>
  <c r="AE17" i="8" s="1"/>
  <c r="X17" i="8"/>
  <c r="Z17" i="8" s="1"/>
  <c r="S17" i="8"/>
  <c r="U17" i="8" s="1"/>
  <c r="N17" i="8"/>
  <c r="I17" i="8"/>
  <c r="K17" i="8" s="1"/>
  <c r="AK17" i="8" s="1"/>
  <c r="E17" i="8"/>
  <c r="AI14" i="8"/>
  <c r="AG14" i="8"/>
  <c r="AF14" i="8"/>
  <c r="AC14" i="8"/>
  <c r="AE14" i="8" s="1"/>
  <c r="X14" i="8"/>
  <c r="Z14" i="8" s="1"/>
  <c r="S14" i="8"/>
  <c r="U14" i="8" s="1"/>
  <c r="N14" i="8"/>
  <c r="I14" i="8"/>
  <c r="K14" i="8" s="1"/>
  <c r="AK14" i="8" s="1"/>
  <c r="E14" i="8"/>
  <c r="AI13" i="8"/>
  <c r="AG13" i="8"/>
  <c r="AF13" i="8"/>
  <c r="AC13" i="8"/>
  <c r="AE13" i="8" s="1"/>
  <c r="X13" i="8"/>
  <c r="Z13" i="8" s="1"/>
  <c r="S13" i="8"/>
  <c r="U13" i="8" s="1"/>
  <c r="N13" i="8"/>
  <c r="I13" i="8"/>
  <c r="K13" i="8" s="1"/>
  <c r="AK13" i="8" s="1"/>
  <c r="AI12" i="8"/>
  <c r="AG12" i="8"/>
  <c r="AF12" i="8"/>
  <c r="AC12" i="8"/>
  <c r="AE12" i="8" s="1"/>
  <c r="X12" i="8"/>
  <c r="Z12" i="8" s="1"/>
  <c r="S12" i="8"/>
  <c r="U12" i="8" s="1"/>
  <c r="N12" i="8"/>
  <c r="I12" i="8"/>
  <c r="K12" i="8" s="1"/>
  <c r="AK12" i="8" s="1"/>
  <c r="E12" i="8"/>
  <c r="AK11" i="8"/>
  <c r="AI11" i="8"/>
  <c r="AG11" i="8"/>
  <c r="AF11" i="8"/>
  <c r="AC11" i="8"/>
  <c r="AE11" i="8" s="1"/>
  <c r="X11" i="8"/>
  <c r="S11" i="8"/>
  <c r="U11" i="8" s="1"/>
  <c r="AL11" i="8" s="1"/>
  <c r="E11" i="8"/>
  <c r="AI10" i="8"/>
  <c r="AG10" i="8"/>
  <c r="AF10" i="8"/>
  <c r="AC10" i="8"/>
  <c r="AE10" i="8" s="1"/>
  <c r="X10" i="8"/>
  <c r="Z10" i="8" s="1"/>
  <c r="S10" i="8"/>
  <c r="U10" i="8" s="1"/>
  <c r="N10" i="8"/>
  <c r="I10" i="8"/>
  <c r="K10" i="8" s="1"/>
  <c r="AK10" i="8" s="1"/>
  <c r="E10" i="8"/>
  <c r="AI9" i="8"/>
  <c r="AF9" i="8"/>
  <c r="AC9" i="8"/>
  <c r="AE9" i="8" s="1"/>
  <c r="S9" i="8"/>
  <c r="U9" i="8" s="1"/>
  <c r="W9" i="8" s="1"/>
  <c r="P9" i="8"/>
  <c r="K9" i="8"/>
  <c r="AK9" i="8" s="1"/>
  <c r="E9" i="8"/>
  <c r="AI8" i="8"/>
  <c r="AG8" i="8"/>
  <c r="AF8" i="8"/>
  <c r="AC8" i="8"/>
  <c r="AE8" i="8" s="1"/>
  <c r="X8" i="8"/>
  <c r="Z8" i="8" s="1"/>
  <c r="S8" i="8"/>
  <c r="U8" i="8" s="1"/>
  <c r="N8" i="8"/>
  <c r="I8" i="8"/>
  <c r="K8" i="8" s="1"/>
  <c r="AK8" i="8" s="1"/>
  <c r="E8" i="8"/>
  <c r="AI7" i="8"/>
  <c r="AG7" i="8"/>
  <c r="AF7" i="8"/>
  <c r="AC7" i="8"/>
  <c r="AE7" i="8" s="1"/>
  <c r="X7" i="8"/>
  <c r="Z7" i="8" s="1"/>
  <c r="S7" i="8"/>
  <c r="U7" i="8" s="1"/>
  <c r="N7" i="8"/>
  <c r="I7" i="8"/>
  <c r="K7" i="8" s="1"/>
  <c r="AK7" i="8" s="1"/>
  <c r="E7" i="8"/>
  <c r="AI6" i="8"/>
  <c r="AG6" i="8"/>
  <c r="AF6" i="8"/>
  <c r="AC6" i="8"/>
  <c r="AE6" i="8" s="1"/>
  <c r="X6" i="8"/>
  <c r="Z6" i="8" s="1"/>
  <c r="S6" i="8"/>
  <c r="U6" i="8" s="1"/>
  <c r="N6" i="8"/>
  <c r="I6" i="8"/>
  <c r="K6" i="8" s="1"/>
  <c r="AK6" i="8" s="1"/>
  <c r="E6" i="8"/>
  <c r="AI5" i="8"/>
  <c r="AG5" i="8"/>
  <c r="AF5" i="8"/>
  <c r="S5" i="8"/>
  <c r="U5" i="8" s="1"/>
  <c r="N5" i="8"/>
  <c r="I5" i="8"/>
  <c r="K5" i="8" s="1"/>
  <c r="AK5" i="8" s="1"/>
  <c r="E5" i="8"/>
  <c r="AI4" i="8"/>
  <c r="AI21" i="8" s="1"/>
  <c r="AG4" i="8"/>
  <c r="AF4" i="8"/>
  <c r="AF21" i="8" s="1"/>
  <c r="AC4" i="8"/>
  <c r="AE4" i="8" s="1"/>
  <c r="X4" i="8"/>
  <c r="S4" i="8"/>
  <c r="N4" i="8"/>
  <c r="I4" i="8"/>
  <c r="E4" i="8"/>
  <c r="E21" i="8" s="1"/>
  <c r="AG4" i="2"/>
  <c r="AF4" i="2"/>
  <c r="N11" i="2"/>
  <c r="P11" i="2" s="1"/>
  <c r="I11" i="2"/>
  <c r="K11" i="2" s="1"/>
  <c r="N9" i="2"/>
  <c r="P9" i="2" s="1"/>
  <c r="I9" i="2"/>
  <c r="K9" i="2" s="1"/>
  <c r="AF9" i="2" s="1"/>
  <c r="N8" i="2"/>
  <c r="P8" i="2" s="1"/>
  <c r="I8" i="2"/>
  <c r="K8" i="2" s="1"/>
  <c r="AF8" i="2" s="1"/>
  <c r="N7" i="2"/>
  <c r="P7" i="2" s="1"/>
  <c r="I7" i="2"/>
  <c r="K7" i="2" s="1"/>
  <c r="AF7" i="2" s="1"/>
  <c r="E9" i="2"/>
  <c r="E8" i="2"/>
  <c r="E7" i="2"/>
  <c r="E11" i="2"/>
  <c r="AI6" i="1"/>
  <c r="AF6" i="1"/>
  <c r="AC6" i="1"/>
  <c r="AE6" i="1" s="1"/>
  <c r="S6" i="1"/>
  <c r="U6" i="1" s="1"/>
  <c r="W6" i="1" s="1"/>
  <c r="AK6" i="1"/>
  <c r="E6" i="1"/>
  <c r="S4" i="1"/>
  <c r="U4" i="1" s="1"/>
  <c r="AI4" i="1"/>
  <c r="AG4" i="1"/>
  <c r="AF4" i="1"/>
  <c r="AC4" i="1"/>
  <c r="AE4" i="1" s="1"/>
  <c r="X4" i="1"/>
  <c r="Z4" i="1" s="1"/>
  <c r="AK4" i="1"/>
  <c r="E4" i="1"/>
  <c r="AF5" i="1"/>
  <c r="AG5" i="1"/>
  <c r="AI5" i="1"/>
  <c r="AF7" i="1"/>
  <c r="AG7" i="1"/>
  <c r="AI7" i="1"/>
  <c r="AC5" i="1"/>
  <c r="AE5" i="1" s="1"/>
  <c r="AC7" i="1"/>
  <c r="AE7" i="1" s="1"/>
  <c r="AC8" i="1"/>
  <c r="AE8" i="1" s="1"/>
  <c r="AC9" i="1"/>
  <c r="AE9" i="1" s="1"/>
  <c r="AC10" i="1"/>
  <c r="X7" i="1"/>
  <c r="Z7" i="1" s="1"/>
  <c r="S7" i="1"/>
  <c r="U7" i="1" s="1"/>
  <c r="E7" i="1"/>
  <c r="X5" i="1"/>
  <c r="Z5" i="1" s="1"/>
  <c r="AM5" i="1" s="1"/>
  <c r="S5" i="1"/>
  <c r="U5" i="1" s="1"/>
  <c r="AK5" i="1"/>
  <c r="E5" i="1"/>
  <c r="N10" i="52" l="1"/>
  <c r="N13" i="52" s="1"/>
  <c r="N109" i="11"/>
  <c r="AG94" i="11"/>
  <c r="AG56" i="11"/>
  <c r="O69" i="11"/>
  <c r="W84" i="11"/>
  <c r="AI82" i="11"/>
  <c r="O60" i="11"/>
  <c r="AG99" i="11"/>
  <c r="O84" i="11"/>
  <c r="AK97" i="11"/>
  <c r="AP97" i="11" s="1"/>
  <c r="V78" i="11"/>
  <c r="R81" i="11"/>
  <c r="AI55" i="11"/>
  <c r="AH72" i="11"/>
  <c r="AM72" i="11" s="1"/>
  <c r="R67" i="11"/>
  <c r="V75" i="11"/>
  <c r="X75" i="11" s="1"/>
  <c r="Z75" i="11" s="1"/>
  <c r="O81" i="11"/>
  <c r="AH90" i="11"/>
  <c r="T72" i="11"/>
  <c r="Y72" i="11" s="1"/>
  <c r="AI76" i="11"/>
  <c r="AK64" i="11"/>
  <c r="AP64" i="11" s="1"/>
  <c r="AG41" i="11"/>
  <c r="AG42" i="11"/>
  <c r="AH83" i="11"/>
  <c r="AM83" i="11" s="1"/>
  <c r="AK60" i="11"/>
  <c r="AP60" i="11" s="1"/>
  <c r="AK73" i="11"/>
  <c r="AP73" i="11" s="1"/>
  <c r="W5" i="36"/>
  <c r="T8" i="36"/>
  <c r="T1" i="36"/>
  <c r="X26" i="34"/>
  <c r="Q17" i="34"/>
  <c r="H6" i="35"/>
  <c r="Y6" i="35"/>
  <c r="U26" i="34"/>
  <c r="U22" i="34" s="1"/>
  <c r="S22" i="34"/>
  <c r="S17" i="34" s="1"/>
  <c r="AO26" i="34"/>
  <c r="AN22" i="34"/>
  <c r="T17" i="34"/>
  <c r="L6" i="35"/>
  <c r="AL26" i="34"/>
  <c r="AL22" i="34" s="1"/>
  <c r="AL17" i="34" s="1"/>
  <c r="Y17" i="34"/>
  <c r="R6" i="35"/>
  <c r="AP6" i="35" s="1"/>
  <c r="AT1" i="17"/>
  <c r="AT20" i="17"/>
  <c r="AT23" i="17" s="1"/>
  <c r="AQ1" i="17"/>
  <c r="AQ20" i="17"/>
  <c r="AQ23" i="17" s="1"/>
  <c r="AK89" i="11"/>
  <c r="AP89" i="11" s="1"/>
  <c r="U89" i="11"/>
  <c r="AG34" i="11"/>
  <c r="U32" i="11"/>
  <c r="AG52" i="11"/>
  <c r="AK39" i="11"/>
  <c r="AP39" i="11" s="1"/>
  <c r="X58" i="11"/>
  <c r="Z58" i="11" s="1"/>
  <c r="Z32" i="11"/>
  <c r="Z73" i="11"/>
  <c r="O74" i="11"/>
  <c r="AG63" i="11"/>
  <c r="AI99" i="11"/>
  <c r="V74" i="11"/>
  <c r="X74" i="11" s="1"/>
  <c r="Z74" i="11" s="1"/>
  <c r="AI70" i="11"/>
  <c r="AN70" i="11" s="1"/>
  <c r="T76" i="11"/>
  <c r="Y76" i="11" s="1"/>
  <c r="AG83" i="11"/>
  <c r="O28" i="11"/>
  <c r="AD108" i="11"/>
  <c r="R88" i="11"/>
  <c r="S88" i="11" s="1"/>
  <c r="Q82" i="11"/>
  <c r="W82" i="11" s="1"/>
  <c r="X82" i="11" s="1"/>
  <c r="Z82" i="11" s="1"/>
  <c r="AI30" i="11"/>
  <c r="AN30" i="11" s="1"/>
  <c r="AI90" i="11"/>
  <c r="AN90" i="11" s="1"/>
  <c r="AK69" i="11"/>
  <c r="AP69" i="11" s="1"/>
  <c r="Z91" i="11"/>
  <c r="AI41" i="11"/>
  <c r="AN41" i="11" s="1"/>
  <c r="AI43" i="11"/>
  <c r="R80" i="11"/>
  <c r="AQ27" i="11"/>
  <c r="AK87" i="11"/>
  <c r="AP87" i="11" s="1"/>
  <c r="W49" i="11"/>
  <c r="Q72" i="11"/>
  <c r="W72" i="11" s="1"/>
  <c r="X72" i="11" s="1"/>
  <c r="Z72" i="11" s="1"/>
  <c r="AI51" i="11"/>
  <c r="AN51" i="11" s="1"/>
  <c r="AI65" i="11"/>
  <c r="AN65" i="11" s="1"/>
  <c r="AG31" i="11"/>
  <c r="AG66" i="11"/>
  <c r="AG87" i="11"/>
  <c r="AG85" i="11"/>
  <c r="AG71" i="11"/>
  <c r="AG57" i="11"/>
  <c r="AG38" i="11"/>
  <c r="V90" i="11"/>
  <c r="AP106" i="11"/>
  <c r="AG62" i="11"/>
  <c r="AI88" i="11"/>
  <c r="AN88" i="11" s="1"/>
  <c r="AO88" i="11" s="1"/>
  <c r="O89" i="11"/>
  <c r="Q59" i="11"/>
  <c r="W59" i="11" s="1"/>
  <c r="X59" i="11" s="1"/>
  <c r="Z59" i="11" s="1"/>
  <c r="R44" i="11"/>
  <c r="AG54" i="11"/>
  <c r="W41" i="11"/>
  <c r="AG91" i="11"/>
  <c r="O51" i="11"/>
  <c r="AI89" i="11"/>
  <c r="AN89" i="11" s="1"/>
  <c r="AO89" i="11" s="1"/>
  <c r="AH92" i="11"/>
  <c r="AM92" i="11" s="1"/>
  <c r="S47" i="11"/>
  <c r="U47" i="11" s="1"/>
  <c r="AH53" i="11"/>
  <c r="AM53" i="11" s="1"/>
  <c r="AI78" i="11"/>
  <c r="AN78" i="11" s="1"/>
  <c r="S87" i="11"/>
  <c r="U87" i="11" s="1"/>
  <c r="O90" i="11"/>
  <c r="AH67" i="11"/>
  <c r="AM67" i="11" s="1"/>
  <c r="AG50" i="11"/>
  <c r="W89" i="11"/>
  <c r="X89" i="11" s="1"/>
  <c r="Z89" i="11" s="1"/>
  <c r="O49" i="11"/>
  <c r="AK27" i="11"/>
  <c r="AL27" i="11" s="1"/>
  <c r="W69" i="11"/>
  <c r="X69" i="11" s="1"/>
  <c r="Z69" i="11" s="1"/>
  <c r="O91" i="11"/>
  <c r="AK91" i="11"/>
  <c r="AP91" i="11" s="1"/>
  <c r="AK85" i="11"/>
  <c r="AP85" i="11" s="1"/>
  <c r="V49" i="11"/>
  <c r="N108" i="11"/>
  <c r="O71" i="11"/>
  <c r="L108" i="11"/>
  <c r="AH82" i="11"/>
  <c r="AM82" i="11" s="1"/>
  <c r="O55" i="11"/>
  <c r="R71" i="11"/>
  <c r="W47" i="11"/>
  <c r="AG51" i="11"/>
  <c r="AK55" i="11"/>
  <c r="AP55" i="11" s="1"/>
  <c r="AK82" i="11"/>
  <c r="AP82" i="11" s="1"/>
  <c r="S77" i="11"/>
  <c r="U77" i="11" s="1"/>
  <c r="W80" i="11"/>
  <c r="X80" i="11" s="1"/>
  <c r="Z80" i="11" s="1"/>
  <c r="AG49" i="11"/>
  <c r="AG47" i="11"/>
  <c r="AG60" i="11"/>
  <c r="O78" i="11"/>
  <c r="AG70" i="11"/>
  <c r="AG90" i="11"/>
  <c r="T63" i="11"/>
  <c r="Y63" i="11" s="1"/>
  <c r="O53" i="11"/>
  <c r="Q67" i="11"/>
  <c r="W67" i="11" s="1"/>
  <c r="X67" i="11" s="1"/>
  <c r="Z67" i="11" s="1"/>
  <c r="AH38" i="11"/>
  <c r="AM38" i="11" s="1"/>
  <c r="N106" i="11"/>
  <c r="AK75" i="11"/>
  <c r="AP75" i="11" s="1"/>
  <c r="O30" i="11"/>
  <c r="AI47" i="11"/>
  <c r="AN47" i="11" s="1"/>
  <c r="O72" i="11"/>
  <c r="AI57" i="11"/>
  <c r="AN57" i="11" s="1"/>
  <c r="AH48" i="11"/>
  <c r="AM48" i="11" s="1"/>
  <c r="AH63" i="11"/>
  <c r="AM63" i="11" s="1"/>
  <c r="AK42" i="11"/>
  <c r="AP42" i="11" s="1"/>
  <c r="AK44" i="11"/>
  <c r="AP44" i="11" s="1"/>
  <c r="Q90" i="11"/>
  <c r="W90" i="11" s="1"/>
  <c r="AH58" i="11"/>
  <c r="AM58" i="11" s="1"/>
  <c r="AO58" i="11" s="1"/>
  <c r="Q98" i="11"/>
  <c r="W98" i="11" s="1"/>
  <c r="V98" i="11"/>
  <c r="S96" i="11"/>
  <c r="U96" i="11" s="1"/>
  <c r="V84" i="11"/>
  <c r="X84" i="11" s="1"/>
  <c r="R40" i="11"/>
  <c r="S40" i="11" s="1"/>
  <c r="O62" i="11"/>
  <c r="S76" i="11"/>
  <c r="U76" i="11" s="1"/>
  <c r="W28" i="11"/>
  <c r="X28" i="11" s="1"/>
  <c r="AH75" i="11"/>
  <c r="AM75" i="11" s="1"/>
  <c r="AH98" i="11"/>
  <c r="AM98" i="11" s="1"/>
  <c r="X88" i="11"/>
  <c r="AH71" i="11"/>
  <c r="AM71" i="11" s="1"/>
  <c r="W79" i="11"/>
  <c r="X79" i="11" s="1"/>
  <c r="Z79" i="11" s="1"/>
  <c r="AH84" i="11"/>
  <c r="AM84" i="11" s="1"/>
  <c r="W78" i="11"/>
  <c r="AG78" i="11"/>
  <c r="AD22" i="11"/>
  <c r="AD17" i="11" s="1"/>
  <c r="M107" i="11"/>
  <c r="AK59" i="11"/>
  <c r="AP59" i="11" s="1"/>
  <c r="AG79" i="11"/>
  <c r="AK31" i="11"/>
  <c r="AP31" i="11" s="1"/>
  <c r="W40" i="11"/>
  <c r="X40" i="11" s="1"/>
  <c r="O87" i="11"/>
  <c r="W85" i="11"/>
  <c r="O64" i="11"/>
  <c r="AG69" i="11"/>
  <c r="V47" i="11"/>
  <c r="AH47" i="11"/>
  <c r="AM47" i="11" s="1"/>
  <c r="T95" i="11"/>
  <c r="Y95" i="11" s="1"/>
  <c r="Y109" i="11" s="1"/>
  <c r="AI63" i="11"/>
  <c r="AG59" i="11"/>
  <c r="V76" i="11"/>
  <c r="V63" i="11"/>
  <c r="O93" i="11"/>
  <c r="AK93" i="11"/>
  <c r="AP93" i="11" s="1"/>
  <c r="Q83" i="11"/>
  <c r="W83" i="11" s="1"/>
  <c r="O83" i="11"/>
  <c r="AG27" i="11"/>
  <c r="Q53" i="11"/>
  <c r="W53" i="11" s="1"/>
  <c r="O96" i="11"/>
  <c r="O47" i="11"/>
  <c r="AK25" i="11"/>
  <c r="O75" i="11"/>
  <c r="AH76" i="11"/>
  <c r="AM76" i="11" s="1"/>
  <c r="AG77" i="11"/>
  <c r="S91" i="11"/>
  <c r="U91" i="11" s="1"/>
  <c r="O73" i="11"/>
  <c r="V83" i="11"/>
  <c r="V53" i="11"/>
  <c r="AG44" i="11"/>
  <c r="S73" i="11"/>
  <c r="U73" i="11" s="1"/>
  <c r="T49" i="11"/>
  <c r="Y49" i="11" s="1"/>
  <c r="R61" i="11"/>
  <c r="R86" i="11"/>
  <c r="S86" i="11" s="1"/>
  <c r="U86" i="11" s="1"/>
  <c r="S75" i="11"/>
  <c r="U75" i="11" s="1"/>
  <c r="Q106" i="11"/>
  <c r="V87" i="11"/>
  <c r="X87" i="11" s="1"/>
  <c r="Z87" i="11" s="1"/>
  <c r="AI87" i="11"/>
  <c r="O67" i="11"/>
  <c r="L22" i="11"/>
  <c r="L17" i="11" s="1"/>
  <c r="AI45" i="11"/>
  <c r="AN45" i="11" s="1"/>
  <c r="AH59" i="11"/>
  <c r="AM59" i="11" s="1"/>
  <c r="O70" i="11"/>
  <c r="AG97" i="11"/>
  <c r="AG73" i="11"/>
  <c r="AI91" i="11"/>
  <c r="AN91" i="11" s="1"/>
  <c r="AO91" i="11" s="1"/>
  <c r="O31" i="11"/>
  <c r="AI73" i="11"/>
  <c r="AJ73" i="11" s="1"/>
  <c r="AL73" i="11" s="1"/>
  <c r="U31" i="11"/>
  <c r="T105" i="11"/>
  <c r="O41" i="11"/>
  <c r="O82" i="11"/>
  <c r="AE108" i="11"/>
  <c r="U69" i="11"/>
  <c r="O94" i="11"/>
  <c r="AH49" i="11"/>
  <c r="AM49" i="11" s="1"/>
  <c r="AG53" i="11"/>
  <c r="AG46" i="11"/>
  <c r="AP105" i="11"/>
  <c r="M23" i="11"/>
  <c r="H105" i="11"/>
  <c r="AF107" i="11"/>
  <c r="W96" i="11"/>
  <c r="X96" i="11" s="1"/>
  <c r="Z96" i="11" s="1"/>
  <c r="AF22" i="11"/>
  <c r="AF17" i="11" s="1"/>
  <c r="U79" i="11"/>
  <c r="O79" i="11"/>
  <c r="AI53" i="11"/>
  <c r="AK24" i="11"/>
  <c r="AK105" i="11" s="1"/>
  <c r="W77" i="11"/>
  <c r="X77" i="11" s="1"/>
  <c r="Z77" i="11" s="1"/>
  <c r="AI59" i="11"/>
  <c r="AM105" i="11"/>
  <c r="AE25" i="11"/>
  <c r="AB106" i="11"/>
  <c r="S78" i="11"/>
  <c r="X60" i="11"/>
  <c r="Z60" i="11" s="1"/>
  <c r="S80" i="11"/>
  <c r="U80" i="11" s="1"/>
  <c r="AK62" i="11"/>
  <c r="AP62" i="11" s="1"/>
  <c r="O59" i="11"/>
  <c r="AK43" i="11"/>
  <c r="AP43" i="11" s="1"/>
  <c r="AG45" i="11"/>
  <c r="AH105" i="11"/>
  <c r="N107" i="11"/>
  <c r="W76" i="11"/>
  <c r="W63" i="11"/>
  <c r="X63" i="11" s="1"/>
  <c r="AG93" i="11"/>
  <c r="AK58" i="11"/>
  <c r="AP58" i="11" s="1"/>
  <c r="M108" i="11"/>
  <c r="R90" i="11"/>
  <c r="N105" i="11"/>
  <c r="AF108" i="11"/>
  <c r="AG95" i="11"/>
  <c r="AE109" i="11"/>
  <c r="X31" i="11"/>
  <c r="Z31" i="11" s="1"/>
  <c r="AG37" i="11"/>
  <c r="O58" i="11"/>
  <c r="AH41" i="11"/>
  <c r="AM41" i="11" s="1"/>
  <c r="AK41" i="11"/>
  <c r="AP41" i="11" s="1"/>
  <c r="U33" i="11"/>
  <c r="AK33" i="11"/>
  <c r="AP33" i="11" s="1"/>
  <c r="AB105" i="11"/>
  <c r="W86" i="11"/>
  <c r="X86" i="11" s="1"/>
  <c r="Z86" i="11" s="1"/>
  <c r="AI62" i="11"/>
  <c r="AN62" i="11" s="1"/>
  <c r="V71" i="11"/>
  <c r="Q71" i="11"/>
  <c r="W71" i="11" s="1"/>
  <c r="AI52" i="11"/>
  <c r="AN52" i="11" s="1"/>
  <c r="AG65" i="11"/>
  <c r="AE28" i="11"/>
  <c r="AG28" i="11" s="1"/>
  <c r="AB107" i="11"/>
  <c r="S74" i="11"/>
  <c r="U74" i="11" s="1"/>
  <c r="W42" i="11"/>
  <c r="X42" i="11" s="1"/>
  <c r="Z42" i="11" s="1"/>
  <c r="AI77" i="11"/>
  <c r="AJ77" i="11" s="1"/>
  <c r="AL77" i="11" s="1"/>
  <c r="AH78" i="11"/>
  <c r="AM78" i="11" s="1"/>
  <c r="AK95" i="11"/>
  <c r="AF109" i="11"/>
  <c r="M95" i="11"/>
  <c r="M109" i="11" s="1"/>
  <c r="H109" i="11"/>
  <c r="AD107" i="11"/>
  <c r="S93" i="11"/>
  <c r="U93" i="11" s="1"/>
  <c r="V41" i="11"/>
  <c r="AG88" i="11"/>
  <c r="O33" i="11"/>
  <c r="S60" i="11"/>
  <c r="U60" i="11" s="1"/>
  <c r="T41" i="11"/>
  <c r="Y41" i="11" s="1"/>
  <c r="AH31" i="11"/>
  <c r="AM31" i="11" s="1"/>
  <c r="Z33" i="11"/>
  <c r="U28" i="11"/>
  <c r="N22" i="11"/>
  <c r="N17" i="11" s="1"/>
  <c r="H107" i="11"/>
  <c r="AG89" i="11"/>
  <c r="AD109" i="11"/>
  <c r="AG80" i="11"/>
  <c r="AK79" i="11"/>
  <c r="AP79" i="11" s="1"/>
  <c r="AP28" i="11"/>
  <c r="O86" i="11"/>
  <c r="L107" i="11"/>
  <c r="T84" i="11"/>
  <c r="Y84" i="11" s="1"/>
  <c r="AK84" i="11"/>
  <c r="AP84" i="11" s="1"/>
  <c r="M25" i="11"/>
  <c r="H106" i="11"/>
  <c r="AF106" i="11"/>
  <c r="AG92" i="11"/>
  <c r="O63" i="11"/>
  <c r="V85" i="11"/>
  <c r="X85" i="11" s="1"/>
  <c r="Z85" i="11" s="1"/>
  <c r="W81" i="11"/>
  <c r="X81" i="11" s="1"/>
  <c r="Z81" i="11" s="1"/>
  <c r="AH85" i="11"/>
  <c r="AM85" i="11" s="1"/>
  <c r="R63" i="11"/>
  <c r="S63" i="11" s="1"/>
  <c r="O43" i="11"/>
  <c r="AQ24" i="11"/>
  <c r="O85" i="11"/>
  <c r="O24" i="11"/>
  <c r="AI39" i="11"/>
  <c r="AN39" i="11" s="1"/>
  <c r="T68" i="11"/>
  <c r="Y68" i="11" s="1"/>
  <c r="AK68" i="11"/>
  <c r="AP68" i="11" s="1"/>
  <c r="T78" i="11"/>
  <c r="Y78" i="11" s="1"/>
  <c r="AK78" i="11"/>
  <c r="AP78" i="11" s="1"/>
  <c r="AG39" i="11"/>
  <c r="H108" i="11"/>
  <c r="W30" i="11"/>
  <c r="X30" i="11" s="1"/>
  <c r="Z30" i="11" s="1"/>
  <c r="AP90" i="11"/>
  <c r="AM90" i="11"/>
  <c r="L109" i="11"/>
  <c r="AI68" i="11"/>
  <c r="AG29" i="11"/>
  <c r="S41" i="11"/>
  <c r="U58" i="11"/>
  <c r="T64" i="11"/>
  <c r="Y64" i="11" s="1"/>
  <c r="AH106" i="11"/>
  <c r="S85" i="11"/>
  <c r="U85" i="11" s="1"/>
  <c r="O39" i="11"/>
  <c r="T88" i="11"/>
  <c r="Y88" i="11" s="1"/>
  <c r="Z88" i="11" s="1"/>
  <c r="AK88" i="11"/>
  <c r="AP88" i="11" s="1"/>
  <c r="T70" i="11"/>
  <c r="Y70" i="11" s="1"/>
  <c r="AK70" i="11"/>
  <c r="AP70" i="11" s="1"/>
  <c r="AG35" i="11"/>
  <c r="W64" i="11"/>
  <c r="X64" i="11" s="1"/>
  <c r="O77" i="11"/>
  <c r="O76" i="11"/>
  <c r="P7" i="10"/>
  <c r="AH7" i="10"/>
  <c r="Y25" i="11"/>
  <c r="Y106" i="11" s="1"/>
  <c r="T106" i="11"/>
  <c r="Y105" i="11"/>
  <c r="Q105" i="11"/>
  <c r="V105" i="11"/>
  <c r="S24" i="11"/>
  <c r="U24" i="11" s="1"/>
  <c r="W24" i="11"/>
  <c r="X24" i="11" s="1"/>
  <c r="AJ72" i="11"/>
  <c r="AL72" i="11" s="1"/>
  <c r="AN72" i="11"/>
  <c r="O98" i="11"/>
  <c r="Z93" i="11"/>
  <c r="O46" i="11"/>
  <c r="AK46" i="11"/>
  <c r="AP46" i="11" s="1"/>
  <c r="T46" i="11"/>
  <c r="Y46" i="11" s="1"/>
  <c r="AH30" i="11"/>
  <c r="AM30" i="11" s="1"/>
  <c r="AJ93" i="11"/>
  <c r="AN93" i="11"/>
  <c r="AO93" i="11" s="1"/>
  <c r="AH45" i="11"/>
  <c r="AM45" i="11" s="1"/>
  <c r="V45" i="11"/>
  <c r="Q45" i="11"/>
  <c r="AN81" i="11"/>
  <c r="AO81" i="11" s="1"/>
  <c r="AQ81" i="11" s="1"/>
  <c r="AJ81" i="11"/>
  <c r="AL81" i="11" s="1"/>
  <c r="R66" i="11"/>
  <c r="AI66" i="11"/>
  <c r="AG84" i="11"/>
  <c r="AG67" i="11"/>
  <c r="AN60" i="11"/>
  <c r="AO60" i="11" s="1"/>
  <c r="AQ60" i="11" s="1"/>
  <c r="AJ60" i="11"/>
  <c r="AL60" i="11" s="1"/>
  <c r="AG72" i="11"/>
  <c r="R36" i="11"/>
  <c r="S36" i="11" s="1"/>
  <c r="U36" i="11" s="1"/>
  <c r="AI36" i="11"/>
  <c r="W36" i="11"/>
  <c r="X36" i="11" s="1"/>
  <c r="Z36" i="11" s="1"/>
  <c r="AJ86" i="11"/>
  <c r="AL86" i="11" s="1"/>
  <c r="AN86" i="11"/>
  <c r="AO86" i="11" s="1"/>
  <c r="AQ86" i="11" s="1"/>
  <c r="AG40" i="11"/>
  <c r="AN61" i="11"/>
  <c r="AN67" i="11"/>
  <c r="AI35" i="11"/>
  <c r="W35" i="11"/>
  <c r="X35" i="11" s="1"/>
  <c r="Z35" i="11" s="1"/>
  <c r="R35" i="11"/>
  <c r="S35" i="11" s="1"/>
  <c r="U35" i="11" s="1"/>
  <c r="AI26" i="11"/>
  <c r="R26" i="11"/>
  <c r="S26" i="11" s="1"/>
  <c r="AI34" i="11"/>
  <c r="R34" i="11"/>
  <c r="S34" i="11" s="1"/>
  <c r="AH50" i="11"/>
  <c r="AM50" i="11" s="1"/>
  <c r="V50" i="11"/>
  <c r="Q50" i="11"/>
  <c r="W50" i="11" s="1"/>
  <c r="AG24" i="11"/>
  <c r="AJ32" i="11"/>
  <c r="AL32" i="11" s="1"/>
  <c r="AN32" i="11"/>
  <c r="AO32" i="11" s="1"/>
  <c r="AQ32" i="11" s="1"/>
  <c r="AK34" i="11"/>
  <c r="AP34" i="11" s="1"/>
  <c r="O34" i="11"/>
  <c r="T34" i="11"/>
  <c r="Y34" i="11" s="1"/>
  <c r="AN44" i="11"/>
  <c r="R37" i="11"/>
  <c r="S37" i="11" s="1"/>
  <c r="U37" i="11" s="1"/>
  <c r="W37" i="11"/>
  <c r="X37" i="11" s="1"/>
  <c r="Z37" i="11" s="1"/>
  <c r="AI37" i="11"/>
  <c r="O50" i="11"/>
  <c r="AK50" i="11"/>
  <c r="AP50" i="11" s="1"/>
  <c r="T50" i="11"/>
  <c r="Y50" i="11" s="1"/>
  <c r="Q39" i="11"/>
  <c r="AH39" i="11"/>
  <c r="AM39" i="11" s="1"/>
  <c r="V39" i="11"/>
  <c r="AN29" i="11"/>
  <c r="AJ33" i="11"/>
  <c r="AN33" i="11"/>
  <c r="AO33" i="11" s="1"/>
  <c r="AN31" i="11"/>
  <c r="AN97" i="11"/>
  <c r="O66" i="11"/>
  <c r="AK66" i="11"/>
  <c r="AP66" i="11" s="1"/>
  <c r="T66" i="11"/>
  <c r="Y66" i="11" s="1"/>
  <c r="AH51" i="11"/>
  <c r="AM51" i="11" s="1"/>
  <c r="V51" i="11"/>
  <c r="Q51" i="11"/>
  <c r="W51" i="11" s="1"/>
  <c r="AH99" i="11"/>
  <c r="AM99" i="11" s="1"/>
  <c r="V99" i="11"/>
  <c r="Q99" i="11"/>
  <c r="Q66" i="11"/>
  <c r="W66" i="11" s="1"/>
  <c r="AH66" i="11"/>
  <c r="AM66" i="11" s="1"/>
  <c r="V66" i="11"/>
  <c r="AJ74" i="11"/>
  <c r="AL74" i="11" s="1"/>
  <c r="AN74" i="11"/>
  <c r="AO74" i="11" s="1"/>
  <c r="AQ74" i="11" s="1"/>
  <c r="AH28" i="11"/>
  <c r="R38" i="11"/>
  <c r="S38" i="11" s="1"/>
  <c r="U38" i="11" s="1"/>
  <c r="AI38" i="11"/>
  <c r="AN55" i="11"/>
  <c r="AH87" i="11"/>
  <c r="AM87" i="11" s="1"/>
  <c r="AN80" i="11"/>
  <c r="O26" i="11"/>
  <c r="S84" i="11"/>
  <c r="AG82" i="11"/>
  <c r="AN87" i="11"/>
  <c r="Q56" i="11"/>
  <c r="AH56" i="11"/>
  <c r="AM56" i="11" s="1"/>
  <c r="V56" i="11"/>
  <c r="AH44" i="11"/>
  <c r="AM44" i="11" s="1"/>
  <c r="V44" i="11"/>
  <c r="Q44" i="11"/>
  <c r="W44" i="11" s="1"/>
  <c r="W34" i="11"/>
  <c r="X34" i="11" s="1"/>
  <c r="W26" i="11"/>
  <c r="AI79" i="11"/>
  <c r="AN82" i="11"/>
  <c r="AI84" i="11"/>
  <c r="AK47" i="11"/>
  <c r="AP47" i="11" s="1"/>
  <c r="V62" i="11"/>
  <c r="AH62" i="11"/>
  <c r="AM62" i="11" s="1"/>
  <c r="Q62" i="11"/>
  <c r="W62" i="11" s="1"/>
  <c r="W23" i="11"/>
  <c r="AH29" i="11"/>
  <c r="AM29" i="11" s="1"/>
  <c r="O37" i="11"/>
  <c r="W38" i="11"/>
  <c r="X38" i="11" s="1"/>
  <c r="Z38" i="11" s="1"/>
  <c r="W48" i="11"/>
  <c r="X48" i="11" s="1"/>
  <c r="V68" i="11"/>
  <c r="AH68" i="11"/>
  <c r="AM68" i="11" s="1"/>
  <c r="O68" i="11"/>
  <c r="Q68" i="11"/>
  <c r="Q97" i="11"/>
  <c r="W97" i="11" s="1"/>
  <c r="V97" i="11"/>
  <c r="AH97" i="11"/>
  <c r="AM97" i="11" s="1"/>
  <c r="O61" i="11"/>
  <c r="AK61" i="11"/>
  <c r="AP61" i="11" s="1"/>
  <c r="T61" i="11"/>
  <c r="Y61" i="11" s="1"/>
  <c r="AJ69" i="11"/>
  <c r="AN69" i="11"/>
  <c r="AO69" i="11" s="1"/>
  <c r="Q95" i="11"/>
  <c r="V95" i="11"/>
  <c r="AH95" i="11"/>
  <c r="AG64" i="11"/>
  <c r="AG96" i="11"/>
  <c r="O97" i="11"/>
  <c r="O35" i="11"/>
  <c r="AE23" i="11"/>
  <c r="X29" i="11"/>
  <c r="Z29" i="11" s="1"/>
  <c r="T40" i="11"/>
  <c r="Y40" i="11" s="1"/>
  <c r="O40" i="11"/>
  <c r="AK40" i="11"/>
  <c r="AP40" i="11" s="1"/>
  <c r="AN76" i="11"/>
  <c r="O56" i="11"/>
  <c r="AK56" i="11"/>
  <c r="AP56" i="11" s="1"/>
  <c r="T56" i="11"/>
  <c r="Y56" i="11" s="1"/>
  <c r="AK92" i="11"/>
  <c r="AP92" i="11" s="1"/>
  <c r="T92" i="11"/>
  <c r="O92" i="11"/>
  <c r="O99" i="11"/>
  <c r="AI96" i="11"/>
  <c r="AH54" i="11"/>
  <c r="AM54" i="11" s="1"/>
  <c r="V54" i="11"/>
  <c r="Q54" i="11"/>
  <c r="W54" i="11" s="1"/>
  <c r="O44" i="11"/>
  <c r="AG74" i="11"/>
  <c r="AN49" i="11"/>
  <c r="AN43" i="11"/>
  <c r="AI94" i="11"/>
  <c r="R94" i="11"/>
  <c r="R50" i="11"/>
  <c r="AI50" i="11"/>
  <c r="O48" i="11"/>
  <c r="AK48" i="11"/>
  <c r="AP48" i="11" s="1"/>
  <c r="T48" i="11"/>
  <c r="Y48" i="11" s="1"/>
  <c r="AK94" i="11"/>
  <c r="AP94" i="11" s="1"/>
  <c r="AH52" i="11"/>
  <c r="V52" i="11"/>
  <c r="Q52" i="11"/>
  <c r="W52" i="11" s="1"/>
  <c r="AG32" i="11"/>
  <c r="X90" i="11"/>
  <c r="Q55" i="11"/>
  <c r="AH55" i="11"/>
  <c r="AM55" i="11" s="1"/>
  <c r="V55" i="11"/>
  <c r="AJ71" i="11"/>
  <c r="AL71" i="11" s="1"/>
  <c r="AN71" i="11"/>
  <c r="AO71" i="11" s="1"/>
  <c r="AQ71" i="11" s="1"/>
  <c r="AG98" i="11"/>
  <c r="AH43" i="11"/>
  <c r="AM43" i="11" s="1"/>
  <c r="V43" i="11"/>
  <c r="Q43" i="11"/>
  <c r="AI92" i="11"/>
  <c r="R92" i="11"/>
  <c r="S92" i="11" s="1"/>
  <c r="Q57" i="11"/>
  <c r="V57" i="11"/>
  <c r="AH57" i="11"/>
  <c r="AM57" i="11" s="1"/>
  <c r="V65" i="11"/>
  <c r="Q65" i="11"/>
  <c r="W65" i="11" s="1"/>
  <c r="AH65" i="11"/>
  <c r="AM65" i="11" s="1"/>
  <c r="T54" i="11"/>
  <c r="Y54" i="11" s="1"/>
  <c r="O54" i="11"/>
  <c r="AK54" i="11"/>
  <c r="AP54" i="11" s="1"/>
  <c r="AN99" i="11"/>
  <c r="W92" i="11"/>
  <c r="X92" i="11" s="1"/>
  <c r="W46" i="11"/>
  <c r="X46" i="11" s="1"/>
  <c r="S27" i="11"/>
  <c r="U27" i="11" s="1"/>
  <c r="W27" i="11"/>
  <c r="O38" i="11"/>
  <c r="Q94" i="11"/>
  <c r="W94" i="11" s="1"/>
  <c r="AH94" i="11"/>
  <c r="AM94" i="11" s="1"/>
  <c r="V94" i="11"/>
  <c r="AH70" i="11"/>
  <c r="V70" i="11"/>
  <c r="Q70" i="11"/>
  <c r="R98" i="11"/>
  <c r="AI98" i="11"/>
  <c r="AI83" i="11"/>
  <c r="AG81" i="11"/>
  <c r="AI64" i="11"/>
  <c r="AI56" i="11"/>
  <c r="R46" i="11"/>
  <c r="S46" i="11" s="1"/>
  <c r="AI46" i="11"/>
  <c r="S82" i="11"/>
  <c r="U82" i="11" s="1"/>
  <c r="R48" i="11"/>
  <c r="S48" i="11" s="1"/>
  <c r="AI48" i="11"/>
  <c r="AK99" i="11"/>
  <c r="AP99" i="11" s="1"/>
  <c r="AH80" i="11"/>
  <c r="AM80" i="11" s="1"/>
  <c r="O52" i="11"/>
  <c r="T52" i="11"/>
  <c r="Y52" i="11" s="1"/>
  <c r="AK52" i="11"/>
  <c r="AP52" i="11" s="1"/>
  <c r="S81" i="11"/>
  <c r="U81" i="11" s="1"/>
  <c r="AI42" i="11"/>
  <c r="O42" i="11"/>
  <c r="R42" i="11"/>
  <c r="S42" i="11" s="1"/>
  <c r="U42" i="11" s="1"/>
  <c r="AN75" i="11"/>
  <c r="O57" i="11"/>
  <c r="AK57" i="11"/>
  <c r="AP57" i="11" s="1"/>
  <c r="T57" i="11"/>
  <c r="Y57" i="11" s="1"/>
  <c r="Q61" i="11"/>
  <c r="W61" i="11" s="1"/>
  <c r="V61" i="11"/>
  <c r="AH61" i="11"/>
  <c r="AM61" i="11" s="1"/>
  <c r="O65" i="11"/>
  <c r="T65" i="11"/>
  <c r="Y65" i="11" s="1"/>
  <c r="AK65" i="11"/>
  <c r="AP65" i="11" s="1"/>
  <c r="AI54" i="11"/>
  <c r="R54" i="11"/>
  <c r="AI24" i="11"/>
  <c r="AI85" i="11"/>
  <c r="O45" i="11"/>
  <c r="AG33" i="11"/>
  <c r="AJ40" i="11"/>
  <c r="AN40" i="11"/>
  <c r="AO40" i="11" s="1"/>
  <c r="AM6" i="10"/>
  <c r="AL6" i="10"/>
  <c r="AJ6" i="10"/>
  <c r="AM5" i="10"/>
  <c r="AL5" i="10"/>
  <c r="AJ5" i="10"/>
  <c r="AM4" i="10"/>
  <c r="AL4" i="10"/>
  <c r="AL7" i="10" s="1"/>
  <c r="AJ4" i="10"/>
  <c r="I21" i="8"/>
  <c r="K4" i="8"/>
  <c r="N21" i="8"/>
  <c r="AH4" i="8"/>
  <c r="P4" i="8"/>
  <c r="S21" i="8"/>
  <c r="U4" i="8"/>
  <c r="U21" i="8" s="1"/>
  <c r="Z4" i="8"/>
  <c r="AH5" i="8"/>
  <c r="P5" i="8"/>
  <c r="AH6" i="8"/>
  <c r="P6" i="8"/>
  <c r="AH7" i="8"/>
  <c r="P7" i="8"/>
  <c r="AH8" i="8"/>
  <c r="P8" i="8"/>
  <c r="AL9" i="8"/>
  <c r="W21" i="8"/>
  <c r="AG9" i="8"/>
  <c r="AG21" i="8" s="1"/>
  <c r="X9" i="8"/>
  <c r="AH10" i="8"/>
  <c r="P10" i="8"/>
  <c r="AH11" i="8"/>
  <c r="Z11" i="8"/>
  <c r="AH12" i="8"/>
  <c r="P12" i="8"/>
  <c r="AH13" i="8"/>
  <c r="P13" i="8"/>
  <c r="AH14" i="8"/>
  <c r="P14" i="8"/>
  <c r="AH17" i="8"/>
  <c r="P17" i="8"/>
  <c r="AL18" i="8"/>
  <c r="AH18" i="8"/>
  <c r="Z18" i="8"/>
  <c r="AH19" i="8"/>
  <c r="Z19" i="8"/>
  <c r="AH20" i="8"/>
  <c r="P20" i="8"/>
  <c r="AG7" i="2"/>
  <c r="AH7" i="2"/>
  <c r="AG8" i="2"/>
  <c r="AH8" i="2"/>
  <c r="AG9" i="2"/>
  <c r="AH9" i="2"/>
  <c r="AG6" i="1"/>
  <c r="X6" i="1"/>
  <c r="AH6" i="1"/>
  <c r="AL6" i="1"/>
  <c r="Z6" i="1"/>
  <c r="AM6" i="1" s="1"/>
  <c r="AM4" i="1"/>
  <c r="AL4" i="1"/>
  <c r="AJ4" i="1"/>
  <c r="AH4" i="1"/>
  <c r="AM7" i="1"/>
  <c r="AH7" i="1"/>
  <c r="AJ7" i="1"/>
  <c r="AL5" i="1"/>
  <c r="AJ5" i="1"/>
  <c r="AL7" i="1"/>
  <c r="AH5" i="1"/>
  <c r="X78" i="11" l="1"/>
  <c r="U41" i="11"/>
  <c r="S67" i="11"/>
  <c r="U67" i="11" s="1"/>
  <c r="X98" i="11"/>
  <c r="Z98" i="11" s="1"/>
  <c r="Z63" i="11"/>
  <c r="AO87" i="11"/>
  <c r="AQ87" i="11" s="1"/>
  <c r="AO72" i="11"/>
  <c r="AQ72" i="11" s="1"/>
  <c r="AJ90" i="11"/>
  <c r="AQ93" i="11"/>
  <c r="Z84" i="11"/>
  <c r="Y5" i="36"/>
  <c r="W8" i="36"/>
  <c r="W1" i="36"/>
  <c r="AN17" i="34"/>
  <c r="Z6" i="35"/>
  <c r="AQ26" i="34"/>
  <c r="AQ22" i="34" s="1"/>
  <c r="AQ17" i="34" s="1"/>
  <c r="AO22" i="34"/>
  <c r="AO17" i="34" s="1"/>
  <c r="AO14" i="34" s="1"/>
  <c r="U17" i="34"/>
  <c r="M6" i="35"/>
  <c r="AR6" i="35" s="1"/>
  <c r="Z26" i="34"/>
  <c r="Z22" i="34" s="1"/>
  <c r="X22" i="34"/>
  <c r="AQ89" i="11"/>
  <c r="AO49" i="11"/>
  <c r="AQ49" i="11" s="1"/>
  <c r="X49" i="11"/>
  <c r="Z49" i="11" s="1"/>
  <c r="AO78" i="11"/>
  <c r="AQ78" i="11" s="1"/>
  <c r="AJ49" i="11"/>
  <c r="AL49" i="11" s="1"/>
  <c r="AQ69" i="11"/>
  <c r="Z64" i="11"/>
  <c r="AL69" i="11"/>
  <c r="AJ87" i="11"/>
  <c r="AL87" i="11" s="1"/>
  <c r="S72" i="11"/>
  <c r="U72" i="11" s="1"/>
  <c r="AJ68" i="11"/>
  <c r="AL68" i="11" s="1"/>
  <c r="X83" i="11"/>
  <c r="Z83" i="11" s="1"/>
  <c r="S97" i="11"/>
  <c r="U97" i="11" s="1"/>
  <c r="AJ53" i="11"/>
  <c r="AL53" i="11" s="1"/>
  <c r="AJ78" i="11"/>
  <c r="AL78" i="11" s="1"/>
  <c r="AJ88" i="11"/>
  <c r="AL88" i="11" s="1"/>
  <c r="AL93" i="11"/>
  <c r="AQ91" i="11"/>
  <c r="AN73" i="11"/>
  <c r="AO73" i="11" s="1"/>
  <c r="AQ73" i="11" s="1"/>
  <c r="AN53" i="11"/>
  <c r="AO53" i="11" s="1"/>
  <c r="AQ53" i="11" s="1"/>
  <c r="AQ33" i="11"/>
  <c r="AJ82" i="11"/>
  <c r="AL82" i="11" s="1"/>
  <c r="X94" i="11"/>
  <c r="Z94" i="11" s="1"/>
  <c r="AO82" i="11"/>
  <c r="AQ82" i="11" s="1"/>
  <c r="X66" i="11"/>
  <c r="Z66" i="11" s="1"/>
  <c r="X41" i="11"/>
  <c r="Z41" i="11" s="1"/>
  <c r="AK106" i="11"/>
  <c r="AJ63" i="11"/>
  <c r="AL63" i="11" s="1"/>
  <c r="AO67" i="11"/>
  <c r="AQ67" i="11" s="1"/>
  <c r="X47" i="11"/>
  <c r="Z47" i="11" s="1"/>
  <c r="AJ41" i="11"/>
  <c r="AL41" i="11" s="1"/>
  <c r="X97" i="11"/>
  <c r="Z97" i="11" s="1"/>
  <c r="AJ67" i="11"/>
  <c r="AL67" i="11" s="1"/>
  <c r="AJ89" i="11"/>
  <c r="AL89" i="11" s="1"/>
  <c r="X53" i="11"/>
  <c r="Z53" i="11" s="1"/>
  <c r="AO41" i="11"/>
  <c r="AQ41" i="11" s="1"/>
  <c r="S59" i="11"/>
  <c r="U59" i="11" s="1"/>
  <c r="AQ58" i="11"/>
  <c r="U40" i="11"/>
  <c r="X76" i="11"/>
  <c r="Z76" i="11" s="1"/>
  <c r="AJ75" i="11"/>
  <c r="AL75" i="11" s="1"/>
  <c r="AJ76" i="11"/>
  <c r="AL76" i="11" s="1"/>
  <c r="AO75" i="11"/>
  <c r="AQ75" i="11" s="1"/>
  <c r="AO76" i="11"/>
  <c r="AQ76" i="11" s="1"/>
  <c r="U64" i="11"/>
  <c r="U63" i="11"/>
  <c r="AJ91" i="11"/>
  <c r="AL91" i="11" s="1"/>
  <c r="AN63" i="11"/>
  <c r="AO63" i="11" s="1"/>
  <c r="AQ63" i="11" s="1"/>
  <c r="U49" i="11"/>
  <c r="S53" i="11"/>
  <c r="U53" i="11" s="1"/>
  <c r="Q22" i="11"/>
  <c r="Q17" i="11" s="1"/>
  <c r="V22" i="11"/>
  <c r="V17" i="11" s="1"/>
  <c r="Z78" i="11"/>
  <c r="AI108" i="11"/>
  <c r="U84" i="11"/>
  <c r="AI95" i="11"/>
  <c r="AN95" i="11" s="1"/>
  <c r="S94" i="11"/>
  <c r="U94" i="11" s="1"/>
  <c r="AO31" i="11"/>
  <c r="AQ31" i="11" s="1"/>
  <c r="AH108" i="11"/>
  <c r="R95" i="11"/>
  <c r="R109" i="11" s="1"/>
  <c r="AJ31" i="11"/>
  <c r="AL31" i="11" s="1"/>
  <c r="S66" i="11"/>
  <c r="U66" i="11" s="1"/>
  <c r="AN68" i="11"/>
  <c r="AO68" i="11" s="1"/>
  <c r="AQ68" i="11" s="1"/>
  <c r="O107" i="11"/>
  <c r="O95" i="11"/>
  <c r="O109" i="11" s="1"/>
  <c r="U48" i="11"/>
  <c r="AO47" i="11"/>
  <c r="AQ47" i="11" s="1"/>
  <c r="X65" i="11"/>
  <c r="AQ88" i="11"/>
  <c r="S83" i="11"/>
  <c r="U83" i="11" s="1"/>
  <c r="AJ47" i="11"/>
  <c r="AL47" i="11" s="1"/>
  <c r="AJ62" i="11"/>
  <c r="AL62" i="11" s="1"/>
  <c r="S44" i="11"/>
  <c r="U44" i="11" s="1"/>
  <c r="T109" i="11"/>
  <c r="S98" i="11"/>
  <c r="U98" i="11" s="1"/>
  <c r="O108" i="11"/>
  <c r="Q108" i="11"/>
  <c r="AJ58" i="11"/>
  <c r="AL58" i="11" s="1"/>
  <c r="AJ43" i="11"/>
  <c r="AL43" i="11" s="1"/>
  <c r="AQ40" i="11"/>
  <c r="AN77" i="11"/>
  <c r="AO77" i="11" s="1"/>
  <c r="AQ77" i="11" s="1"/>
  <c r="AL33" i="11"/>
  <c r="AM108" i="11"/>
  <c r="S90" i="11"/>
  <c r="R108" i="11"/>
  <c r="U88" i="11"/>
  <c r="AK108" i="11"/>
  <c r="AG107" i="11"/>
  <c r="AE107" i="11"/>
  <c r="AI28" i="11"/>
  <c r="Z40" i="11"/>
  <c r="AM95" i="11"/>
  <c r="AM109" i="11" s="1"/>
  <c r="AH109" i="11"/>
  <c r="AP108" i="11"/>
  <c r="AK22" i="11"/>
  <c r="AK17" i="11" s="1"/>
  <c r="AM28" i="11"/>
  <c r="AH107" i="11"/>
  <c r="Y92" i="11"/>
  <c r="T108" i="11"/>
  <c r="V109" i="11"/>
  <c r="AJ44" i="11"/>
  <c r="AL44" i="11" s="1"/>
  <c r="AN59" i="11"/>
  <c r="AO59" i="11" s="1"/>
  <c r="AQ59" i="11" s="1"/>
  <c r="AJ59" i="11"/>
  <c r="AL59" i="11" s="1"/>
  <c r="T22" i="11"/>
  <c r="T17" i="11" s="1"/>
  <c r="Z65" i="11"/>
  <c r="AO90" i="11"/>
  <c r="AE105" i="11"/>
  <c r="AE22" i="11"/>
  <c r="AE17" i="11" s="1"/>
  <c r="W95" i="11"/>
  <c r="Q109" i="11"/>
  <c r="X44" i="11"/>
  <c r="Z44" i="11" s="1"/>
  <c r="Z34" i="11"/>
  <c r="T107" i="11"/>
  <c r="V108" i="11"/>
  <c r="Z28" i="11"/>
  <c r="AI25" i="11"/>
  <c r="M106" i="11"/>
  <c r="R25" i="11"/>
  <c r="O25" i="11"/>
  <c r="O106" i="11" s="1"/>
  <c r="W25" i="11"/>
  <c r="X25" i="11" s="1"/>
  <c r="AL90" i="11"/>
  <c r="AJ45" i="11"/>
  <c r="AL45" i="11" s="1"/>
  <c r="AK107" i="11"/>
  <c r="AP95" i="11"/>
  <c r="AP109" i="11" s="1"/>
  <c r="AK109" i="11"/>
  <c r="X71" i="11"/>
  <c r="Z71" i="11" s="1"/>
  <c r="AN25" i="11"/>
  <c r="AE106" i="11"/>
  <c r="AG25" i="11"/>
  <c r="AG106" i="11" s="1"/>
  <c r="AO99" i="11"/>
  <c r="AQ99" i="11" s="1"/>
  <c r="AO45" i="11"/>
  <c r="AQ45" i="11" s="1"/>
  <c r="S71" i="11"/>
  <c r="U71" i="11" s="1"/>
  <c r="AP107" i="11"/>
  <c r="AG109" i="11"/>
  <c r="AH22" i="11"/>
  <c r="AH17" i="11" s="1"/>
  <c r="X61" i="11"/>
  <c r="Z61" i="11" s="1"/>
  <c r="Z90" i="11"/>
  <c r="W39" i="11"/>
  <c r="X39" i="11" s="1"/>
  <c r="Q107" i="11"/>
  <c r="AG108" i="11"/>
  <c r="W108" i="11"/>
  <c r="AJ99" i="11"/>
  <c r="AL99" i="11" s="1"/>
  <c r="S65" i="11"/>
  <c r="U65" i="11" s="1"/>
  <c r="R107" i="11"/>
  <c r="U78" i="11"/>
  <c r="V107" i="11"/>
  <c r="M22" i="11"/>
  <c r="M17" i="11" s="1"/>
  <c r="M105" i="11"/>
  <c r="O23" i="11"/>
  <c r="R23" i="11"/>
  <c r="Y107" i="11"/>
  <c r="AJ7" i="10"/>
  <c r="AM7" i="10"/>
  <c r="U26" i="11"/>
  <c r="R106" i="11"/>
  <c r="Z25" i="11"/>
  <c r="W105" i="11"/>
  <c r="AN84" i="11"/>
  <c r="AO84" i="11" s="1"/>
  <c r="AQ84" i="11" s="1"/>
  <c r="AJ84" i="11"/>
  <c r="AL84" i="11" s="1"/>
  <c r="U92" i="11"/>
  <c r="AJ42" i="11"/>
  <c r="AL42" i="11" s="1"/>
  <c r="AN42" i="11"/>
  <c r="AO42" i="11" s="1"/>
  <c r="AQ42" i="11" s="1"/>
  <c r="AN23" i="11"/>
  <c r="AG23" i="11"/>
  <c r="AI23" i="11"/>
  <c r="AN83" i="11"/>
  <c r="AO83" i="11" s="1"/>
  <c r="AQ83" i="11" s="1"/>
  <c r="AJ83" i="11"/>
  <c r="AL83" i="11" s="1"/>
  <c r="S39" i="11"/>
  <c r="U39" i="11" s="1"/>
  <c r="AO44" i="11"/>
  <c r="AQ44" i="11" s="1"/>
  <c r="AO39" i="11"/>
  <c r="AQ39" i="11" s="1"/>
  <c r="S61" i="11"/>
  <c r="U61" i="11" s="1"/>
  <c r="AJ57" i="11"/>
  <c r="AL57" i="11" s="1"/>
  <c r="AO61" i="11"/>
  <c r="AQ61" i="11" s="1"/>
  <c r="AN56" i="11"/>
  <c r="AO56" i="11" s="1"/>
  <c r="AQ56" i="11" s="1"/>
  <c r="AJ56" i="11"/>
  <c r="AL56" i="11" s="1"/>
  <c r="AO57" i="11"/>
  <c r="AQ57" i="11" s="1"/>
  <c r="AN85" i="11"/>
  <c r="AO85" i="11" s="1"/>
  <c r="AQ85" i="11" s="1"/>
  <c r="AJ85" i="11"/>
  <c r="AL85" i="11" s="1"/>
  <c r="W55" i="11"/>
  <c r="X55" i="11" s="1"/>
  <c r="Z55" i="11" s="1"/>
  <c r="S55" i="11"/>
  <c r="U55" i="11" s="1"/>
  <c r="S51" i="11"/>
  <c r="U51" i="11" s="1"/>
  <c r="AN36" i="11"/>
  <c r="AO36" i="11" s="1"/>
  <c r="AQ36" i="11" s="1"/>
  <c r="AJ36" i="11"/>
  <c r="AL36" i="11" s="1"/>
  <c r="S50" i="11"/>
  <c r="U50" i="11" s="1"/>
  <c r="X27" i="11"/>
  <c r="Z27" i="11" s="1"/>
  <c r="AJ30" i="11"/>
  <c r="AL30" i="11" s="1"/>
  <c r="AN94" i="11"/>
  <c r="AO94" i="11" s="1"/>
  <c r="AQ94" i="11" s="1"/>
  <c r="AJ94" i="11"/>
  <c r="AL94" i="11" s="1"/>
  <c r="W99" i="11"/>
  <c r="X99" i="11" s="1"/>
  <c r="Z99" i="11" s="1"/>
  <c r="S99" i="11"/>
  <c r="U99" i="11" s="1"/>
  <c r="AJ97" i="11"/>
  <c r="AL97" i="11" s="1"/>
  <c r="AO62" i="11"/>
  <c r="AQ62" i="11" s="1"/>
  <c r="X52" i="11"/>
  <c r="Z52" i="11" s="1"/>
  <c r="AJ79" i="11"/>
  <c r="AL79" i="11" s="1"/>
  <c r="AN79" i="11"/>
  <c r="AO79" i="11" s="1"/>
  <c r="AQ79" i="11" s="1"/>
  <c r="AO55" i="11"/>
  <c r="AQ55" i="11" s="1"/>
  <c r="AJ35" i="11"/>
  <c r="AL35" i="11" s="1"/>
  <c r="AN35" i="11"/>
  <c r="AO35" i="11" s="1"/>
  <c r="AQ35" i="11" s="1"/>
  <c r="W70" i="11"/>
  <c r="X70" i="11" s="1"/>
  <c r="Z70" i="11" s="1"/>
  <c r="S70" i="11"/>
  <c r="U70" i="11" s="1"/>
  <c r="AM52" i="11"/>
  <c r="AO52" i="11" s="1"/>
  <c r="AQ52" i="11" s="1"/>
  <c r="AJ52" i="11"/>
  <c r="AL52" i="11" s="1"/>
  <c r="U34" i="11"/>
  <c r="AJ48" i="11"/>
  <c r="AL48" i="11" s="1"/>
  <c r="AN48" i="11"/>
  <c r="AO48" i="11" s="1"/>
  <c r="AQ48" i="11" s="1"/>
  <c r="W43" i="11"/>
  <c r="X43" i="11" s="1"/>
  <c r="Z43" i="11" s="1"/>
  <c r="S43" i="11"/>
  <c r="U43" i="11" s="1"/>
  <c r="X26" i="11"/>
  <c r="Z26" i="11" s="1"/>
  <c r="AN38" i="11"/>
  <c r="AO38" i="11" s="1"/>
  <c r="AQ38" i="11" s="1"/>
  <c r="AJ38" i="11"/>
  <c r="AL38" i="11" s="1"/>
  <c r="Z46" i="11"/>
  <c r="AO43" i="11"/>
  <c r="AQ43" i="11" s="1"/>
  <c r="W68" i="11"/>
  <c r="X68" i="11" s="1"/>
  <c r="Z68" i="11" s="1"/>
  <c r="S68" i="11"/>
  <c r="U68" i="11" s="1"/>
  <c r="AO80" i="11"/>
  <c r="AQ80" i="11" s="1"/>
  <c r="AO97" i="11"/>
  <c r="AQ97" i="11" s="1"/>
  <c r="AO29" i="11"/>
  <c r="AQ29" i="11" s="1"/>
  <c r="AN37" i="11"/>
  <c r="AO37" i="11" s="1"/>
  <c r="AQ37" i="11" s="1"/>
  <c r="AJ37" i="11"/>
  <c r="AL37" i="11" s="1"/>
  <c r="S62" i="11"/>
  <c r="U62" i="11" s="1"/>
  <c r="W45" i="11"/>
  <c r="X45" i="11" s="1"/>
  <c r="Z45" i="11" s="1"/>
  <c r="S45" i="11"/>
  <c r="U45" i="11" s="1"/>
  <c r="X51" i="11"/>
  <c r="Z51" i="11" s="1"/>
  <c r="X50" i="11"/>
  <c r="Z50" i="11" s="1"/>
  <c r="AJ24" i="11"/>
  <c r="AL24" i="11" s="1"/>
  <c r="AJ64" i="11"/>
  <c r="AL64" i="11" s="1"/>
  <c r="AN64" i="11"/>
  <c r="AO64" i="11" s="1"/>
  <c r="AQ64" i="11" s="1"/>
  <c r="W57" i="11"/>
  <c r="X57" i="11" s="1"/>
  <c r="Z57" i="11" s="1"/>
  <c r="S57" i="11"/>
  <c r="U57" i="11" s="1"/>
  <c r="AN50" i="11"/>
  <c r="AO50" i="11" s="1"/>
  <c r="AQ50" i="11" s="1"/>
  <c r="AJ50" i="11"/>
  <c r="AL50" i="11" s="1"/>
  <c r="AJ55" i="11"/>
  <c r="AL55" i="11" s="1"/>
  <c r="AO30" i="11"/>
  <c r="AQ30" i="11" s="1"/>
  <c r="W56" i="11"/>
  <c r="X56" i="11" s="1"/>
  <c r="Z56" i="11" s="1"/>
  <c r="S56" i="11"/>
  <c r="U56" i="11" s="1"/>
  <c r="AJ46" i="11"/>
  <c r="AL46" i="11" s="1"/>
  <c r="AN46" i="11"/>
  <c r="AO46" i="11" s="1"/>
  <c r="AQ46" i="11" s="1"/>
  <c r="AN96" i="11"/>
  <c r="AO96" i="11" s="1"/>
  <c r="AQ96" i="11" s="1"/>
  <c r="AJ96" i="11"/>
  <c r="AL96" i="11" s="1"/>
  <c r="AO51" i="11"/>
  <c r="AQ51" i="11" s="1"/>
  <c r="X62" i="11"/>
  <c r="Z62" i="11" s="1"/>
  <c r="Z24" i="11"/>
  <c r="AJ80" i="11"/>
  <c r="AL80" i="11" s="1"/>
  <c r="AJ65" i="11"/>
  <c r="AL65" i="11" s="1"/>
  <c r="AJ29" i="11"/>
  <c r="AL29" i="11" s="1"/>
  <c r="AJ26" i="11"/>
  <c r="AL26" i="11" s="1"/>
  <c r="AJ98" i="11"/>
  <c r="AL98" i="11" s="1"/>
  <c r="AN98" i="11"/>
  <c r="AO98" i="11" s="1"/>
  <c r="AQ98" i="11" s="1"/>
  <c r="X23" i="11"/>
  <c r="AN66" i="11"/>
  <c r="AO66" i="11" s="1"/>
  <c r="AQ66" i="11" s="1"/>
  <c r="AJ66" i="11"/>
  <c r="AL66" i="11" s="1"/>
  <c r="AJ92" i="11"/>
  <c r="AL92" i="11" s="1"/>
  <c r="AN92" i="11"/>
  <c r="AO92" i="11" s="1"/>
  <c r="AQ92" i="11" s="1"/>
  <c r="X54" i="11"/>
  <c r="Z54" i="11" s="1"/>
  <c r="AJ34" i="11"/>
  <c r="AL34" i="11" s="1"/>
  <c r="AN34" i="11"/>
  <c r="AO34" i="11" s="1"/>
  <c r="AQ34" i="11" s="1"/>
  <c r="AM70" i="11"/>
  <c r="AO70" i="11" s="1"/>
  <c r="AQ70" i="11" s="1"/>
  <c r="AJ70" i="11"/>
  <c r="AL70" i="11" s="1"/>
  <c r="S54" i="11"/>
  <c r="U54" i="11" s="1"/>
  <c r="AL40" i="11"/>
  <c r="AN54" i="11"/>
  <c r="AO54" i="11" s="1"/>
  <c r="AQ54" i="11" s="1"/>
  <c r="AJ54" i="11"/>
  <c r="AL54" i="11" s="1"/>
  <c r="U46" i="11"/>
  <c r="S52" i="11"/>
  <c r="U52" i="11" s="1"/>
  <c r="Z48" i="11"/>
  <c r="AJ51" i="11"/>
  <c r="AL51" i="11" s="1"/>
  <c r="AO65" i="11"/>
  <c r="AQ65" i="11" s="1"/>
  <c r="AJ39" i="11"/>
  <c r="AL39" i="11" s="1"/>
  <c r="AJ61" i="11"/>
  <c r="AL61" i="11" s="1"/>
  <c r="AM20" i="8"/>
  <c r="AL20" i="8"/>
  <c r="AJ20" i="8"/>
  <c r="AM19" i="8"/>
  <c r="AJ19" i="8"/>
  <c r="AM18" i="8"/>
  <c r="AJ18" i="8"/>
  <c r="AM17" i="8"/>
  <c r="AL17" i="8"/>
  <c r="AJ17" i="8"/>
  <c r="AM14" i="8"/>
  <c r="AL14" i="8"/>
  <c r="AJ14" i="8"/>
  <c r="AM13" i="8"/>
  <c r="AL13" i="8"/>
  <c r="AJ13" i="8"/>
  <c r="AM12" i="8"/>
  <c r="AL12" i="8"/>
  <c r="AJ12" i="8"/>
  <c r="AM11" i="8"/>
  <c r="AJ11" i="8"/>
  <c r="AM10" i="8"/>
  <c r="AL10" i="8"/>
  <c r="AJ10" i="8"/>
  <c r="AH9" i="8"/>
  <c r="Z9" i="8"/>
  <c r="X21" i="8"/>
  <c r="AM8" i="8"/>
  <c r="AL8" i="8"/>
  <c r="AJ8" i="8"/>
  <c r="AM7" i="8"/>
  <c r="AL7" i="8"/>
  <c r="AJ7" i="8"/>
  <c r="AM6" i="8"/>
  <c r="AL6" i="8"/>
  <c r="AJ6" i="8"/>
  <c r="AM5" i="8"/>
  <c r="AL5" i="8"/>
  <c r="AJ5" i="8"/>
  <c r="Z21" i="8"/>
  <c r="P21" i="8"/>
  <c r="AM4" i="8"/>
  <c r="AL4" i="8"/>
  <c r="AL21" i="8" s="1"/>
  <c r="AJ4" i="8"/>
  <c r="AH21" i="8"/>
  <c r="K21" i="8"/>
  <c r="AK4" i="8"/>
  <c r="AK21" i="8" s="1"/>
  <c r="AJ6" i="1"/>
  <c r="G5" i="52" l="1"/>
  <c r="R22" i="11"/>
  <c r="R17" i="11" s="1"/>
  <c r="S95" i="11"/>
  <c r="S109" i="11" s="1"/>
  <c r="AR5" i="36"/>
  <c r="Y8" i="36"/>
  <c r="Y1" i="36"/>
  <c r="Z17" i="34"/>
  <c r="S6" i="35"/>
  <c r="AG16" i="34"/>
  <c r="AF6" i="35"/>
  <c r="AC6" i="35"/>
  <c r="X17" i="34"/>
  <c r="Q6" i="35"/>
  <c r="N6" i="35"/>
  <c r="AL6" i="35" s="1"/>
  <c r="X108" i="11"/>
  <c r="AI109" i="11"/>
  <c r="AP110" i="11"/>
  <c r="AJ95" i="11"/>
  <c r="AJ109" i="11" s="1"/>
  <c r="U107" i="11"/>
  <c r="Z39" i="11"/>
  <c r="Z107" i="11" s="1"/>
  <c r="X107" i="11"/>
  <c r="AN105" i="11"/>
  <c r="AI106" i="11"/>
  <c r="AJ25" i="11"/>
  <c r="AQ90" i="11"/>
  <c r="AQ108" i="11" s="1"/>
  <c r="AO108" i="11"/>
  <c r="O105" i="11"/>
  <c r="O22" i="11"/>
  <c r="O17" i="11" s="1"/>
  <c r="S107" i="11"/>
  <c r="U90" i="11"/>
  <c r="U108" i="11" s="1"/>
  <c r="S108" i="11"/>
  <c r="W107" i="11"/>
  <c r="AJ108" i="11"/>
  <c r="AL108" i="11"/>
  <c r="S23" i="11"/>
  <c r="R105" i="11"/>
  <c r="U23" i="11"/>
  <c r="W109" i="11"/>
  <c r="X95" i="11"/>
  <c r="AI107" i="11"/>
  <c r="AJ28" i="11"/>
  <c r="AN28" i="11"/>
  <c r="AN22" i="11" s="1"/>
  <c r="AN17" i="11" s="1"/>
  <c r="W106" i="11"/>
  <c r="AO95" i="11"/>
  <c r="AN109" i="11"/>
  <c r="AI105" i="11"/>
  <c r="AI22" i="11"/>
  <c r="AI17" i="11" s="1"/>
  <c r="W22" i="11"/>
  <c r="W17" i="11" s="1"/>
  <c r="U95" i="11"/>
  <c r="U109" i="11" s="1"/>
  <c r="AN106" i="11"/>
  <c r="AO25" i="11"/>
  <c r="AO106" i="11" s="1"/>
  <c r="S25" i="11"/>
  <c r="S106" i="11" s="1"/>
  <c r="Z92" i="11"/>
  <c r="Z108" i="11" s="1"/>
  <c r="Y108" i="11"/>
  <c r="AP22" i="11"/>
  <c r="AP17" i="11" s="1"/>
  <c r="AM107" i="11"/>
  <c r="AM22" i="11"/>
  <c r="AM17" i="11" s="1"/>
  <c r="AL95" i="11"/>
  <c r="AL109" i="11" s="1"/>
  <c r="AG105" i="11"/>
  <c r="AG22" i="11"/>
  <c r="AG17" i="11" s="1"/>
  <c r="AN108" i="11"/>
  <c r="Y22" i="11"/>
  <c r="Y17" i="11" s="1"/>
  <c r="Z106" i="11"/>
  <c r="X106" i="11"/>
  <c r="X105" i="11"/>
  <c r="AJ23" i="11"/>
  <c r="AL23" i="11" s="1"/>
  <c r="AO23" i="11"/>
  <c r="Z23" i="11"/>
  <c r="AM9" i="8"/>
  <c r="AM21" i="8" s="1"/>
  <c r="AJ9" i="8"/>
  <c r="AJ21" i="8" s="1"/>
  <c r="AK16" i="1"/>
  <c r="AK17" i="1"/>
  <c r="AL17" i="1"/>
  <c r="AM17" i="1"/>
  <c r="U15" i="1"/>
  <c r="AL15" i="1" s="1"/>
  <c r="AE15" i="1"/>
  <c r="AM15" i="1"/>
  <c r="AK15" i="1"/>
  <c r="J60" i="4"/>
  <c r="O55" i="4"/>
  <c r="N52" i="4"/>
  <c r="I51" i="4"/>
  <c r="K49" i="4"/>
  <c r="O44" i="4"/>
  <c r="I24" i="4"/>
  <c r="N22" i="4"/>
  <c r="N19" i="4"/>
  <c r="I18" i="4"/>
  <c r="O11" i="4"/>
  <c r="T2" i="4"/>
  <c r="Q2" i="4"/>
  <c r="AO6" i="35" l="1"/>
  <c r="L16" i="52"/>
  <c r="L23" i="52" s="1"/>
  <c r="AR8" i="36"/>
  <c r="AR1" i="36"/>
  <c r="AI6" i="35"/>
  <c r="AE6" i="35"/>
  <c r="AK6" i="35" s="1"/>
  <c r="AQ6" i="35"/>
  <c r="K60" i="4"/>
  <c r="I62" i="4"/>
  <c r="K63" i="4"/>
  <c r="K66" i="4"/>
  <c r="N67" i="4"/>
  <c r="K69" i="4"/>
  <c r="N74" i="4"/>
  <c r="M22" i="4"/>
  <c r="M6" i="4"/>
  <c r="M14" i="4"/>
  <c r="M38" i="4"/>
  <c r="M55" i="4"/>
  <c r="M50" i="4"/>
  <c r="N14" i="4"/>
  <c r="N35" i="4"/>
  <c r="N47" i="4"/>
  <c r="K41" i="4"/>
  <c r="K56" i="4"/>
  <c r="I58" i="4"/>
  <c r="M61" i="4"/>
  <c r="M70" i="4"/>
  <c r="K38" i="4"/>
  <c r="K32" i="4"/>
  <c r="I5" i="4"/>
  <c r="I29" i="4"/>
  <c r="N30" i="4"/>
  <c r="N33" i="4"/>
  <c r="J63" i="4"/>
  <c r="J69" i="4"/>
  <c r="M72" i="4"/>
  <c r="J32" i="4"/>
  <c r="M41" i="4"/>
  <c r="K5" i="4"/>
  <c r="I4" i="4"/>
  <c r="I13" i="4"/>
  <c r="I40" i="4"/>
  <c r="N44" i="4"/>
  <c r="I49" i="4"/>
  <c r="N50" i="4"/>
  <c r="M60" i="4"/>
  <c r="J17" i="4"/>
  <c r="I50" i="4"/>
  <c r="J74" i="4"/>
  <c r="J13" i="4"/>
  <c r="M19" i="4"/>
  <c r="M26" i="4"/>
  <c r="J43" i="4"/>
  <c r="M46" i="4"/>
  <c r="J49" i="4"/>
  <c r="M52" i="4"/>
  <c r="I14" i="4"/>
  <c r="J23" i="4"/>
  <c r="I47" i="4"/>
  <c r="M25" i="4"/>
  <c r="N55" i="4"/>
  <c r="I60" i="4"/>
  <c r="K13" i="4"/>
  <c r="K16" i="4"/>
  <c r="K28" i="4"/>
  <c r="K31" i="4"/>
  <c r="K46" i="4"/>
  <c r="J21" i="4"/>
  <c r="M30" i="4"/>
  <c r="J54" i="4"/>
  <c r="N61" i="4"/>
  <c r="N64" i="4"/>
  <c r="I69" i="4"/>
  <c r="I6" i="4"/>
  <c r="K9" i="4"/>
  <c r="K24" i="4"/>
  <c r="K27" i="4"/>
  <c r="I36" i="4"/>
  <c r="I42" i="4"/>
  <c r="K45" i="4"/>
  <c r="K54" i="4"/>
  <c r="K57" i="4"/>
  <c r="I71" i="4"/>
  <c r="AQ25" i="11"/>
  <c r="AQ106" i="11" s="1"/>
  <c r="X109" i="11"/>
  <c r="Z95" i="11"/>
  <c r="Z109" i="11" s="1"/>
  <c r="X22" i="11"/>
  <c r="X17" i="11" s="1"/>
  <c r="U105" i="11"/>
  <c r="S105" i="11"/>
  <c r="S22" i="11"/>
  <c r="S17" i="11" s="1"/>
  <c r="G10" i="52" s="1"/>
  <c r="G13" i="52" s="1"/>
  <c r="AL25" i="11"/>
  <c r="AL106" i="11" s="1"/>
  <c r="AJ106" i="11"/>
  <c r="AO105" i="11"/>
  <c r="AQ95" i="11"/>
  <c r="AQ109" i="11" s="1"/>
  <c r="AO109" i="11"/>
  <c r="AL105" i="11"/>
  <c r="U25" i="11"/>
  <c r="U106" i="11" s="1"/>
  <c r="AO28" i="11"/>
  <c r="AO22" i="11" s="1"/>
  <c r="AO17" i="11" s="1"/>
  <c r="AN107" i="11"/>
  <c r="AJ22" i="11"/>
  <c r="AJ17" i="11" s="1"/>
  <c r="H10" i="52" s="1"/>
  <c r="AJ105" i="11"/>
  <c r="AL28" i="11"/>
  <c r="AL107" i="11" s="1"/>
  <c r="AJ107" i="11"/>
  <c r="Z105" i="11"/>
  <c r="Z22" i="11"/>
  <c r="AQ23" i="11"/>
  <c r="K4" i="4"/>
  <c r="J4" i="4"/>
  <c r="O4" i="4"/>
  <c r="T4" i="4" s="1"/>
  <c r="O5" i="4"/>
  <c r="W5" i="4" s="1"/>
  <c r="N5" i="4"/>
  <c r="M5" i="4"/>
  <c r="K7" i="4"/>
  <c r="J7" i="4"/>
  <c r="O7" i="4"/>
  <c r="W7" i="4" s="1"/>
  <c r="N7" i="4"/>
  <c r="M7" i="4"/>
  <c r="M8" i="4"/>
  <c r="O8" i="4"/>
  <c r="T8" i="4" s="1"/>
  <c r="N8" i="4"/>
  <c r="I10" i="4"/>
  <c r="K10" i="4"/>
  <c r="O10" i="4"/>
  <c r="P10" i="4" s="1"/>
  <c r="J12" i="4"/>
  <c r="K12" i="4"/>
  <c r="I12" i="4"/>
  <c r="O13" i="4"/>
  <c r="P13" i="4" s="1"/>
  <c r="N13" i="4"/>
  <c r="M13" i="4"/>
  <c r="K15" i="4"/>
  <c r="J15" i="4"/>
  <c r="I15" i="4"/>
  <c r="O16" i="4"/>
  <c r="W16" i="4" s="1"/>
  <c r="N16" i="4"/>
  <c r="M16" i="4"/>
  <c r="K18" i="4"/>
  <c r="J18" i="4"/>
  <c r="O18" i="4"/>
  <c r="T18" i="4" s="1"/>
  <c r="N18" i="4"/>
  <c r="M18" i="4"/>
  <c r="O19" i="4"/>
  <c r="K20" i="4"/>
  <c r="J20" i="4"/>
  <c r="I20" i="4"/>
  <c r="O20" i="4"/>
  <c r="T20" i="4" s="1"/>
  <c r="I21" i="4"/>
  <c r="K21" i="4"/>
  <c r="O21" i="4"/>
  <c r="P21" i="4" s="1"/>
  <c r="O24" i="4"/>
  <c r="T24" i="4" s="1"/>
  <c r="K26" i="4"/>
  <c r="J26" i="4"/>
  <c r="I26" i="4"/>
  <c r="O27" i="4"/>
  <c r="P27" i="4" s="1"/>
  <c r="N27" i="4"/>
  <c r="M27" i="4"/>
  <c r="K29" i="4"/>
  <c r="J29" i="4"/>
  <c r="O29" i="4"/>
  <c r="P29" i="4" s="1"/>
  <c r="O30" i="4"/>
  <c r="T30" i="4" s="1"/>
  <c r="O32" i="4"/>
  <c r="T32" i="4" s="1"/>
  <c r="N32" i="4"/>
  <c r="M32" i="4"/>
  <c r="O33" i="4"/>
  <c r="K34" i="4"/>
  <c r="J34" i="4"/>
  <c r="I34" i="4"/>
  <c r="J35" i="4"/>
  <c r="K35" i="4"/>
  <c r="K37" i="4"/>
  <c r="J37" i="4"/>
  <c r="I37" i="4"/>
  <c r="O38" i="4"/>
  <c r="Q38" i="4" s="1"/>
  <c r="N38" i="4"/>
  <c r="O39" i="4"/>
  <c r="K40" i="4"/>
  <c r="J40" i="4"/>
  <c r="O40" i="4"/>
  <c r="W40" i="4" s="1"/>
  <c r="O41" i="4"/>
  <c r="W41" i="4" s="1"/>
  <c r="N41" i="4"/>
  <c r="I43" i="4"/>
  <c r="K43" i="4"/>
  <c r="O43" i="4"/>
  <c r="W43" i="4" s="1"/>
  <c r="O46" i="4"/>
  <c r="W46" i="4" s="1"/>
  <c r="N46" i="4"/>
  <c r="K48" i="4"/>
  <c r="J48" i="4"/>
  <c r="I48" i="4"/>
  <c r="O49" i="4"/>
  <c r="Q49" i="4" s="1"/>
  <c r="N49" i="4"/>
  <c r="M49" i="4"/>
  <c r="K51" i="4"/>
  <c r="J51" i="4"/>
  <c r="O51" i="4"/>
  <c r="W51" i="4" s="1"/>
  <c r="N51" i="4"/>
  <c r="O52" i="4"/>
  <c r="P52" i="4" s="1"/>
  <c r="I53" i="4"/>
  <c r="K53" i="4"/>
  <c r="J53" i="4"/>
  <c r="O53" i="4"/>
  <c r="T53" i="4" s="1"/>
  <c r="O54" i="4"/>
  <c r="T54" i="4" s="1"/>
  <c r="O57" i="4"/>
  <c r="W57" i="4" s="1"/>
  <c r="I59" i="4"/>
  <c r="K59" i="4"/>
  <c r="J59" i="4"/>
  <c r="O61" i="4"/>
  <c r="W61" i="4" s="1"/>
  <c r="N63" i="4"/>
  <c r="O63" i="4"/>
  <c r="W63" i="4" s="1"/>
  <c r="I65" i="4"/>
  <c r="K65" i="4"/>
  <c r="J65" i="4"/>
  <c r="O66" i="4"/>
  <c r="W66" i="4" s="1"/>
  <c r="K68" i="4"/>
  <c r="J68" i="4"/>
  <c r="I68" i="4"/>
  <c r="O69" i="4"/>
  <c r="Q69" i="4" s="1"/>
  <c r="N69" i="4"/>
  <c r="K71" i="4"/>
  <c r="J71" i="4"/>
  <c r="O71" i="4"/>
  <c r="W71" i="4" s="1"/>
  <c r="N71" i="4"/>
  <c r="M71" i="4"/>
  <c r="O72" i="4"/>
  <c r="W72" i="4" s="1"/>
  <c r="N72" i="4"/>
  <c r="K73" i="4"/>
  <c r="J73" i="4"/>
  <c r="I73" i="4"/>
  <c r="O73" i="4"/>
  <c r="T73" i="4" s="1"/>
  <c r="I74" i="4"/>
  <c r="K74" i="4"/>
  <c r="T55" i="4"/>
  <c r="P55" i="4"/>
  <c r="W55" i="4"/>
  <c r="Q55" i="4"/>
  <c r="Q11" i="4"/>
  <c r="P11" i="4"/>
  <c r="W11" i="4"/>
  <c r="T11" i="4"/>
  <c r="T44" i="4"/>
  <c r="Q44" i="4"/>
  <c r="P44" i="4"/>
  <c r="W44" i="4"/>
  <c r="Q21" i="4"/>
  <c r="K22" i="4"/>
  <c r="I22" i="4"/>
  <c r="J22" i="4"/>
  <c r="M21" i="4"/>
  <c r="J42" i="4"/>
  <c r="N54" i="4"/>
  <c r="I56" i="4"/>
  <c r="I23" i="4"/>
  <c r="N36" i="4"/>
  <c r="J6" i="4"/>
  <c r="I11" i="4"/>
  <c r="K14" i="4"/>
  <c r="O14" i="4"/>
  <c r="J14" i="4"/>
  <c r="W19" i="4"/>
  <c r="P38" i="4"/>
  <c r="M45" i="4"/>
  <c r="O45" i="4"/>
  <c r="N45" i="4"/>
  <c r="I54" i="4"/>
  <c r="K67" i="4"/>
  <c r="O67" i="4"/>
  <c r="J67" i="4"/>
  <c r="I28" i="4"/>
  <c r="M59" i="4"/>
  <c r="O59" i="4"/>
  <c r="N59" i="4"/>
  <c r="K61" i="4"/>
  <c r="O65" i="4"/>
  <c r="N65" i="4"/>
  <c r="M65" i="4"/>
  <c r="M66" i="4"/>
  <c r="I67" i="4"/>
  <c r="M54" i="4"/>
  <c r="I9" i="4"/>
  <c r="N40" i="4"/>
  <c r="N60" i="4"/>
  <c r="T72" i="4"/>
  <c r="K55" i="4"/>
  <c r="J55" i="4"/>
  <c r="I55" i="4"/>
  <c r="T40" i="4"/>
  <c r="M74" i="4"/>
  <c r="M40" i="4"/>
  <c r="N66" i="4"/>
  <c r="N4" i="4"/>
  <c r="M4" i="4"/>
  <c r="J9" i="4"/>
  <c r="K42" i="4"/>
  <c r="J56" i="4"/>
  <c r="N15" i="4"/>
  <c r="O15" i="4"/>
  <c r="I17" i="4"/>
  <c r="M44" i="4"/>
  <c r="I63" i="4"/>
  <c r="M69" i="4"/>
  <c r="K70" i="4"/>
  <c r="H75" i="4"/>
  <c r="K3" i="4"/>
  <c r="K6" i="4"/>
  <c r="M10" i="4"/>
  <c r="M11" i="4"/>
  <c r="M15" i="4"/>
  <c r="K23" i="4"/>
  <c r="J25" i="4"/>
  <c r="K25" i="4"/>
  <c r="O25" i="4"/>
  <c r="M29" i="4"/>
  <c r="I31" i="4"/>
  <c r="M43" i="4"/>
  <c r="K52" i="4"/>
  <c r="O56" i="4"/>
  <c r="M56" i="4"/>
  <c r="N56" i="4"/>
  <c r="M57" i="4"/>
  <c r="K62" i="4"/>
  <c r="K64" i="4"/>
  <c r="J64" i="4"/>
  <c r="I64" i="4"/>
  <c r="O68" i="4"/>
  <c r="N68" i="4"/>
  <c r="I70" i="4"/>
  <c r="O74" i="4"/>
  <c r="J28" i="4"/>
  <c r="M35" i="4"/>
  <c r="O17" i="4"/>
  <c r="K17" i="4"/>
  <c r="K44" i="4"/>
  <c r="J44" i="4"/>
  <c r="I44" i="4"/>
  <c r="P5" i="4"/>
  <c r="O35" i="4"/>
  <c r="K58" i="4"/>
  <c r="O58" i="4"/>
  <c r="J58" i="4"/>
  <c r="J62" i="4"/>
  <c r="I3" i="4"/>
  <c r="O6" i="4"/>
  <c r="I7" i="4"/>
  <c r="N10" i="4"/>
  <c r="N17" i="4"/>
  <c r="K19" i="4"/>
  <c r="M23" i="4"/>
  <c r="O23" i="4"/>
  <c r="N23" i="4"/>
  <c r="M24" i="4"/>
  <c r="I25" i="4"/>
  <c r="N29" i="4"/>
  <c r="J31" i="4"/>
  <c r="I32" i="4"/>
  <c r="K39" i="4"/>
  <c r="N43" i="4"/>
  <c r="I45" i="4"/>
  <c r="J46" i="4"/>
  <c r="N57" i="4"/>
  <c r="N58" i="4"/>
  <c r="O62" i="4"/>
  <c r="M64" i="4"/>
  <c r="M68" i="4"/>
  <c r="J70" i="4"/>
  <c r="O22" i="4"/>
  <c r="K30" i="4"/>
  <c r="O50" i="4"/>
  <c r="K50" i="4"/>
  <c r="N21" i="4"/>
  <c r="J24" i="4"/>
  <c r="O48" i="4"/>
  <c r="N48" i="4"/>
  <c r="O60" i="4"/>
  <c r="O42" i="4"/>
  <c r="M48" i="4"/>
  <c r="J50" i="4"/>
  <c r="J3" i="4"/>
  <c r="N24" i="4"/>
  <c r="N25" i="4"/>
  <c r="K33" i="4"/>
  <c r="J33" i="4"/>
  <c r="I33" i="4"/>
  <c r="N37" i="4"/>
  <c r="O37" i="4"/>
  <c r="I39" i="4"/>
  <c r="J45" i="4"/>
  <c r="M63" i="4"/>
  <c r="O64" i="4"/>
  <c r="O70" i="4"/>
  <c r="K72" i="4"/>
  <c r="O12" i="4"/>
  <c r="N12" i="4"/>
  <c r="M12" i="4"/>
  <c r="N26" i="4"/>
  <c r="O26" i="4"/>
  <c r="J36" i="4"/>
  <c r="K36" i="4"/>
  <c r="O36" i="4"/>
  <c r="W36" i="4" s="1"/>
  <c r="O28" i="4"/>
  <c r="M34" i="4"/>
  <c r="O34" i="4"/>
  <c r="N34" i="4"/>
  <c r="J57" i="4"/>
  <c r="K11" i="4"/>
  <c r="J11" i="4"/>
  <c r="O9" i="4"/>
  <c r="N9" i="4"/>
  <c r="M9" i="4"/>
  <c r="N3" i="4"/>
  <c r="K8" i="4"/>
  <c r="J8" i="4"/>
  <c r="I8" i="4"/>
  <c r="W18" i="4"/>
  <c r="O31" i="4"/>
  <c r="M33" i="4"/>
  <c r="M37" i="4"/>
  <c r="J39" i="4"/>
  <c r="J47" i="4"/>
  <c r="K47" i="4"/>
  <c r="O47" i="4"/>
  <c r="M51" i="4"/>
  <c r="J66" i="4"/>
  <c r="L75" i="4"/>
  <c r="O3" i="4"/>
  <c r="J10" i="4"/>
  <c r="N11" i="4"/>
  <c r="I19" i="4"/>
  <c r="M20" i="4"/>
  <c r="I30" i="4"/>
  <c r="M31" i="4"/>
  <c r="I41" i="4"/>
  <c r="M42" i="4"/>
  <c r="I52" i="4"/>
  <c r="M53" i="4"/>
  <c r="I61" i="4"/>
  <c r="M62" i="4"/>
  <c r="I72" i="4"/>
  <c r="M73" i="4"/>
  <c r="I16" i="4"/>
  <c r="M17" i="4"/>
  <c r="J19" i="4"/>
  <c r="N20" i="4"/>
  <c r="I27" i="4"/>
  <c r="M28" i="4"/>
  <c r="J30" i="4"/>
  <c r="N31" i="4"/>
  <c r="I38" i="4"/>
  <c r="M39" i="4"/>
  <c r="J41" i="4"/>
  <c r="N42" i="4"/>
  <c r="J52" i="4"/>
  <c r="N53" i="4"/>
  <c r="J61" i="4"/>
  <c r="N62" i="4"/>
  <c r="J72" i="4"/>
  <c r="N73" i="4"/>
  <c r="M3" i="4"/>
  <c r="J5" i="4"/>
  <c r="N6" i="4"/>
  <c r="J16" i="4"/>
  <c r="J27" i="4"/>
  <c r="N28" i="4"/>
  <c r="I35" i="4"/>
  <c r="M36" i="4"/>
  <c r="J38" i="4"/>
  <c r="N39" i="4"/>
  <c r="I46" i="4"/>
  <c r="M47" i="4"/>
  <c r="I57" i="4"/>
  <c r="M58" i="4"/>
  <c r="I66" i="4"/>
  <c r="M67" i="4"/>
  <c r="N70" i="4"/>
  <c r="H5" i="52" l="1"/>
  <c r="AT6" i="35"/>
  <c r="AU6" i="35" s="1"/>
  <c r="I10" i="52"/>
  <c r="I13" i="52" s="1"/>
  <c r="H13" i="52"/>
  <c r="I5" i="52"/>
  <c r="X36" i="4"/>
  <c r="Y36" i="4"/>
  <c r="U40" i="4"/>
  <c r="V40" i="4"/>
  <c r="U72" i="4"/>
  <c r="V72" i="4"/>
  <c r="X44" i="4"/>
  <c r="Y44" i="4"/>
  <c r="U44" i="4"/>
  <c r="V44" i="4"/>
  <c r="X55" i="4"/>
  <c r="Y55" i="4"/>
  <c r="U55" i="4"/>
  <c r="V55" i="4"/>
  <c r="U73" i="4"/>
  <c r="V73" i="4"/>
  <c r="X72" i="4"/>
  <c r="Y72" i="4"/>
  <c r="X71" i="4"/>
  <c r="Y71" i="4"/>
  <c r="X66" i="4"/>
  <c r="Y66" i="4"/>
  <c r="X63" i="4"/>
  <c r="Y63" i="4"/>
  <c r="X61" i="4"/>
  <c r="Y61" i="4"/>
  <c r="X57" i="4"/>
  <c r="Y57" i="4"/>
  <c r="U54" i="4"/>
  <c r="V54" i="4"/>
  <c r="U53" i="4"/>
  <c r="V53" i="4"/>
  <c r="X51" i="4"/>
  <c r="Y51" i="4"/>
  <c r="X46" i="4"/>
  <c r="Y46" i="4"/>
  <c r="X43" i="4"/>
  <c r="Y43" i="4"/>
  <c r="X41" i="4"/>
  <c r="Y41" i="4"/>
  <c r="X40" i="4"/>
  <c r="Y40" i="4"/>
  <c r="Q57" i="4"/>
  <c r="T57" i="4"/>
  <c r="Q41" i="4"/>
  <c r="W27" i="4"/>
  <c r="P54" i="4"/>
  <c r="P8" i="4"/>
  <c r="P40" i="4"/>
  <c r="P57" i="4"/>
  <c r="Q27" i="4"/>
  <c r="Q40" i="4"/>
  <c r="S40" i="4" s="1"/>
  <c r="Q30" i="4"/>
  <c r="Q29" i="4"/>
  <c r="T21" i="4"/>
  <c r="T29" i="4"/>
  <c r="Q10" i="4"/>
  <c r="W29" i="4"/>
  <c r="T10" i="4"/>
  <c r="T43" i="4"/>
  <c r="Q24" i="4"/>
  <c r="W24" i="4"/>
  <c r="W13" i="4"/>
  <c r="W21" i="4"/>
  <c r="W53" i="4"/>
  <c r="Q32" i="4"/>
  <c r="T7" i="4"/>
  <c r="Q7" i="4"/>
  <c r="Q72" i="4"/>
  <c r="R72" i="4" s="1"/>
  <c r="T38" i="4"/>
  <c r="P46" i="4"/>
  <c r="W32" i="4"/>
  <c r="P32" i="4"/>
  <c r="P66" i="4"/>
  <c r="P7" i="4"/>
  <c r="W38" i="4"/>
  <c r="Q53" i="4"/>
  <c r="R53" i="4" s="1"/>
  <c r="P72" i="4"/>
  <c r="Q66" i="4"/>
  <c r="R66" i="4" s="1"/>
  <c r="Q71" i="4"/>
  <c r="R71" i="4" s="1"/>
  <c r="T66" i="4"/>
  <c r="P18" i="4"/>
  <c r="Q18" i="4"/>
  <c r="T69" i="4"/>
  <c r="T5" i="4"/>
  <c r="W30" i="4"/>
  <c r="T71" i="4"/>
  <c r="Q5" i="4"/>
  <c r="W52" i="4"/>
  <c r="P24" i="4"/>
  <c r="T27" i="4"/>
  <c r="W69" i="4"/>
  <c r="P41" i="4"/>
  <c r="R69" i="4"/>
  <c r="S69" i="4"/>
  <c r="R41" i="4"/>
  <c r="S41" i="4"/>
  <c r="P69" i="4"/>
  <c r="P16" i="4"/>
  <c r="P71" i="4"/>
  <c r="W54" i="4"/>
  <c r="Q51" i="4"/>
  <c r="W4" i="4"/>
  <c r="Q61" i="4"/>
  <c r="W73" i="4"/>
  <c r="P53" i="4"/>
  <c r="P63" i="4"/>
  <c r="W10" i="4"/>
  <c r="T51" i="4"/>
  <c r="Q16" i="4"/>
  <c r="P4" i="4"/>
  <c r="W8" i="4"/>
  <c r="Q46" i="4"/>
  <c r="Q63" i="4"/>
  <c r="Q43" i="4"/>
  <c r="P51" i="4"/>
  <c r="T46" i="4"/>
  <c r="S49" i="4"/>
  <c r="R49" i="4"/>
  <c r="S57" i="4"/>
  <c r="R57" i="4"/>
  <c r="W20" i="4"/>
  <c r="P30" i="4"/>
  <c r="T61" i="4"/>
  <c r="Q4" i="4"/>
  <c r="W49" i="4"/>
  <c r="T16" i="4"/>
  <c r="P61" i="4"/>
  <c r="P43" i="4"/>
  <c r="Q20" i="4"/>
  <c r="T13" i="4"/>
  <c r="Q73" i="4"/>
  <c r="Q54" i="4"/>
  <c r="S55" i="4"/>
  <c r="R55" i="4"/>
  <c r="T63" i="4"/>
  <c r="Q8" i="4"/>
  <c r="R44" i="4"/>
  <c r="S44" i="4"/>
  <c r="T49" i="4"/>
  <c r="P20" i="4"/>
  <c r="T41" i="4"/>
  <c r="Q13" i="4"/>
  <c r="P49" i="4"/>
  <c r="P73" i="4"/>
  <c r="R38" i="4"/>
  <c r="S38" i="4"/>
  <c r="AO107" i="11"/>
  <c r="AQ28" i="11"/>
  <c r="AQ107" i="11" s="1"/>
  <c r="U22" i="11"/>
  <c r="AL22" i="11"/>
  <c r="AL17" i="11" s="1"/>
  <c r="AQ22" i="11"/>
  <c r="AQ17" i="11" s="1"/>
  <c r="AQ105" i="11"/>
  <c r="AG16" i="11"/>
  <c r="Z17" i="11"/>
  <c r="K75" i="4"/>
  <c r="T52" i="4"/>
  <c r="Q52" i="4"/>
  <c r="P39" i="4"/>
  <c r="W39" i="4"/>
  <c r="T39" i="4"/>
  <c r="Q39" i="4"/>
  <c r="W33" i="4"/>
  <c r="T33" i="4"/>
  <c r="Q33" i="4"/>
  <c r="P33" i="4"/>
  <c r="T19" i="4"/>
  <c r="Q19" i="4"/>
  <c r="P19" i="4"/>
  <c r="O75" i="4"/>
  <c r="T3" i="4"/>
  <c r="W3" i="4"/>
  <c r="Q3" i="4"/>
  <c r="P3" i="4"/>
  <c r="T26" i="4"/>
  <c r="Q26" i="4"/>
  <c r="P26" i="4"/>
  <c r="W26" i="4"/>
  <c r="W60" i="4"/>
  <c r="T60" i="4"/>
  <c r="Q60" i="4"/>
  <c r="P60" i="4"/>
  <c r="P17" i="4"/>
  <c r="T17" i="4"/>
  <c r="Q17" i="4"/>
  <c r="W17" i="4"/>
  <c r="Q65" i="4"/>
  <c r="P65" i="4"/>
  <c r="T65" i="4"/>
  <c r="W65" i="4"/>
  <c r="T48" i="4"/>
  <c r="Q48" i="4"/>
  <c r="P48" i="4"/>
  <c r="W48" i="4"/>
  <c r="P64" i="4"/>
  <c r="W64" i="4"/>
  <c r="T64" i="4"/>
  <c r="Q64" i="4"/>
  <c r="Q23" i="4"/>
  <c r="P23" i="4"/>
  <c r="T23" i="4"/>
  <c r="W23" i="4"/>
  <c r="P25" i="4"/>
  <c r="T25" i="4"/>
  <c r="W25" i="4"/>
  <c r="Q25" i="4"/>
  <c r="Q45" i="4"/>
  <c r="P45" i="4"/>
  <c r="T45" i="4"/>
  <c r="W45" i="4"/>
  <c r="Q56" i="4"/>
  <c r="P56" i="4"/>
  <c r="T56" i="4"/>
  <c r="W56" i="4"/>
  <c r="J75" i="4"/>
  <c r="T68" i="4"/>
  <c r="Q68" i="4"/>
  <c r="P68" i="4"/>
  <c r="W68" i="4"/>
  <c r="M75" i="4"/>
  <c r="N75" i="4"/>
  <c r="T15" i="4"/>
  <c r="Q15" i="4"/>
  <c r="P15" i="4"/>
  <c r="W15" i="4"/>
  <c r="W47" i="4"/>
  <c r="P47" i="4"/>
  <c r="T47" i="4"/>
  <c r="Q47" i="4"/>
  <c r="P9" i="4"/>
  <c r="Q9" i="4"/>
  <c r="W9" i="4"/>
  <c r="T9" i="4"/>
  <c r="P28" i="4"/>
  <c r="T28" i="4"/>
  <c r="W28" i="4"/>
  <c r="Q28" i="4"/>
  <c r="Q12" i="4"/>
  <c r="P12" i="4"/>
  <c r="T12" i="4"/>
  <c r="W12" i="4"/>
  <c r="W22" i="4"/>
  <c r="T22" i="4"/>
  <c r="Q22" i="4"/>
  <c r="P22" i="4"/>
  <c r="P62" i="4"/>
  <c r="Q62" i="4"/>
  <c r="W62" i="4"/>
  <c r="T62" i="4"/>
  <c r="P6" i="4"/>
  <c r="Q6" i="4"/>
  <c r="W6" i="4"/>
  <c r="T6" i="4"/>
  <c r="W67" i="4"/>
  <c r="T67" i="4"/>
  <c r="Q67" i="4"/>
  <c r="P67" i="4"/>
  <c r="P74" i="4"/>
  <c r="W74" i="4"/>
  <c r="T74" i="4"/>
  <c r="Q74" i="4"/>
  <c r="Q59" i="4"/>
  <c r="P59" i="4"/>
  <c r="T59" i="4"/>
  <c r="W59" i="4"/>
  <c r="P31" i="4"/>
  <c r="Q31" i="4"/>
  <c r="W31" i="4"/>
  <c r="T31" i="4"/>
  <c r="Q34" i="4"/>
  <c r="P34" i="4"/>
  <c r="T34" i="4"/>
  <c r="W34" i="4"/>
  <c r="P50" i="4"/>
  <c r="W50" i="4"/>
  <c r="T50" i="4"/>
  <c r="Q50" i="4"/>
  <c r="T37" i="4"/>
  <c r="Q37" i="4"/>
  <c r="P37" i="4"/>
  <c r="W37" i="4"/>
  <c r="W14" i="4"/>
  <c r="Q14" i="4"/>
  <c r="T14" i="4"/>
  <c r="P14" i="4"/>
  <c r="Q58" i="4"/>
  <c r="W58" i="4"/>
  <c r="P58" i="4"/>
  <c r="T58" i="4"/>
  <c r="Q35" i="4"/>
  <c r="W35" i="4"/>
  <c r="T35" i="4"/>
  <c r="P35" i="4"/>
  <c r="P36" i="4"/>
  <c r="T36" i="4"/>
  <c r="Q36" i="4"/>
  <c r="P70" i="4"/>
  <c r="Q70" i="4"/>
  <c r="W70" i="4"/>
  <c r="T70" i="4"/>
  <c r="P42" i="4"/>
  <c r="Q42" i="4"/>
  <c r="W42" i="4"/>
  <c r="T42" i="4"/>
  <c r="I75" i="4"/>
  <c r="U42" i="4" l="1"/>
  <c r="V42" i="4"/>
  <c r="X42" i="4"/>
  <c r="Y42" i="4"/>
  <c r="U70" i="4"/>
  <c r="V70" i="4"/>
  <c r="X70" i="4"/>
  <c r="Y70" i="4"/>
  <c r="U36" i="4"/>
  <c r="V36" i="4"/>
  <c r="U58" i="4"/>
  <c r="V58" i="4"/>
  <c r="X58" i="4"/>
  <c r="Y58" i="4"/>
  <c r="X37" i="4"/>
  <c r="Y37" i="4"/>
  <c r="U37" i="4"/>
  <c r="V37" i="4"/>
  <c r="U50" i="4"/>
  <c r="V50" i="4"/>
  <c r="X50" i="4"/>
  <c r="Y50" i="4"/>
  <c r="X59" i="4"/>
  <c r="Y59" i="4"/>
  <c r="U59" i="4"/>
  <c r="V59" i="4"/>
  <c r="U74" i="4"/>
  <c r="V74" i="4"/>
  <c r="X74" i="4"/>
  <c r="Y74" i="4"/>
  <c r="U67" i="4"/>
  <c r="V67" i="4"/>
  <c r="X67" i="4"/>
  <c r="Y67" i="4"/>
  <c r="U62" i="4"/>
  <c r="V62" i="4"/>
  <c r="X62" i="4"/>
  <c r="Y62" i="4"/>
  <c r="U47" i="4"/>
  <c r="V47" i="4"/>
  <c r="X47" i="4"/>
  <c r="Y47" i="4"/>
  <c r="X68" i="4"/>
  <c r="Y68" i="4"/>
  <c r="U68" i="4"/>
  <c r="V68" i="4"/>
  <c r="X56" i="4"/>
  <c r="Y56" i="4"/>
  <c r="U56" i="4"/>
  <c r="V56" i="4"/>
  <c r="X45" i="4"/>
  <c r="Y45" i="4"/>
  <c r="U45" i="4"/>
  <c r="V45" i="4"/>
  <c r="U64" i="4"/>
  <c r="V64" i="4"/>
  <c r="X64" i="4"/>
  <c r="Y64" i="4"/>
  <c r="X48" i="4"/>
  <c r="Y48" i="4"/>
  <c r="U48" i="4"/>
  <c r="V48" i="4"/>
  <c r="X65" i="4"/>
  <c r="Y65" i="4"/>
  <c r="U65" i="4"/>
  <c r="V65" i="4"/>
  <c r="U60" i="4"/>
  <c r="V60" i="4"/>
  <c r="X60" i="4"/>
  <c r="Y60" i="4"/>
  <c r="W75" i="4"/>
  <c r="U39" i="4"/>
  <c r="V39" i="4"/>
  <c r="X39" i="4"/>
  <c r="Y39" i="4"/>
  <c r="U52" i="4"/>
  <c r="V52" i="4"/>
  <c r="U41" i="4"/>
  <c r="V41" i="4"/>
  <c r="U49" i="4"/>
  <c r="V49" i="4"/>
  <c r="U63" i="4"/>
  <c r="V63" i="4"/>
  <c r="X49" i="4"/>
  <c r="Y49" i="4"/>
  <c r="U61" i="4"/>
  <c r="V61" i="4"/>
  <c r="U46" i="4"/>
  <c r="V46" i="4"/>
  <c r="U51" i="4"/>
  <c r="V51" i="4"/>
  <c r="X73" i="4"/>
  <c r="Y73" i="4"/>
  <c r="X54" i="4"/>
  <c r="Y54" i="4"/>
  <c r="X69" i="4"/>
  <c r="Y69" i="4"/>
  <c r="X52" i="4"/>
  <c r="Y52" i="4"/>
  <c r="U71" i="4"/>
  <c r="V71" i="4"/>
  <c r="U69" i="4"/>
  <c r="V69" i="4"/>
  <c r="U66" i="4"/>
  <c r="V66" i="4"/>
  <c r="X38" i="4"/>
  <c r="Y38" i="4"/>
  <c r="U38" i="4"/>
  <c r="V38" i="4"/>
  <c r="X53" i="4"/>
  <c r="Y53" i="4"/>
  <c r="U43" i="4"/>
  <c r="V43" i="4"/>
  <c r="U57" i="4"/>
  <c r="V57" i="4"/>
  <c r="R40" i="4"/>
  <c r="S53" i="4"/>
  <c r="S72" i="4"/>
  <c r="S66" i="4"/>
  <c r="S71" i="4"/>
  <c r="R43" i="4"/>
  <c r="S43" i="4"/>
  <c r="R63" i="4"/>
  <c r="S63" i="4"/>
  <c r="R51" i="4"/>
  <c r="S51" i="4"/>
  <c r="R46" i="4"/>
  <c r="S46" i="4"/>
  <c r="R62" i="4"/>
  <c r="S62" i="4"/>
  <c r="R67" i="4"/>
  <c r="S67" i="4"/>
  <c r="R42" i="4"/>
  <c r="S42" i="4"/>
  <c r="R37" i="4"/>
  <c r="S37" i="4"/>
  <c r="R45" i="4"/>
  <c r="S45" i="4"/>
  <c r="R74" i="4"/>
  <c r="S74" i="4"/>
  <c r="R56" i="4"/>
  <c r="S56" i="4"/>
  <c r="R39" i="4"/>
  <c r="S39" i="4"/>
  <c r="S36" i="4"/>
  <c r="R36" i="4"/>
  <c r="R52" i="4"/>
  <c r="S52" i="4"/>
  <c r="R60" i="4"/>
  <c r="S60" i="4"/>
  <c r="R65" i="4"/>
  <c r="S65" i="4"/>
  <c r="R68" i="4"/>
  <c r="S68" i="4"/>
  <c r="R48" i="4"/>
  <c r="S48" i="4"/>
  <c r="R54" i="4"/>
  <c r="S54" i="4"/>
  <c r="S64" i="4"/>
  <c r="R64" i="4"/>
  <c r="R50" i="4"/>
  <c r="S50" i="4"/>
  <c r="R47" i="4"/>
  <c r="S47" i="4"/>
  <c r="S70" i="4"/>
  <c r="R70" i="4"/>
  <c r="S58" i="4"/>
  <c r="R58" i="4"/>
  <c r="R59" i="4"/>
  <c r="S59" i="4"/>
  <c r="R73" i="4"/>
  <c r="S73" i="4"/>
  <c r="R61" i="4"/>
  <c r="S61" i="4"/>
  <c r="AQ110" i="11"/>
  <c r="U17" i="11"/>
  <c r="P75" i="4"/>
  <c r="Q75" i="4"/>
  <c r="T75" i="4"/>
  <c r="U75" i="4" l="1"/>
  <c r="N7" i="35" s="1"/>
  <c r="V75" i="4"/>
  <c r="R7" i="35" s="1"/>
  <c r="X75" i="4"/>
  <c r="Y75" i="4"/>
  <c r="M7" i="35"/>
  <c r="AR7" i="35" s="1"/>
  <c r="R75" i="4"/>
  <c r="H7" i="35" s="1"/>
  <c r="S75" i="4"/>
  <c r="L7" i="35" s="1"/>
  <c r="Z23" i="8"/>
  <c r="AM23" i="8" s="1"/>
  <c r="Z16" i="1"/>
  <c r="AM16" i="1" s="1"/>
  <c r="U23" i="8"/>
  <c r="AL23" i="8" s="1"/>
  <c r="U16" i="1"/>
  <c r="AL16" i="1" s="1"/>
  <c r="Y15" i="2"/>
  <c r="W15" i="2"/>
  <c r="V15" i="2"/>
  <c r="T15" i="2"/>
  <c r="R15" i="2"/>
  <c r="Q15" i="2"/>
  <c r="O15" i="2"/>
  <c r="M15" i="2"/>
  <c r="L15" i="2"/>
  <c r="J15" i="2"/>
  <c r="H15" i="2"/>
  <c r="G15" i="2"/>
  <c r="D15" i="2"/>
  <c r="C15" i="2"/>
  <c r="AD14" i="2"/>
  <c r="AB14" i="2"/>
  <c r="AA14" i="2"/>
  <c r="X14" i="2"/>
  <c r="Z14" i="2" s="1"/>
  <c r="S14" i="2"/>
  <c r="U14" i="2" s="1"/>
  <c r="AF14" i="2"/>
  <c r="E14" i="2"/>
  <c r="AD13" i="2"/>
  <c r="AB13" i="2"/>
  <c r="AA13" i="2"/>
  <c r="X13" i="2"/>
  <c r="Z13" i="2" s="1"/>
  <c r="S13" i="2"/>
  <c r="U13" i="2" s="1"/>
  <c r="AF13" i="2"/>
  <c r="E13" i="2"/>
  <c r="AD12" i="2"/>
  <c r="AB12" i="2"/>
  <c r="AA12" i="2"/>
  <c r="X12" i="2"/>
  <c r="S12" i="2"/>
  <c r="U12" i="2" s="1"/>
  <c r="AF12" i="2"/>
  <c r="E12" i="2"/>
  <c r="AD10" i="2"/>
  <c r="AB10" i="2"/>
  <c r="AA10" i="2"/>
  <c r="X10" i="2"/>
  <c r="Z10" i="2" s="1"/>
  <c r="S10" i="2"/>
  <c r="U10" i="2" s="1"/>
  <c r="AF10" i="2"/>
  <c r="E10" i="2"/>
  <c r="AD6" i="2"/>
  <c r="AB6" i="2"/>
  <c r="AA6" i="2"/>
  <c r="X6" i="2"/>
  <c r="S6" i="2"/>
  <c r="U6" i="2" s="1"/>
  <c r="AF6" i="2"/>
  <c r="E6" i="2"/>
  <c r="AD5" i="2"/>
  <c r="AB5" i="2"/>
  <c r="AA5" i="2"/>
  <c r="X5" i="2"/>
  <c r="Z5" i="2" s="1"/>
  <c r="S5" i="2"/>
  <c r="AC5" i="2"/>
  <c r="AF5" i="2"/>
  <c r="E5" i="2"/>
  <c r="AD4" i="2"/>
  <c r="AD15" i="2" s="1"/>
  <c r="AB4" i="2"/>
  <c r="AB15" i="2" s="1"/>
  <c r="AA4" i="2"/>
  <c r="AA15" i="2" s="1"/>
  <c r="X4" i="2"/>
  <c r="S4" i="2"/>
  <c r="U4" i="2" s="1"/>
  <c r="E4" i="2"/>
  <c r="E15" i="2" s="1"/>
  <c r="G6" i="52" l="1"/>
  <c r="G23" i="52" s="1"/>
  <c r="R1" i="35"/>
  <c r="R8" i="35"/>
  <c r="N1" i="35"/>
  <c r="N8" i="35"/>
  <c r="Q7" i="35"/>
  <c r="AD7" i="35"/>
  <c r="X8" i="35"/>
  <c r="X1" i="35"/>
  <c r="Z7" i="35"/>
  <c r="T8" i="35"/>
  <c r="T1" i="35"/>
  <c r="AR8" i="35"/>
  <c r="AR1" i="35"/>
  <c r="L1" i="35"/>
  <c r="L8" i="35"/>
  <c r="M8" i="35"/>
  <c r="M1" i="35"/>
  <c r="H1" i="35"/>
  <c r="H8" i="35"/>
  <c r="N15" i="2"/>
  <c r="AC4" i="2"/>
  <c r="X15" i="2"/>
  <c r="Z4" i="2"/>
  <c r="S15" i="2"/>
  <c r="AC6" i="2"/>
  <c r="AC12" i="2"/>
  <c r="AC13" i="2"/>
  <c r="AH14" i="2"/>
  <c r="AH13" i="2"/>
  <c r="AG13" i="2"/>
  <c r="AE13" i="2"/>
  <c r="AG12" i="2"/>
  <c r="AE10" i="2"/>
  <c r="AH10" i="2"/>
  <c r="AG10" i="2"/>
  <c r="AG6" i="2"/>
  <c r="K15" i="2"/>
  <c r="AF15" i="2"/>
  <c r="AH4" i="2"/>
  <c r="AE4" i="2"/>
  <c r="AE14" i="2"/>
  <c r="P15" i="2"/>
  <c r="Z12" i="2"/>
  <c r="AC10" i="2"/>
  <c r="AG14" i="2"/>
  <c r="Z6" i="2"/>
  <c r="Z15" i="2" s="1"/>
  <c r="U5" i="2"/>
  <c r="U15" i="2" s="1"/>
  <c r="AC14" i="2"/>
  <c r="AC15" i="2" s="1"/>
  <c r="I15" i="2"/>
  <c r="Q8" i="35" l="1"/>
  <c r="S7" i="35"/>
  <c r="Q1" i="35"/>
  <c r="W8" i="35"/>
  <c r="Y7" i="35"/>
  <c r="AC7" i="35"/>
  <c r="W1" i="35"/>
  <c r="AL7" i="35"/>
  <c r="AF7" i="35"/>
  <c r="Z8" i="35"/>
  <c r="Z1" i="35"/>
  <c r="AD8" i="35"/>
  <c r="AP7" i="35"/>
  <c r="AJ7" i="35"/>
  <c r="AD1" i="35"/>
  <c r="AE12" i="2"/>
  <c r="AH12" i="2"/>
  <c r="AE6" i="2"/>
  <c r="AG5" i="2"/>
  <c r="AG15" i="2" s="1"/>
  <c r="AH5" i="2"/>
  <c r="AE5" i="2"/>
  <c r="AE15" i="2" s="1"/>
  <c r="AH6" i="2"/>
  <c r="S8" i="35" l="1"/>
  <c r="S1" i="35"/>
  <c r="AJ8" i="35"/>
  <c r="AJ1" i="35"/>
  <c r="AP8" i="35"/>
  <c r="AP1" i="35"/>
  <c r="AF1" i="35"/>
  <c r="AF8" i="35"/>
  <c r="AL8" i="35"/>
  <c r="AL1" i="35"/>
  <c r="AO7" i="35"/>
  <c r="AI7" i="35"/>
  <c r="AC1" i="35"/>
  <c r="AC8" i="35"/>
  <c r="AE7" i="35"/>
  <c r="Y1" i="35"/>
  <c r="Y8" i="35"/>
  <c r="AH15" i="2"/>
  <c r="AF9" i="1"/>
  <c r="AG9" i="1"/>
  <c r="AI9" i="1"/>
  <c r="AK9" i="1"/>
  <c r="X9" i="1"/>
  <c r="AH9" i="1" s="1"/>
  <c r="S9" i="1"/>
  <c r="U9" i="1" s="1"/>
  <c r="AL9" i="1" s="1"/>
  <c r="AQ7" i="35" l="1"/>
  <c r="AK7" i="35"/>
  <c r="AT7" i="35" s="1"/>
  <c r="AU7" i="35" s="1"/>
  <c r="AE8" i="35"/>
  <c r="AE1" i="35"/>
  <c r="H6" i="52"/>
  <c r="H23" i="52" s="1"/>
  <c r="AS8" i="35"/>
  <c r="AS1" i="35"/>
  <c r="AI1" i="35"/>
  <c r="AI8" i="35"/>
  <c r="AO8" i="35"/>
  <c r="AO1" i="35"/>
  <c r="Z9" i="1"/>
  <c r="E9" i="1"/>
  <c r="E10" i="1"/>
  <c r="E11" i="1"/>
  <c r="X10" i="1"/>
  <c r="AK8" i="35" l="1"/>
  <c r="AK1" i="35"/>
  <c r="AQ1" i="35"/>
  <c r="AQ8" i="35"/>
  <c r="I6" i="52"/>
  <c r="I23" i="52" s="1"/>
  <c r="AT1" i="35"/>
  <c r="AT8" i="35"/>
  <c r="AU8" i="35" s="1"/>
  <c r="AM9" i="1"/>
  <c r="AJ9" i="1"/>
  <c r="AG11" i="1"/>
  <c r="AI11" i="1"/>
  <c r="AF11" i="1"/>
  <c r="AE10" i="1"/>
  <c r="AC11" i="1"/>
  <c r="AE11" i="1" s="1"/>
  <c r="AK11" i="1"/>
  <c r="S11" i="1"/>
  <c r="U11" i="1" s="1"/>
  <c r="X11" i="1"/>
  <c r="Z11" i="1" s="1"/>
  <c r="AM11" i="1" l="1"/>
  <c r="AJ11" i="1"/>
  <c r="AH11" i="1"/>
  <c r="AL11" i="1"/>
  <c r="E8" i="1" l="1"/>
  <c r="AK8" i="1"/>
  <c r="S8" i="1"/>
  <c r="U8" i="1" s="1"/>
  <c r="X8" i="1"/>
  <c r="Z8" i="1" s="1"/>
  <c r="AF8" i="1"/>
  <c r="AG8" i="1"/>
  <c r="AI8" i="1"/>
  <c r="AH8" i="1" l="1"/>
  <c r="AM8" i="1"/>
  <c r="AL8" i="1"/>
  <c r="AJ8" i="1"/>
  <c r="AK10" i="1" l="1"/>
  <c r="S10" i="1"/>
  <c r="U10" i="1" s="1"/>
  <c r="Z10" i="1"/>
  <c r="AF10" i="1"/>
  <c r="AG10" i="1"/>
  <c r="AI10" i="1"/>
  <c r="V14" i="1"/>
  <c r="M14" i="1"/>
  <c r="C14" i="1"/>
  <c r="G14" i="1"/>
  <c r="H14" i="1"/>
  <c r="J14" i="1"/>
  <c r="L14" i="1"/>
  <c r="O14" i="1"/>
  <c r="Q14" i="1"/>
  <c r="R14" i="1"/>
  <c r="T14" i="1"/>
  <c r="Y14" i="1"/>
  <c r="AH10" i="1" l="1"/>
  <c r="W14" i="1"/>
  <c r="AL10" i="1"/>
  <c r="AJ10" i="1"/>
  <c r="AM10" i="1"/>
  <c r="D14" i="1"/>
  <c r="AM14" i="1" l="1"/>
  <c r="X14" i="1" l="1"/>
  <c r="Z14" i="1" l="1"/>
  <c r="AG14" i="1" l="1"/>
  <c r="AF14" i="1"/>
  <c r="AI14" i="1" l="1"/>
  <c r="E14" i="1"/>
  <c r="N14" i="1"/>
  <c r="AH14" i="1"/>
  <c r="AJ14" i="1" l="1"/>
  <c r="P14" i="1"/>
  <c r="AK7" i="1" l="1"/>
  <c r="AK14" i="1" s="1"/>
  <c r="K14" i="1" l="1"/>
  <c r="S14" i="1"/>
  <c r="I14" i="1"/>
  <c r="U14" i="1" l="1"/>
  <c r="AL14" i="1"/>
  <c r="AN19" i="17" l="1"/>
  <c r="AN20" i="17" s="1"/>
  <c r="AN23" i="17" s="1"/>
  <c r="P20" i="17"/>
  <c r="P23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Rebeca Machado</author>
  </authors>
  <commentList>
    <comment ref="J20" authorId="0" shapeId="0" xr:uid="{710B3B96-3D89-43F3-A8F6-DFC32CC71C12}">
      <text>
        <r>
          <rPr>
            <sz val="18"/>
            <color rgb="FF000000"/>
            <rFont val="Segoe UI"/>
            <family val="2"/>
          </rPr>
          <t>Caso a linha refira-se a um provimento, deixar este campo em branco.</t>
        </r>
        <r>
          <rPr>
            <sz val="18"/>
            <color rgb="FF000000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Fabio Henrique Correia Cyrillo</author>
  </authors>
  <commentList>
    <comment ref="S23" authorId="0" shapeId="0" xr:uid="{19AF9875-55B2-4705-B142-2CB573875EA8}">
      <text>
        <r>
          <rPr>
            <sz val="11"/>
            <color rgb="FF000000"/>
            <rFont val="Calibri"/>
            <family val="2"/>
          </rPr>
          <t>Despesa mensal referente à Contribuição Patronal ao Regime Próprio de Previdência Social (RPPS) dos servidores civis ocupantes de cargos efetivos do PGPE e planos correlatos (publico alvo da referida gratificação), de 23.375%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Rebeca Machado</author>
  </authors>
  <commentList>
    <comment ref="J20" authorId="0" shapeId="0" xr:uid="{4460C37F-96CA-EB47-85D8-33D2733FFC20}">
      <text>
        <r>
          <rPr>
            <sz val="18"/>
            <color rgb="FF000000"/>
            <rFont val="Segoe UI"/>
            <family val="2"/>
          </rPr>
          <t>Caso a linha refira-se a um provimento, deixar este campo em branco.</t>
        </r>
        <r>
          <rPr>
            <sz val="18"/>
            <color rgb="FF000000"/>
            <rFont val="Segoe UI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Rebeca Machado</author>
  </authors>
  <commentList>
    <comment ref="J20" authorId="0" shapeId="0" xr:uid="{98DF158D-248A-4FAB-B88F-52E2FE1F2239}">
      <text>
        <r>
          <rPr>
            <sz val="18"/>
            <color rgb="FF000000"/>
            <rFont val="Segoe UI"/>
            <family val="2"/>
          </rPr>
          <t>Caso a linha refira-se a um provimento, deixar este campo em branco.</t>
        </r>
        <r>
          <rPr>
            <sz val="18"/>
            <color rgb="FF000000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<sst xmlns="http://schemas.openxmlformats.org/spreadsheetml/2006/main" count="13471" uniqueCount="1872">
  <si>
    <t>LOA 2025</t>
  </si>
  <si>
    <t>PLOA 2026</t>
  </si>
  <si>
    <t>Impacto ano a ano acumuladoR$</t>
  </si>
  <si>
    <t>Impacto total ano a ano acumuladoR$</t>
  </si>
  <si>
    <t>Anexo V - Criação e transf. de cargos</t>
  </si>
  <si>
    <t>Criação de cargos (DEPRO)</t>
  </si>
  <si>
    <t>GTATA</t>
  </si>
  <si>
    <t>Tranformação de FGs</t>
  </si>
  <si>
    <t>Anexo V - Reestrut. Reajustes</t>
  </si>
  <si>
    <t>Pt 4 Transf. Efetivos</t>
  </si>
  <si>
    <t>Reajustes</t>
  </si>
  <si>
    <t>Reajustes (enquadramentos)</t>
  </si>
  <si>
    <t>Reajuste do ex-território</t>
  </si>
  <si>
    <t>Total</t>
  </si>
  <si>
    <t>Criação de cargos</t>
  </si>
  <si>
    <t>BENEFÍCIOS</t>
  </si>
  <si>
    <t>Aux. Moradia ex-territorio</t>
  </si>
  <si>
    <t>Ind. Localidade Estrategica</t>
  </si>
  <si>
    <t>FCDF</t>
  </si>
  <si>
    <t>FCDF reajuste</t>
  </si>
  <si>
    <t>FCDF Auxilios</t>
  </si>
  <si>
    <t>FCDF Total</t>
  </si>
  <si>
    <t>Total LOA 2025</t>
  </si>
  <si>
    <t>Total PLOA 2026</t>
  </si>
  <si>
    <t>Carreira/Cargo</t>
  </si>
  <si>
    <t>Detalhamento</t>
  </si>
  <si>
    <t>Quantidade de Servidores</t>
  </si>
  <si>
    <t>Vigência</t>
  </si>
  <si>
    <t>Impacto</t>
  </si>
  <si>
    <t>Ativos</t>
  </si>
  <si>
    <t>Inativos</t>
  </si>
  <si>
    <t>Anualizado</t>
  </si>
  <si>
    <t>Ativo</t>
  </si>
  <si>
    <t>Pensionistas</t>
  </si>
  <si>
    <t>Primária</t>
  </si>
  <si>
    <t>Financeira (CPSS)</t>
  </si>
  <si>
    <t>pensionistas</t>
  </si>
  <si>
    <t>2026, 2027 (anualizado)</t>
  </si>
  <si>
    <t>Memória</t>
  </si>
  <si>
    <t>N/A = BENEFÍCIOS</t>
  </si>
  <si>
    <t>Item9-Loc Estrategica</t>
  </si>
  <si>
    <t>XV) Reajuste da remuneração da Polícia Civil, da Polícia Militar e do Corpo de Bombeiros Militar do Distrito Federal e do auxílio-moradia da Polícia Militar e do Corpo de Bombeiros Militar do Distrito Federal.</t>
  </si>
  <si>
    <t>PM - CBM - GDF auxilio moradia</t>
  </si>
  <si>
    <t>Dez/25 e Jan/26</t>
  </si>
  <si>
    <t>XVI) Reajuste da remuneração e do auxílio-moradia da Polícia Militar e do Corpo de Bombeiros Militar dos ex-Territórios Federais.</t>
  </si>
  <si>
    <t xml:space="preserve">PM - CBM - Ex-Territórios e antigo DF auxilio moradia </t>
  </si>
  <si>
    <t>Despesa a ser compensada:</t>
  </si>
  <si>
    <t>RSC - PCCTAE</t>
  </si>
  <si>
    <t>Item 1 - RSC</t>
  </si>
  <si>
    <t xml:space="preserve">II) Reajuste da remuneração dos cargos de Médico e Médico Veterinário </t>
  </si>
  <si>
    <t>Médico PCCTAE</t>
  </si>
  <si>
    <t>Médico</t>
  </si>
  <si>
    <t>Item 2 - MED. PCCTAE</t>
  </si>
  <si>
    <t>Plano Especial de Cargos de Cargos do Ministério da Educação – PECMEC e quadro suplementar do Ministério da Educação</t>
  </si>
  <si>
    <t>NS</t>
  </si>
  <si>
    <t>NI</t>
  </si>
  <si>
    <t>NA</t>
  </si>
  <si>
    <r>
      <rPr>
        <sz val="11"/>
        <color rgb="FF000000"/>
        <rFont val="Calibri"/>
        <family val="2"/>
        <scheme val="minor"/>
      </rPr>
      <t xml:space="preserve">Plano Especial de Cargos de Cargos do Ministério da Educação – PECMEC e quadro suplementar do Ministério da Educação - </t>
    </r>
    <r>
      <rPr>
        <u/>
        <sz val="11"/>
        <color rgb="FF000000"/>
        <rFont val="Calibri"/>
        <family val="2"/>
        <scheme val="minor"/>
      </rPr>
      <t>enquadramento</t>
    </r>
  </si>
  <si>
    <t>Analista Técnico do Poder Executivo Federal</t>
  </si>
  <si>
    <r>
      <rPr>
        <sz val="11"/>
        <color rgb="FF000000"/>
        <rFont val="Calibri"/>
        <family val="2"/>
        <scheme val="minor"/>
      </rPr>
      <t xml:space="preserve">Analista Técnico do Poder Executivo Federal - </t>
    </r>
    <r>
      <rPr>
        <u/>
        <sz val="11"/>
        <color rgb="FF000000"/>
        <rFont val="Calibri"/>
        <family val="2"/>
        <scheme val="minor"/>
      </rPr>
      <t>enquadramento</t>
    </r>
  </si>
  <si>
    <t>Plano Especial de Cargos da Cultura</t>
  </si>
  <si>
    <t>NS/NI/NA</t>
  </si>
  <si>
    <t>Carreiras Tributárias - Mudança % na tabela de pagamentos</t>
  </si>
  <si>
    <t>Aposentados e pensionistas de analistas e auditores</t>
  </si>
  <si>
    <t>Carreiras Tributárias - Reajuste VB</t>
  </si>
  <si>
    <t>Auditor e Analista reajuste de VB</t>
  </si>
  <si>
    <t>Carreira de auditoria Fiscal do Trabalho - Mudança % na tabela de pagamentos</t>
  </si>
  <si>
    <t>Aposentados e pensionistas de analistas e audirores</t>
  </si>
  <si>
    <t>Carreira de auditoria Fiscal do Trabalho - Reajuste VB</t>
  </si>
  <si>
    <t>AFT Reajuste de VB</t>
  </si>
  <si>
    <t>Quadro Suplementar de analista de sistemas e processamento de dados</t>
  </si>
  <si>
    <t>Anistiado Reposicionamento</t>
  </si>
  <si>
    <t>Anistiado PDI</t>
  </si>
  <si>
    <t>PM - CBM - GDF</t>
  </si>
  <si>
    <t>Item15-FCDFGeral</t>
  </si>
  <si>
    <t>PC - GDF</t>
  </si>
  <si>
    <t>PM - CBM - Ex-Territórios e antigo DF</t>
  </si>
  <si>
    <t>Item 16 - ExTerr-Reaj.Moradia</t>
  </si>
  <si>
    <t>PARA ANEXO V 2026 (OU SEJA SEM FCDF E EX-TERRIT)</t>
  </si>
  <si>
    <t>LOA 2026 COM GTATA</t>
  </si>
  <si>
    <t>LOA 2026 SEM GTATA</t>
  </si>
  <si>
    <t>SALDO</t>
  </si>
  <si>
    <t>ItemXX - Reabertura Prazo CEEXT</t>
  </si>
  <si>
    <t xml:space="preserve">Confirmar sobre prazo </t>
  </si>
  <si>
    <t>2027 (anualizado)</t>
  </si>
  <si>
    <t>VII) Criação da Gratificação Temporária de Execução e de Apoio a Atividades Técnicas e Administrativas.</t>
  </si>
  <si>
    <t>Gratificação Temporária de Execução de Atividades Técnicas e Administrativas (GTATA)</t>
  </si>
  <si>
    <t>NS/NI</t>
  </si>
  <si>
    <t xml:space="preserve">Item 7 - GTATA </t>
  </si>
  <si>
    <t>XII) Criação de Cargos efetivos.</t>
  </si>
  <si>
    <t>Criação de Cargos</t>
  </si>
  <si>
    <t>Item12-CriaçãoCargos</t>
  </si>
  <si>
    <t>XIII) Transformação de funções gratificadas em funções comissionadas executivas.</t>
  </si>
  <si>
    <t>Transformação de funçoes</t>
  </si>
  <si>
    <t>Item13-Transformação CC</t>
  </si>
  <si>
    <t>Estimativa do Impacto do RSC na Carreira TAE</t>
  </si>
  <si>
    <r>
      <t xml:space="preserve">Estudo de Impacto orçamentário do RSC considerando a nova estrutura remuneratória da MP1286/2024. </t>
    </r>
    <r>
      <rPr>
        <b/>
        <sz val="9"/>
        <color theme="3" tint="0.34998626667073579"/>
        <rFont val="Arial"/>
        <family val="2"/>
      </rPr>
      <t>Foi considerado nos dados: 
a) incorrência do RSC no grupo de servidores efetivos; b) equivalência do RSC no IQ imediatamente acima da matriz concedida atualmente</t>
    </r>
  </si>
  <si>
    <t>Parâmetros Utilizados (Proposta do MGI)</t>
  </si>
  <si>
    <t>Referência (% Aumento Inícial E):</t>
  </si>
  <si>
    <t>Step</t>
  </si>
  <si>
    <t>%</t>
  </si>
  <si>
    <t>Ano</t>
  </si>
  <si>
    <t>Data-Base</t>
  </si>
  <si>
    <t>% Reajuste</t>
  </si>
  <si>
    <t>% Relação A em relação a E</t>
  </si>
  <si>
    <t>Nenhum</t>
  </si>
  <si>
    <t>% Adesão RSC 2024</t>
  </si>
  <si>
    <t>% Relação B em relação a E</t>
  </si>
  <si>
    <t>Janeiro</t>
  </si>
  <si>
    <t>% Adesão RSC 2025</t>
  </si>
  <si>
    <t>% Relação C em relação a E</t>
  </si>
  <si>
    <t>Abril</t>
  </si>
  <si>
    <t>% Adesão RSC 2026</t>
  </si>
  <si>
    <t>% Relação D em relação a E</t>
  </si>
  <si>
    <t>% Adesão RSC 2027</t>
  </si>
  <si>
    <t>Ano Corrente</t>
  </si>
  <si>
    <t>Ano Anterior</t>
  </si>
  <si>
    <t>NC</t>
  </si>
  <si>
    <t>Padrão</t>
  </si>
  <si>
    <t>Vencimento PCCTAE Atual</t>
  </si>
  <si>
    <t>Simulação</t>
  </si>
  <si>
    <t>Incentivo à Qualificação (IQ) - Simulação</t>
  </si>
  <si>
    <t>Proposta Atual MGI (14,45%)</t>
  </si>
  <si>
    <t>Proposta Atual Fasubra (34,34%)</t>
  </si>
  <si>
    <t>Vencimento</t>
  </si>
  <si>
    <t>% de Aumento</t>
  </si>
  <si>
    <t>Aumento Absoluto</t>
  </si>
  <si>
    <t>Fundam.
10%</t>
  </si>
  <si>
    <t>Médio
15%</t>
  </si>
  <si>
    <t>Técnico
20%</t>
  </si>
  <si>
    <t>Graduação
25%</t>
  </si>
  <si>
    <t>Espec.
30%</t>
  </si>
  <si>
    <t>Mestrado
52%</t>
  </si>
  <si>
    <t>Doutorado
75%</t>
  </si>
  <si>
    <t>R$</t>
  </si>
  <si>
    <t>Fevereiro</t>
  </si>
  <si>
    <r>
      <t xml:space="preserve">A </t>
    </r>
    <r>
      <rPr>
        <b/>
        <sz val="8"/>
        <color theme="1"/>
        <rFont val="Arial"/>
        <family val="2"/>
      </rPr>
      <t>(Fundamental Incompleto)</t>
    </r>
  </si>
  <si>
    <t>Inicial</t>
  </si>
  <si>
    <t>Março</t>
  </si>
  <si>
    <t>Final</t>
  </si>
  <si>
    <r>
      <t xml:space="preserve">B </t>
    </r>
    <r>
      <rPr>
        <b/>
        <sz val="8"/>
        <color theme="1"/>
        <rFont val="Arial"/>
        <family val="2"/>
      </rPr>
      <t>(Fundamental Completo)</t>
    </r>
  </si>
  <si>
    <t>-</t>
  </si>
  <si>
    <t>Maio</t>
  </si>
  <si>
    <t>Junho</t>
  </si>
  <si>
    <r>
      <t xml:space="preserve">C </t>
    </r>
    <r>
      <rPr>
        <b/>
        <sz val="8"/>
        <color theme="1"/>
        <rFont val="Arial"/>
        <family val="2"/>
      </rPr>
      <t>(Fundamental/Médio)</t>
    </r>
  </si>
  <si>
    <t>Julho</t>
  </si>
  <si>
    <t>Agosto</t>
  </si>
  <si>
    <r>
      <t xml:space="preserve">D </t>
    </r>
    <r>
      <rPr>
        <b/>
        <sz val="8"/>
        <color theme="1"/>
        <rFont val="Arial"/>
        <family val="2"/>
      </rPr>
      <t>(Nível Médio)</t>
    </r>
  </si>
  <si>
    <t>Setembro</t>
  </si>
  <si>
    <t>Outubro</t>
  </si>
  <si>
    <r>
      <t xml:space="preserve">E </t>
    </r>
    <r>
      <rPr>
        <b/>
        <sz val="8"/>
        <color theme="1"/>
        <rFont val="Arial"/>
        <family val="2"/>
      </rPr>
      <t>(Nível Superior)</t>
    </r>
  </si>
  <si>
    <t>Novembro</t>
  </si>
  <si>
    <t>(Referência)</t>
  </si>
  <si>
    <t>Dezembro</t>
  </si>
  <si>
    <r>
      <t xml:space="preserve">Percentual de Aumento Ponderado
</t>
    </r>
    <r>
      <rPr>
        <sz val="8"/>
        <color rgb="FF002060"/>
        <rFont val="Arial"/>
        <family val="2"/>
      </rPr>
      <t>(Considerando o Volume de Pessoas em Cada Padrão de Vencimento, a Classe e o Vencimento)</t>
    </r>
  </si>
  <si>
    <r>
      <t xml:space="preserve">Quadro Comparativo
</t>
    </r>
    <r>
      <rPr>
        <sz val="10"/>
        <rFont val="Calibri"/>
        <family val="2"/>
        <scheme val="minor"/>
      </rPr>
      <t>(Efeito Anual)</t>
    </r>
  </si>
  <si>
    <t>Proposta FASUBRA</t>
  </si>
  <si>
    <t>Distribuição do Aumento</t>
  </si>
  <si>
    <t>Folha Anual Atual</t>
  </si>
  <si>
    <t>(Serivores Ativo, Aposentado e Pensionista)
(Venc. + IQ + 13º + Férias + Outras Rubricas)</t>
  </si>
  <si>
    <t>(Servidores Ativos)
( 13º + Férias)</t>
  </si>
  <si>
    <t>Impacto Progressão</t>
  </si>
  <si>
    <t>(Com efeitos observados ao final do 3º ano, pois os 2 primeiros anos são contabilizados como cresc.vegetativo) 
(Servidores Ativos)
( 13º + Férias)</t>
  </si>
  <si>
    <t>Impacto Total na Folha Anual (Proposta)</t>
  </si>
  <si>
    <t>Distribuição Atual de IQ - Efetivos</t>
  </si>
  <si>
    <t>Classe</t>
  </si>
  <si>
    <t>Sem IQ</t>
  </si>
  <si>
    <r>
      <t xml:space="preserve">A </t>
    </r>
    <r>
      <rPr>
        <sz val="8"/>
        <color theme="1"/>
        <rFont val="Arial"/>
        <family val="2"/>
      </rPr>
      <t>(Fundamental Incompleto)</t>
    </r>
  </si>
  <si>
    <r>
      <t xml:space="preserve">B </t>
    </r>
    <r>
      <rPr>
        <sz val="8"/>
        <color theme="1"/>
        <rFont val="Arial"/>
        <family val="2"/>
      </rPr>
      <t>(Fundamental Completo)</t>
    </r>
  </si>
  <si>
    <r>
      <t xml:space="preserve">C </t>
    </r>
    <r>
      <rPr>
        <sz val="8"/>
        <color theme="1"/>
        <rFont val="Arial"/>
        <family val="2"/>
      </rPr>
      <t>(Fundamental/Médio)</t>
    </r>
  </si>
  <si>
    <r>
      <t xml:space="preserve">D </t>
    </r>
    <r>
      <rPr>
        <sz val="8"/>
        <color theme="1"/>
        <rFont val="Arial"/>
        <family val="2"/>
      </rPr>
      <t>(Nível Médio)</t>
    </r>
  </si>
  <si>
    <r>
      <t xml:space="preserve">E </t>
    </r>
    <r>
      <rPr>
        <sz val="8"/>
        <color theme="1"/>
        <rFont val="Arial"/>
        <family val="2"/>
      </rPr>
      <t>(Nível Superior)</t>
    </r>
  </si>
  <si>
    <t>TOTAL</t>
  </si>
  <si>
    <t>* Fonte: Relatório DESIN/MGI - Dezembro/2023</t>
  </si>
  <si>
    <t>% dos Servidores Elegíveis</t>
  </si>
  <si>
    <t>Nº de Servidores Elegíveis</t>
  </si>
  <si>
    <t>Impacto Anual RSC
2026</t>
  </si>
  <si>
    <t>Impacto Anual RSC
2027</t>
  </si>
  <si>
    <t>Impacto Anual RSC
2028</t>
  </si>
  <si>
    <r>
      <t xml:space="preserve">Cenário Provável até 2026 </t>
    </r>
    <r>
      <rPr>
        <sz val="10"/>
        <color rgb="FF002060"/>
        <rFont val="Calibri"/>
        <family val="2"/>
        <scheme val="minor"/>
      </rPr>
      <t xml:space="preserve">
Considerando a manutenção do ritmo de concessão do IQ via título e o ritmo de aplicabilidade do RSC (Critérios e interstícios)</t>
    </r>
  </si>
  <si>
    <r>
      <rPr>
        <b/>
        <sz val="10"/>
        <color rgb="FFC00000"/>
        <rFont val="Calibri"/>
        <family val="2"/>
        <scheme val="minor"/>
      </rPr>
      <t>Cenário Inexistente</t>
    </r>
    <r>
      <rPr>
        <sz val="10"/>
        <color rgb="FFC00000"/>
        <rFont val="Calibri"/>
        <family val="2"/>
        <scheme val="minor"/>
      </rPr>
      <t xml:space="preserve">
Atualmente, aproximadamente 12% dos servidores encontram-se afastados para qualificação, portanto acessando o IQ via Título</t>
    </r>
  </si>
  <si>
    <t>Demonstrativo de Impacto no Fluxo Anual (Simulação)</t>
  </si>
  <si>
    <t>Impacto
Proposta Atual MGI
(Mesa dia xx)</t>
  </si>
  <si>
    <t>Impacto
Proposta FASUBRA</t>
  </si>
  <si>
    <t>Ano de Exercício</t>
  </si>
  <si>
    <t>A partir de 2027</t>
  </si>
  <si>
    <t>Mês de Implantação Aumento (Data Base)</t>
  </si>
  <si>
    <t>0% em 2024
9% em 2025
5% em 2026</t>
  </si>
  <si>
    <t>10,34% a.a. em 2024/2025/2026</t>
  </si>
  <si>
    <t>Percentual de Ajuste Anual</t>
  </si>
  <si>
    <t>Percentual Acumulado</t>
  </si>
  <si>
    <t>Impacto Total na Folha Anual (Acumulado)</t>
  </si>
  <si>
    <t>Adotado</t>
  </si>
  <si>
    <t>Vigência - Nova</t>
  </si>
  <si>
    <t>% reajuste</t>
  </si>
  <si>
    <t>% reajuste considerado para abr/2026</t>
  </si>
  <si>
    <t>Novo % reajuste acordado para abr/2026</t>
  </si>
  <si>
    <t>Cálculo</t>
  </si>
  <si>
    <t>Folha atual (jun2025)</t>
  </si>
  <si>
    <t>Folha 2026 - Janeiro a Março</t>
  </si>
  <si>
    <t>Folha 2026 - Abril a Dezembro</t>
  </si>
  <si>
    <t>2026 (Nova Proposta)</t>
  </si>
  <si>
    <t>ativo</t>
  </si>
  <si>
    <t>apos</t>
  </si>
  <si>
    <t>inst</t>
  </si>
  <si>
    <t>total</t>
  </si>
  <si>
    <t>MÉDICOS 
PCCTAE</t>
  </si>
  <si>
    <t>VENCIMENTO BÁSICO</t>
  </si>
  <si>
    <t>ADICIONAIS (ATS + Adicionais Ocupacionais)</t>
  </si>
  <si>
    <t>Demais Adicionais</t>
  </si>
  <si>
    <t>GRATIF DE DESEMPENHO</t>
  </si>
  <si>
    <t>IQ</t>
  </si>
  <si>
    <t>DECISÕES JUDICIAIS</t>
  </si>
  <si>
    <t>ABONO</t>
  </si>
  <si>
    <t>OUTROS</t>
  </si>
  <si>
    <t>%adicionais</t>
  </si>
  <si>
    <t>%abono</t>
  </si>
  <si>
    <t>Impacto no exerc.</t>
  </si>
  <si>
    <t>%funpresp</t>
  </si>
  <si>
    <t>Funpresp no exerc.</t>
  </si>
  <si>
    <t>%cpss patronal</t>
  </si>
  <si>
    <t>CPPS no exerc.</t>
  </si>
  <si>
    <t>TOTAL no exerc.</t>
  </si>
  <si>
    <t>2025 - Atual - Anualizada</t>
  </si>
  <si>
    <t>(quantitativos de setembro/25)</t>
  </si>
  <si>
    <t>IMPACTO A PARTIR DE DEZ/25 (considerando reajustes já acordados)</t>
  </si>
  <si>
    <t>CARREIRA</t>
  </si>
  <si>
    <t>QTD TOTAL DE SERVIDORES</t>
  </si>
  <si>
    <t>QTD DE SERVIDORES CONSIDERADOS</t>
  </si>
  <si>
    <t>IMPACTO NO EXERCÍCIO 2025</t>
  </si>
  <si>
    <t>IMPACTO NO EXERCÍCIO 2026</t>
  </si>
  <si>
    <t>IMPACTO ANUALIZADO (2027/2028)</t>
  </si>
  <si>
    <t>PRIMÁRIO</t>
  </si>
  <si>
    <t>FINANCEIRO</t>
  </si>
  <si>
    <t>ATIVOS</t>
  </si>
  <si>
    <t>INATIVOS</t>
  </si>
  <si>
    <t>PCC</t>
  </si>
  <si>
    <t>PGPE</t>
  </si>
  <si>
    <t>INATIVOS COM PARIDADE</t>
  </si>
  <si>
    <t>GRUPO DE CARGOS INFORMADOS = PGPE &amp; NovaTabela</t>
  </si>
  <si>
    <t>CARREIRA/ PLANO/ QUADRO/TABELA atuais</t>
  </si>
  <si>
    <t>QTD DE SERVIDORES GERAL</t>
  </si>
  <si>
    <t xml:space="preserve"> IMPACTO NO EXERCÍCIO 2025</t>
  </si>
  <si>
    <t xml:space="preserve"> IMPACTO ANUALIZADO 2025</t>
  </si>
  <si>
    <t xml:space="preserve"> IMPACTO NO EXERCÍCIO 2026</t>
  </si>
  <si>
    <t xml:space="preserve"> IMPACTO ANUALIZADO (2027/2028)</t>
  </si>
  <si>
    <t>ATIVOS COM CONCURSO</t>
  </si>
  <si>
    <t>INATIVOS COM CONCURSO E PARIDADE</t>
  </si>
  <si>
    <t>CSST</t>
  </si>
  <si>
    <t>EMBRATUR</t>
  </si>
  <si>
    <t>HFA</t>
  </si>
  <si>
    <t>IN (QUADRO PESSOAL)</t>
  </si>
  <si>
    <t>PEC CULTURA</t>
  </si>
  <si>
    <t>PEC FAZENDA</t>
  </si>
  <si>
    <t>PECPF</t>
  </si>
  <si>
    <t>PECPRF</t>
  </si>
  <si>
    <t>PST</t>
  </si>
  <si>
    <t>PEC Cultura(NS/NA/NI) = NovasTabelas</t>
  </si>
  <si>
    <t>IMPACTO A PARTIR DE ABR/26 (considerando reajustes já acordados)</t>
  </si>
  <si>
    <t>SEM CARGOS DA CARREIRA TRANSVERSAL E SEM CARGOS DE ANALISTA DE SISTEMA</t>
  </si>
  <si>
    <t>ESCOLARIDADE DO CARGO</t>
  </si>
  <si>
    <t>Penionistas</t>
  </si>
  <si>
    <t>2026 e 2027 (anualizado)</t>
  </si>
  <si>
    <t>Carreiras Tributárias RFB- Mudança % na tabela de pagamentos</t>
  </si>
  <si>
    <t>Carreiras Tributárias RFB - Reajuste VB</t>
  </si>
  <si>
    <t>AUDITORIA  FEDERAL</t>
  </si>
  <si>
    <t>Carreira Tributária e Aduaneira da Receita Federal do Brasil</t>
  </si>
  <si>
    <t xml:space="preserve">  Cargo: Auditor-Fiscal da Receita Federal do Brasil </t>
  </si>
  <si>
    <t>Nível Superior</t>
  </si>
  <si>
    <t>Tempo como Aposentado/Pensionista (T1) (Em meses)</t>
  </si>
  <si>
    <t>Percentual correspondente (%)</t>
  </si>
  <si>
    <t>Bônus de Eficiência</t>
  </si>
  <si>
    <t>Quantidade</t>
  </si>
  <si>
    <t>Despesa</t>
  </si>
  <si>
    <t>Impacto - 2026</t>
  </si>
  <si>
    <t>Impacto - 2027
Anual (12 meses)</t>
  </si>
  <si>
    <t>Atual</t>
  </si>
  <si>
    <t>Termo de Acordo</t>
  </si>
  <si>
    <t>% Vigente até janeiro/2026</t>
  </si>
  <si>
    <t>% Vigente a partir de fevereiro/2026</t>
  </si>
  <si>
    <t>Mensal</t>
  </si>
  <si>
    <t>Anual (11 meses)</t>
  </si>
  <si>
    <t>Fevereiro/2026</t>
  </si>
  <si>
    <t>Aposentado</t>
  </si>
  <si>
    <t>Inst Pensão (Pensionista)</t>
  </si>
  <si>
    <t>T1 ≤ 12</t>
  </si>
  <si>
    <t>12 &lt; T1 ≤ 24</t>
  </si>
  <si>
    <t>24 &lt; T1 ≤ 36</t>
  </si>
  <si>
    <t>36 &lt; T1 ≤ 48</t>
  </si>
  <si>
    <t>48 &lt; T1 ≤ 60</t>
  </si>
  <si>
    <t>60 &lt; T1 ≤ 72</t>
  </si>
  <si>
    <t>72 &lt; T1 ≤ 84</t>
  </si>
  <si>
    <t>84 &lt; T1 ≤ 96</t>
  </si>
  <si>
    <t>96 &lt; T1 ≤ 108</t>
  </si>
  <si>
    <t>T1 &gt; 108</t>
  </si>
  <si>
    <t>Aposentados</t>
  </si>
  <si>
    <t xml:space="preserve">  Cargo: Analista-Tributário da Receita Federal do Brasil</t>
  </si>
  <si>
    <t>Folha atual</t>
  </si>
  <si>
    <t>Vencimento Básico Atual (janeiro/2025)</t>
  </si>
  <si>
    <t>AUDITORIA FEDERAL</t>
  </si>
  <si>
    <t>GRATIF DE DESEMPENHO (GD)</t>
  </si>
  <si>
    <t>BÔNUS</t>
  </si>
  <si>
    <t>Impacto anualiz</t>
  </si>
  <si>
    <t>Funpresp anualiz</t>
  </si>
  <si>
    <t>CPPS anualiz</t>
  </si>
  <si>
    <t>Total anualiz</t>
  </si>
  <si>
    <t>2025 - Sem aumento</t>
  </si>
  <si>
    <t>Carreira de Auditoria-Fiscal do Trabalho</t>
  </si>
  <si>
    <t xml:space="preserve">  Cargo: Auditor-Fiscal do Trabalho </t>
  </si>
  <si>
    <t>CLASSE</t>
  </si>
  <si>
    <t>PADRÃO</t>
  </si>
  <si>
    <t>BÔNUS DE EFICIÊNCIA</t>
  </si>
  <si>
    <t>BÔNUS DE EFICIÊNCIA
FEVEREIRO/2025</t>
  </si>
  <si>
    <t>BÔNUS DE EFICIÊNCIA
NOVEMBRO/2025</t>
  </si>
  <si>
    <t>IMPACTO
2025</t>
  </si>
  <si>
    <t>IMPACTO
2026</t>
  </si>
  <si>
    <t>FEVEREIRO/2025</t>
  </si>
  <si>
    <t>NOVEMBRO/2025</t>
  </si>
  <si>
    <t>DESPESA TOTAL</t>
  </si>
  <si>
    <t>ESPECIAL</t>
  </si>
  <si>
    <t>lll</t>
  </si>
  <si>
    <t>ll</t>
  </si>
  <si>
    <t>l</t>
  </si>
  <si>
    <t>PRIMEIRA</t>
  </si>
  <si>
    <t>SEGUNDA</t>
  </si>
  <si>
    <t>Impacto - 2027</t>
  </si>
  <si>
    <t>Anual (12 meses)</t>
  </si>
  <si>
    <t xml:space="preserve"> -   </t>
  </si>
  <si>
    <t>aposentado</t>
  </si>
  <si>
    <t>AUTORIZAÇÕES ESPECÍFICAS DE QUE TRATA O ART. 169, § 1º, INCISO II, DA CONSTITUIÇÃO, E O ART. 118, INCISO IV, DA LEI DE DIRETRIZES ORÇAMENTÁRIAS PARA 2025</t>
  </si>
  <si>
    <t>QUADRO I - DETALHAMENTO DE CARGOS E FUNÇÕES PARA FINS DE ELABORAÇÃO DO ANEXO V DA LOA-2025</t>
  </si>
  <si>
    <t>Poder</t>
  </si>
  <si>
    <t>Executivo</t>
  </si>
  <si>
    <t>Exercício</t>
  </si>
  <si>
    <t xml:space="preserve">Grupo </t>
  </si>
  <si>
    <t>SGP/MGI</t>
  </si>
  <si>
    <t>Campo Calculado</t>
  </si>
  <si>
    <t>Campo para Inserção</t>
  </si>
  <si>
    <t>Legenda Cor</t>
  </si>
  <si>
    <t>QUADRO I.c -Detalhamento de criação e provimento de cargos efetivos, funções e gratificações no âmbito do Poder Executivo Federal</t>
  </si>
  <si>
    <t xml:space="preserve">Despesa Mensal </t>
  </si>
  <si>
    <t>Despesa no Exercício</t>
  </si>
  <si>
    <t>Despesa Anualizada</t>
  </si>
  <si>
    <t>Financeira</t>
  </si>
  <si>
    <t xml:space="preserve">Primária </t>
  </si>
  <si>
    <t>CONFERÊNCIA</t>
  </si>
  <si>
    <t xml:space="preserve"> Unidade</t>
  </si>
  <si>
    <t xml:space="preserve">Tipo de Autorização </t>
  </si>
  <si>
    <t>Tipo de Ato Normativo</t>
  </si>
  <si>
    <t>Nº do Ato</t>
  </si>
  <si>
    <t>Ano do Ato Normativo</t>
  </si>
  <si>
    <t>Complemento</t>
  </si>
  <si>
    <t>Carreira, Cargo ou Função</t>
  </si>
  <si>
    <t>Observações
(opcional)</t>
  </si>
  <si>
    <t>Nota de Rodapé
(opcional)</t>
  </si>
  <si>
    <t xml:space="preserve">Teto da Previdência </t>
  </si>
  <si>
    <t>Excedente ao Teto da Previdência</t>
  </si>
  <si>
    <t xml:space="preserve"> Remuneração </t>
  </si>
  <si>
    <t>Quant. Criação</t>
  </si>
  <si>
    <t xml:space="preserve"> Quant. Provimento</t>
  </si>
  <si>
    <t>Ativos - Remuneração</t>
  </si>
  <si>
    <t>Ativos - Prev. Complementar</t>
  </si>
  <si>
    <t>CPSS - Cargos efetivos</t>
  </si>
  <si>
    <t>Mês do Provimento ou Implantação ou Vigência</t>
  </si>
  <si>
    <t xml:space="preserve"> Primária Total</t>
  </si>
  <si>
    <t>CPSS/ Financeira Total</t>
  </si>
  <si>
    <t>DESPESA NO EXERCÍCIO TOTAL</t>
  </si>
  <si>
    <t>Ativos -  Prev. Complementar</t>
  </si>
  <si>
    <t>Primária Total</t>
  </si>
  <si>
    <t>DESPESA ANUALIZADA TOTAL</t>
  </si>
  <si>
    <t>Memória de Cálculo
(opcional)</t>
  </si>
  <si>
    <t>(A)</t>
  </si>
  <si>
    <t>B = (C - A)</t>
  </si>
  <si>
    <t xml:space="preserve">(C) </t>
  </si>
  <si>
    <t>(D)</t>
  </si>
  <si>
    <t xml:space="preserve">(E) </t>
  </si>
  <si>
    <t>F = (C x E)</t>
  </si>
  <si>
    <t>G = (B x E) x 8,5%</t>
  </si>
  <si>
    <t>I = (A x E) x 23,375%</t>
  </si>
  <si>
    <t>J = (F+G+I)</t>
  </si>
  <si>
    <t>K</t>
  </si>
  <si>
    <t>L</t>
  </si>
  <si>
    <t>M = (I + J)</t>
  </si>
  <si>
    <t>N</t>
  </si>
  <si>
    <t>O</t>
  </si>
  <si>
    <t>P</t>
  </si>
  <si>
    <t>Q</t>
  </si>
  <si>
    <t>R = (P + Q)</t>
  </si>
  <si>
    <t>S</t>
  </si>
  <si>
    <t>T</t>
  </si>
  <si>
    <t>Ministério da Gestão e da Inovação em Serviços Públicos</t>
  </si>
  <si>
    <t>Gratificação NS</t>
  </si>
  <si>
    <t>Gratificação NI</t>
  </si>
  <si>
    <t>CARGOS DE ANALISTA DE SISTEMA E SIMILARES = PGPE &amp; NovaTabela</t>
  </si>
  <si>
    <t>IMPACTO A PARTIR DE NOV/25 (considerando reajustes já acordados)</t>
  </si>
  <si>
    <t>ANALISTAS DE TODOS OS ÓRGÃOS</t>
  </si>
  <si>
    <t>CARREIRA/ PLANO/ QUADRO/TABELA</t>
  </si>
  <si>
    <t>IMPACTO  ANUALIZADO (2027/2028)</t>
  </si>
  <si>
    <t xml:space="preserve">             -  </t>
  </si>
  <si>
    <t xml:space="preserve">                 -  </t>
  </si>
  <si>
    <t>MINISTÉRIO DA GESTÃO E DA INOVAÇÃO EM SERVIÇOS PÚBLICOS</t>
  </si>
  <si>
    <t>SECRETARIA DE RELAÇÕES DE TRABALHO</t>
  </si>
  <si>
    <t xml:space="preserve">IMPACTO - AMPLIAÇÃO DA PERCEPÇÃO DO ADICIONAL DE LOCALIDADE ESTRATÉGICA (LEI Nº 12.855, DE 2 DE SETEMBRO DE 2013) A SERVIDORES EM EXERCÍCIO EM UNIDADES ORGANIZACIONAIS LOCALIZADAS EM REGIÃO DE FRONTEIRAS </t>
  </si>
  <si>
    <t>SITUAÇÃO</t>
  </si>
  <si>
    <t>DADOS DO ÓRGÃO</t>
  </si>
  <si>
    <t xml:space="preserve"> QUANT </t>
  </si>
  <si>
    <t xml:space="preserve"> IMPACTO - MENSAL </t>
  </si>
  <si>
    <t xml:space="preserve"> IMPACTO - ANUAL (2026)* </t>
  </si>
  <si>
    <t xml:space="preserve"> IMPACTO - ANUAL (2027) </t>
  </si>
  <si>
    <t xml:space="preserve"> IMPACTO - ANUAL (2028) </t>
  </si>
  <si>
    <t xml:space="preserve"> IMPACTO - ANUAL (2029) </t>
  </si>
  <si>
    <t>CÓD</t>
  </si>
  <si>
    <t>SIGLA</t>
  </si>
  <si>
    <t>Cumprimento de Termo de Acordo</t>
  </si>
  <si>
    <t>ABIN</t>
  </si>
  <si>
    <t>IBAMA</t>
  </si>
  <si>
    <t>ICMBIO</t>
  </si>
  <si>
    <t>FUNAI</t>
  </si>
  <si>
    <t>SUBTOTAL</t>
  </si>
  <si>
    <t>Atendimento à demanda do órgão/entidade</t>
  </si>
  <si>
    <t>ANVISA</t>
  </si>
  <si>
    <t>MAPA</t>
  </si>
  <si>
    <t>SFB/MMA</t>
  </si>
  <si>
    <t>ESSE</t>
  </si>
  <si>
    <t>Fonte: Extração de dados do Sistema Integrado de Administração de Recursos Humanos - SIAPE (DW), posição junho de 2025.</t>
  </si>
  <si>
    <t>Observações:</t>
  </si>
  <si>
    <t>- Considerado o valor do Adicional de Localidade Estratégica vigente (R$ 91,00), em 22 dias úteis;</t>
  </si>
  <si>
    <t>- Considerados os quantitativos de servidores detentores de cargo efetivo nos respectivos Planos/Carreiras para fins de inclusão na Lei nº 12.855, de 2 de setembro de 2013; e</t>
  </si>
  <si>
    <t>(*) Considerado o período de abril a dezembro para o cálculo do impacto no exercício de 2026.</t>
  </si>
  <si>
    <t>IMPACTO MENSAL</t>
  </si>
  <si>
    <t>Estimativa de Impacto Financeiro Orçamentário da concessão de reajuste aos servidores anistiados pela Lei 8.878/1994</t>
  </si>
  <si>
    <t>Impacto Orçamentário</t>
  </si>
  <si>
    <t>ago25 a mar26</t>
  </si>
  <si>
    <t>MÊS INÍCIO</t>
  </si>
  <si>
    <t>ADICIONAIS</t>
  </si>
  <si>
    <t>IMPACTO EXERCÍCIO</t>
  </si>
  <si>
    <t>IMPACTO ANUALIZADO</t>
  </si>
  <si>
    <t>abr26 a jul26</t>
  </si>
  <si>
    <t>ago26 a jul27</t>
  </si>
  <si>
    <t>ago27 a jul28</t>
  </si>
  <si>
    <t>TOTAL EMPREGADOS</t>
  </si>
  <si>
    <t xml:space="preserve">Cenários </t>
  </si>
  <si>
    <t>Menor Valor</t>
  </si>
  <si>
    <t xml:space="preserve">Maior Valor </t>
  </si>
  <si>
    <t>Média</t>
  </si>
  <si>
    <t xml:space="preserve">Impacto Total </t>
  </si>
  <si>
    <t>Quantos empregados Dentro dos limites mínimos e máximos</t>
  </si>
  <si>
    <t>Quantos empregados abaixo do limite mín.</t>
  </si>
  <si>
    <t>Quantos empregados acima do limite máx..</t>
  </si>
  <si>
    <t>Total Empregados</t>
  </si>
  <si>
    <t>TABELA PLANO DE DEMISSÃO INCENTIVADA - Lei nº 8.878/94 de  2026 a 2029, em R$ 1,00</t>
  </si>
  <si>
    <t>Ano/Estimativa</t>
  </si>
  <si>
    <t>Tabela para anistiados</t>
  </si>
  <si>
    <t>2025, 2026 e 2027</t>
  </si>
  <si>
    <t>Mês referência da remuneração: jan/25</t>
  </si>
  <si>
    <t>Despesa Mensal (2025)</t>
  </si>
  <si>
    <t>Despesa no Exercício (2025)</t>
  </si>
  <si>
    <t>Despesa Anualizada (2025)</t>
  </si>
  <si>
    <t>Despesa Mensal (2026)</t>
  </si>
  <si>
    <t>Despesa no Exercício (2026)</t>
  </si>
  <si>
    <t>Despesa Anualizada (2026/2027)</t>
  </si>
  <si>
    <t>ÓRGÃO</t>
  </si>
  <si>
    <t xml:space="preserve">Categoria </t>
  </si>
  <si>
    <t xml:space="preserve">Número do Ato Normativo </t>
  </si>
  <si>
    <t>Descrição do Ato</t>
  </si>
  <si>
    <t xml:space="preserve">Cargo, Função ou Efetivo Militar </t>
  </si>
  <si>
    <t xml:space="preserve"> Remuneração excedente</t>
  </si>
  <si>
    <t xml:space="preserve"> Remuneração (jan/2025)</t>
  </si>
  <si>
    <t>Quantidade criação</t>
  </si>
  <si>
    <t xml:space="preserve"> Quantidade provimento</t>
  </si>
  <si>
    <t>Despesa Mensal - Ativos - Principal</t>
  </si>
  <si>
    <t>Despesa Mensal - Ativos -  Prev. Complementar</t>
  </si>
  <si>
    <t>Despesa Mensal - CPSS</t>
  </si>
  <si>
    <t>Despesa Mensal - Total</t>
  </si>
  <si>
    <t>Mês/ano Provimento ou Implantação ou Vigência</t>
  </si>
  <si>
    <t>Despesa no Exercício - Ativos - Principal</t>
  </si>
  <si>
    <t xml:space="preserve"> Despesa no Exercício - Ativos - Prev. Complementar</t>
  </si>
  <si>
    <t>Despesa no Exercício - Primária TOTAL</t>
  </si>
  <si>
    <t>Despesa no Exercício - CPSS - TOTAL</t>
  </si>
  <si>
    <t>Despesa no Exercício - Total</t>
  </si>
  <si>
    <t>Despesa Anualizada - Ativos - Principal</t>
  </si>
  <si>
    <t>Despesa Anualizada - Ativos -  Prev. Complementar</t>
  </si>
  <si>
    <t>Despesa Anualizada - Primária - TOTAL</t>
  </si>
  <si>
    <t>Despesa Anualizada - CPSS - TOTAL</t>
  </si>
  <si>
    <t>Despesa Anualizada - Total</t>
  </si>
  <si>
    <t xml:space="preserve"> Remuneração (abr/2026)</t>
  </si>
  <si>
    <t>H = (A x E) x 28%</t>
  </si>
  <si>
    <t>H = (E+F+G)</t>
  </si>
  <si>
    <t>Agência Nacional de Vigilância Sanitária - ANVISA</t>
  </si>
  <si>
    <t>Criação e Provimento de cargos efetivos vagos</t>
  </si>
  <si>
    <t>Especialista em Regulação e Vigilância Sanitária</t>
  </si>
  <si>
    <t>Técnico em Regulação e Vigilância Sanitária</t>
  </si>
  <si>
    <t>Ministério da Educação - MEC</t>
  </si>
  <si>
    <t>Docente do Magistério Superior</t>
  </si>
  <si>
    <t>TAE - Técnico</t>
  </si>
  <si>
    <t>TAE - Analista</t>
  </si>
  <si>
    <t>Meses de Impacto:</t>
  </si>
  <si>
    <t>Cargo/
Função</t>
  </si>
  <si>
    <t>Remun. 2024</t>
  </si>
  <si>
    <t>CCE-unitário</t>
  </si>
  <si>
    <t>Remun. 2025</t>
  </si>
  <si>
    <t>Remun. 2026</t>
  </si>
  <si>
    <t>Quant Atual</t>
  </si>
  <si>
    <t>2024  CCE-unitario</t>
  </si>
  <si>
    <t>2025  CCE-unitario</t>
  </si>
  <si>
    <t>2026  CCE-unitario</t>
  </si>
  <si>
    <t>Quant. Proposta</t>
  </si>
  <si>
    <t>Proposta CCE-unitário</t>
  </si>
  <si>
    <t>Proposta CCE-unitário 2026</t>
  </si>
  <si>
    <t>Diferença</t>
  </si>
  <si>
    <t>Diferença CCE-unitário</t>
  </si>
  <si>
    <t>PRIMARIA</t>
  </si>
  <si>
    <t>FINANCEIRA</t>
  </si>
  <si>
    <t>Impacto Anualizado
 2026 e 2027</t>
  </si>
  <si>
    <t>Impacto 2026</t>
  </si>
  <si>
    <t>NE</t>
  </si>
  <si>
    <t>CCE 18</t>
  </si>
  <si>
    <t>CCE 17</t>
  </si>
  <si>
    <t>CCE 16</t>
  </si>
  <si>
    <t>CCE 15</t>
  </si>
  <si>
    <t>CCE 14</t>
  </si>
  <si>
    <t>CCE 13</t>
  </si>
  <si>
    <t>CCE 12</t>
  </si>
  <si>
    <t>CCE 11</t>
  </si>
  <si>
    <t>CCE 10</t>
  </si>
  <si>
    <t>CCE 9</t>
  </si>
  <si>
    <t>CCE 8</t>
  </si>
  <si>
    <t>CCE 7</t>
  </si>
  <si>
    <t>CCE 6</t>
  </si>
  <si>
    <t>CCE 5</t>
  </si>
  <si>
    <t>CCE 4</t>
  </si>
  <si>
    <t>CCE 3</t>
  </si>
  <si>
    <t>CCE 2</t>
  </si>
  <si>
    <t>CCE 1</t>
  </si>
  <si>
    <t>FCE 17</t>
  </si>
  <si>
    <t>FCE 16</t>
  </si>
  <si>
    <t>FCE 15</t>
  </si>
  <si>
    <t>FCE 14</t>
  </si>
  <si>
    <t>FCE 13</t>
  </si>
  <si>
    <t>FCE 12</t>
  </si>
  <si>
    <t>FCE 11</t>
  </si>
  <si>
    <t>FCE 10</t>
  </si>
  <si>
    <t>FCE 9</t>
  </si>
  <si>
    <t>FCE 8</t>
  </si>
  <si>
    <t>FCE 7</t>
  </si>
  <si>
    <t>FCE 6</t>
  </si>
  <si>
    <t>FCE 5</t>
  </si>
  <si>
    <t>FCE 4</t>
  </si>
  <si>
    <t>FCE 3</t>
  </si>
  <si>
    <t>FCE 2</t>
  </si>
  <si>
    <t>FCE 1</t>
  </si>
  <si>
    <t>GSISTE NS C</t>
  </si>
  <si>
    <t>GSISTE NS S</t>
  </si>
  <si>
    <t>GSISTE NI C</t>
  </si>
  <si>
    <t>GSISTE NI S</t>
  </si>
  <si>
    <t>GSISTE NA C</t>
  </si>
  <si>
    <t>GSISTE NA S</t>
  </si>
  <si>
    <t>GSISP NS</t>
  </si>
  <si>
    <t>GSISP NI</t>
  </si>
  <si>
    <t>GAEG NS</t>
  </si>
  <si>
    <t>GAEG NI</t>
  </si>
  <si>
    <t>GAEG NA</t>
  </si>
  <si>
    <t>GR-IV</t>
  </si>
  <si>
    <t>GR-III</t>
  </si>
  <si>
    <t>GR-II</t>
  </si>
  <si>
    <t>GR-I</t>
  </si>
  <si>
    <t>Nível V</t>
  </si>
  <si>
    <t>Nível IV</t>
  </si>
  <si>
    <t>Nível III</t>
  </si>
  <si>
    <t>Nível II</t>
  </si>
  <si>
    <t>Nível I</t>
  </si>
  <si>
    <t>Grupo 0001 (A)</t>
  </si>
  <si>
    <t>Grupo 0002 (B)</t>
  </si>
  <si>
    <t>Grupo 0003 (C)</t>
  </si>
  <si>
    <t>Grupo 0004 (D)</t>
  </si>
  <si>
    <t>Grupo 0005 (E)</t>
  </si>
  <si>
    <t>GSE-1</t>
  </si>
  <si>
    <t>GSE-2</t>
  </si>
  <si>
    <t>GSE-3</t>
  </si>
  <si>
    <t>GSE-4</t>
  </si>
  <si>
    <t>GSE-5</t>
  </si>
  <si>
    <t>GSE-6</t>
  </si>
  <si>
    <t>GSE-7</t>
  </si>
  <si>
    <t>GSE-8</t>
  </si>
  <si>
    <t>* Ressalta-se que o cálculo da demanda não abarca estimativa de despesas como: auxílio-alimentação, auxílio-transporte, auxílio-moradia, indenização de transporte, substituição de cargos e funções de chefia e projetos e contribuição a planos de saúde.</t>
  </si>
  <si>
    <t>SUBTOTAL pt 0</t>
  </si>
  <si>
    <t>Subtotal pt1</t>
  </si>
  <si>
    <t>passar para anexo V pt1</t>
  </si>
  <si>
    <t>Médico TAE</t>
  </si>
  <si>
    <t>Subtotal pt2</t>
  </si>
  <si>
    <t>Carreiras Tributárias - novo percentual máximo do Bônus de Eficiência e Produtividade</t>
  </si>
  <si>
    <t>Auditores e Analistas - Bônus de eficiência</t>
  </si>
  <si>
    <t>Carreira de auditoria Fiscal do Trabalho - novo percentual máximo do Bônus de Eficiência e Produtividade</t>
  </si>
  <si>
    <t>separar auxilio moradia GDF</t>
  </si>
  <si>
    <t>separar auxilio moradia Ex-territórios</t>
  </si>
  <si>
    <t>Indenização de Localização Estratégica</t>
  </si>
  <si>
    <t>TOTAL GERAL</t>
  </si>
  <si>
    <t>inpc aproximado 2026 5,11%</t>
  </si>
  <si>
    <t>Jan25 a dez2025 = 5,11%</t>
  </si>
  <si>
    <t>ANVS</t>
  </si>
  <si>
    <t>Carreira deRegulação e Fiscalização de Locais, Produtos e Serviços sob Vigilância Sanitária</t>
  </si>
  <si>
    <t>Criação sem aumento de despesa</t>
  </si>
  <si>
    <t>Especialista em Regulação e Vigilância Sanitária (Código 441010)</t>
  </si>
  <si>
    <t>MS</t>
  </si>
  <si>
    <t>Carreira da Previdência, da Saúde e do Trabalho</t>
  </si>
  <si>
    <t>Médico 20 horas (Código 650001)</t>
  </si>
  <si>
    <t>ANS</t>
  </si>
  <si>
    <t>Carreira de Regulação e Fiscalização de Saúde Suplementar</t>
  </si>
  <si>
    <t>Especialista em Regulação de Saúde Suplementar (código 441005)</t>
  </si>
  <si>
    <t>Carreira de Técnico Administrativo</t>
  </si>
  <si>
    <t>Técnico Administrativo (código 441018)</t>
  </si>
  <si>
    <t>Diversos</t>
  </si>
  <si>
    <t>PLANO ESPECIAL DE CARGOS DO DEPARTAMENTO DE POLÍCIA FEDERAL</t>
  </si>
  <si>
    <t>ADMINISTRADOR</t>
  </si>
  <si>
    <t>ARQUIVISTA</t>
  </si>
  <si>
    <t>BIBLIOTECARIO</t>
  </si>
  <si>
    <t>CONTADOR</t>
  </si>
  <si>
    <t>TECNICO EM ASSUNTOS EDUCACIONAIS</t>
  </si>
  <si>
    <t>TECNICO EM COMUNICACAO SOCIAL</t>
  </si>
  <si>
    <t>PLANO ESPECIAL DE CARGOS DO DEPARTAMENTO DE POLÍCIA RODOVIÁRIA FEDERAL</t>
  </si>
  <si>
    <t>PLANO DE CLASSIFICAÇÃO DE CARGOS - PCC</t>
  </si>
  <si>
    <t>PLANO GERAL DE CARGOS DO PODER EXECUTIVO - PGPE</t>
  </si>
  <si>
    <t>ADMINISTRADOR C/ GEATA</t>
  </si>
  <si>
    <t>ANALISTA TECNICO ADMINISTRATIVO C/ GEATA</t>
  </si>
  <si>
    <t>ARQUIVISTA C/ GEATA</t>
  </si>
  <si>
    <t>BIBLIOTECARIO C/ GEATA</t>
  </si>
  <si>
    <t>CONTADOR C/ GEATA</t>
  </si>
  <si>
    <t>TECNICO EM ASSUNTOS EDUCACIONAIS C/ GEATA</t>
  </si>
  <si>
    <t>TECNICO EM COMUNICACAO SOCIAL C/ GEATA</t>
  </si>
  <si>
    <t>ANALISTA TECNICO ADMINISTRATIVO</t>
  </si>
  <si>
    <t>TECNICO DE COMUNICACAO</t>
  </si>
  <si>
    <t>PLANO ESPECIAL DE CARGOS DA CULTURA</t>
  </si>
  <si>
    <t>TEC EM ASSUNTOS EDUCACIONAIS C/ GEATA</t>
  </si>
  <si>
    <t>ADMINISTRACAO E PLANEJAMENTO</t>
  </si>
  <si>
    <t>ADMINISTRADOR I</t>
  </si>
  <si>
    <t>ADMINISTRADOR II</t>
  </si>
  <si>
    <t>ANALISTA DE ADMINISTRACAO II</t>
  </si>
  <si>
    <t>TEC EM ASSUNTOS EDUCACIONAIS</t>
  </si>
  <si>
    <t>TECNICO EM COMUNIC SOCIAL</t>
  </si>
  <si>
    <t>TECNICO EM COMUNICACAO</t>
  </si>
  <si>
    <t>PLANO ESPECIAL DE CARGOS DO MINISTÉRIO DA FAZENDA - PECFAZ</t>
  </si>
  <si>
    <t>TECNICO ASSUNTOS EDUCACIONAIS C/ GEATA</t>
  </si>
  <si>
    <t>ANALISTA TECNICO-ADMINISTRATIVO</t>
  </si>
  <si>
    <t>TECNICO ASSUNTOS EDUCACIONAIS</t>
  </si>
  <si>
    <t>CARREIRA DA PREVIDÊNCIA, SAÚDE E TRABALHO</t>
  </si>
  <si>
    <t>CARREIRA DA SEGURIDADE SOCIAL E DO TRABALHO</t>
  </si>
  <si>
    <t>TECNICO EM ASSUNTO EDUCACIONAIS</t>
  </si>
  <si>
    <t>CARREIRA PROPOSTA</t>
  </si>
  <si>
    <t> Analista Técnico Executivo - ATE</t>
  </si>
  <si>
    <t>IPEA</t>
  </si>
  <si>
    <t>Plano de Carreiras e Cargos do Ipea</t>
  </si>
  <si>
    <t>ASSESSOR ESPECIALIZADO - NS</t>
  </si>
  <si>
    <t>TECNICO DE DESENVOLVIMENTO E ADMINISTRAÇÃO - NS</t>
  </si>
  <si>
    <t>AUXILIAR ADMINISTRATIVO - NI</t>
  </si>
  <si>
    <t>AUXILIAR TÉCNICO - NI</t>
  </si>
  <si>
    <t>Carreira de Planejamento e Pesquisa</t>
  </si>
  <si>
    <t>Técnico de Planejamento e Pesquisa - NS</t>
  </si>
  <si>
    <t>Anvisa</t>
  </si>
  <si>
    <t>ATE</t>
  </si>
  <si>
    <t>IPEA ocupados</t>
  </si>
  <si>
    <t>IPEA vagos</t>
  </si>
  <si>
    <t>SIPEC</t>
  </si>
  <si>
    <t>Art. 129 da lei 15.080/2025</t>
  </si>
  <si>
    <t>Plano Geral de Cargos do Poder Executivo - PGPE</t>
  </si>
  <si>
    <t>Metereologista (Código 480156)</t>
  </si>
  <si>
    <t>Sociologo (480216)</t>
  </si>
  <si>
    <t>Geógrafo (480137)</t>
  </si>
  <si>
    <t>Odontólogo (480271)</t>
  </si>
  <si>
    <t>Químico (480204)</t>
  </si>
  <si>
    <t>Plano Especial de Cargos do DPRF</t>
  </si>
  <si>
    <t>Agente Administrativo (437014)</t>
  </si>
  <si>
    <t>Médico (650001)</t>
  </si>
  <si>
    <t>Carreira da Seguridade Social e do Trabalho</t>
  </si>
  <si>
    <t>Piloto de Lancha (430476)</t>
  </si>
  <si>
    <t>Motorista Oficial (430098)</t>
  </si>
  <si>
    <t>Agente de Saúde Pública (430107)</t>
  </si>
  <si>
    <t>Auxiliar de Enfermagem (430106)</t>
  </si>
  <si>
    <t>Agente Administrativo (430001)</t>
  </si>
  <si>
    <t>Laboratorista (430207)</t>
  </si>
  <si>
    <t>Auxiliar de Administração (430171)</t>
  </si>
  <si>
    <t>Datilógrafo (430058)</t>
  </si>
  <si>
    <t>Guarda de Endemias (430206)</t>
  </si>
  <si>
    <t>Técnico de Laboratório (430110)</t>
  </si>
  <si>
    <t>Atendente (430024)</t>
  </si>
  <si>
    <t>Atendente de Enfermagem (430322)</t>
  </si>
  <si>
    <t>Auxiliar Administrativo (430170)</t>
  </si>
  <si>
    <t>Telefonista (430044)</t>
  </si>
  <si>
    <t>Visitador Sanitário (430269)</t>
  </si>
  <si>
    <r>
      <t> xxxxxxx     ) </t>
    </r>
    <r>
      <rPr>
        <b/>
        <sz val="14"/>
        <color rgb="FF000000"/>
        <rFont val="Calibri"/>
        <family val="2"/>
        <scheme val="minor"/>
      </rPr>
      <t>Reabertura de prazo de opção para inclusão no quadro em extinção da União;</t>
    </r>
    <r>
      <rPr>
        <sz val="14"/>
        <color rgb="FF000000"/>
        <rFont val="Calibri"/>
        <family val="2"/>
        <scheme val="minor"/>
      </rPr>
      <t>        </t>
    </r>
  </si>
  <si>
    <t>O impacto orçamentário da reabertura de prazo para a opção de que tratam as Emendas Constitucionais n°s 60, de 2009, 79, de 2014 e 98, de 2017 se mostra irrelevante pelos fatos abaixo descritos.</t>
  </si>
  <si>
    <t>Segundo informações extraídas das atas de julgamento de 2022 até 2024, o quantitativo de pedidos inadmitidos por intempestividade foi de apenas 193 processos, dos quais:</t>
  </si>
  <si>
    <t>• em RR - 53 processos desde 2022</t>
  </si>
  <si>
    <t>• em RO - 104 processos desde 2023</t>
  </si>
  <si>
    <t>• em AP - 36 processos desde 2023</t>
  </si>
  <si>
    <t>Preliminarmente, destaca-se que esses processos ainda dependeriam de uma análise documental para verificar a possibilidade de deferimento dos pleitos, o que não é garantia apenas pela tempestividade da opção. Além disso estes 193 processos irão compor a base milhares de processos ainda pendentes de análise e julgamento.</t>
  </si>
  <si>
    <t>Entende-se, portanto, que não há de forma imediata impacto orçamentário significativo, ou seja, os orçamentos já autorizados/previstos para este exercício (R$ 351.707.219,00) e para o próximo, de 2026, ( R$ 497.302.454,15), não sofrerão nenhum impacto significativo.</t>
  </si>
  <si>
    <t>Supondo que os 193 processos acima referenciados sejam deferidos para cargos de nível auxiliar ou intermediário, nas classes iniciais, como vem sendo o padrão, o impacto mensal na folha seria de aproximadamente:</t>
  </si>
  <si>
    <t>Estado</t>
  </si>
  <si>
    <t>Quant. Processos</t>
  </si>
  <si>
    <t>Remuneração básica inicial (média entre NA e NI)</t>
  </si>
  <si>
    <t>Custo Mensal</t>
  </si>
  <si>
    <t>Custo Anual</t>
  </si>
  <si>
    <t>AP</t>
  </si>
  <si>
    <t>RO</t>
  </si>
  <si>
    <t>RR</t>
  </si>
  <si>
    <t xml:space="preserve"> 2027 (anualizado)</t>
  </si>
  <si>
    <t>reajuste salarial</t>
  </si>
  <si>
    <t>14.2.PCPM-CBM-GDF-reajus</t>
  </si>
  <si>
    <t>Aux. Moradia</t>
  </si>
  <si>
    <t>14.2.PCPM-CBM-GDF-Aux. Moradia</t>
  </si>
  <si>
    <t>Reajuste salarial</t>
  </si>
  <si>
    <t>14.1.PCDF.Reajus</t>
  </si>
  <si>
    <t>GOVERNO DO DISTRITO FEDERAL</t>
  </si>
  <si>
    <t>Carreira de Delegado da Polícia do Distrito Federal</t>
  </si>
  <si>
    <t xml:space="preserve"> - Delegado de Polícia</t>
  </si>
  <si>
    <t>Carreira de Polícia do Distrito Federal</t>
  </si>
  <si>
    <t xml:space="preserve"> - Perito Criminal</t>
  </si>
  <si>
    <t xml:space="preserve"> - Perito Médico-Legista</t>
  </si>
  <si>
    <t>Parâmetro do Reajuste:</t>
  </si>
  <si>
    <t>Tabela de Subsídio PF</t>
  </si>
  <si>
    <t>Janeiro/2020</t>
  </si>
  <si>
    <t>Julho/2023</t>
  </si>
  <si>
    <t>Janeiro/2024</t>
  </si>
  <si>
    <t>Dezembro/2025</t>
  </si>
  <si>
    <t>Janeiro/2026</t>
  </si>
  <si>
    <t>Categoria</t>
  </si>
  <si>
    <t>Subsídio (em R$)</t>
  </si>
  <si>
    <t>APOSENTADO</t>
  </si>
  <si>
    <t>CATEGORIA</t>
  </si>
  <si>
    <t>% de Ganho
(2023/2024)</t>
  </si>
  <si>
    <t>Reajuste Acumulado
Polícia Federal</t>
  </si>
  <si>
    <t>% de Reajuste a Complementar</t>
  </si>
  <si>
    <t>% de Ganho</t>
  </si>
  <si>
    <t>% de Ganho Agregado (2023/2026)</t>
  </si>
  <si>
    <t>SUBSÍDIO (Atual)</t>
  </si>
  <si>
    <t>SUBSÍDIO (2025)</t>
  </si>
  <si>
    <t>SUBSÍDIO (2026)</t>
  </si>
  <si>
    <t>SUBSÍDIO (em R$)</t>
  </si>
  <si>
    <t>GRUPO CARGO GDF</t>
  </si>
  <si>
    <t>CLASSE GDF</t>
  </si>
  <si>
    <t>ATIVO</t>
  </si>
  <si>
    <t>APOS</t>
  </si>
  <si>
    <t>INST PENSÃO</t>
  </si>
  <si>
    <t>Aposen-tado</t>
  </si>
  <si>
    <t>Inst Pensão</t>
  </si>
  <si>
    <t>2023</t>
  </si>
  <si>
    <t>2024</t>
  </si>
  <si>
    <t>Acum.</t>
  </si>
  <si>
    <t>2023/2026</t>
  </si>
  <si>
    <t>2025</t>
  </si>
  <si>
    <t>2026</t>
  </si>
  <si>
    <t>Especial</t>
  </si>
  <si>
    <t>DELEGADO/PERITO</t>
  </si>
  <si>
    <t>CLASSE ESPECIAL</t>
  </si>
  <si>
    <t>Primeira</t>
  </si>
  <si>
    <t>PRIMEIRA CLASSE</t>
  </si>
  <si>
    <t>Segunda</t>
  </si>
  <si>
    <t>SEGUNDA CLASSE</t>
  </si>
  <si>
    <t>Terceira</t>
  </si>
  <si>
    <t>TERCEIRA CLASSE</t>
  </si>
  <si>
    <t>Fonte: Estudos SRT/MGI, a partir de dados extraídos do Sistema Integrado de Administração de Recursos Humanos - SIAPE e legislação básica da carreira de Polícia Civil do DF.</t>
  </si>
  <si>
    <t xml:space="preserve">Observação: Reajustes concedidos pela Lei nº 14.724, de 14 de novembro de 2023 (conversão da Medida Provisória nº 1.181, de 18 de julho de 2023). </t>
  </si>
  <si>
    <t xml:space="preserve"> - Agente de Polícia</t>
  </si>
  <si>
    <t xml:space="preserve"> - Escrivão de Polícia</t>
  </si>
  <si>
    <t xml:space="preserve"> - Papiloscopista Policial</t>
  </si>
  <si>
    <t xml:space="preserve"> - Agente Policial de Custódia</t>
  </si>
  <si>
    <t>AGENTE/ESCRIVÃO/PAPILOSCOPISTA</t>
  </si>
  <si>
    <t>igual PF</t>
  </si>
  <si>
    <t>POLÍCIA CIVIL DO GDF</t>
  </si>
  <si>
    <t>GQ/RT</t>
  </si>
  <si>
    <t>GD aposentado calc&gt;&gt;</t>
  </si>
  <si>
    <t>%vb real/calc</t>
  </si>
  <si>
    <t>Polícia Militar do Governo do Governo do Distrito Federal</t>
  </si>
  <si>
    <t>Corpo de Bombeiros Militar do Governo do Distrito Federal</t>
  </si>
  <si>
    <t>Reajuste</t>
  </si>
  <si>
    <t>Auxília-Moradia 
Atual - 2024</t>
  </si>
  <si>
    <t>Auxília-Moradia 
Dez/2025</t>
  </si>
  <si>
    <t>Auxília-Moradia 
Jan/2026</t>
  </si>
  <si>
    <t>Aux-Moradia - Com Dependente</t>
  </si>
  <si>
    <t>Aux-Moradia - Sem Dependente</t>
  </si>
  <si>
    <t>Aux-Moradia - Total</t>
  </si>
  <si>
    <t>Aux-Moradia - Atual (com e sem dependente) - Mensal</t>
  </si>
  <si>
    <t>Aux-Moradia - Dezembro/2025 (com e sem dependente) - Mensal</t>
  </si>
  <si>
    <t>Aux-Moradia - Janeiro/2026 (com e sem dependente) - Mensal</t>
  </si>
  <si>
    <t>Posto ou Graduação</t>
  </si>
  <si>
    <t>Descrição do Posto</t>
  </si>
  <si>
    <t>Com Dependente</t>
  </si>
  <si>
    <t>Sem Dependente</t>
  </si>
  <si>
    <t>POSTO OU GRADUAÇÃO</t>
  </si>
  <si>
    <t>DESCRIÇÃO DO POSTO</t>
  </si>
  <si>
    <t>AUX-MORADIA - SITUAÇÃO</t>
  </si>
  <si>
    <t>Instituidor pensao</t>
  </si>
  <si>
    <t>Inst. Pensão</t>
  </si>
  <si>
    <t>Oficiais Superiores</t>
  </si>
  <si>
    <t>Coronel</t>
  </si>
  <si>
    <t>COM DEPENDENTE</t>
  </si>
  <si>
    <t>SEM DEPENDENTE</t>
  </si>
  <si>
    <t>Tenente-Coronel</t>
  </si>
  <si>
    <t>Major</t>
  </si>
  <si>
    <t>Oficiais Intermediários</t>
  </si>
  <si>
    <t>Capitão</t>
  </si>
  <si>
    <t>Oficiais Subalternos</t>
  </si>
  <si>
    <t>Primeiro Tenente</t>
  </si>
  <si>
    <t>Segundo Tenente</t>
  </si>
  <si>
    <t>Praças Especiais</t>
  </si>
  <si>
    <t>Aspirante a Oficial</t>
  </si>
  <si>
    <t>Cadete-Último Ano</t>
  </si>
  <si>
    <t>Cadete-Demais Anos</t>
  </si>
  <si>
    <t>Praças Graduados</t>
  </si>
  <si>
    <t>Subtenente</t>
  </si>
  <si>
    <t>Primeiro Sargento</t>
  </si>
  <si>
    <t>Segundo Sargento</t>
  </si>
  <si>
    <t>Terceiro Sargento</t>
  </si>
  <si>
    <t>Cabo</t>
  </si>
  <si>
    <t>Demais Praças</t>
  </si>
  <si>
    <t>Soldado Primeira Classe</t>
  </si>
  <si>
    <t>Soldado Segunda Classe</t>
  </si>
  <si>
    <t>Fonte: Estudos SRT/MGI, a partir de dados extraídos do Sistema Integrado de Administração de Recursos Humanos - SIAPE e legislação básica da carreira de Polícia Militar e Corpo de Bombeiros Militar do GDF.</t>
  </si>
  <si>
    <t>Impacto Mensal</t>
  </si>
  <si>
    <t>Impacto 2025 (1 mês)</t>
  </si>
  <si>
    <t>Impacto 2026 (0 meses)</t>
  </si>
  <si>
    <t>Impacto 2026 (12 meses)</t>
  </si>
  <si>
    <t>Impacto 2027 (12 meses)</t>
  </si>
  <si>
    <t>Parâmetros</t>
  </si>
  <si>
    <t>"2025 - Atual</t>
  </si>
  <si>
    <t xml:space="preserve">% reajuste - </t>
  </si>
  <si>
    <t>PM-CBM - GDF</t>
  </si>
  <si>
    <t>GRATIF DE DESEMPENHO (GDPGPE)</t>
  </si>
  <si>
    <t>GRATIF DE QUALIFICAÇÃO (GQ)</t>
  </si>
  <si>
    <t>jan/2025 e anual</t>
  </si>
  <si>
    <t>2027</t>
  </si>
  <si>
    <t>Polícia Militar e Corpo de Bombeiro Militar do GDF - Evolução do Impacto</t>
  </si>
  <si>
    <t>Folha Anualizada</t>
  </si>
  <si>
    <t>Proposta
Soldo (+parcelas incidentes no Soldo), VPE e Auxílio-Moradia reajustados em 11,5% em Dezembro/2025 e em 11,5% em Janeiro/2026</t>
  </si>
  <si>
    <t>Folha (R$)</t>
  </si>
  <si>
    <t>Var. (R$)</t>
  </si>
  <si>
    <t>Var. % Acumu.</t>
  </si>
  <si>
    <t>CBMDF</t>
  </si>
  <si>
    <t>PMDF</t>
  </si>
  <si>
    <t>Polícia Militar e Corpo de Bombeiro Militar dos Ex-Territórios e Ex-Guanabara/DF  - Evolução do Impacto</t>
  </si>
  <si>
    <t>Atual (projetada)</t>
  </si>
  <si>
    <t>2025 (anualizada)</t>
  </si>
  <si>
    <t>2026 e 2027</t>
  </si>
  <si>
    <t>Proposta
Reajuste linear (em todas as parcelas que compõem a remuneração) e Auxílio-Moradia de 
11,5% em Dezembro/2025 e de 11,5% em Janeiro/2026</t>
  </si>
  <si>
    <t>somente novos impactos</t>
  </si>
  <si>
    <t>Itens Remuneratórios</t>
  </si>
  <si>
    <t>65. QUADRO EM EXTINÇÃO DA UNIÃO</t>
  </si>
  <si>
    <t>Polícia Militar e do Corpo de Bombeiros Militar dos Ex-Territórios Federais do Amapá, de Rondônia  e de Roraima</t>
  </si>
  <si>
    <t>2025 - Atual</t>
  </si>
  <si>
    <t>SEM OPÇÃO de acordo com o art. 96 da Lei nº 13.328, de 2016</t>
  </si>
  <si>
    <t>COM OPÇÃO de acordo com o art. 96 da Lei nº 13.328, de 2016</t>
  </si>
  <si>
    <t>Quant</t>
  </si>
  <si>
    <t>Despesa Mensal</t>
  </si>
  <si>
    <t>Proposta - 2025</t>
  </si>
  <si>
    <t>Proposta - 2026</t>
  </si>
  <si>
    <t>PM-CBM - EX-TERRITÓRIOS E GUANABARA/DF</t>
  </si>
  <si>
    <t>Soldo</t>
  </si>
  <si>
    <t>ADICIONAIS (ATS + Soldo Complementar)</t>
  </si>
  <si>
    <t>Demais Adicionais e Gratificações</t>
  </si>
  <si>
    <t>Demais Gratificações (valores fixos)</t>
  </si>
  <si>
    <t>TOTAL 2</t>
  </si>
  <si>
    <t>ORGAO REFERENCIA</t>
  </si>
  <si>
    <t>NOME ORGAO REFERENCIA</t>
  </si>
  <si>
    <t>SIGLA ORGAO REFERENCIA</t>
  </si>
  <si>
    <t>NATUREZA JURIDICA ORGAO</t>
  </si>
  <si>
    <t>GRUPO ECONOMICO ORGAO</t>
  </si>
  <si>
    <t>MATRICULA</t>
  </si>
  <si>
    <t>IT-NU-CPF</t>
  </si>
  <si>
    <t>IT-NO-SERVIDOR</t>
  </si>
  <si>
    <t>OCORRENCIA DE INGRESSO REAL</t>
  </si>
  <si>
    <t>IT-DA-OCOR-INGR-ORGAO-SERV_REAL</t>
  </si>
  <si>
    <t>HOJE</t>
  </si>
  <si>
    <t>TEMPO EM MESES</t>
  </si>
  <si>
    <t>Tempo Anos não inteiros</t>
  </si>
  <si>
    <t>TEMPO</t>
  </si>
  <si>
    <t>TEMPO MÍNIMO</t>
  </si>
  <si>
    <t>IT-CO-SITUACAO-SERVIDOR</t>
  </si>
  <si>
    <t>SITUACAO SERVIDOR</t>
  </si>
  <si>
    <t>IT-SG-REGIME-JURIDICO</t>
  </si>
  <si>
    <t>CARGO</t>
  </si>
  <si>
    <t>ESCOLARIDADE</t>
  </si>
  <si>
    <t>IT-DA-NASCIMENTO</t>
  </si>
  <si>
    <t>IT-CO-SEXO</t>
  </si>
  <si>
    <t>IDADE CALCULADA</t>
  </si>
  <si>
    <t>FAIXA ETARIA</t>
  </si>
  <si>
    <t>UPAG UF</t>
  </si>
  <si>
    <t>Nova Classe com Escolaridade</t>
  </si>
  <si>
    <t>CENÁRIO</t>
  </si>
  <si>
    <t>SALÁRIO ATUAL (mai25) - Luciana OU Tabela 2026</t>
  </si>
  <si>
    <t>Remun * Anos Serviço</t>
  </si>
  <si>
    <t>VALOR FINAL - INDENIZAÇÃO</t>
  </si>
  <si>
    <t>Payback</t>
  </si>
  <si>
    <t>Payback considerando Alimentação</t>
  </si>
  <si>
    <t>AGENCIA BRASILEIRA DE INTELIGENCIA</t>
  </si>
  <si>
    <t>ADM. DIRETA FEDERAL</t>
  </si>
  <si>
    <t>DEP. TN</t>
  </si>
  <si>
    <t>ABDIAS JOSE DA GAMA</t>
  </si>
  <si>
    <t>RETORNO - EMPREGADO ANISTIADO - LEI NO 8.878/1994</t>
  </si>
  <si>
    <t>CLT ANS -DEC 6657/08</t>
  </si>
  <si>
    <t>CLT</t>
  </si>
  <si>
    <t>EMPREG ANIST LEI 8878/94 E DEC 6657/08</t>
  </si>
  <si>
    <t>AUXILIAR DE PORTARIA</t>
  </si>
  <si>
    <t>B</t>
  </si>
  <si>
    <t>M</t>
  </si>
  <si>
    <t>75 mais</t>
  </si>
  <si>
    <t>DF</t>
  </si>
  <si>
    <t>NI-B</t>
  </si>
  <si>
    <t>Remun * Anos de Serviço</t>
  </si>
  <si>
    <t>AGNALDO PIRES DE AMORIM</t>
  </si>
  <si>
    <t>MOTORISTA</t>
  </si>
  <si>
    <t>C</t>
  </si>
  <si>
    <t>NI-D</t>
  </si>
  <si>
    <t>ALEXANDRE SERAFIM DOS REIS</t>
  </si>
  <si>
    <t>AUXILIAR DE SERVICOS GERAIS</t>
  </si>
  <si>
    <t>D</t>
  </si>
  <si>
    <t>ANASTACIO FELIPE DOS SANTOS</t>
  </si>
  <si>
    <t>PEDREIRO</t>
  </si>
  <si>
    <t>ANISIO RIBEIRO DA SILVA</t>
  </si>
  <si>
    <t>ELETRICISTA</t>
  </si>
  <si>
    <t>GERALDO GONCALVES LARANJA</t>
  </si>
  <si>
    <t>ANISTIADO LEI 8878/94</t>
  </si>
  <si>
    <t>A</t>
  </si>
  <si>
    <t>JAELSON DANTAS</t>
  </si>
  <si>
    <t>JOSE WILSON PEREIRA</t>
  </si>
  <si>
    <t>ASSISTENTE ADMINISTRATIVO</t>
  </si>
  <si>
    <t>NS-D</t>
  </si>
  <si>
    <t>MANOEL LUCIO DA SILVA</t>
  </si>
  <si>
    <t>ARTIFICE</t>
  </si>
  <si>
    <t>MARISTELA DE APARECIDA BEIRIZ DE CASTRO</t>
  </si>
  <si>
    <t>ARQUIVISTA-DATILOGRAFO</t>
  </si>
  <si>
    <t>F</t>
  </si>
  <si>
    <t>OMAR FRANCISCO DA SILVA</t>
  </si>
  <si>
    <t>RAIMUNDO FILHO DOS SANTOS</t>
  </si>
  <si>
    <t>AGENCIA NACIONAL DE MINERACAO</t>
  </si>
  <si>
    <t>ANM</t>
  </si>
  <si>
    <t>AUTARQ ESPECIAL</t>
  </si>
  <si>
    <t>ADELQUE JOAO ZACHE</t>
  </si>
  <si>
    <t>AJUDANTE DE SERVICO DE APOIO</t>
  </si>
  <si>
    <t>NA-D</t>
  </si>
  <si>
    <t>ADEMAR RAMOS BARCELLOS</t>
  </si>
  <si>
    <t>SUPERVISOR TECNICO</t>
  </si>
  <si>
    <t>ADEMIR JOAO CORREA</t>
  </si>
  <si>
    <t>ANALISTA ESP SERVS ECONOM</t>
  </si>
  <si>
    <t>AILTON EUSTAQUIO CORNELIO</t>
  </si>
  <si>
    <t>ARQUIVISTA DOCUMENTACAO TECNICA</t>
  </si>
  <si>
    <t>ALCIDES MIGUEL CAMPANHA</t>
  </si>
  <si>
    <t>AJUDANTE DE SERVICO</t>
  </si>
  <si>
    <t>ALFREDO PASSOS FILHO</t>
  </si>
  <si>
    <t>LABORATORISTA TECNICO</t>
  </si>
  <si>
    <t>AMASILI DRUMOND MARTINS MACHADO</t>
  </si>
  <si>
    <t>SECRETARIA</t>
  </si>
  <si>
    <t>NI-C</t>
  </si>
  <si>
    <t>ANDRE MUNIZ DE SOUZA LIMA</t>
  </si>
  <si>
    <t>TECNICO ESP COMPRAS</t>
  </si>
  <si>
    <t>ANTONIO ALVES</t>
  </si>
  <si>
    <t>ELETRICISTA TECNICO</t>
  </si>
  <si>
    <t>ANTONIO CALIXTO DA SILVA</t>
  </si>
  <si>
    <t>AJUDANTE DE TOPOGRAFIA</t>
  </si>
  <si>
    <t>ANTONIO CORNELIO GUEDES</t>
  </si>
  <si>
    <t>SOLDADOR TECNICO</t>
  </si>
  <si>
    <t>ANTONIO DE MOURA</t>
  </si>
  <si>
    <t>ANTONIO EFIGENIO DA CRUZ</t>
  </si>
  <si>
    <t>AJUDANTE DE MATERIAL E PATRIMONIO</t>
  </si>
  <si>
    <t>ANTONIO EUSTAQUIO DA CRUZ</t>
  </si>
  <si>
    <t>ANTONIO FERREIRA DO AMARAL</t>
  </si>
  <si>
    <t>GEOLOGO SENIOR - NS</t>
  </si>
  <si>
    <t>NS-C</t>
  </si>
  <si>
    <t>ANTONIO JOSE DE JESUS</t>
  </si>
  <si>
    <t>OFICIAL SERV ESCRITORIO</t>
  </si>
  <si>
    <t>ANTONIO JOSE LUIS</t>
  </si>
  <si>
    <t>ARNOLDO PINTO</t>
  </si>
  <si>
    <t>CONTROLADOR MAT E PAT</t>
  </si>
  <si>
    <t>ASSIS DE RIBAMAR WANDERLEY AMORAS</t>
  </si>
  <si>
    <t>DESENHISTA ESPECIALIZADO</t>
  </si>
  <si>
    <t>AYLSON SANTOS</t>
  </si>
  <si>
    <t>TECNICO DE LAB DE CONTROLE DE QUALIDADE</t>
  </si>
  <si>
    <t>BENEDITO BATISTA COSTA</t>
  </si>
  <si>
    <t>OPERADOR DE RADIOLOGIA</t>
  </si>
  <si>
    <t>BENEDITO FERNANDES GAMA GONZAGA</t>
  </si>
  <si>
    <t>PINTOR ESPECIALIZADO</t>
  </si>
  <si>
    <t>BENEDITO FIGUEIREDO</t>
  </si>
  <si>
    <t>BENEDITO TEODORO COELHO</t>
  </si>
  <si>
    <t>ASSESSOR TECNICO A</t>
  </si>
  <si>
    <t>BERNARDO JOSE FERNANDES</t>
  </si>
  <si>
    <t>DESENHISTA</t>
  </si>
  <si>
    <t>CAETANO DE OLIVEIRA COELHO</t>
  </si>
  <si>
    <t>OPER ESPECIALIZADO EM EQUIP PESADO</t>
  </si>
  <si>
    <t>CARLOS ALBERTO GOMES</t>
  </si>
  <si>
    <t>CARLOS ALBERTO TELLES VIANA</t>
  </si>
  <si>
    <t>TECNICO SUP INFORMATICA</t>
  </si>
  <si>
    <t>CARLOS ROGERIO DE FREITAS ROCHA</t>
  </si>
  <si>
    <t>TECNICO ESPECIAL</t>
  </si>
  <si>
    <t>CIDALIA MARIA CORREIA DE BRITO RIBEIRO</t>
  </si>
  <si>
    <t>CLEMAR VELOSO DE OLIVEIRA</t>
  </si>
  <si>
    <t>AUXILIAR DE ENFERMAGEM</t>
  </si>
  <si>
    <t>CLERIO ALMEIDA DA SILVA</t>
  </si>
  <si>
    <t>OPERADOR ESP PRODUCAO INDUSTRIAL</t>
  </si>
  <si>
    <t>DENISE HELENA SANTOS BARBOZA</t>
  </si>
  <si>
    <t>DERLI BARCELOS</t>
  </si>
  <si>
    <t>AUXILIAR DE ADMINISTRACAO</t>
  </si>
  <si>
    <t>DORVALINO LUIZ SOARES</t>
  </si>
  <si>
    <t>MECANICO TECNICO</t>
  </si>
  <si>
    <t>DULCE SILVEIRA GUIMARAES</t>
  </si>
  <si>
    <t>EBBER LUCIO DE OLIVEIRA</t>
  </si>
  <si>
    <t>OPERADOR DE TELECOMUNICACAO</t>
  </si>
  <si>
    <t>EDSON RODRIGUES</t>
  </si>
  <si>
    <t>EDUARDO RAMOS DE FIGUEIREDO</t>
  </si>
  <si>
    <t>ELANI DARC PERDIGAO</t>
  </si>
  <si>
    <t>ENEGMAR FERREIRA GOMES</t>
  </si>
  <si>
    <t>AUXILIAR DE SERVICOS</t>
  </si>
  <si>
    <t>ERNANI DOS SANTOS</t>
  </si>
  <si>
    <t>TEC LABORATORIO DE CONTROLE DE QUALIDADE</t>
  </si>
  <si>
    <t>ERNANI NUNES VIEIRA</t>
  </si>
  <si>
    <t>AGENTE DE SEGURANCA FERROVIARIO</t>
  </si>
  <si>
    <t>ESTACIO RODRIGUES NETO</t>
  </si>
  <si>
    <t>EUSTAQUIO ANTONIO DIAS</t>
  </si>
  <si>
    <t>EVERALDINO OLIVEIRA ARAUJO</t>
  </si>
  <si>
    <t>SERVENTE A</t>
  </si>
  <si>
    <t>FELIX FAUSTO DUARTE</t>
  </si>
  <si>
    <t>INSPETOR SEGURANCA PATRIMONIAL</t>
  </si>
  <si>
    <t>FERNANDO ROBERTO BARROS</t>
  </si>
  <si>
    <t>FRANCISCO CANCIO GUALBERTO</t>
  </si>
  <si>
    <t>AJUDANTE DE INSTALACAO MECANIZADA</t>
  </si>
  <si>
    <t>FRANCISCO DE ASSIS BERMUDES</t>
  </si>
  <si>
    <t>TECNICO MAT PATRIMONIO</t>
  </si>
  <si>
    <t>FRANCISCO GOMES DA COSTA</t>
  </si>
  <si>
    <t>FRANCISCO MONTEIRO DA SILVA</t>
  </si>
  <si>
    <t>FREDERICO LUNDGREN ROSE</t>
  </si>
  <si>
    <t>TECNICO SUPERIOR DE ECONOMIA E FINANCAS</t>
  </si>
  <si>
    <t>GENARIO BERNARDO NUNES</t>
  </si>
  <si>
    <t>GERALDO DE PAULA SILVA</t>
  </si>
  <si>
    <t>GERALDO MAJELLA LAGE</t>
  </si>
  <si>
    <t>TECNICO SUP EX CP CONTR</t>
  </si>
  <si>
    <t>GERALDO ROSA</t>
  </si>
  <si>
    <t>OPERADOR EQUIP INSTALACAO</t>
  </si>
  <si>
    <t>GERALDO VENANCIO DE FRIAS</t>
  </si>
  <si>
    <t>GESMIRO PEREIRA DE PINHO</t>
  </si>
  <si>
    <t>AGENTE DE SEGURANCA</t>
  </si>
  <si>
    <t>GILDO JORGE COUTINHO</t>
  </si>
  <si>
    <t>MECANICO TEC ESPECIALIZADO</t>
  </si>
  <si>
    <t>GUILHERME MAGNAGO</t>
  </si>
  <si>
    <t>HEITOR MOREIRA JUNIOR</t>
  </si>
  <si>
    <t>SUPERVISOR GERAL DE APOIO ADMINISTRATIVO</t>
  </si>
  <si>
    <t>HELENA MIGUEL DE MORAES</t>
  </si>
  <si>
    <t>AUXILIAR DE SERVICO DE SAUDE</t>
  </si>
  <si>
    <t>HELES MIRANDA DE ALVARENGA</t>
  </si>
  <si>
    <t>AUXILIAR DE ESTACAO</t>
  </si>
  <si>
    <t>HENRIQUE BAUMANN FILHO</t>
  </si>
  <si>
    <t>OFICIAL DE SERVICOS ECONOMICOS</t>
  </si>
  <si>
    <t>HIGINO JOAQUIM MAGALHAES</t>
  </si>
  <si>
    <t>ASSISTENTE TECNICO ADMINISTRATIVO</t>
  </si>
  <si>
    <t>HUDSON RACY ROSA</t>
  </si>
  <si>
    <t>IDELSON PEDROSA</t>
  </si>
  <si>
    <t>ILDEU TADEU PIMENTEL</t>
  </si>
  <si>
    <t>MOTORISTA EQUIP PESADO</t>
  </si>
  <si>
    <t>IVAN MARCOS COSTA</t>
  </si>
  <si>
    <t>TECNICO EXEC MECANICA</t>
  </si>
  <si>
    <t>JADIEL JOSE DA MATTA</t>
  </si>
  <si>
    <t>TECNICO ESP SERV ECONOM</t>
  </si>
  <si>
    <t>JAIME GOMES DA SILVA</t>
  </si>
  <si>
    <t>TECNICO ESPEC SERV ESCRIT</t>
  </si>
  <si>
    <t>JAIME ROCHA FILHO</t>
  </si>
  <si>
    <t>SUPERVISOR GERAL</t>
  </si>
  <si>
    <t>JAIR DE SOUZA</t>
  </si>
  <si>
    <t>JOAQUIM FIGUEIREDO DO NASCIMENTO</t>
  </si>
  <si>
    <t>ALMOXARIFE</t>
  </si>
  <si>
    <t>JONAS MARTINELLE</t>
  </si>
  <si>
    <t>OFICIAL SERVICOS DE APOIO</t>
  </si>
  <si>
    <t>JORGE SILVA DUARTE</t>
  </si>
  <si>
    <t>JOSE AUGUSTO RIBEIRO DA PAIXAO</t>
  </si>
  <si>
    <t>JOSE CARLOS DOS REIS</t>
  </si>
  <si>
    <t>JOSE CARLOS MACHADO</t>
  </si>
  <si>
    <t>JOSE CEZAR DE OLIVEIRA</t>
  </si>
  <si>
    <t>JOSE DARLI BAZILIO</t>
  </si>
  <si>
    <t>MECANICO TECNICO ESPECIALIZADO</t>
  </si>
  <si>
    <t>JOSE DAS GRACAS PINTO</t>
  </si>
  <si>
    <t>JOSE DO ESPIRITO SANTO BARCELLOS</t>
  </si>
  <si>
    <t>JOSE EUSTAQUIO DE OLIVEIRA</t>
  </si>
  <si>
    <t>TECNICO ESPECIALIZADO SERVICO ESCRITORIO</t>
  </si>
  <si>
    <t>JOSE HENRIQUE SARCINELLI BROTTO</t>
  </si>
  <si>
    <t>OPERADOR DE MAQUINA LINHA</t>
  </si>
  <si>
    <t>JOSE IDERVAL SENA DE ALVARENGA</t>
  </si>
  <si>
    <t>JOSE LUIZ COSTA</t>
  </si>
  <si>
    <t>JOSE LUIZ ELEUTERIO</t>
  </si>
  <si>
    <t>JOSE LUIZ SARCINELLI DOS SANTOS</t>
  </si>
  <si>
    <t>INSPETOR DE TRANSPORTE COMERCIAL</t>
  </si>
  <si>
    <t>JOSE OLEGARIO TABOSA</t>
  </si>
  <si>
    <t>CONTABILISTA</t>
  </si>
  <si>
    <t>JOSE RAIMUNDO CORREIA GOMES</t>
  </si>
  <si>
    <t>JOSE RODRIGUES CORREIA</t>
  </si>
  <si>
    <t>OPERADOR EQUIP ESPECIAIS</t>
  </si>
  <si>
    <t>JOSE TADEU DE CARVALHO</t>
  </si>
  <si>
    <t>JOSE ZITO DE BRITO</t>
  </si>
  <si>
    <t>OFICIAL DE MINERACAO</t>
  </si>
  <si>
    <t>JOSMIRO ESTEVAM LOPES</t>
  </si>
  <si>
    <t>JOVELINO EUSTAQUIO DE OLIVEIRA</t>
  </si>
  <si>
    <t>JURACY TEIXEIRA PRATA</t>
  </si>
  <si>
    <t>AGENTE DE ESTACAO</t>
  </si>
  <si>
    <t>LAERTE BARBOSA</t>
  </si>
  <si>
    <t>LEONIR BONATTI</t>
  </si>
  <si>
    <t>INSP SERVS APOIO</t>
  </si>
  <si>
    <t>LUIZ DE OLIVEIRA GOMES</t>
  </si>
  <si>
    <t>OPERADOR ESPECIALIZADO EQUIPAMENT PESADO</t>
  </si>
  <si>
    <t>MARCOS ROGERIO FARIAS</t>
  </si>
  <si>
    <t>TECNICO DE SEGURANCA DO TRABALHO</t>
  </si>
  <si>
    <t>MARGARIDA LIMA</t>
  </si>
  <si>
    <t>ENGENHEIRO CIVIL IV</t>
  </si>
  <si>
    <t>MARIA DAS GRACAS DOS SANTOS</t>
  </si>
  <si>
    <t>MARIA DO ROSARIO FERREIRA ANDRADE</t>
  </si>
  <si>
    <t>MARIA LOISA DA CRUZ MENDES</t>
  </si>
  <si>
    <t>MARIA OCARLINA MARTINS DE SOUZA SANTOS</t>
  </si>
  <si>
    <t>OFICIAL REC HUMANOS</t>
  </si>
  <si>
    <t>MARIA RODRIGUES ZEFERINO</t>
  </si>
  <si>
    <t>MAURO SILVA DE LIMA</t>
  </si>
  <si>
    <t>MELQUISEDEC DE ARAUJO LEAL</t>
  </si>
  <si>
    <t>TECNICO SUP EXC REC HUMANOS</t>
  </si>
  <si>
    <t>MONICA KAHN</t>
  </si>
  <si>
    <t>NATANAEL DOS SANTOS</t>
  </si>
  <si>
    <t>NELLE ROMERO DE BARROS</t>
  </si>
  <si>
    <t>NELSON MORAES DOS REIS</t>
  </si>
  <si>
    <t>AJUDANTE GERAL</t>
  </si>
  <si>
    <t>NILSON CORREA DA PENHA</t>
  </si>
  <si>
    <t>NILTON FERNANDES MOREIRA</t>
  </si>
  <si>
    <t>OBEDE ALVES BATISTA</t>
  </si>
  <si>
    <t>OLAVIO CORONEL FILHO</t>
  </si>
  <si>
    <t>SUPERVISOR DE SEGURANCA DO TRABALHO</t>
  </si>
  <si>
    <t>PAULINO DE OLIVEIRA SOARES</t>
  </si>
  <si>
    <t>AJUDANTE DE MECANICA</t>
  </si>
  <si>
    <t>PAULO CEZAR PEREIRA GRYLLO</t>
  </si>
  <si>
    <t>PEDRO BAPTISTA</t>
  </si>
  <si>
    <t>PEDRO LUCIO NETO</t>
  </si>
  <si>
    <t>RAIMUNDO AGNALDO ALVES DA SILVA</t>
  </si>
  <si>
    <t>SONDADOR II</t>
  </si>
  <si>
    <t>RAIMUNDO DIAS DA SILVA</t>
  </si>
  <si>
    <t>NA-C</t>
  </si>
  <si>
    <t>RENATO LELLIS DE JESUS FILHO</t>
  </si>
  <si>
    <t>ROBERTO CAUBY COUTINHO</t>
  </si>
  <si>
    <t>ROBERTO PINHEIRO PIMENTEL</t>
  </si>
  <si>
    <t>GERENTE DE DIVISAO</t>
  </si>
  <si>
    <t>RODRIGO GONZAGA MALHEIROS</t>
  </si>
  <si>
    <t>RUY AUGUSTO DA CUNHA</t>
  </si>
  <si>
    <t>RUY D OLIVEIRA SOUZA</t>
  </si>
  <si>
    <t>COZINHEIRO</t>
  </si>
  <si>
    <t>SEBASTIAO CAMARGO RODRIGUES</t>
  </si>
  <si>
    <t>BOMBEIRO</t>
  </si>
  <si>
    <t>SEBASTIAO ELIAS SILVA</t>
  </si>
  <si>
    <t>SEBASTIAO HELIODORO DOS SANTOS</t>
  </si>
  <si>
    <t>SEBASTIAO LUIZ RIBEIRO</t>
  </si>
  <si>
    <t>SEBASTIAO MIGUEL GOMES</t>
  </si>
  <si>
    <t>SEBASTIAO SIQUEIRA</t>
  </si>
  <si>
    <t>AJUDANTE DE ESCRITORIO</t>
  </si>
  <si>
    <t>SEBASTIAO TAVARES</t>
  </si>
  <si>
    <t>TECNICO ELETROELETRONICA</t>
  </si>
  <si>
    <t>SINVAL GONCALVES PEREIRA</t>
  </si>
  <si>
    <t>AJUDANTE DE OPER VEIC MAQUINAS</t>
  </si>
  <si>
    <t>TANIA MARIA BRAVIM</t>
  </si>
  <si>
    <t>TARCISIO ALMEIDA SOUZA</t>
  </si>
  <si>
    <t>MECANICO ESPECIALIZADO</t>
  </si>
  <si>
    <t>TERESA MARIA DE JESUS VICTOR</t>
  </si>
  <si>
    <t>VALDEMAR ALVES DE LIMA</t>
  </si>
  <si>
    <t>VALDENIR CLAUDIO TULHER</t>
  </si>
  <si>
    <t>VICENTE DE PAULO COSTA PASCOAL</t>
  </si>
  <si>
    <t>WALTER BENTO DELGADO</t>
  </si>
  <si>
    <t>WASHINGTON VIANA</t>
  </si>
  <si>
    <t>WILSON ALVES DOS SANTOS</t>
  </si>
  <si>
    <t>COMANDO DA AERONAUTICA</t>
  </si>
  <si>
    <t>C.AER</t>
  </si>
  <si>
    <t>PAULO ALVES MOREIRA</t>
  </si>
  <si>
    <t>INSPETOR DE SEGURANCA DO TRABALHO</t>
  </si>
  <si>
    <t>SP</t>
  </si>
  <si>
    <t>COMISSAO NACIONAL DE ENERGIA NUCLEAR</t>
  </si>
  <si>
    <t>CNEN</t>
  </si>
  <si>
    <t>CHIRLEY FERREIRA DA SILVA</t>
  </si>
  <si>
    <t>ARTIFICE DE OBRAS</t>
  </si>
  <si>
    <t>MG</t>
  </si>
  <si>
    <t>FUNDACAO OSWALDO CRUZ</t>
  </si>
  <si>
    <t>FIOCRUZ</t>
  </si>
  <si>
    <t>FUND FEDERAL</t>
  </si>
  <si>
    <t>BERENICE SILVA DA COSTA</t>
  </si>
  <si>
    <t>RJ</t>
  </si>
  <si>
    <t>HELENA BARBIERI</t>
  </si>
  <si>
    <t>INSTITUTO NAC. DE COLONIZ E REF AGRARIA</t>
  </si>
  <si>
    <t>INCRA</t>
  </si>
  <si>
    <t>ADALVA ALVES MONTEIRO</t>
  </si>
  <si>
    <t>ADVOGADO</t>
  </si>
  <si>
    <t>MA</t>
  </si>
  <si>
    <t>ANTONIO CARLOS VIEIRA DE AGUIAR</t>
  </si>
  <si>
    <t>ANTONIO PAULINO DE SOUSA</t>
  </si>
  <si>
    <t>VIGIA</t>
  </si>
  <si>
    <t>APOLINARIO RODRIGUES PINTO</t>
  </si>
  <si>
    <t>PRATICO AGRICOLA</t>
  </si>
  <si>
    <t>ARMANDO COSTA ABREU</t>
  </si>
  <si>
    <t>TRABALHADOR</t>
  </si>
  <si>
    <t>BENEDITO NASCIMENTO SILVA</t>
  </si>
  <si>
    <t>DATILOGRAFO</t>
  </si>
  <si>
    <t>HILDELBERTO BERNARDO LOPES</t>
  </si>
  <si>
    <t>ASSISTENTE DE ADMINISTRACAO</t>
  </si>
  <si>
    <t>JOAO BARBOSA DO NASCIMENTO</t>
  </si>
  <si>
    <t>JOAO BATISTA VITORIANO DA FONSECA</t>
  </si>
  <si>
    <t>JOSE GABRIEL CAMPOS COSTA FERREIRA</t>
  </si>
  <si>
    <t>JOSE MILANEZ MECENAS NETO</t>
  </si>
  <si>
    <t>MARY JULIA DE SOUSA RAMOS</t>
  </si>
  <si>
    <t>ECONOMISTA</t>
  </si>
  <si>
    <t>NAZARE BATISTA SILVA</t>
  </si>
  <si>
    <t>AGENTE SOCIAL</t>
  </si>
  <si>
    <t>NIELZA ARRUDA SANTOS</t>
  </si>
  <si>
    <t>RAIMUNDO CASCIANO DA SILVA</t>
  </si>
  <si>
    <t>RAIMUNDO MOREIRA FILHO</t>
  </si>
  <si>
    <t>WALTER GONCALVES DA COSTA</t>
  </si>
  <si>
    <t>INSTITUTO NACIONAL DE SEGURO SOCIAL</t>
  </si>
  <si>
    <t>INSS</t>
  </si>
  <si>
    <t>AUTARQ FEDERAL</t>
  </si>
  <si>
    <t>VERA LUCIA VAZ DA COSTA</t>
  </si>
  <si>
    <t>AGENTE ADMINISTRATIVO</t>
  </si>
  <si>
    <t>MINISTERIO DA AGRICULTURA E PECUARIA</t>
  </si>
  <si>
    <t>ADALBERTO NUNES SOARES</t>
  </si>
  <si>
    <t>ASSISTENTE TECNICO</t>
  </si>
  <si>
    <t>PB</t>
  </si>
  <si>
    <t>ALCIDES GOMES DE MELO</t>
  </si>
  <si>
    <t>ALFREDO SANTANA SILVA DE MELO</t>
  </si>
  <si>
    <t>PA</t>
  </si>
  <si>
    <t>MIN DA INTEG E DO DESENV REGIONAL</t>
  </si>
  <si>
    <t>MIDR</t>
  </si>
  <si>
    <t>ANTONIO GOMES NETO</t>
  </si>
  <si>
    <t>TECNICO DE NIVEL SUPERIOR IV</t>
  </si>
  <si>
    <t>ANA MARIA DA SILVA PINTO</t>
  </si>
  <si>
    <t>RN</t>
  </si>
  <si>
    <t>ANTONIO CARRIJO PRIMO</t>
  </si>
  <si>
    <t>ANTONIO CHAVES DE OLIVEIRA</t>
  </si>
  <si>
    <t>ANTONIO DA SILVA PIMENTEL</t>
  </si>
  <si>
    <t>ANTONIO DE FREITAS MARQUES</t>
  </si>
  <si>
    <t>ANTONIO FIALHO ROCHA</t>
  </si>
  <si>
    <t>DECISAO JUDICIAL</t>
  </si>
  <si>
    <t>APARECIDA IVETE RODRIGUES FACO</t>
  </si>
  <si>
    <t>BA</t>
  </si>
  <si>
    <t>AQUILINO BENEDITO PAULINO DA CUNHA</t>
  </si>
  <si>
    <t>ARY BONIFACIO DE FARIAS</t>
  </si>
  <si>
    <t>AUGUSTO JOSE PINTO</t>
  </si>
  <si>
    <t>JOAO AGOSTINHO TELES</t>
  </si>
  <si>
    <t>BENEDITO DOS SANTOS</t>
  </si>
  <si>
    <t>GO</t>
  </si>
  <si>
    <t>CARLOS ALBERTO VASCONCELOS LEMOS</t>
  </si>
  <si>
    <t>CLAUDIONOR NONATO DA SILVA</t>
  </si>
  <si>
    <t>CLEBER TORRES AFONSO</t>
  </si>
  <si>
    <t>RS</t>
  </si>
  <si>
    <t>DANTE LUIZ SEMICEK</t>
  </si>
  <si>
    <t>SC</t>
  </si>
  <si>
    <t>DORIVAL SALOMAO DE OLIVEIRA</t>
  </si>
  <si>
    <t>EDESIO FERREIRA DA COSTA</t>
  </si>
  <si>
    <t>EDMUNDO ROBERTO FERREIRA LOUREIRO</t>
  </si>
  <si>
    <t>EIJI BABA</t>
  </si>
  <si>
    <t>ENOQUE GOMES DE ALENCAR</t>
  </si>
  <si>
    <t>EVALDO JOSE DE SOUSA</t>
  </si>
  <si>
    <t>FERNANDO PAULO SALDANHA FILHO</t>
  </si>
  <si>
    <t>FRANCISCA IVANICE SANDERS ROCHA</t>
  </si>
  <si>
    <t>CE</t>
  </si>
  <si>
    <t>FRANCISCA LOPES DE FARIAS SALES</t>
  </si>
  <si>
    <t>ES</t>
  </si>
  <si>
    <t>FRANCISCO DE ASSIS DE BRAGANCA PIMENTEL</t>
  </si>
  <si>
    <t>GETULIO AKIO SHINKAWA</t>
  </si>
  <si>
    <t>GILBERTO MAYRINK MARQUES</t>
  </si>
  <si>
    <t>GILVANDO CLEMENTINO FARIAS</t>
  </si>
  <si>
    <t>HARY OENNING</t>
  </si>
  <si>
    <t>HELIO EDWINO WEBER</t>
  </si>
  <si>
    <t>HILMAR FREDERICO KLEIN</t>
  </si>
  <si>
    <t>IVALDO RAIMUNDO DE ARRUDA</t>
  </si>
  <si>
    <t>IVAN GOMES PEREIRA</t>
  </si>
  <si>
    <t>JAIR DE MATOS</t>
  </si>
  <si>
    <t>PR</t>
  </si>
  <si>
    <t>JOAO ATILIO ZARDIM</t>
  </si>
  <si>
    <t>JOAO BOSCO MARIZ MARTINS</t>
  </si>
  <si>
    <t>JOAO DOMINGOS DEL PIERO</t>
  </si>
  <si>
    <t>JOAOZINHO LOURENCO FERREIRA</t>
  </si>
  <si>
    <t>JOAREZ RODRIGUES DE SOUZA</t>
  </si>
  <si>
    <t>JONAS ELIAS BATISTA</t>
  </si>
  <si>
    <t>JORGE ALVES</t>
  </si>
  <si>
    <t>MIN GESTAO E INOV EM SERV PUBLICOS</t>
  </si>
  <si>
    <t>MGI</t>
  </si>
  <si>
    <t>GLEISE MARIA INDIO E BARTIJOTTO</t>
  </si>
  <si>
    <t>TECNICO DE NIVEL SUPERIOR III</t>
  </si>
  <si>
    <t>JOSE CANDIDO VIEIRA</t>
  </si>
  <si>
    <t>JURANDYR SERAFIM PINTO RIBEIRO</t>
  </si>
  <si>
    <t>KURT ALBERTO WALTER</t>
  </si>
  <si>
    <t>LAURIANO ANDRADE FILHO</t>
  </si>
  <si>
    <t>MT</t>
  </si>
  <si>
    <t>LIDICE MEIRELES PICOLIN</t>
  </si>
  <si>
    <t>LUIZ AQUINO BENITEZ BASALDUA</t>
  </si>
  <si>
    <t>LUIZ DE FRANCA PORFIRIO</t>
  </si>
  <si>
    <t>AL</t>
  </si>
  <si>
    <t>LUIZ FERNANDO CORREA DE MEDEIROS</t>
  </si>
  <si>
    <t>LUIZ LOPES GONCALVES</t>
  </si>
  <si>
    <t>PE</t>
  </si>
  <si>
    <t>LUIZ SOGA</t>
  </si>
  <si>
    <t>LUIZ CARLOS BISSOLATI MENEZES</t>
  </si>
  <si>
    <t>COMPRADOR</t>
  </si>
  <si>
    <t>NA-A</t>
  </si>
  <si>
    <t>LUIZ SERGIO DIAS DOS SANTOS</t>
  </si>
  <si>
    <t>AUXILIAR DE ESCRITORIO</t>
  </si>
  <si>
    <t>MANOEL CAVALCANTI DE LACERDA NETO</t>
  </si>
  <si>
    <t>MANOEL DE MORAES AGUIAR</t>
  </si>
  <si>
    <t>MANSUETO LOPES DE MESQUITA</t>
  </si>
  <si>
    <t>MARCO AURELIO FADEL FURTADO</t>
  </si>
  <si>
    <t>MARIA LUIZA MOULIN PEDROSA DE LIMA</t>
  </si>
  <si>
    <t>DENTISTA</t>
  </si>
  <si>
    <t>MARIA CARMELIA COSTA LESSA</t>
  </si>
  <si>
    <t>MARIA DO SOCORRO LIRA</t>
  </si>
  <si>
    <t>SARAH LAND DA SILVA</t>
  </si>
  <si>
    <t>TECNICO DE NIVEL SUPERIOR I</t>
  </si>
  <si>
    <t>MARIO ANGELO CAHINO</t>
  </si>
  <si>
    <t>MARIO MONTEIRO DIAS</t>
  </si>
  <si>
    <t>MINISTERIO CIENCIA TECNOLOGIA INOVA</t>
  </si>
  <si>
    <t>MCTI</t>
  </si>
  <si>
    <t>ADELSON TAVARES DE MELO</t>
  </si>
  <si>
    <t>MINGUARACI VENTURA DOS SANTOS</t>
  </si>
  <si>
    <t>NANCY MARIO DE JESUS OLIVEIRA</t>
  </si>
  <si>
    <t>NEI ROGERIO RAMOS</t>
  </si>
  <si>
    <t>NEWTON LUIZ SANTOS MACHADO</t>
  </si>
  <si>
    <t>NILSON FERNANDES</t>
  </si>
  <si>
    <t>AILTON DA SILVA BATISTA</t>
  </si>
  <si>
    <t>AUXILIAR TECNICO EM TELECOMUNICACOES</t>
  </si>
  <si>
    <t>ALCEBINO LUIZ MAGALHAES</t>
  </si>
  <si>
    <t>OSVALDIR BORBOREMA DE OLIVEIRA</t>
  </si>
  <si>
    <t>OSVALDO BATISTA DE OLIVEIRA</t>
  </si>
  <si>
    <t>PAULO SERGIO DUARTE PONTES</t>
  </si>
  <si>
    <t>PAULO TETSUO ENDO</t>
  </si>
  <si>
    <t>PEDRO URQUIZA DA SILVA</t>
  </si>
  <si>
    <t>RANDOLPHO FURTADO DE MENDONCA</t>
  </si>
  <si>
    <t>RENATO ANTONIO BORGES DE SOUZA</t>
  </si>
  <si>
    <t>RENATO FONSECA FERREIRA</t>
  </si>
  <si>
    <t>ANTENOR DA SILVEIRA MATOS FILHO</t>
  </si>
  <si>
    <t>ASSISTENTE DE SEGURANCA</t>
  </si>
  <si>
    <t>RODOLFO JOSE DA COSTA VASCONCELLOS</t>
  </si>
  <si>
    <t>SEIJI SERGIO INOUE</t>
  </si>
  <si>
    <t>ANTONIO DOS SANTOS</t>
  </si>
  <si>
    <t>ANTONIO EFIGENIO DE PINHO</t>
  </si>
  <si>
    <t>AUDITOR II</t>
  </si>
  <si>
    <t>ANTONIO MARCOS DOS SANTOS</t>
  </si>
  <si>
    <t>SILVIA MARIA FERREIRA REIS</t>
  </si>
  <si>
    <t>ANTONIO MIGUEL DE MOURA</t>
  </si>
  <si>
    <t>ANTONIO MIRANDA DOS SANTOS</t>
  </si>
  <si>
    <t>TARLEI COSTA PINTO DE PADUA</t>
  </si>
  <si>
    <t>ULYSSES ORLANDO</t>
  </si>
  <si>
    <t>UYRACE SOARES DE HOLANDA LIMA</t>
  </si>
  <si>
    <t>VALDECI PISSUTTI</t>
  </si>
  <si>
    <t>VICENTE ANDRADE MANERA</t>
  </si>
  <si>
    <t>VILNEI FIRMINO DE CASTRO</t>
  </si>
  <si>
    <t>WALBER GONCALVES POLARY</t>
  </si>
  <si>
    <t>WALBURGA DUCHTING</t>
  </si>
  <si>
    <t>ANTONIO VIEIRA RAMALHO</t>
  </si>
  <si>
    <t>WILTON RICARDO GOULART</t>
  </si>
  <si>
    <t>ZOILA RODRIGUES PRESTES</t>
  </si>
  <si>
    <t>BENEDITO GUILHERME SANTOS</t>
  </si>
  <si>
    <t>AJUDANTE REPARADOR DE REDE JUNIOR</t>
  </si>
  <si>
    <t>MINISTERIO DAS CIDADES</t>
  </si>
  <si>
    <t>MCID</t>
  </si>
  <si>
    <t>IVON MUALEM DA FONSECA</t>
  </si>
  <si>
    <t>BOAVENTURA ASSUNCAO COSTA</t>
  </si>
  <si>
    <t>CABISTA</t>
  </si>
  <si>
    <t>MINISTERIO DAS COMUNICACOES</t>
  </si>
  <si>
    <t>MCOM</t>
  </si>
  <si>
    <t>GERALDO ROBERTO VILELA</t>
  </si>
  <si>
    <t>ENGENHEIRO</t>
  </si>
  <si>
    <t>CARLOS DIAS GUIMARAES</t>
  </si>
  <si>
    <t>AUXILIAR ADMINISTRATIVO</t>
  </si>
  <si>
    <t>PEDRO SOUZA DONINI</t>
  </si>
  <si>
    <t>TEREZA KIOKO TAIRA OKUBARU</t>
  </si>
  <si>
    <t>ACIDALIA DE OLIVEIRA</t>
  </si>
  <si>
    <t>ATENDENTE DE SERVICOS I</t>
  </si>
  <si>
    <t>CICERO JACINTO DA SILVA</t>
  </si>
  <si>
    <t>TECNICO DE COMUTACAO</t>
  </si>
  <si>
    <t>DARILTON TEIXEIRA FERREIRA</t>
  </si>
  <si>
    <t>AUXILIAR TECNICO DE REDE</t>
  </si>
  <si>
    <t>AMARO ALVES</t>
  </si>
  <si>
    <t>ANA MENDES PINTO</t>
  </si>
  <si>
    <t>ANISTIA - LEI 8878/94, DE 11.05.94 - DOU 12.05.94</t>
  </si>
  <si>
    <t>COPEIRO</t>
  </si>
  <si>
    <t>EMILIO DE AQUINO</t>
  </si>
  <si>
    <t>ERLEI ALVES DA SILVA</t>
  </si>
  <si>
    <t>GABRIEL DE CARVALHO AMORIM</t>
  </si>
  <si>
    <t>INSTALADOR REPAR DE LINHAS E APARELHOS</t>
  </si>
  <si>
    <t>GENEZIO PEREIRA</t>
  </si>
  <si>
    <t>GIANVICO BONANTE</t>
  </si>
  <si>
    <t>ENGENHEIRO ELETRONICO</t>
  </si>
  <si>
    <t>GILBERTO FELIX DA HORA MEDEIROS</t>
  </si>
  <si>
    <t>ATENDENTE DE SERVICOS</t>
  </si>
  <si>
    <t>IRACI FELIX DOS SANTOS</t>
  </si>
  <si>
    <t>JORGE DE ALENCAR PIMENTEL</t>
  </si>
  <si>
    <t>TEC EM EQUIPAMENTOS DE TELECOMUNICACAO</t>
  </si>
  <si>
    <t>ECILA BARBOSA BRAGA</t>
  </si>
  <si>
    <t>TELEFONISTA</t>
  </si>
  <si>
    <t>JORGE DUARTE DA COSTA</t>
  </si>
  <si>
    <t>JOSE DO NASCIMENTO</t>
  </si>
  <si>
    <t>PORTEIRO</t>
  </si>
  <si>
    <t>JOSE FERREIRA DE LIMA</t>
  </si>
  <si>
    <t>TECNICO JUNIOR EM TRANSMISSAO</t>
  </si>
  <si>
    <t>FRANCISCA PAULINO</t>
  </si>
  <si>
    <t>JURANDIR DE SANTANA</t>
  </si>
  <si>
    <t>TECNICO DE OBRAS CIVIS</t>
  </si>
  <si>
    <t>FRANCISCO PEREIRA</t>
  </si>
  <si>
    <t>CONTINUO</t>
  </si>
  <si>
    <t>LAURIMEIA DA SILVA GOUVEIA</t>
  </si>
  <si>
    <t>ASSISTENTE DE SERVICOS COMERCIAIS</t>
  </si>
  <si>
    <t>LEA FONSECA DA CUNHA</t>
  </si>
  <si>
    <t>LEANDRO SOARES DE AZEVEDO JUNIOR</t>
  </si>
  <si>
    <t>MECANICO</t>
  </si>
  <si>
    <t>INDALECIO MARTINS DAL SECCHI</t>
  </si>
  <si>
    <t>MANOEL DE JESUS SANT ANA FILHO</t>
  </si>
  <si>
    <t>CARPINTEIRO</t>
  </si>
  <si>
    <t>MARIA DA SALETE UCHOA SALES</t>
  </si>
  <si>
    <t>TECNICO EM SECRETARIADO</t>
  </si>
  <si>
    <t>MARIA DE LOURDES VERAS DE AMARAL</t>
  </si>
  <si>
    <t>JOSE CARLOS</t>
  </si>
  <si>
    <t>MARILENE AMARO FRANCO</t>
  </si>
  <si>
    <t>MARLENE PINTO FERREIRA</t>
  </si>
  <si>
    <t>ATENDENTE DE SERVICOS JUNIOR</t>
  </si>
  <si>
    <t>MAURO DA SILVA</t>
  </si>
  <si>
    <t>TECNICO EM PLANEJAM DE TELECOMUNICACOES</t>
  </si>
  <si>
    <t>MILTON SANT ANNA</t>
  </si>
  <si>
    <t>MOISES DA SILVA CARVALHO</t>
  </si>
  <si>
    <t>NATERCIA CONDE DA SILVA</t>
  </si>
  <si>
    <t>NILTON REIS ROCHA FILHO</t>
  </si>
  <si>
    <t>ROMEU CANDIDO DE OLIVEIRA</t>
  </si>
  <si>
    <t>MARCILIO DE BARROS PIMENTEL</t>
  </si>
  <si>
    <t>ROSA MARIA HENRIQUE DA COSTA</t>
  </si>
  <si>
    <t>ASSISTENTE SOCIAL</t>
  </si>
  <si>
    <t>MARIA BERNADETE PEREIRA LISBOA</t>
  </si>
  <si>
    <t>RUI BARBOSA AMORIM PASSOS</t>
  </si>
  <si>
    <t>MARIO KIOTO KOTANI</t>
  </si>
  <si>
    <t>SONIA MELO MARINHO</t>
  </si>
  <si>
    <t>TEREZA BIZZO DE ASSIS</t>
  </si>
  <si>
    <t>TEREZINHA BRAZ DE SOUZA</t>
  </si>
  <si>
    <t>PEDAGOGA</t>
  </si>
  <si>
    <t>THALES FRANCISCO DE AGUIAR</t>
  </si>
  <si>
    <t>MOACIR BARBOSA DE SOUZA MONTEIRO</t>
  </si>
  <si>
    <t>VILMA CLEIDE SILVA DE FREITAS</t>
  </si>
  <si>
    <t>VILMA MARIA LINS PEIXOTO</t>
  </si>
  <si>
    <t>ODEAN BASILIA DE SOUSA</t>
  </si>
  <si>
    <t>RECEPCIONISTA</t>
  </si>
  <si>
    <t>WALTER CENIZIO DE ALMEIDA</t>
  </si>
  <si>
    <t>WALTER ROCHA</t>
  </si>
  <si>
    <t>WILNA BENAYON DE MELO</t>
  </si>
  <si>
    <t>NUTRICIONISTA</t>
  </si>
  <si>
    <t>WILSON MENDES CAVALCANTE</t>
  </si>
  <si>
    <t>ALCILEA ALVES DA SILVA</t>
  </si>
  <si>
    <t>REFORMA ADMINISTRATIVA</t>
  </si>
  <si>
    <t>ATIVO EM OUTRO ORGAO</t>
  </si>
  <si>
    <t>ANISIO AUGUSTO DOS SANTOS</t>
  </si>
  <si>
    <t>ROBERTO FERREIRA DE OLIVEIRA</t>
  </si>
  <si>
    <t>SUPERVISOR DE SERVICOS TELEFONICOS</t>
  </si>
  <si>
    <t>RUBENS GALLINA</t>
  </si>
  <si>
    <t>CARLOS DA SILVA DIAS</t>
  </si>
  <si>
    <t>SELMA FELIX MENDONCA</t>
  </si>
  <si>
    <t>EDNO FERREIRA DA CRUZ</t>
  </si>
  <si>
    <t>URBANO JOSE PIBERNAT VILLELA</t>
  </si>
  <si>
    <t>VALDECI MACHADO DA SILVA</t>
  </si>
  <si>
    <t>GILBERTO DRECHSEL</t>
  </si>
  <si>
    <t>GILVANISE GOMES MOTTA</t>
  </si>
  <si>
    <t>ZILDA COSMO MARIANO BATISTA</t>
  </si>
  <si>
    <t>MIN DO DESENV AGR E AGRIC FAMILIAR</t>
  </si>
  <si>
    <t>MDA</t>
  </si>
  <si>
    <t>EDUARDO PERES FERNANDES CAMARA</t>
  </si>
  <si>
    <t>RAIMUNDO RIBEIRO OLIVEIRA</t>
  </si>
  <si>
    <t>MIN DESENV ASSIS SOCI FAMIL COMBATE FOME</t>
  </si>
  <si>
    <t>MDS</t>
  </si>
  <si>
    <t>ARTHUR JOSE GUIMARAES DE SOUZA MAIA</t>
  </si>
  <si>
    <t>TECNICO DE NIVEL SUPERIOR II</t>
  </si>
  <si>
    <t>JOAO MENDES DA SILVA</t>
  </si>
  <si>
    <t>JOSE AILSON AMARAL DE FREITAS</t>
  </si>
  <si>
    <t>TO</t>
  </si>
  <si>
    <t>JOSE ANTONIO FERREIRA DE FARIA</t>
  </si>
  <si>
    <t>JOSE ARAUJO LACERDA</t>
  </si>
  <si>
    <t>JOSE DA MOTA GUEDES</t>
  </si>
  <si>
    <t>MINISTERIO DA EDUCACAO</t>
  </si>
  <si>
    <t>MEC</t>
  </si>
  <si>
    <t>AUTERLICE LUSTOSA NOGUEIRA</t>
  </si>
  <si>
    <t>CECILIA CATRAMBY COUTINHO</t>
  </si>
  <si>
    <t>JOSIAS ALVES DA SILVA</t>
  </si>
  <si>
    <t>LASARO PIRES DA SILVA</t>
  </si>
  <si>
    <t>MINISTERIO DA FAZENDA</t>
  </si>
  <si>
    <t>MF</t>
  </si>
  <si>
    <t>ANA MARIA GARONE RODRIGUES</t>
  </si>
  <si>
    <t>DIGITADOR</t>
  </si>
  <si>
    <t>EDSA VENANCIO DE AZEVEDO</t>
  </si>
  <si>
    <t>LUIS CARLOS RODRIGUES DA SILVA</t>
  </si>
  <si>
    <t>PRATICANTE E ENTREGADOR</t>
  </si>
  <si>
    <t>WILMAR SCHMITT SILVA</t>
  </si>
  <si>
    <t>ESCRITURARIO</t>
  </si>
  <si>
    <t>ARY RODRIGUES LOURENCO</t>
  </si>
  <si>
    <t>ANALISTA TECNICO</t>
  </si>
  <si>
    <t>EDISON DOS SANTOS</t>
  </si>
  <si>
    <t>MARIO PEIXOTO DE OLIVEIRA FILHO</t>
  </si>
  <si>
    <t>GERALDO MARTINS DA SILVEIRA</t>
  </si>
  <si>
    <t>MECANICO DE REFRIGERACAO</t>
  </si>
  <si>
    <t>MAURO DO COUTO COSTA</t>
  </si>
  <si>
    <t>MOACIR RIBEIRO DE ANDRADE</t>
  </si>
  <si>
    <t>HELIO GARCIA DE MORAES</t>
  </si>
  <si>
    <t>OSMAR BRAGA DE SIQUEIRA</t>
  </si>
  <si>
    <t>JOAO PAULO ACIOLI TOSCANO</t>
  </si>
  <si>
    <t>TECNICO DE ARMAZENAGEM</t>
  </si>
  <si>
    <t>JOSE ALVES DE OLIVEIRA</t>
  </si>
  <si>
    <t>ASCENSORISTA</t>
  </si>
  <si>
    <t>RONALDO ALVES FERREIRA</t>
  </si>
  <si>
    <t>MINISTERIO DA CULTURA</t>
  </si>
  <si>
    <t>MINC</t>
  </si>
  <si>
    <t>ANTONIO CARLOS PINTO</t>
  </si>
  <si>
    <t>ASSISTENTE DE DISTRIBUICAO II</t>
  </si>
  <si>
    <t>TADEU HEITOR OLIVEIRA FERREIRA</t>
  </si>
  <si>
    <t>ANTONIO SOARES DA FONSECA</t>
  </si>
  <si>
    <t>ANALISTA ECONOMICO-FINANCEIRO</t>
  </si>
  <si>
    <t>ARLETE TAVARES DE MORAES</t>
  </si>
  <si>
    <t>EDUARDO GRANATO MATTA</t>
  </si>
  <si>
    <t>YOSHIKATSU FUJIWARA</t>
  </si>
  <si>
    <t>ANALISTA DE EQUIPAMENTOS</t>
  </si>
  <si>
    <t>IVAN DOS SANTOS</t>
  </si>
  <si>
    <t>ASSISTENTE FINANCEIRO</t>
  </si>
  <si>
    <t>ANTONIO FERREIRA CALADO</t>
  </si>
  <si>
    <t>AUXILIAR DE APOIO OPERACIONAL V</t>
  </si>
  <si>
    <t>MARIA VERONICA MEDEIROS ARAUJO VIEIRA DA CUNHA</t>
  </si>
  <si>
    <t>ASSESSOR ADMINISTRATIVO</t>
  </si>
  <si>
    <t>PAULO ROBERTO DOS SANTOS</t>
  </si>
  <si>
    <t>IRACI CARDOSO</t>
  </si>
  <si>
    <t>ANA MARIA SILVA SALGADO</t>
  </si>
  <si>
    <t>RAIMUNDO SOARES DE OLIVEIRA</t>
  </si>
  <si>
    <t>TECNICO DE NIVEL MEDIO II</t>
  </si>
  <si>
    <t>IDELMA BRITO DE LIMA</t>
  </si>
  <si>
    <t>TECNICO EM ADMINISTRACAO</t>
  </si>
  <si>
    <t>SEVERINA DA SILVA RANGEL ALVES</t>
  </si>
  <si>
    <t>ARLETE DA FONSECA GONCALVES</t>
  </si>
  <si>
    <t>REINTEGRACAO</t>
  </si>
  <si>
    <t>CHEILA DE SOUSA</t>
  </si>
  <si>
    <t>DARCI DA SILVA PINTO</t>
  </si>
  <si>
    <t>ARTIFICE - I</t>
  </si>
  <si>
    <t>IVANY DE OLIVEIRA QUITO</t>
  </si>
  <si>
    <t>MARCO ANTONIO DE SOUZA</t>
  </si>
  <si>
    <t>MARIA HELENA SILVA</t>
  </si>
  <si>
    <t>REGINA CELIA TEIXEIRA BAPTISTA</t>
  </si>
  <si>
    <t>REGINALDO SOBRAL MAGALHAES</t>
  </si>
  <si>
    <t>ALTAMIRO BARBOSA</t>
  </si>
  <si>
    <t>TELMA LOPES DE MELO</t>
  </si>
  <si>
    <t>VALTER FRANCA BEZERRA</t>
  </si>
  <si>
    <t>MINISTERIO DE MINAS E ENERGIA</t>
  </si>
  <si>
    <t>MME</t>
  </si>
  <si>
    <t>AILTON JORGE DE OLIVEIRA</t>
  </si>
  <si>
    <t>AUXILIAR DE CONTABILIDADE IV</t>
  </si>
  <si>
    <t>AIRSON MEDEIROS DA SILVA</t>
  </si>
  <si>
    <t>ALCIDES BERNARDO DA SILVA</t>
  </si>
  <si>
    <t>LUBRIFICADOR IV</t>
  </si>
  <si>
    <t>ANA PRATA GIRAO</t>
  </si>
  <si>
    <t>ENGENHEIRO QUIMICO</t>
  </si>
  <si>
    <t>ANGELA MARTA MAURICIO</t>
  </si>
  <si>
    <t>GEOGRAFO</t>
  </si>
  <si>
    <t>ANTONIO BENTO FERNANDES</t>
  </si>
  <si>
    <t>AUXILIAR TECNICO II</t>
  </si>
  <si>
    <t>ANGELO MOREIRA LAGES</t>
  </si>
  <si>
    <t>ECONOMISTA IV</t>
  </si>
  <si>
    <t>ANTONIO GARCIA DE JESUS</t>
  </si>
  <si>
    <t>AJUDANTE I</t>
  </si>
  <si>
    <t>ANTONIO LIMAS ZABOT</t>
  </si>
  <si>
    <t>OPERADOR</t>
  </si>
  <si>
    <t>ANTONIO VIEIRA</t>
  </si>
  <si>
    <t>ANOTADOR VI</t>
  </si>
  <si>
    <t>ARINEA MENDES DE CASTRO VIEIRA</t>
  </si>
  <si>
    <t>BERNARDET BERNARDO PLAZA</t>
  </si>
  <si>
    <t>CELEIDA MARCIA DOS SANTOS</t>
  </si>
  <si>
    <t>ANALISTA DE LEGISLACAO FISCAL</t>
  </si>
  <si>
    <t>CLEBER LEAL GONCALVES</t>
  </si>
  <si>
    <t>DINALVA FEIJO DE MELO MENDES</t>
  </si>
  <si>
    <t>DILNEI CIRELLI</t>
  </si>
  <si>
    <t>OP PAINEL CONTROLE VI</t>
  </si>
  <si>
    <t>DIONEIA FARIA</t>
  </si>
  <si>
    <t>PSICOLOGO</t>
  </si>
  <si>
    <t>DULCIDIO JOAO PETRUCIO</t>
  </si>
  <si>
    <t>ELISABET POP DE ABREU</t>
  </si>
  <si>
    <t>ESCRITURARIO II</t>
  </si>
  <si>
    <t>ELITA OLIVEIRA DINIZ</t>
  </si>
  <si>
    <t>DIGITADOR II</t>
  </si>
  <si>
    <t>ELMAR DO AMARAL FONSECA</t>
  </si>
  <si>
    <t>FRANCISCO BARBOSA DE MORAIS</t>
  </si>
  <si>
    <t>EUNICE SILVA TORRES</t>
  </si>
  <si>
    <t>GENECY PEREIRA LOURENCO</t>
  </si>
  <si>
    <t>GILBERTO GUIMARAES MENDES</t>
  </si>
  <si>
    <t>GILSON DE SOUZA DO O</t>
  </si>
  <si>
    <t>AUXILIAR TECNICO</t>
  </si>
  <si>
    <t>FRANCISCO CARDOSO CORREA</t>
  </si>
  <si>
    <t>OPERADOR III</t>
  </si>
  <si>
    <t>GERALDO NUNES PEREIRA FILHO</t>
  </si>
  <si>
    <t>GILSON ELI PINHEIRO RAMOS</t>
  </si>
  <si>
    <t>GUNTHER BANTEL</t>
  </si>
  <si>
    <t>NS-B</t>
  </si>
  <si>
    <t>HATIRO IKUMA</t>
  </si>
  <si>
    <t>PROFESSOR I</t>
  </si>
  <si>
    <t>HELOISA CARNEIRO DE CAMPOS MOREIRA AMARAL</t>
  </si>
  <si>
    <t>HONORATO ANISIO DE SOUSA</t>
  </si>
  <si>
    <t>ANALISTA DE LABORATORIO II</t>
  </si>
  <si>
    <t>ILIDIO JOSE GUIMARAES</t>
  </si>
  <si>
    <t>PROGRAMADOR DE SISTEMA III</t>
  </si>
  <si>
    <t>INES GOMES GUIMARAES</t>
  </si>
  <si>
    <t>IVAN VITORIO FORESTI</t>
  </si>
  <si>
    <t>CONTADOR I</t>
  </si>
  <si>
    <t>IONI MARIA DA SILVA</t>
  </si>
  <si>
    <t>AUXILIAR DE OPERACAO</t>
  </si>
  <si>
    <t>IRINEUSA DE OLIVEIRA SANTOS</t>
  </si>
  <si>
    <t>ARQUITETO</t>
  </si>
  <si>
    <t>ITAMAR GOMES VIANNA</t>
  </si>
  <si>
    <t>JACINEIDE CORDOVIL PINA</t>
  </si>
  <si>
    <t>JANE CANUT DE OLIVEIRA LIMA</t>
  </si>
  <si>
    <t>JANE ROBERTA LUBE</t>
  </si>
  <si>
    <t>JOAO QUIRINO JUNIOR</t>
  </si>
  <si>
    <t>JOAO BATISTA CARDOSO</t>
  </si>
  <si>
    <t>GUARDA DE SEGURANCA I</t>
  </si>
  <si>
    <t>JOAO BATISTA DA ROCHA</t>
  </si>
  <si>
    <t>JOAO PIGNATARO PEREIRA</t>
  </si>
  <si>
    <t>ENGENHEIRO IV</t>
  </si>
  <si>
    <t>JOAQUIM DE SOUZA OLIVEIRA</t>
  </si>
  <si>
    <t>JOSE ANTONIO DE OLIVEIRA</t>
  </si>
  <si>
    <t>JOSE DIAS DE ALMEIDA</t>
  </si>
  <si>
    <t>JOSE EUSTAQUIO DE BRITO</t>
  </si>
  <si>
    <t>ANALISTA DE CONTABILID INDUSTRIAL - NS</t>
  </si>
  <si>
    <t>JOSE FERNANDES BERTO JUNIOR</t>
  </si>
  <si>
    <t>KAZIMIERZ JOSEF CUDO</t>
  </si>
  <si>
    <t>JOSE FRANCISCO DE SOUZA</t>
  </si>
  <si>
    <t>OPERADOR I</t>
  </si>
  <si>
    <t>LEA DE FREITAS</t>
  </si>
  <si>
    <t>JOSE GABRIEL DE OLIVEIRA</t>
  </si>
  <si>
    <t>AJUDANTE</t>
  </si>
  <si>
    <t>LEOBINA CARDIAL DA SILVA</t>
  </si>
  <si>
    <t>SERVENTE</t>
  </si>
  <si>
    <t>LELY DAMIANA FERREIRA</t>
  </si>
  <si>
    <t>ESCRITURARIO V</t>
  </si>
  <si>
    <t>LUCIA CARVALHEIRA CUNHA</t>
  </si>
  <si>
    <t>LUIZ CARAZZA FILHO</t>
  </si>
  <si>
    <t>PROGRAMADOR</t>
  </si>
  <si>
    <t>LUIZ CARLOS BRUNEL ALVES</t>
  </si>
  <si>
    <t>LUIZ CARLOS TAVARES DE ALMEIDA</t>
  </si>
  <si>
    <t>ESCRITURARIO III</t>
  </si>
  <si>
    <t>LUIZ CARLOS DE SIQUEIRA MELO</t>
  </si>
  <si>
    <t>MEDICO DO TRABALHO</t>
  </si>
  <si>
    <t>LUIZ CEZAR MIRANDA</t>
  </si>
  <si>
    <t>MANOEL TRISTAO PACHECO NETO</t>
  </si>
  <si>
    <t>MARCIO ROBERTO CLEMENTE</t>
  </si>
  <si>
    <t>ENGENHEIRO ELETRICISTA</t>
  </si>
  <si>
    <t>MARIA APARECIDA PESSOA DE MORAES GUAHYBA</t>
  </si>
  <si>
    <t>OPERADOR DE TELEX</t>
  </si>
  <si>
    <t>MARIA MADALENA CRISOSTOMO DA SILVA</t>
  </si>
  <si>
    <t>MARIA DO SOCORRO MIRANDA</t>
  </si>
  <si>
    <t>MARIA ROSA STEIMPAJ MATOZO</t>
  </si>
  <si>
    <t>TECNICO DE PROCESSAMENTO II</t>
  </si>
  <si>
    <t>MARIE HELENE DE CARVALHO NEVES</t>
  </si>
  <si>
    <t>MARILENE MURARI CALAZANS</t>
  </si>
  <si>
    <t>AUXILIAR DE CONTABILIDADE</t>
  </si>
  <si>
    <t>MARIO DIAS DE ALMEIDA</t>
  </si>
  <si>
    <t>MARIO LUIZ FLORENCIO DE SOUZA</t>
  </si>
  <si>
    <t>TECNICO DE CONTABILIDADE I</t>
  </si>
  <si>
    <t>MIRIANGREI SOBREIRO MAX</t>
  </si>
  <si>
    <t>MURILO SIMAO BECHELANY</t>
  </si>
  <si>
    <t>PEDRO SANTANA DA SILVA</t>
  </si>
  <si>
    <t>PAULO ROBERTO DE ARAUJO AGUIAR</t>
  </si>
  <si>
    <t>PAULO ROBERTO MARTINS GARCIA</t>
  </si>
  <si>
    <t>PEDRO GONCALVES DE OLIVEIRA</t>
  </si>
  <si>
    <t>OPERADOR DE MAQUINAS</t>
  </si>
  <si>
    <t>PEDRO PAULO DOS SANTOS</t>
  </si>
  <si>
    <t>RICARDO RIOS CARDOSO</t>
  </si>
  <si>
    <t>ECONOMISTA III</t>
  </si>
  <si>
    <t>REGINA MARIA CORREA VILELA DE ARAUJO</t>
  </si>
  <si>
    <t>REGINA MARIA DA VITORIA PESSANHA</t>
  </si>
  <si>
    <t>REGINA SIMOES MARQUES</t>
  </si>
  <si>
    <t>ROBERTO BAHIA ROCHA</t>
  </si>
  <si>
    <t>ROBERTO DA CRUZ PEREIRA JUNIOR</t>
  </si>
  <si>
    <t>RONAN PINTO DE ARAUJO</t>
  </si>
  <si>
    <t>RUI DE SOUZA GOMIDE</t>
  </si>
  <si>
    <t>ROBERTO TADEU TESCK</t>
  </si>
  <si>
    <t>ANALISTA CONSULTOR</t>
  </si>
  <si>
    <t>SALMIRA FARIAS DA SILVA</t>
  </si>
  <si>
    <t>AUXILIAR DE ESCRITORIO IV</t>
  </si>
  <si>
    <t>SUELY PIRES</t>
  </si>
  <si>
    <t>TELMA EUSTAQUIO DE SOUSA DIAS</t>
  </si>
  <si>
    <t>ANALISTA DE SISTEMA II</t>
  </si>
  <si>
    <t>VALTER PEREIRA DA SILVA</t>
  </si>
  <si>
    <t>VANDA PAIVA NOGUEIRA DA GAMA</t>
  </si>
  <si>
    <t>VILMAR ALMEIDA MENDES</t>
  </si>
  <si>
    <t>WANDERLEY TEIXEIRA RIBEIRO</t>
  </si>
  <si>
    <t>PROGRAMADOR DE APLICACAO II</t>
  </si>
  <si>
    <t>VERA LUCIA CHEDID</t>
  </si>
  <si>
    <t>WILMA DO COUTO DOS SANTOS CRUZ</t>
  </si>
  <si>
    <t>WILSON RODRIGUES PEREIRA</t>
  </si>
  <si>
    <t>MINISTERIO DA PESCA E AQUICULTURA</t>
  </si>
  <si>
    <t>MPA</t>
  </si>
  <si>
    <t>JOSSEMIR SANTOS CEZAR JUNIOR</t>
  </si>
  <si>
    <t>VICTOR FREDERICO KASTRUP JUNIOR</t>
  </si>
  <si>
    <t>CHEFE DE DIVISAO II</t>
  </si>
  <si>
    <t>MINISTERIO DE PORTOS E AEROPORTOS</t>
  </si>
  <si>
    <t>MPOR</t>
  </si>
  <si>
    <t>GERALDO MAGELA ESTEVES DOS REIS</t>
  </si>
  <si>
    <t>ESPECIALISTA PORTUARIO - ANS</t>
  </si>
  <si>
    <t>ITACIR CARDOSO COELHO</t>
  </si>
  <si>
    <t>CELETISTA DEC.JUDIC.</t>
  </si>
  <si>
    <t>LUIZ DE SOUSA CAVALCANTI</t>
  </si>
  <si>
    <t>MARCO ANTONIO DECHICHI</t>
  </si>
  <si>
    <t>MAURINO JANES</t>
  </si>
  <si>
    <t>RICARDO TADEU GONZAGA DE CAMPOS</t>
  </si>
  <si>
    <t>MINISTERIO DOS TRANSPORTES</t>
  </si>
  <si>
    <t>ADEMIR PEREIRA RAMOS</t>
  </si>
  <si>
    <t>ADILSON JOSE MARINHO DA COSTA</t>
  </si>
  <si>
    <t>MAQUINISTA</t>
  </si>
  <si>
    <t>ALEXANDRE GOMES DE CASTRO</t>
  </si>
  <si>
    <t>AUXILIAR TECNICO EM HIDRAULICA</t>
  </si>
  <si>
    <t>AMARO ALVES GOMES</t>
  </si>
  <si>
    <t>ARTIFICE DE MANUTENCAO</t>
  </si>
  <si>
    <t>BENEDITO ALVES CORREIA</t>
  </si>
  <si>
    <t>CARLOS DA PAIXAO COSTA</t>
  </si>
  <si>
    <t>CARLOS HUMBERTO VILELA DE LIMA</t>
  </si>
  <si>
    <t>CLECI DUTRA PONSI</t>
  </si>
  <si>
    <t>CLENES FERNANDES DE OLIVEIRA</t>
  </si>
  <si>
    <t>DAISY MATOS</t>
  </si>
  <si>
    <t>DALMO BATISTA SOARES</t>
  </si>
  <si>
    <t>DANIEL ALMONFREY</t>
  </si>
  <si>
    <t>ARTIFICE DE VIA PERMANENTE</t>
  </si>
  <si>
    <t>DESIO COSTA ROCHA</t>
  </si>
  <si>
    <t>CONTRA MESTRE DE MANUTENCAO</t>
  </si>
  <si>
    <t>DEUSDETE CASTRO SILVA</t>
  </si>
  <si>
    <t>ASSISTENTE DE VIA PERMANENTE</t>
  </si>
  <si>
    <t>EDILSON NUNES FERREIRA</t>
  </si>
  <si>
    <t>ASSISTENTE DE MANUTENCAO</t>
  </si>
  <si>
    <t>EDINALDO IVO DA SILVA</t>
  </si>
  <si>
    <t>ASSISTENTE TECNICO ADMINISTRATIVO I</t>
  </si>
  <si>
    <t>EDUARDO ANDRADE BARBOSA PORTO</t>
  </si>
  <si>
    <t>ASSISTENTE ADMINISTRATIVO II</t>
  </si>
  <si>
    <t>ELIO PEDRO ACOSTA</t>
  </si>
  <si>
    <t>OPERADOR DE PAINEL</t>
  </si>
  <si>
    <t>ERALDO CACHOEIRA</t>
  </si>
  <si>
    <t>ELOISA MENDES DE OLIVEIRA</t>
  </si>
  <si>
    <t>ENGENHEIRO DE SEGURANCA DO TRABALHO</t>
  </si>
  <si>
    <t>ESMERALDO FRANCISCO NASCIMENTO</t>
  </si>
  <si>
    <t>FAUSTO EVARISTO SANTOS FILHO</t>
  </si>
  <si>
    <t>FERNANDA ESTER TEIXEIRA LIMA</t>
  </si>
  <si>
    <t>ENGENHEIRO CIVIL</t>
  </si>
  <si>
    <t>GELSON RUIZ GOMES</t>
  </si>
  <si>
    <t>MECANICO DE MANUTENCAO</t>
  </si>
  <si>
    <t>GILBERTO ANTONIO GONCALVES</t>
  </si>
  <si>
    <t>AGENTE DE ADMINISTRACAO</t>
  </si>
  <si>
    <t>GILVAN PEREIRA DA SILVA</t>
  </si>
  <si>
    <t>GIVALDO ROSA DOS SANTOS</t>
  </si>
  <si>
    <t>GLORIA CORREA GOMES</t>
  </si>
  <si>
    <t>HAMILTON GOMES RODRIGUES</t>
  </si>
  <si>
    <t>HOMERO MATOSINHO FERREIRA DIAS</t>
  </si>
  <si>
    <t>HUMBERTO MARCOS MOREIRA PESSOA</t>
  </si>
  <si>
    <t>ISAAC PEIXOTO DO AMARAL</t>
  </si>
  <si>
    <t>JACKSON COSTA BEZERRA</t>
  </si>
  <si>
    <t>GUARDA PORTUARIO</t>
  </si>
  <si>
    <t>JOAO VICENTE DA SILVA</t>
  </si>
  <si>
    <t>CONTRAMESTRE DE MANUTENCAO MECANICA</t>
  </si>
  <si>
    <t>JOAQUIM CACIMIRO LOPES</t>
  </si>
  <si>
    <t>DESENHISTA PROJETISTA</t>
  </si>
  <si>
    <t>JORGE DA GRACA VIEIRA</t>
  </si>
  <si>
    <t>TECNICO EM CONTABILIDADE</t>
  </si>
  <si>
    <t>JOSE ANDRE FILHO</t>
  </si>
  <si>
    <t>JOSE CARLOS DURANTE</t>
  </si>
  <si>
    <t>JOSE DE OLIVEIRA RAMOS</t>
  </si>
  <si>
    <t>JOSE EUSTAQUIO LOPES</t>
  </si>
  <si>
    <t>JOSE FERNANDO MENDES BARRETO</t>
  </si>
  <si>
    <t>JOSE LOPES DA SILVA</t>
  </si>
  <si>
    <t>JOSE LUIZ DE ALENCAR</t>
  </si>
  <si>
    <t>JOSE MARANHAO SILVA FILHO</t>
  </si>
  <si>
    <t>CONFERENTE</t>
  </si>
  <si>
    <t>JOSE NASCIMENTO</t>
  </si>
  <si>
    <t>JOSE PEDRO DA SILVA</t>
  </si>
  <si>
    <t>JOSE PINHEIRO SOBRINHO</t>
  </si>
  <si>
    <t>JOSE SALVADOR ALEXANDRE</t>
  </si>
  <si>
    <t>JOSUE DE LIMA FERREIRA</t>
  </si>
  <si>
    <t>TECNICO EM SERVICO ESCRITORIO</t>
  </si>
  <si>
    <t>JOSUE LINO DA SILVA</t>
  </si>
  <si>
    <t>AUXILIAR DE EXPEDIENTE</t>
  </si>
  <si>
    <t>JOVENCIO GUEDES DE LIMA</t>
  </si>
  <si>
    <t>LAERCIO DE ANDRADE</t>
  </si>
  <si>
    <t>LIA NATALINA DE ALMEIDA</t>
  </si>
  <si>
    <t>LOULAIR COELHO CUNHA</t>
  </si>
  <si>
    <t>LUCIO ROBERTO DE MIRANDA NUNES</t>
  </si>
  <si>
    <t>OPERADOR DE EMPILHADEIRA E SIMILAR I</t>
  </si>
  <si>
    <t>LUIS HENRIQUE CAVALCANTI FRAGOMENI</t>
  </si>
  <si>
    <t>LUIZ DA SILVA LOPES</t>
  </si>
  <si>
    <t>MANOEL FERREIRA DE ARAUJO</t>
  </si>
  <si>
    <t>OP DE EMPILHADEIRA E EQUIPAM SIMILARES I</t>
  </si>
  <si>
    <t>MANOEL FRANCISCO DE SOUZA</t>
  </si>
  <si>
    <t>MANOEL JOAQUIM DA SILVA</t>
  </si>
  <si>
    <t>MANOEL MARIANO DA SILVA</t>
  </si>
  <si>
    <t>MARCOS ANTONIO DOS SANTOS</t>
  </si>
  <si>
    <t>MARIA ANA DALVA LIMA</t>
  </si>
  <si>
    <t>MARIA DA CONCEICAO MENDONCA SILVA</t>
  </si>
  <si>
    <t>MARIA DO SOCORRO BARBOSA</t>
  </si>
  <si>
    <t>MARIA ELISA BOTELHO CAETANO PINTO</t>
  </si>
  <si>
    <t>MARIA JOSE MIRANDA DE LIRA</t>
  </si>
  <si>
    <t>MARLENE DA SILVEIRA BARROS DA SILVA</t>
  </si>
  <si>
    <t>MARLUCE MOREIRA DA SILVA ANDRADE</t>
  </si>
  <si>
    <t>MILTON SOARES CHAVES</t>
  </si>
  <si>
    <t>ARTIFICE DE MANUTENCAO - NI</t>
  </si>
  <si>
    <t>MORISES DE ANDRADE BEZERRA</t>
  </si>
  <si>
    <t>PINTOR</t>
  </si>
  <si>
    <t>NELSON PEREIRA DOS SANTOS</t>
  </si>
  <si>
    <t>ENCARREGADO DE TRANSPORTE RODOVIARIOS</t>
  </si>
  <si>
    <t>NESIO WINTER</t>
  </si>
  <si>
    <t>NILCEA DE ALMEIDA CHAVES</t>
  </si>
  <si>
    <t>NORBERTO DE CARVALHO CABRAL</t>
  </si>
  <si>
    <t>OLZAIR BATISTA SILVERIO</t>
  </si>
  <si>
    <t>ASSISTENTE DE MOVIMENTO DE TRENS</t>
  </si>
  <si>
    <t>OSELIO PEREIRA DA SILVA</t>
  </si>
  <si>
    <t>PAULO FRANCISCO LINS FILHO</t>
  </si>
  <si>
    <t>PAULO GERVASIO DE SOUZA</t>
  </si>
  <si>
    <t>PAULO LOPES DO AMARAL</t>
  </si>
  <si>
    <t>PAULO ROBERTO PESSOA DE MELO</t>
  </si>
  <si>
    <t>PEDRO DE OLIVEIRA SANTOS</t>
  </si>
  <si>
    <t>ROBERTO ALVES DA SILVA</t>
  </si>
  <si>
    <t>ROMULO CARVALHO PEDROSA</t>
  </si>
  <si>
    <t>ROMILDA GONCALVES SILVA</t>
  </si>
  <si>
    <t>ROMULO NIZZO</t>
  </si>
  <si>
    <t>RONALD BARBOSA DE SA</t>
  </si>
  <si>
    <t>RUBENS CONCEICAO PONTES</t>
  </si>
  <si>
    <t>ARTIFICE MECANICO</t>
  </si>
  <si>
    <t>SERGIO PINTO</t>
  </si>
  <si>
    <t>MANOBRADOR</t>
  </si>
  <si>
    <t>SERGIO ROBERTO ALTAFINI MACHADO</t>
  </si>
  <si>
    <t>SERGIO WANDERLEY VARGAS</t>
  </si>
  <si>
    <t>SEVERINO QUEIROZ DA SILVA</t>
  </si>
  <si>
    <t>SONIA MARIA CAVALCANTI COELHO</t>
  </si>
  <si>
    <t>SECRETARIA EXECUTIVA</t>
  </si>
  <si>
    <t>SYLTON MARTINS DE OLIVEIRA</t>
  </si>
  <si>
    <t>UBIRAJARA FAUSTINO DE OLIVEIRA</t>
  </si>
  <si>
    <t>VALDEMIR PEQUENO DA SILVA</t>
  </si>
  <si>
    <t>VERA LUCIA TARGINO VIANA</t>
  </si>
  <si>
    <t>WALDIR PRATES NASCIMENTO</t>
  </si>
  <si>
    <t>ASSISTENTE DE ESTACAO</t>
  </si>
  <si>
    <t>UNIV. FEDERAL RURAL DO RIO DE JANEIRO</t>
  </si>
  <si>
    <t>UFRRJ</t>
  </si>
  <si>
    <t>FRANCISCO JOSE MARQUES BASILE</t>
  </si>
  <si>
    <t>PRATICANTE TECNICO</t>
  </si>
  <si>
    <t>FG-1</t>
  </si>
  <si>
    <t>FG-2</t>
  </si>
  <si>
    <t>FG-3</t>
  </si>
  <si>
    <t>Medida sem impacto orçamentário. </t>
  </si>
  <si>
    <t>Projeção Impacto 2026</t>
  </si>
  <si>
    <t>Projeção Impacto 2028</t>
  </si>
  <si>
    <t>Projeção Impacto 2027</t>
  </si>
  <si>
    <t>Primária (ativo)</t>
  </si>
  <si>
    <t>2026 Exerc</t>
  </si>
  <si>
    <t>2026, 2027 e 2028 anualizado (cada exerc)</t>
  </si>
  <si>
    <t>5.a-MEM.BÔNU_RFB-APOS.PENS</t>
  </si>
  <si>
    <t>5.c-MEM.REAJ_VB_RFB</t>
  </si>
  <si>
    <t>5.d-MEM.BÔNU_MTE-APOS.PENS</t>
  </si>
  <si>
    <t>5.f-MEM.REAJ_VB_MTE</t>
  </si>
  <si>
    <t>V) Reajuste do valor do vencimento básico para as Carreiras Tributária e Aduaneira da Receita Federal do Brasil e de Auditoria-Fiscal do Trabalho e o percentual máximo do Bônus de Eficiência e Produtividade a ser atribuído aos aposentados e pensionistas.</t>
  </si>
  <si>
    <t>Detalhamento consolidado no Item 19, linhas 90 a 99.</t>
  </si>
  <si>
    <t>XXIII) Reajuste da remuneração da Polícia Civil, da Polícia Militar e do Corpo de Bombeiros Militar do Distrito Federal</t>
  </si>
  <si>
    <t>XXIV) Reajuste do auxílio-moradia da Polícia Militar e do Corpo de Bombeiros Militar do Distrito Federal.</t>
  </si>
  <si>
    <t>XXIII) Reajuste da remuneração da Polícia Civil, da Polícia Militar e do Corpo de Bombeiros Militar do Distrito Federal e do auxílio-moradia da Polícia Militar e do Corpo de Bombeiros Militar do Distrito Federal.</t>
  </si>
  <si>
    <r>
      <rPr>
        <b/>
        <sz val="8"/>
        <color rgb="FF000000"/>
        <rFont val="Calibri"/>
        <family val="2"/>
      </rPr>
      <t>Reabertura de prazo de opção para inclusão no quadro em extinção da União;</t>
    </r>
    <r>
      <rPr>
        <sz val="8"/>
        <color rgb="FF000000"/>
        <rFont val="Calibri"/>
        <family val="2"/>
      </rPr>
      <t>        </t>
    </r>
  </si>
  <si>
    <t>Ampliação do rol de Carreiras e Planos Especiais de Cargos cujos ocupantes fazem jus à indenização de localidade estratégica.</t>
  </si>
  <si>
    <t>Reajuste do auxílio-moradia da Polícia Militar e do Corpo de Bombeiros Militar do Distrito Federal.</t>
  </si>
  <si>
    <t>Reajuste do auxílio-moradia da Polícia Militar e do Corpo de Bombeiros Militar dos ex-Territórios Federais.</t>
  </si>
  <si>
    <t>III) Criação dos cargos de Analista Técnico do Poder Executivo Federal.</t>
  </si>
  <si>
    <t>IV)  Plano Especial de Cargos da Cultura.</t>
  </si>
  <si>
    <t>VI) Quadro Suplementar em Extinção de Analista de Sistemas e Processamento de Dados.</t>
  </si>
  <si>
    <t>I Criação do Reconhecimento de Saberes e Competências – RSC para os servidores do Plano de Carreira dos Cargos Técnico-Administrativos em Educação – PCCTAE.</t>
  </si>
  <si>
    <t>Item3 - ATE</t>
  </si>
  <si>
    <t>Item 4 - PCCCULT</t>
  </si>
  <si>
    <t>Item 5.a-MEM.BÔNU_RFB-APOS.PENS</t>
  </si>
  <si>
    <t>Item 5.c-MEM.REAJ_VB_RFB</t>
  </si>
  <si>
    <t>Item 5.d-MEM.BÔNU_MTE-APOS.PENS</t>
  </si>
  <si>
    <t>Item 5.f-MEM.REAJ_VB_MTE</t>
  </si>
  <si>
    <t>Item6-QuadroTI</t>
  </si>
  <si>
    <t>XIII) Reposicionamento e progressão dos empregados públicos de que trata a Lei nº 8.878, de 11 de maio de 1994.</t>
  </si>
  <si>
    <t>Item13-Anistiado</t>
  </si>
  <si>
    <t>XIV) Programa de Desligamento Incentivado – PDI para empregados públicos de que trata a Lei nº 8.878, de 11 de maio de 1994.</t>
  </si>
  <si>
    <t>Item14-PDI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</si>
</sst>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6" formatCode="&quot;R$&quot;\ #,##0;[Red]\-&quot;R$&quot;\ #,##0"/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&quot;R$&quot;\ * #,##0_-;\-&quot;R$&quot;\ * #,##0_-;_-&quot;R$&quot;\ * &quot;-&quot;??_-;_-@_-"/>
    <numFmt numFmtId="166" formatCode="[$R$-416]\ #,##0;[Red]\-[$R$-416]\ #,##0"/>
    <numFmt numFmtId="167" formatCode="#,##0.00\ ;&quot; (&quot;#,##0.00\);&quot; -&quot;#\ ;@\ "/>
    <numFmt numFmtId="168" formatCode="#,##0_ ;[Red]\-#,##0\ ;&quot; -&quot;#\ ;@\ "/>
    <numFmt numFmtId="169" formatCode="#,##0.00_ ;[Red]\-#,##0.00\ ;&quot; -&quot;#\ ;@\ "/>
    <numFmt numFmtId="170" formatCode="[$R$-416]\ #,##0.00;[Red]\-[$R$-416]\ #,##0.00"/>
    <numFmt numFmtId="171" formatCode="#,##0.00\ ;&quot; (&quot;#,##0.00\);&quot; -&quot;#.0\ ;@\ "/>
    <numFmt numFmtId="172" formatCode="_(&quot;R$ &quot;* #,##0.00_);_(&quot;R$ &quot;* \(#,##0.00\);_(&quot;R$ &quot;* &quot;-&quot;??_);_(@_)"/>
    <numFmt numFmtId="173" formatCode="_-[$R$-416]\ * #,##0.00_-;\-[$R$-416]\ * #,##0.00_-;_-[$R$-416]\ * &quot;-&quot;??_-;_-@_-"/>
    <numFmt numFmtId="174" formatCode="&quot;R$&quot;\ #,##0"/>
    <numFmt numFmtId="175" formatCode="[$R$-416]&quot; &quot;#,##0;[Red]&quot;-&quot;[$R$-416]&quot; &quot;#,##0"/>
    <numFmt numFmtId="176" formatCode="&quot; &quot;* #,##0&quot; &quot;;&quot;-&quot;* #,##0&quot; &quot;;&quot; &quot;* &quot;-&quot;#&quot; &quot;;&quot; &quot;@&quot; &quot;"/>
    <numFmt numFmtId="177" formatCode="[$R$-416]&quot; &quot;#,##0.00;[Red]&quot;-&quot;[$R$-416]&quot; &quot;#,##0.00"/>
    <numFmt numFmtId="178" formatCode="&quot; &quot;[$R$-416]&quot; &quot;* #,##0.00&quot; &quot;;&quot;-&quot;[$R$-416]&quot; &quot;* #,##0.00&quot; &quot;;&quot; &quot;[$R$-416]&quot; &quot;* &quot;-&quot;#&quot; &quot;;&quot; &quot;@&quot; &quot;"/>
    <numFmt numFmtId="179" formatCode="&quot; &quot;[$R$-416]&quot; &quot;* #,##0.0&quot; &quot;;&quot;-&quot;[$R$-416]&quot; &quot;* #,##0.0&quot; &quot;;&quot; &quot;[$R$-416]&quot; &quot;* &quot;-&quot;#&quot; &quot;;&quot; &quot;@&quot; &quot;"/>
    <numFmt numFmtId="180" formatCode="&quot; &quot;* #,##0.00&quot; &quot;;&quot;-&quot;* #,##0.00&quot; &quot;;&quot; &quot;* &quot;-&quot;#&quot; &quot;;&quot; &quot;@&quot; &quot;"/>
    <numFmt numFmtId="181" formatCode="#,##0;[Red]&quot;-&quot;#,##0"/>
    <numFmt numFmtId="182" formatCode="&quot;R$ &quot;#,##0.00;[Red]&quot;-R$ &quot;#,##0.00"/>
    <numFmt numFmtId="183" formatCode="[$R$ -416]#,##0"/>
    <numFmt numFmtId="184" formatCode="#,##0.0"/>
    <numFmt numFmtId="185" formatCode="_-&quot;R$&quot;\ * #,##0.0_-;\-&quot;R$&quot;\ * #,##0.0_-;_-&quot;R$&quot;\ * &quot;-&quot;??_-;_-@_-"/>
    <numFmt numFmtId="186" formatCode="&quot;(&quot;0.0%\ &quot;do Nível E)&quot;"/>
    <numFmt numFmtId="187" formatCode="&quot;R$&quot;\ #,##0.00"/>
    <numFmt numFmtId="188" formatCode="&quot;R$&quot;\ #,##0.0"/>
    <numFmt numFmtId="190" formatCode="#,##0.00_ ;\-#,##0.00\ "/>
    <numFmt numFmtId="191" formatCode="0.0%"/>
    <numFmt numFmtId="192" formatCode="0.0000%"/>
    <numFmt numFmtId="193" formatCode="_-[$R$-416]\ * #,##0_-;\-[$R$-416]\ * #,##0_-;_-[$R$-416]\ * &quot;-&quot;??_-;_-@_-"/>
    <numFmt numFmtId="194" formatCode="&quot; &quot;* #,##0.00&quot; &quot;;&quot; &quot;* &quot;(&quot;#,##0.00&quot;)&quot;;&quot; &quot;* &quot;-&quot;#&quot; &quot;;&quot; &quot;@&quot; &quot;"/>
    <numFmt numFmtId="195" formatCode="&quot; &quot;* #,##0&quot; &quot;;&quot; &quot;* &quot;(&quot;#,##0&quot;)&quot;;&quot; &quot;* &quot;-&quot;#&quot; &quot;;&quot; &quot;@&quot; &quot;"/>
    <numFmt numFmtId="196" formatCode="#,##0.00;&quot;-&quot;#,##0.00"/>
  </numFmts>
  <fonts count="20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i/>
      <sz val="12"/>
      <color rgb="FF7F7F7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charset val="1"/>
    </font>
    <font>
      <sz val="11"/>
      <color rgb="FF333333"/>
      <name val="Verdana"/>
      <family val="2"/>
    </font>
    <font>
      <sz val="12"/>
      <name val="Calibri"/>
      <family val="2"/>
    </font>
    <font>
      <b/>
      <sz val="18"/>
      <color indexed="56"/>
      <name val="Cambria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0"/>
      <color rgb="FF000000"/>
      <name val="Calibri"/>
      <family val="2"/>
    </font>
    <font>
      <b/>
      <sz val="13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FFFFFF"/>
      <name val="Calibri"/>
      <family val="2"/>
    </font>
    <font>
      <sz val="14"/>
      <color rgb="FF305699"/>
      <name val="Calibri"/>
      <family val="2"/>
    </font>
    <font>
      <b/>
      <sz val="14"/>
      <color rgb="FF305699"/>
      <name val="Calibri"/>
      <family val="2"/>
    </font>
    <font>
      <sz val="8"/>
      <color rgb="FF000000"/>
      <name val="Calibri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8"/>
      <color rgb="FF000000"/>
      <name val="Arial"/>
      <family val="2"/>
    </font>
    <font>
      <sz val="18"/>
      <color rgb="FF000000"/>
      <name val="Arial"/>
      <family val="2"/>
    </font>
    <font>
      <sz val="16"/>
      <color rgb="FF000000"/>
      <name val="Aptos Narrow"/>
      <family val="2"/>
    </font>
    <font>
      <b/>
      <sz val="14"/>
      <color rgb="FF000000"/>
      <name val="Arial"/>
      <family val="2"/>
    </font>
    <font>
      <b/>
      <sz val="18"/>
      <color rgb="FFC00000"/>
      <name val="Arial"/>
      <family val="2"/>
    </font>
    <font>
      <b/>
      <sz val="18"/>
      <color rgb="FFFFFFFF"/>
      <name val="Arial"/>
      <family val="2"/>
    </font>
    <font>
      <sz val="12"/>
      <color rgb="FF000000"/>
      <name val="Arial"/>
      <family val="2"/>
    </font>
    <font>
      <b/>
      <sz val="15"/>
      <color rgb="FFFFFFFF"/>
      <name val="Arial"/>
      <family val="2"/>
    </font>
    <font>
      <sz val="14"/>
      <color rgb="FF0070C0"/>
      <name val="Arial"/>
      <family val="2"/>
    </font>
    <font>
      <sz val="14"/>
      <color rgb="FF000000"/>
      <name val="Arial"/>
      <family val="2"/>
    </font>
    <font>
      <sz val="14"/>
      <color rgb="FFFF0000"/>
      <name val="Arial"/>
      <family val="2"/>
    </font>
    <font>
      <sz val="14"/>
      <color rgb="FF0066CC"/>
      <name val="Arial"/>
      <family val="2"/>
    </font>
    <font>
      <sz val="18"/>
      <color rgb="FF000000"/>
      <name val="Segoe UI"/>
      <family val="2"/>
    </font>
    <font>
      <b/>
      <sz val="12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Times"/>
    </font>
    <font>
      <b/>
      <sz val="11"/>
      <color rgb="FF000000"/>
      <name val="Aptos Narrow"/>
    </font>
    <font>
      <sz val="11"/>
      <color rgb="FF000000"/>
      <name val="Aptos Narrow"/>
    </font>
    <font>
      <b/>
      <sz val="15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14"/>
      <color rgb="FF002060"/>
      <name val="Arial"/>
      <family val="2"/>
    </font>
    <font>
      <sz val="9"/>
      <color theme="3" tint="0.34998626667073579"/>
      <name val="Arial"/>
      <family val="2"/>
    </font>
    <font>
      <sz val="9"/>
      <name val="Arial"/>
      <family val="2"/>
    </font>
    <font>
      <b/>
      <sz val="9"/>
      <color rgb="FF0070C0"/>
      <name val="Arial"/>
      <family val="2"/>
    </font>
    <font>
      <b/>
      <sz val="9"/>
      <color rgb="FF000000"/>
      <name val="Calibri"/>
      <family val="2"/>
      <scheme val="minor"/>
    </font>
    <font>
      <b/>
      <sz val="9"/>
      <color rgb="FFFF0000"/>
      <name val="Arial"/>
      <family val="2"/>
    </font>
    <font>
      <b/>
      <sz val="9"/>
      <color rgb="FFFF0000"/>
      <name val="Calibri"/>
      <family val="2"/>
      <scheme val="minor"/>
    </font>
    <font>
      <sz val="9"/>
      <color theme="0"/>
      <name val="Arial"/>
      <family val="2"/>
    </font>
    <font>
      <sz val="9"/>
      <color theme="0" tint="-0.499984740745262"/>
      <name val="Arial"/>
      <family val="2"/>
    </font>
    <font>
      <b/>
      <sz val="9"/>
      <color theme="0"/>
      <name val="Arial"/>
      <family val="2"/>
    </font>
    <font>
      <b/>
      <sz val="9"/>
      <color theme="8" tint="-0.499984740745262"/>
      <name val="Arial"/>
      <family val="2"/>
    </font>
    <font>
      <sz val="9"/>
      <color theme="8" tint="-0.499984740745262"/>
      <name val="Arial"/>
      <family val="2"/>
    </font>
    <font>
      <sz val="8"/>
      <name val="Arial"/>
      <family val="2"/>
    </font>
    <font>
      <b/>
      <sz val="9"/>
      <color rgb="FF002060"/>
      <name val="Arial"/>
      <family val="2"/>
    </font>
    <font>
      <sz val="8"/>
      <color rgb="FF002060"/>
      <name val="Arial"/>
      <family val="2"/>
    </font>
    <font>
      <b/>
      <sz val="9"/>
      <color theme="7" tint="-0.499984740745262"/>
      <name val="Arial"/>
      <family val="2"/>
    </font>
    <font>
      <b/>
      <sz val="9"/>
      <color theme="5" tint="-0.499984740745262"/>
      <name val="Arial"/>
      <family val="2"/>
    </font>
    <font>
      <b/>
      <sz val="8"/>
      <color rgb="FF002060"/>
      <name val="Arial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8" tint="-0.499984740745262"/>
      <name val="Calibri"/>
      <family val="2"/>
      <scheme val="minor"/>
    </font>
    <font>
      <sz val="9"/>
      <color rgb="FF002060"/>
      <name val="Calibri"/>
      <family val="2"/>
      <scheme val="minor"/>
    </font>
    <font>
      <sz val="7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12"/>
      <color theme="1"/>
      <name val="Calibri"/>
      <family val="2"/>
    </font>
    <font>
      <b/>
      <sz val="9"/>
      <color theme="1"/>
      <name val="Arial"/>
      <family val="2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rgb="FF00206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9"/>
      <color rgb="FF002060"/>
      <name val="Calibri"/>
      <family val="2"/>
      <scheme val="minor"/>
    </font>
    <font>
      <sz val="9"/>
      <color theme="6" tint="-0.499984740745262"/>
      <name val="Calibri"/>
      <family val="2"/>
      <scheme val="minor"/>
    </font>
    <font>
      <sz val="7"/>
      <color rgb="FF002060"/>
      <name val="Arial"/>
      <family val="2"/>
    </font>
    <font>
      <sz val="9"/>
      <color rgb="FF00206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7"/>
      <color rgb="FFFF0000"/>
      <name val="Arial"/>
      <family val="2"/>
    </font>
    <font>
      <b/>
      <sz val="9"/>
      <color theme="3" tint="0.34998626667073579"/>
      <name val="Arial"/>
      <family val="2"/>
    </font>
    <font>
      <sz val="1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b/>
      <sz val="18"/>
      <color theme="0"/>
      <name val="Arial"/>
      <family val="2"/>
    </font>
    <font>
      <b/>
      <sz val="28"/>
      <color theme="0"/>
      <name val="Calibri"/>
      <family val="2"/>
      <scheme val="minor"/>
    </font>
    <font>
      <sz val="12"/>
      <color theme="1"/>
      <name val="Arial"/>
      <family val="2"/>
    </font>
    <font>
      <b/>
      <sz val="15"/>
      <color theme="0"/>
      <name val="Arial"/>
      <family val="2"/>
    </font>
    <font>
      <sz val="26"/>
      <color rgb="FFFF0000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339933"/>
      <name val="Arial"/>
      <family val="2"/>
    </font>
    <font>
      <sz val="8"/>
      <color rgb="FF000080"/>
      <name val="Arial"/>
      <family val="2"/>
    </font>
    <font>
      <b/>
      <sz val="8"/>
      <color indexed="18"/>
      <name val="Arial"/>
      <family val="2"/>
    </font>
    <font>
      <b/>
      <sz val="10"/>
      <color rgb="FF00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Aptos Display"/>
    </font>
    <font>
      <sz val="16"/>
      <color theme="1"/>
      <name val="Calibri"/>
      <family val="2"/>
      <scheme val="minor"/>
    </font>
    <font>
      <b/>
      <sz val="12"/>
      <color rgb="FF009900"/>
      <name val="Calibri"/>
      <family val="2"/>
    </font>
    <font>
      <sz val="12"/>
      <color rgb="FF009900"/>
      <name val="Calibri"/>
      <family val="2"/>
    </font>
    <font>
      <b/>
      <sz val="10"/>
      <name val="Calibri"/>
      <family val="2"/>
    </font>
    <font>
      <b/>
      <sz val="12"/>
      <color rgb="FF009900"/>
      <name val="Calibri"/>
      <family val="2"/>
      <scheme val="minor"/>
    </font>
    <font>
      <sz val="12"/>
      <color rgb="FF0099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339933"/>
      <name val="Calibri"/>
      <family val="2"/>
    </font>
    <font>
      <sz val="12"/>
      <color rgb="FF339933"/>
      <name val="Calibri"/>
      <family val="2"/>
    </font>
    <font>
      <b/>
      <sz val="12"/>
      <color rgb="FF339933"/>
      <name val="Calibri"/>
      <family val="2"/>
      <scheme val="minor"/>
    </font>
    <font>
      <sz val="12"/>
      <color rgb="FF33993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Poppins"/>
    </font>
    <font>
      <sz val="12"/>
      <color theme="1"/>
      <name val="Poppins"/>
    </font>
    <font>
      <b/>
      <sz val="14"/>
      <color theme="1"/>
      <name val="Poppins"/>
    </font>
    <font>
      <b/>
      <sz val="18"/>
      <color theme="0"/>
      <name val="Calibri"/>
      <family val="2"/>
    </font>
    <font>
      <sz val="18"/>
      <color theme="1"/>
      <name val="Poppins"/>
    </font>
    <font>
      <b/>
      <sz val="14"/>
      <color theme="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i/>
      <sz val="14"/>
      <color theme="1"/>
      <name val="Calibri"/>
      <family val="2"/>
    </font>
    <font>
      <b/>
      <i/>
      <sz val="10"/>
      <color rgb="FF008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color rgb="FF008000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10"/>
      <color indexed="18"/>
      <name val="Calibri"/>
      <family val="2"/>
    </font>
    <font>
      <b/>
      <sz val="12"/>
      <color rgb="FF000000"/>
      <name val="Calibri"/>
      <family val="2"/>
      <scheme val="minor"/>
    </font>
    <font>
      <sz val="8"/>
      <color indexed="18"/>
      <name val="Arial"/>
      <family val="2"/>
    </font>
    <font>
      <b/>
      <i/>
      <sz val="10"/>
      <color rgb="FF009900"/>
      <name val="Calibri"/>
      <family val="2"/>
    </font>
    <font>
      <sz val="10"/>
      <color rgb="FF339933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339933"/>
      <name val="Calibri"/>
      <family val="2"/>
    </font>
    <font>
      <b/>
      <i/>
      <sz val="10"/>
      <color rgb="FF000000"/>
      <name val="Calibri"/>
      <family val="2"/>
    </font>
    <font>
      <b/>
      <sz val="10"/>
      <color rgb="FFFF0000"/>
      <name val="Calibri"/>
      <family val="2"/>
    </font>
    <font>
      <sz val="7"/>
      <color theme="1"/>
      <name val="Calibri"/>
      <family val="2"/>
    </font>
    <font>
      <sz val="10"/>
      <color rgb="FF009900"/>
      <name val="Calibri"/>
      <family val="2"/>
    </font>
    <font>
      <b/>
      <sz val="10"/>
      <color rgb="FF009900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</font>
  </fonts>
  <fills count="9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F81C9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5B9BD5"/>
        <bgColor rgb="FF000000"/>
      </patternFill>
    </fill>
    <fill>
      <patternFill patternType="solid">
        <fgColor rgb="FFEAEFF7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rgb="FFFFFFCC"/>
      </patternFill>
    </fill>
    <fill>
      <patternFill patternType="solid">
        <fgColor rgb="FFA6A6A6"/>
        <bgColor rgb="FFA6A6A6"/>
      </patternFill>
    </fill>
    <fill>
      <patternFill patternType="solid">
        <fgColor rgb="FFC0E6F5"/>
        <bgColor rgb="FFC0E6F5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ADADAD"/>
        <bgColor rgb="FFADADAD"/>
      </patternFill>
    </fill>
    <fill>
      <patternFill patternType="solid">
        <fgColor rgb="FF404040"/>
        <bgColor rgb="FF404040"/>
      </patternFill>
    </fill>
    <fill>
      <patternFill patternType="solid">
        <fgColor rgb="FFD0D0D0"/>
        <bgColor rgb="FFD0D0D0"/>
      </patternFill>
    </fill>
    <fill>
      <patternFill patternType="solid">
        <fgColor rgb="FF808080"/>
        <bgColor rgb="FF808080"/>
      </patternFill>
    </fill>
    <fill>
      <patternFill patternType="solid">
        <fgColor rgb="FF747474"/>
        <bgColor rgb="FF747474"/>
      </patternFill>
    </fill>
    <fill>
      <patternFill patternType="solid">
        <fgColor rgb="FFFBE2D5"/>
        <bgColor rgb="FFFBE2D5"/>
      </patternFill>
    </fill>
    <fill>
      <patternFill patternType="solid">
        <fgColor rgb="FFFBE2D5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rgb="FF74747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rgb="FFFCE5CD"/>
      </patternFill>
    </fill>
    <fill>
      <patternFill patternType="solid">
        <fgColor rgb="FF0070C0"/>
        <bgColor rgb="FFFCE5CD"/>
      </patternFill>
    </fill>
    <fill>
      <patternFill patternType="solid">
        <fgColor theme="7" tint="-0.249977111117893"/>
        <bgColor rgb="FFFCE5CD"/>
      </patternFill>
    </fill>
    <fill>
      <patternFill patternType="solid">
        <fgColor rgb="FFFFC000"/>
        <bgColor rgb="FFFCE5CD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rgb="FFF3F3F3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rgb="FFCFE2F3"/>
      </patternFill>
    </fill>
    <fill>
      <patternFill patternType="solid">
        <fgColor theme="7" tint="-0.249977111117893"/>
        <bgColor rgb="FFCFE2F3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FCE5CD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rgb="FFCFE2F3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56464"/>
        <bgColor rgb="FF000000"/>
      </patternFill>
    </fill>
    <fill>
      <patternFill patternType="solid">
        <fgColor rgb="FFE81CE8"/>
        <bgColor rgb="FF000000"/>
      </patternFill>
    </fill>
    <fill>
      <patternFill patternType="solid">
        <fgColor rgb="FF0066FF"/>
        <bgColor indexed="64"/>
      </patternFill>
    </fill>
    <fill>
      <patternFill patternType="solid">
        <fgColor rgb="FFCCCCFF"/>
        <bgColor rgb="FF000000"/>
      </patternFill>
    </fill>
    <fill>
      <patternFill patternType="solid">
        <fgColor rgb="FF3C7D22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3CCEB"/>
        <bgColor rgb="FF000000"/>
      </patternFill>
    </fill>
    <fill>
      <patternFill patternType="solid">
        <fgColor theme="9" tint="0.79998168889431442"/>
        <bgColor rgb="FFCCFFCC"/>
      </patternFill>
    </fill>
    <fill>
      <patternFill patternType="solid">
        <fgColor rgb="FFDAF2D0"/>
        <bgColor rgb="FFCCFFCC"/>
      </patternFill>
    </fill>
    <fill>
      <patternFill patternType="solid">
        <fgColor rgb="FFDAF2D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81CE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indexed="22"/>
        <bgColor indexed="0"/>
      </patternFill>
    </fill>
    <fill>
      <patternFill patternType="solid">
        <fgColor rgb="FFF56767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7979FF"/>
        <bgColor indexed="64"/>
      </patternFill>
    </fill>
    <fill>
      <patternFill patternType="solid">
        <fgColor rgb="FFF56464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393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0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44" fontId="4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4" fillId="0" borderId="0"/>
    <xf numFmtId="167" fontId="17" fillId="0" borderId="0" applyFill="0" applyBorder="0" applyAlignment="0" applyProtection="0"/>
    <xf numFmtId="172" fontId="4" fillId="0" borderId="0" applyFont="0" applyFill="0" applyBorder="0" applyAlignment="0" applyProtection="0"/>
    <xf numFmtId="0" fontId="21" fillId="0" borderId="0"/>
    <xf numFmtId="0" fontId="25" fillId="0" borderId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62" fillId="0" borderId="0"/>
    <xf numFmtId="44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9" fillId="0" borderId="0"/>
    <xf numFmtId="194" fontId="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</cellStyleXfs>
  <cellXfs count="1456">
    <xf numFmtId="0" fontId="0" fillId="0" borderId="0" xfId="0"/>
    <xf numFmtId="0" fontId="0" fillId="0" borderId="0" xfId="0" applyAlignment="1">
      <alignment vertical="center"/>
    </xf>
    <xf numFmtId="0" fontId="0" fillId="3" borderId="1" xfId="0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164" fontId="2" fillId="8" borderId="1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165" fontId="2" fillId="8" borderId="1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17" fontId="6" fillId="0" borderId="1" xfId="0" applyNumberFormat="1" applyFont="1" applyBorder="1" applyAlignment="1">
      <alignment horizontal="center" vertical="center"/>
    </xf>
    <xf numFmtId="165" fontId="6" fillId="7" borderId="1" xfId="1" applyNumberFormat="1" applyFont="1" applyFill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165" fontId="7" fillId="0" borderId="1" xfId="1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/>
    </xf>
    <xf numFmtId="44" fontId="7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17" fontId="3" fillId="0" borderId="1" xfId="0" applyNumberFormat="1" applyFont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44" fontId="11" fillId="0" borderId="0" xfId="1" applyFont="1"/>
    <xf numFmtId="14" fontId="11" fillId="0" borderId="0" xfId="0" applyNumberFormat="1" applyFont="1"/>
    <xf numFmtId="0" fontId="19" fillId="0" borderId="0" xfId="0" applyFont="1"/>
    <xf numFmtId="8" fontId="22" fillId="0" borderId="0" xfId="0" applyNumberFormat="1" applyFont="1"/>
    <xf numFmtId="8" fontId="5" fillId="0" borderId="0" xfId="0" applyNumberFormat="1" applyFont="1" applyAlignment="1">
      <alignment vertical="center"/>
    </xf>
    <xf numFmtId="8" fontId="0" fillId="0" borderId="0" xfId="0" applyNumberFormat="1" applyAlignment="1">
      <alignment vertical="center"/>
    </xf>
    <xf numFmtId="165" fontId="6" fillId="7" borderId="4" xfId="1" applyNumberFormat="1" applyFont="1" applyFill="1" applyBorder="1" applyAlignment="1">
      <alignment vertical="center"/>
    </xf>
    <xf numFmtId="165" fontId="6" fillId="7" borderId="7" xfId="1" applyNumberFormat="1" applyFont="1" applyFill="1" applyBorder="1" applyAlignment="1">
      <alignment vertical="center"/>
    </xf>
    <xf numFmtId="165" fontId="6" fillId="7" borderId="2" xfId="1" applyNumberFormat="1" applyFont="1" applyFill="1" applyBorder="1" applyAlignment="1">
      <alignment vertical="center"/>
    </xf>
    <xf numFmtId="17" fontId="23" fillId="0" borderId="2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6" borderId="1" xfId="0" applyFont="1" applyFill="1" applyBorder="1" applyAlignment="1">
      <alignment vertical="center"/>
    </xf>
    <xf numFmtId="17" fontId="23" fillId="0" borderId="1" xfId="0" applyNumberFormat="1" applyFont="1" applyBorder="1" applyAlignment="1">
      <alignment horizontal="center" vertical="center"/>
    </xf>
    <xf numFmtId="165" fontId="23" fillId="7" borderId="1" xfId="1" applyNumberFormat="1" applyFont="1" applyFill="1" applyBorder="1" applyAlignment="1">
      <alignment vertical="center"/>
    </xf>
    <xf numFmtId="0" fontId="27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30" fillId="11" borderId="13" xfId="0" applyFont="1" applyFill="1" applyBorder="1" applyAlignment="1">
      <alignment wrapText="1"/>
    </xf>
    <xf numFmtId="0" fontId="31" fillId="12" borderId="13" xfId="0" applyFont="1" applyFill="1" applyBorder="1" applyAlignment="1">
      <alignment wrapText="1"/>
    </xf>
    <xf numFmtId="0" fontId="32" fillId="12" borderId="13" xfId="0" applyFont="1" applyFill="1" applyBorder="1" applyAlignment="1">
      <alignment wrapText="1"/>
    </xf>
    <xf numFmtId="4" fontId="32" fillId="12" borderId="13" xfId="0" applyNumberFormat="1" applyFont="1" applyFill="1" applyBorder="1" applyAlignment="1">
      <alignment wrapText="1"/>
    </xf>
    <xf numFmtId="4" fontId="30" fillId="11" borderId="13" xfId="0" applyNumberFormat="1" applyFont="1" applyFill="1" applyBorder="1" applyAlignment="1">
      <alignment wrapText="1"/>
    </xf>
    <xf numFmtId="173" fontId="0" fillId="0" borderId="0" xfId="0" applyNumberFormat="1"/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3" fontId="23" fillId="2" borderId="1" xfId="0" applyNumberFormat="1" applyFont="1" applyFill="1" applyBorder="1" applyAlignment="1">
      <alignment horizontal="right" vertical="center"/>
    </xf>
    <xf numFmtId="174" fontId="2" fillId="8" borderId="1" xfId="0" applyNumberFormat="1" applyFont="1" applyFill="1" applyBorder="1" applyAlignment="1">
      <alignment horizontal="right" vertical="center"/>
    </xf>
    <xf numFmtId="0" fontId="1" fillId="9" borderId="1" xfId="0" applyFont="1" applyFill="1" applyBorder="1" applyAlignment="1">
      <alignment horizontal="center" vertical="center"/>
    </xf>
    <xf numFmtId="174" fontId="4" fillId="7" borderId="1" xfId="1" applyNumberFormat="1" applyFont="1" applyFill="1" applyBorder="1" applyAlignment="1">
      <alignment horizontal="right" vertical="center"/>
    </xf>
    <xf numFmtId="174" fontId="6" fillId="0" borderId="1" xfId="1" applyNumberFormat="1" applyFont="1" applyBorder="1" applyAlignment="1">
      <alignment horizontal="right" vertical="center"/>
    </xf>
    <xf numFmtId="174" fontId="7" fillId="0" borderId="1" xfId="1" applyNumberFormat="1" applyFont="1" applyBorder="1" applyAlignment="1">
      <alignment horizontal="right" vertical="center"/>
    </xf>
    <xf numFmtId="174" fontId="6" fillId="7" borderId="1" xfId="1" applyNumberFormat="1" applyFont="1" applyFill="1" applyBorder="1" applyAlignment="1">
      <alignment horizontal="right" vertical="center"/>
    </xf>
    <xf numFmtId="174" fontId="3" fillId="7" borderId="1" xfId="1" applyNumberFormat="1" applyFont="1" applyFill="1" applyBorder="1" applyAlignment="1">
      <alignment horizontal="right" vertical="center"/>
    </xf>
    <xf numFmtId="174" fontId="3" fillId="0" borderId="1" xfId="1" applyNumberFormat="1" applyFont="1" applyBorder="1" applyAlignment="1">
      <alignment horizontal="right" vertical="center"/>
    </xf>
    <xf numFmtId="174" fontId="10" fillId="0" borderId="1" xfId="1" applyNumberFormat="1" applyFont="1" applyBorder="1" applyAlignment="1">
      <alignment horizontal="right" vertical="center"/>
    </xf>
    <xf numFmtId="174" fontId="2" fillId="8" borderId="1" xfId="1" applyNumberFormat="1" applyFont="1" applyFill="1" applyBorder="1" applyAlignment="1">
      <alignment horizontal="right" vertical="center"/>
    </xf>
    <xf numFmtId="174" fontId="23" fillId="7" borderId="1" xfId="1" applyNumberFormat="1" applyFont="1" applyFill="1" applyBorder="1" applyAlignment="1">
      <alignment horizontal="right" vertical="center"/>
    </xf>
    <xf numFmtId="0" fontId="34" fillId="13" borderId="0" xfId="8" applyFont="1" applyFill="1"/>
    <xf numFmtId="0" fontId="35" fillId="13" borderId="0" xfId="8" applyFont="1" applyFill="1"/>
    <xf numFmtId="0" fontId="36" fillId="13" borderId="0" xfId="8" applyFont="1" applyFill="1"/>
    <xf numFmtId="0" fontId="36" fillId="0" borderId="0" xfId="8" applyFont="1"/>
    <xf numFmtId="0" fontId="37" fillId="13" borderId="0" xfId="8" applyFont="1" applyFill="1"/>
    <xf numFmtId="0" fontId="34" fillId="13" borderId="0" xfId="8" applyFont="1" applyFill="1" applyAlignment="1">
      <alignment horizontal="center"/>
    </xf>
    <xf numFmtId="0" fontId="37" fillId="13" borderId="0" xfId="8" applyFont="1" applyFill="1" applyAlignment="1">
      <alignment horizontal="center"/>
    </xf>
    <xf numFmtId="0" fontId="35" fillId="14" borderId="0" xfId="8" applyFont="1" applyFill="1"/>
    <xf numFmtId="0" fontId="34" fillId="14" borderId="0" xfId="8" applyFont="1" applyFill="1"/>
    <xf numFmtId="0" fontId="36" fillId="14" borderId="0" xfId="8" applyFont="1" applyFill="1"/>
    <xf numFmtId="0" fontId="38" fillId="14" borderId="0" xfId="8" applyFont="1" applyFill="1"/>
    <xf numFmtId="0" fontId="40" fillId="0" borderId="1" xfId="8" applyFont="1" applyBorder="1"/>
    <xf numFmtId="0" fontId="40" fillId="15" borderId="1" xfId="8" applyFont="1" applyFill="1" applyBorder="1"/>
    <xf numFmtId="0" fontId="40" fillId="16" borderId="1" xfId="8" applyFont="1" applyFill="1" applyBorder="1"/>
    <xf numFmtId="0" fontId="40" fillId="24" borderId="1" xfId="8" applyFont="1" applyFill="1" applyBorder="1"/>
    <xf numFmtId="175" fontId="36" fillId="13" borderId="0" xfId="8" applyNumberFormat="1" applyFont="1" applyFill="1"/>
    <xf numFmtId="175" fontId="36" fillId="17" borderId="0" xfId="8" applyNumberFormat="1" applyFont="1" applyFill="1"/>
    <xf numFmtId="0" fontId="36" fillId="17" borderId="0" xfId="8" applyFont="1" applyFill="1"/>
    <xf numFmtId="0" fontId="36" fillId="2" borderId="0" xfId="8" applyFont="1" applyFill="1"/>
    <xf numFmtId="0" fontId="36" fillId="13" borderId="0" xfId="8" applyFont="1" applyFill="1" applyAlignment="1">
      <alignment vertical="center"/>
    </xf>
    <xf numFmtId="176" fontId="41" fillId="18" borderId="0" xfId="8" applyNumberFormat="1" applyFont="1" applyFill="1" applyAlignment="1">
      <alignment vertical="center"/>
    </xf>
    <xf numFmtId="0" fontId="36" fillId="0" borderId="0" xfId="8" applyFont="1" applyAlignment="1">
      <alignment vertical="center"/>
    </xf>
    <xf numFmtId="17" fontId="36" fillId="13" borderId="0" xfId="8" applyNumberFormat="1" applyFont="1" applyFill="1"/>
    <xf numFmtId="0" fontId="42" fillId="19" borderId="3" xfId="8" applyFont="1" applyFill="1" applyBorder="1" applyAlignment="1">
      <alignment vertical="center"/>
    </xf>
    <xf numFmtId="0" fontId="42" fillId="19" borderId="19" xfId="8" applyFont="1" applyFill="1" applyBorder="1" applyAlignment="1">
      <alignment vertical="center"/>
    </xf>
    <xf numFmtId="177" fontId="36" fillId="13" borderId="0" xfId="8" applyNumberFormat="1" applyFont="1" applyFill="1"/>
    <xf numFmtId="0" fontId="43" fillId="20" borderId="1" xfId="8" applyFont="1" applyFill="1" applyBorder="1" applyAlignment="1">
      <alignment horizontal="center"/>
    </xf>
    <xf numFmtId="0" fontId="43" fillId="20" borderId="30" xfId="8" applyFont="1" applyFill="1" applyBorder="1" applyAlignment="1">
      <alignment horizontal="center"/>
    </xf>
    <xf numFmtId="178" fontId="42" fillId="19" borderId="18" xfId="9" applyFont="1" applyFill="1" applyBorder="1" applyAlignment="1">
      <alignment vertical="center"/>
    </xf>
    <xf numFmtId="178" fontId="42" fillId="19" borderId="3" xfId="9" applyFont="1" applyFill="1" applyBorder="1" applyAlignment="1">
      <alignment vertical="center"/>
    </xf>
    <xf numFmtId="178" fontId="42" fillId="19" borderId="19" xfId="9" applyFont="1" applyFill="1" applyBorder="1" applyAlignment="1">
      <alignment vertical="center"/>
    </xf>
    <xf numFmtId="0" fontId="34" fillId="21" borderId="5" xfId="8" applyFont="1" applyFill="1" applyBorder="1" applyAlignment="1">
      <alignment horizontal="center" vertical="center" wrapText="1"/>
    </xf>
    <xf numFmtId="0" fontId="34" fillId="21" borderId="31" xfId="8" applyFont="1" applyFill="1" applyBorder="1" applyAlignment="1">
      <alignment horizontal="center" vertical="center" wrapText="1"/>
    </xf>
    <xf numFmtId="0" fontId="34" fillId="21" borderId="22" xfId="8" applyFont="1" applyFill="1" applyBorder="1" applyAlignment="1">
      <alignment horizontal="center" vertical="center" wrapText="1"/>
    </xf>
    <xf numFmtId="0" fontId="34" fillId="21" borderId="32" xfId="8" applyFont="1" applyFill="1" applyBorder="1" applyAlignment="1">
      <alignment horizontal="center" vertical="center" wrapText="1"/>
    </xf>
    <xf numFmtId="0" fontId="34" fillId="21" borderId="21" xfId="8" applyFont="1" applyFill="1" applyBorder="1" applyAlignment="1">
      <alignment horizontal="center" vertical="center" wrapText="1"/>
    </xf>
    <xf numFmtId="0" fontId="36" fillId="0" borderId="0" xfId="8" applyFont="1" applyAlignment="1">
      <alignment horizontal="center" vertical="center" wrapText="1"/>
    </xf>
    <xf numFmtId="0" fontId="34" fillId="21" borderId="7" xfId="8" applyFont="1" applyFill="1" applyBorder="1" applyAlignment="1">
      <alignment horizontal="center" vertical="center" wrapText="1"/>
    </xf>
    <xf numFmtId="0" fontId="34" fillId="21" borderId="24" xfId="8" applyFont="1" applyFill="1" applyBorder="1" applyAlignment="1">
      <alignment horizontal="center" vertical="center" wrapText="1"/>
    </xf>
    <xf numFmtId="0" fontId="34" fillId="21" borderId="20" xfId="8" applyFont="1" applyFill="1" applyBorder="1" applyAlignment="1">
      <alignment horizontal="center" vertical="center" wrapText="1"/>
    </xf>
    <xf numFmtId="0" fontId="34" fillId="21" borderId="33" xfId="8" applyFont="1" applyFill="1" applyBorder="1" applyAlignment="1">
      <alignment horizontal="center" vertical="center" wrapText="1"/>
    </xf>
    <xf numFmtId="0" fontId="34" fillId="21" borderId="17" xfId="8" applyFont="1" applyFill="1" applyBorder="1" applyAlignment="1">
      <alignment horizontal="center" vertical="center" wrapText="1"/>
    </xf>
    <xf numFmtId="0" fontId="44" fillId="22" borderId="2" xfId="8" applyFont="1" applyFill="1" applyBorder="1"/>
    <xf numFmtId="0" fontId="44" fillId="22" borderId="3" xfId="8" applyFont="1" applyFill="1" applyBorder="1"/>
    <xf numFmtId="0" fontId="44" fillId="22" borderId="3" xfId="8" applyFont="1" applyFill="1" applyBorder="1" applyAlignment="1">
      <alignment wrapText="1"/>
    </xf>
    <xf numFmtId="0" fontId="44" fillId="20" borderId="2" xfId="8" applyFont="1" applyFill="1" applyBorder="1" applyAlignment="1">
      <alignment wrapText="1"/>
    </xf>
    <xf numFmtId="0" fontId="44" fillId="20" borderId="4" xfId="8" applyFont="1" applyFill="1" applyBorder="1" applyAlignment="1">
      <alignment wrapText="1"/>
    </xf>
    <xf numFmtId="179" fontId="45" fillId="20" borderId="3" xfId="9" applyNumberFormat="1" applyFont="1" applyFill="1" applyBorder="1" applyAlignment="1">
      <alignment horizontal="left" vertical="center" wrapText="1"/>
    </xf>
    <xf numFmtId="176" fontId="45" fillId="23" borderId="29" xfId="10" applyNumberFormat="1" applyFont="1" applyFill="1" applyBorder="1" applyAlignment="1" applyProtection="1">
      <alignment horizontal="right" vertical="center" wrapText="1"/>
      <protection locked="0"/>
    </xf>
    <xf numFmtId="0" fontId="46" fillId="24" borderId="7" xfId="8" applyFont="1" applyFill="1" applyBorder="1" applyAlignment="1">
      <alignment horizontal="left" vertical="center" wrapText="1"/>
    </xf>
    <xf numFmtId="175" fontId="46" fillId="16" borderId="20" xfId="9" applyNumberFormat="1" applyFont="1" applyFill="1" applyBorder="1" applyAlignment="1">
      <alignment horizontal="right" vertical="center" wrapText="1"/>
    </xf>
    <xf numFmtId="175" fontId="46" fillId="16" borderId="33" xfId="9" applyNumberFormat="1" applyFont="1" applyFill="1" applyBorder="1" applyAlignment="1">
      <alignment horizontal="right" vertical="center" wrapText="1"/>
    </xf>
    <xf numFmtId="175" fontId="46" fillId="24" borderId="23" xfId="9" applyNumberFormat="1" applyFont="1" applyFill="1" applyBorder="1" applyAlignment="1">
      <alignment horizontal="right" vertical="center" wrapText="1"/>
    </xf>
    <xf numFmtId="181" fontId="46" fillId="24" borderId="20" xfId="10" applyNumberFormat="1" applyFont="1" applyFill="1" applyBorder="1" applyAlignment="1">
      <alignment horizontal="right" vertical="center" wrapText="1"/>
    </xf>
    <xf numFmtId="181" fontId="47" fillId="24" borderId="33" xfId="10" applyNumberFormat="1" applyFont="1" applyFill="1" applyBorder="1" applyAlignment="1">
      <alignment horizontal="right" vertical="center" wrapText="1"/>
    </xf>
    <xf numFmtId="175" fontId="47" fillId="16" borderId="17" xfId="10" applyNumberFormat="1" applyFont="1" applyFill="1" applyBorder="1" applyAlignment="1">
      <alignment vertical="center" wrapText="1"/>
    </xf>
    <xf numFmtId="175" fontId="47" fillId="16" borderId="1" xfId="10" applyNumberFormat="1" applyFont="1" applyFill="1" applyBorder="1" applyAlignment="1">
      <alignment vertical="center" wrapText="1"/>
    </xf>
    <xf numFmtId="175" fontId="47" fillId="16" borderId="7" xfId="10" applyNumberFormat="1" applyFont="1" applyFill="1" applyBorder="1" applyAlignment="1">
      <alignment vertical="center" wrapText="1"/>
    </xf>
    <xf numFmtId="175" fontId="47" fillId="16" borderId="33" xfId="10" applyNumberFormat="1" applyFont="1" applyFill="1" applyBorder="1" applyAlignment="1">
      <alignment vertical="center" wrapText="1"/>
    </xf>
    <xf numFmtId="176" fontId="47" fillId="24" borderId="23" xfId="10" applyNumberFormat="1" applyFont="1" applyFill="1" applyBorder="1" applyAlignment="1">
      <alignment horizontal="center" vertical="center" wrapText="1"/>
    </xf>
    <xf numFmtId="177" fontId="46" fillId="16" borderId="20" xfId="9" applyNumberFormat="1" applyFont="1" applyFill="1" applyBorder="1" applyAlignment="1">
      <alignment horizontal="right" vertical="center" wrapText="1"/>
    </xf>
    <xf numFmtId="177" fontId="46" fillId="16" borderId="33" xfId="9" applyNumberFormat="1" applyFont="1" applyFill="1" applyBorder="1" applyAlignment="1">
      <alignment horizontal="right" vertical="center" wrapText="1"/>
    </xf>
    <xf numFmtId="182" fontId="49" fillId="25" borderId="25" xfId="9" applyNumberFormat="1" applyFont="1" applyFill="1" applyBorder="1" applyAlignment="1" applyProtection="1">
      <alignment horizontal="right" vertical="center" wrapText="1"/>
    </xf>
    <xf numFmtId="38" fontId="49" fillId="25" borderId="26" xfId="10" applyNumberFormat="1" applyFont="1" applyFill="1" applyBorder="1" applyAlignment="1" applyProtection="1">
      <alignment horizontal="right" vertical="center" wrapText="1"/>
    </xf>
    <xf numFmtId="6" fontId="47" fillId="16" borderId="7" xfId="8" applyNumberFormat="1" applyFont="1" applyFill="1" applyBorder="1" applyAlignment="1">
      <alignment vertical="center" wrapText="1"/>
    </xf>
    <xf numFmtId="6" fontId="47" fillId="16" borderId="33" xfId="8" applyNumberFormat="1" applyFont="1" applyFill="1" applyBorder="1" applyAlignment="1">
      <alignment vertical="center" wrapText="1"/>
    </xf>
    <xf numFmtId="0" fontId="25" fillId="0" borderId="0" xfId="8"/>
    <xf numFmtId="38" fontId="47" fillId="25" borderId="27" xfId="10" applyNumberFormat="1" applyFont="1" applyFill="1" applyBorder="1" applyAlignment="1" applyProtection="1">
      <alignment horizontal="right" vertical="center" wrapText="1"/>
    </xf>
    <xf numFmtId="0" fontId="48" fillId="24" borderId="7" xfId="8" applyFont="1" applyFill="1" applyBorder="1" applyAlignment="1">
      <alignment horizontal="left" vertical="center" wrapText="1"/>
    </xf>
    <xf numFmtId="182" fontId="46" fillId="24" borderId="23" xfId="9" applyNumberFormat="1" applyFont="1" applyFill="1" applyBorder="1" applyAlignment="1">
      <alignment horizontal="right" vertical="center" wrapText="1"/>
    </xf>
    <xf numFmtId="38" fontId="49" fillId="26" borderId="26" xfId="10" applyNumberFormat="1" applyFont="1" applyFill="1" applyBorder="1" applyAlignment="1" applyProtection="1">
      <alignment horizontal="right" vertical="center" wrapText="1"/>
    </xf>
    <xf numFmtId="175" fontId="47" fillId="16" borderId="0" xfId="10" applyNumberFormat="1" applyFont="1" applyFill="1" applyBorder="1" applyAlignment="1">
      <alignment vertical="center" wrapText="1"/>
    </xf>
    <xf numFmtId="44" fontId="25" fillId="0" borderId="0" xfId="1" applyFont="1"/>
    <xf numFmtId="176" fontId="36" fillId="0" borderId="0" xfId="8" applyNumberFormat="1" applyFont="1"/>
    <xf numFmtId="0" fontId="3" fillId="27" borderId="1" xfId="0" applyFont="1" applyFill="1" applyBorder="1" applyAlignment="1">
      <alignment horizontal="left" vertical="center" wrapText="1"/>
    </xf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8" fontId="55" fillId="0" borderId="0" xfId="0" applyNumberFormat="1" applyFont="1"/>
    <xf numFmtId="8" fontId="54" fillId="0" borderId="0" xfId="0" applyNumberFormat="1" applyFont="1"/>
    <xf numFmtId="0" fontId="6" fillId="31" borderId="1" xfId="0" applyFont="1" applyFill="1" applyBorder="1" applyAlignment="1">
      <alignment horizontal="left" vertical="center" wrapText="1"/>
    </xf>
    <xf numFmtId="0" fontId="0" fillId="31" borderId="1" xfId="0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8" fontId="25" fillId="0" borderId="0" xfId="1" applyNumberFormat="1" applyFont="1"/>
    <xf numFmtId="176" fontId="56" fillId="32" borderId="29" xfId="10" applyNumberFormat="1" applyFont="1" applyFill="1" applyBorder="1" applyAlignment="1" applyProtection="1">
      <alignment horizontal="right" vertical="center" wrapText="1"/>
      <protection locked="0"/>
    </xf>
    <xf numFmtId="0" fontId="63" fillId="0" borderId="0" xfId="11" applyFont="1" applyAlignment="1">
      <alignment vertical="center"/>
    </xf>
    <xf numFmtId="0" fontId="63" fillId="0" borderId="0" xfId="11" applyFont="1" applyAlignment="1" applyProtection="1">
      <alignment vertical="center"/>
      <protection hidden="1"/>
    </xf>
    <xf numFmtId="0" fontId="64" fillId="0" borderId="0" xfId="11" applyFont="1" applyAlignment="1">
      <alignment vertical="center"/>
    </xf>
    <xf numFmtId="0" fontId="62" fillId="0" borderId="0" xfId="11"/>
    <xf numFmtId="0" fontId="63" fillId="0" borderId="0" xfId="11" applyFont="1" applyAlignment="1">
      <alignment horizontal="left" vertical="center"/>
    </xf>
    <xf numFmtId="0" fontId="65" fillId="0" borderId="0" xfId="11" applyFont="1" applyAlignment="1">
      <alignment horizontal="center" vertical="center" wrapText="1"/>
    </xf>
    <xf numFmtId="0" fontId="66" fillId="0" borderId="0" xfId="11" applyFont="1" applyAlignment="1">
      <alignment horizontal="left" vertical="center"/>
    </xf>
    <xf numFmtId="0" fontId="65" fillId="0" borderId="0" xfId="11" applyFont="1" applyAlignment="1">
      <alignment vertical="center"/>
    </xf>
    <xf numFmtId="0" fontId="65" fillId="0" borderId="0" xfId="11" applyFont="1" applyAlignment="1">
      <alignment horizontal="left" vertical="center" wrapText="1"/>
    </xf>
    <xf numFmtId="0" fontId="65" fillId="0" borderId="0" xfId="11" applyFont="1" applyAlignment="1" applyProtection="1">
      <alignment horizontal="center" vertical="center" wrapText="1"/>
      <protection hidden="1"/>
    </xf>
    <xf numFmtId="0" fontId="65" fillId="0" borderId="0" xfId="11" applyFont="1" applyAlignment="1" applyProtection="1">
      <alignment horizontal="left" vertical="center" wrapText="1"/>
      <protection hidden="1"/>
    </xf>
    <xf numFmtId="0" fontId="59" fillId="0" borderId="0" xfId="11" applyFont="1" applyAlignment="1">
      <alignment horizontal="left" vertical="center"/>
    </xf>
    <xf numFmtId="0" fontId="69" fillId="0" borderId="0" xfId="11" applyFont="1" applyAlignment="1">
      <alignment vertical="center"/>
    </xf>
    <xf numFmtId="0" fontId="69" fillId="0" borderId="0" xfId="11" applyFont="1" applyAlignment="1">
      <alignment horizontal="center" vertical="center" wrapText="1"/>
    </xf>
    <xf numFmtId="10" fontId="59" fillId="0" borderId="41" xfId="11" applyNumberFormat="1" applyFont="1" applyBorder="1" applyAlignment="1">
      <alignment horizontal="center" vertical="center"/>
    </xf>
    <xf numFmtId="10" fontId="72" fillId="36" borderId="42" xfId="11" applyNumberFormat="1" applyFont="1" applyFill="1" applyBorder="1" applyAlignment="1" applyProtection="1">
      <alignment horizontal="center" vertical="center"/>
      <protection locked="0"/>
    </xf>
    <xf numFmtId="17" fontId="73" fillId="36" borderId="42" xfId="11" applyNumberFormat="1" applyFont="1" applyFill="1" applyBorder="1" applyAlignment="1" applyProtection="1">
      <alignment horizontal="center" vertical="center"/>
      <protection locked="0"/>
    </xf>
    <xf numFmtId="10" fontId="72" fillId="36" borderId="43" xfId="11" applyNumberFormat="1" applyFont="1" applyFill="1" applyBorder="1" applyAlignment="1" applyProtection="1">
      <alignment horizontal="center" vertical="center"/>
      <protection locked="0"/>
    </xf>
    <xf numFmtId="0" fontId="75" fillId="34" borderId="44" xfId="11" applyFont="1" applyFill="1" applyBorder="1" applyAlignment="1">
      <alignment horizontal="left" vertical="center" wrapText="1"/>
    </xf>
    <xf numFmtId="184" fontId="61" fillId="0" borderId="0" xfId="11" applyNumberFormat="1" applyFont="1" applyAlignment="1">
      <alignment horizontal="center" vertical="center" wrapText="1"/>
    </xf>
    <xf numFmtId="0" fontId="62" fillId="0" borderId="0" xfId="11" applyAlignment="1">
      <alignment vertical="center"/>
    </xf>
    <xf numFmtId="10" fontId="75" fillId="34" borderId="44" xfId="11" applyNumberFormat="1" applyFont="1" applyFill="1" applyBorder="1" applyAlignment="1">
      <alignment horizontal="left" vertical="center" wrapText="1"/>
    </xf>
    <xf numFmtId="184" fontId="96" fillId="0" borderId="0" xfId="11" applyNumberFormat="1" applyFont="1" applyAlignment="1">
      <alignment vertical="center" wrapText="1"/>
    </xf>
    <xf numFmtId="0" fontId="88" fillId="49" borderId="0" xfId="11" applyFont="1" applyFill="1" applyAlignment="1">
      <alignment vertical="center" wrapText="1"/>
    </xf>
    <xf numFmtId="0" fontId="100" fillId="0" borderId="0" xfId="11" applyFont="1" applyAlignment="1">
      <alignment vertical="center" wrapText="1"/>
    </xf>
    <xf numFmtId="9" fontId="60" fillId="51" borderId="37" xfId="13" applyFont="1" applyFill="1" applyBorder="1" applyAlignment="1">
      <alignment horizontal="center" vertical="center"/>
    </xf>
    <xf numFmtId="164" fontId="71" fillId="51" borderId="38" xfId="14" applyNumberFormat="1" applyFont="1" applyFill="1" applyBorder="1" applyAlignment="1">
      <alignment vertical="center"/>
    </xf>
    <xf numFmtId="165" fontId="103" fillId="51" borderId="38" xfId="12" applyNumberFormat="1" applyFont="1" applyFill="1" applyBorder="1" applyAlignment="1">
      <alignment vertical="center"/>
    </xf>
    <xf numFmtId="9" fontId="17" fillId="51" borderId="39" xfId="13" applyFont="1" applyFill="1" applyBorder="1" applyAlignment="1">
      <alignment horizontal="center" vertical="center"/>
    </xf>
    <xf numFmtId="164" fontId="63" fillId="51" borderId="40" xfId="14" applyNumberFormat="1" applyFont="1" applyFill="1" applyBorder="1" applyAlignment="1">
      <alignment vertical="center"/>
    </xf>
    <xf numFmtId="165" fontId="101" fillId="51" borderId="40" xfId="12" applyNumberFormat="1" applyFont="1" applyFill="1" applyBorder="1" applyAlignment="1">
      <alignment vertical="center"/>
    </xf>
    <xf numFmtId="9" fontId="17" fillId="50" borderId="38" xfId="13" applyFont="1" applyFill="1" applyBorder="1" applyAlignment="1">
      <alignment horizontal="center" vertical="center"/>
    </xf>
    <xf numFmtId="164" fontId="63" fillId="50" borderId="38" xfId="14" applyNumberFormat="1" applyFont="1" applyFill="1" applyBorder="1" applyAlignment="1">
      <alignment vertical="center"/>
    </xf>
    <xf numFmtId="165" fontId="101" fillId="50" borderId="38" xfId="12" applyNumberFormat="1" applyFont="1" applyFill="1" applyBorder="1" applyAlignment="1">
      <alignment vertical="center"/>
    </xf>
    <xf numFmtId="0" fontId="63" fillId="2" borderId="0" xfId="11" applyFont="1" applyFill="1" applyAlignment="1">
      <alignment vertical="center"/>
    </xf>
    <xf numFmtId="0" fontId="104" fillId="0" borderId="0" xfId="11" applyFont="1" applyAlignment="1">
      <alignment vertical="center" wrapText="1"/>
    </xf>
    <xf numFmtId="0" fontId="71" fillId="0" borderId="0" xfId="11" applyFont="1" applyAlignment="1">
      <alignment vertical="center"/>
    </xf>
    <xf numFmtId="165" fontId="101" fillId="36" borderId="57" xfId="12" applyNumberFormat="1" applyFont="1" applyFill="1" applyBorder="1" applyAlignment="1">
      <alignment vertical="center"/>
    </xf>
    <xf numFmtId="0" fontId="15" fillId="0" borderId="57" xfId="11" applyFont="1" applyBorder="1" applyAlignment="1">
      <alignment vertical="center"/>
    </xf>
    <xf numFmtId="0" fontId="85" fillId="0" borderId="57" xfId="11" applyFont="1" applyBorder="1" applyAlignment="1">
      <alignment vertical="center"/>
    </xf>
    <xf numFmtId="10" fontId="85" fillId="0" borderId="57" xfId="11" applyNumberFormat="1" applyFont="1" applyBorder="1" applyAlignment="1">
      <alignment vertical="center"/>
    </xf>
    <xf numFmtId="0" fontId="91" fillId="44" borderId="57" xfId="11" applyFont="1" applyFill="1" applyBorder="1" applyAlignment="1">
      <alignment horizontal="left" vertical="center" wrapText="1"/>
    </xf>
    <xf numFmtId="0" fontId="91" fillId="0" borderId="57" xfId="11" applyFont="1" applyBorder="1" applyAlignment="1">
      <alignment horizontal="left" vertical="center" wrapText="1"/>
    </xf>
    <xf numFmtId="0" fontId="94" fillId="45" borderId="57" xfId="11" applyFont="1" applyFill="1" applyBorder="1" applyAlignment="1">
      <alignment horizontal="left" vertical="center" wrapText="1"/>
    </xf>
    <xf numFmtId="184" fontId="96" fillId="0" borderId="57" xfId="11" applyNumberFormat="1" applyFont="1" applyBorder="1" applyAlignment="1">
      <alignment vertical="center" wrapText="1"/>
    </xf>
    <xf numFmtId="165" fontId="101" fillId="52" borderId="57" xfId="12" applyNumberFormat="1" applyFont="1" applyFill="1" applyBorder="1" applyAlignment="1">
      <alignment vertical="center"/>
    </xf>
    <xf numFmtId="0" fontId="111" fillId="44" borderId="57" xfId="11" applyFont="1" applyFill="1" applyBorder="1" applyAlignment="1">
      <alignment horizontal="left" vertical="center" wrapText="1"/>
    </xf>
    <xf numFmtId="0" fontId="111" fillId="0" borderId="57" xfId="11" applyFont="1" applyBorder="1" applyAlignment="1">
      <alignment horizontal="left" vertical="center" wrapText="1"/>
    </xf>
    <xf numFmtId="0" fontId="94" fillId="54" borderId="57" xfId="11" applyFont="1" applyFill="1" applyBorder="1" applyAlignment="1">
      <alignment horizontal="left" vertical="center" wrapText="1"/>
    </xf>
    <xf numFmtId="3" fontId="6" fillId="6" borderId="1" xfId="0" applyNumberFormat="1" applyFont="1" applyFill="1" applyBorder="1" applyAlignment="1">
      <alignment horizontal="right" vertical="center"/>
    </xf>
    <xf numFmtId="17" fontId="6" fillId="6" borderId="1" xfId="0" applyNumberFormat="1" applyFont="1" applyFill="1" applyBorder="1" applyAlignment="1">
      <alignment horizontal="center" vertical="center"/>
    </xf>
    <xf numFmtId="174" fontId="6" fillId="6" borderId="1" xfId="1" applyNumberFormat="1" applyFont="1" applyFill="1" applyBorder="1" applyAlignment="1">
      <alignment horizontal="right" vertical="center"/>
    </xf>
    <xf numFmtId="0" fontId="3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174" fontId="0" fillId="7" borderId="1" xfId="1" applyNumberFormat="1" applyFont="1" applyFill="1" applyBorder="1" applyAlignment="1">
      <alignment horizontal="right" vertical="center"/>
    </xf>
    <xf numFmtId="43" fontId="0" fillId="0" borderId="0" xfId="0" applyNumberFormat="1" applyAlignment="1">
      <alignment vertical="center"/>
    </xf>
    <xf numFmtId="0" fontId="121" fillId="0" borderId="0" xfId="0" applyFont="1" applyAlignment="1">
      <alignment horizontal="left" vertical="center" wrapText="1"/>
    </xf>
    <xf numFmtId="0" fontId="98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31" borderId="4" xfId="0" applyFont="1" applyFill="1" applyBorder="1" applyAlignment="1">
      <alignment horizontal="left" vertical="center" wrapText="1"/>
    </xf>
    <xf numFmtId="0" fontId="0" fillId="31" borderId="4" xfId="0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20" fillId="56" borderId="1" xfId="0" applyFont="1" applyFill="1" applyBorder="1" applyAlignment="1">
      <alignment horizontal="left" wrapText="1"/>
    </xf>
    <xf numFmtId="0" fontId="70" fillId="34" borderId="58" xfId="11" applyFont="1" applyFill="1" applyBorder="1" applyAlignment="1">
      <alignment horizontal="center" vertical="center"/>
    </xf>
    <xf numFmtId="186" fontId="79" fillId="0" borderId="58" xfId="11" applyNumberFormat="1" applyFont="1" applyBorder="1" applyAlignment="1">
      <alignment horizontal="left" vertical="top"/>
    </xf>
    <xf numFmtId="186" fontId="79" fillId="35" borderId="58" xfId="11" applyNumberFormat="1" applyFont="1" applyFill="1" applyBorder="1" applyAlignment="1">
      <alignment horizontal="left" vertical="top"/>
    </xf>
    <xf numFmtId="0" fontId="91" fillId="44" borderId="59" xfId="11" applyFont="1" applyFill="1" applyBorder="1" applyAlignment="1">
      <alignment horizontal="left" vertical="top" wrapText="1"/>
    </xf>
    <xf numFmtId="0" fontId="91" fillId="44" borderId="60" xfId="11" applyFont="1" applyFill="1" applyBorder="1" applyAlignment="1">
      <alignment horizontal="left" vertical="center" wrapText="1"/>
    </xf>
    <xf numFmtId="0" fontId="91" fillId="0" borderId="59" xfId="11" applyFont="1" applyBorder="1" applyAlignment="1">
      <alignment horizontal="left" vertical="top" wrapText="1"/>
    </xf>
    <xf numFmtId="0" fontId="91" fillId="0" borderId="60" xfId="11" applyFont="1" applyBorder="1" applyAlignment="1">
      <alignment horizontal="left" vertical="center" wrapText="1"/>
    </xf>
    <xf numFmtId="0" fontId="94" fillId="45" borderId="59" xfId="11" applyFont="1" applyFill="1" applyBorder="1" applyAlignment="1">
      <alignment horizontal="left" vertical="top" wrapText="1"/>
    </xf>
    <xf numFmtId="0" fontId="94" fillId="45" borderId="60" xfId="11" applyFont="1" applyFill="1" applyBorder="1" applyAlignment="1">
      <alignment horizontal="left" vertical="center" wrapText="1"/>
    </xf>
    <xf numFmtId="9" fontId="17" fillId="2" borderId="58" xfId="13" applyFont="1" applyFill="1" applyBorder="1" applyAlignment="1">
      <alignment horizontal="center" vertical="center"/>
    </xf>
    <xf numFmtId="164" fontId="63" fillId="2" borderId="58" xfId="14" applyNumberFormat="1" applyFont="1" applyFill="1" applyBorder="1" applyAlignment="1">
      <alignment vertical="center"/>
    </xf>
    <xf numFmtId="9" fontId="17" fillId="52" borderId="58" xfId="13" applyFont="1" applyFill="1" applyBorder="1" applyAlignment="1">
      <alignment horizontal="center" vertical="center"/>
    </xf>
    <xf numFmtId="164" fontId="63" fillId="52" borderId="58" xfId="14" applyNumberFormat="1" applyFont="1" applyFill="1" applyBorder="1" applyAlignment="1">
      <alignment vertical="center"/>
    </xf>
    <xf numFmtId="0" fontId="111" fillId="44" borderId="59" xfId="11" applyFont="1" applyFill="1" applyBorder="1" applyAlignment="1">
      <alignment horizontal="left" vertical="top" wrapText="1"/>
    </xf>
    <xf numFmtId="0" fontId="111" fillId="44" borderId="60" xfId="11" applyFont="1" applyFill="1" applyBorder="1" applyAlignment="1">
      <alignment horizontal="left" vertical="center" wrapText="1"/>
    </xf>
    <xf numFmtId="0" fontId="111" fillId="0" borderId="59" xfId="11" applyFont="1" applyBorder="1" applyAlignment="1">
      <alignment horizontal="left" vertical="top" wrapText="1"/>
    </xf>
    <xf numFmtId="0" fontId="111" fillId="0" borderId="60" xfId="11" applyFont="1" applyBorder="1" applyAlignment="1">
      <alignment horizontal="left" vertical="center" wrapText="1"/>
    </xf>
    <xf numFmtId="0" fontId="94" fillId="54" borderId="59" xfId="11" applyFont="1" applyFill="1" applyBorder="1" applyAlignment="1">
      <alignment horizontal="left" vertical="top" wrapText="1"/>
    </xf>
    <xf numFmtId="0" fontId="94" fillId="54" borderId="60" xfId="11" applyFont="1" applyFill="1" applyBorder="1" applyAlignment="1">
      <alignment horizontal="left" vertical="center" wrapText="1"/>
    </xf>
    <xf numFmtId="4" fontId="16" fillId="6" borderId="58" xfId="4" applyNumberFormat="1" applyFont="1" applyFill="1" applyBorder="1" applyAlignment="1">
      <alignment horizontal="right" vertical="center"/>
    </xf>
    <xf numFmtId="171" fontId="16" fillId="6" borderId="58" xfId="5" applyNumberFormat="1" applyFont="1" applyFill="1" applyBorder="1" applyAlignment="1" applyProtection="1">
      <alignment horizontal="center"/>
    </xf>
    <xf numFmtId="4" fontId="16" fillId="6" borderId="58" xfId="4" applyNumberFormat="1" applyFont="1" applyFill="1" applyBorder="1" applyAlignment="1">
      <alignment vertical="center"/>
    </xf>
    <xf numFmtId="166" fontId="15" fillId="6" borderId="58" xfId="4" applyNumberFormat="1" applyFont="1" applyFill="1" applyBorder="1" applyAlignment="1">
      <alignment vertical="center" wrapText="1"/>
    </xf>
    <xf numFmtId="166" fontId="15" fillId="6" borderId="58" xfId="4" applyNumberFormat="1" applyFont="1" applyFill="1" applyBorder="1" applyAlignment="1">
      <alignment horizontal="center" vertical="center" wrapText="1"/>
    </xf>
    <xf numFmtId="168" fontId="15" fillId="6" borderId="58" xfId="6" applyNumberFormat="1" applyFont="1" applyFill="1" applyBorder="1" applyAlignment="1">
      <alignment horizontal="center" vertical="center" wrapText="1"/>
    </xf>
    <xf numFmtId="169" fontId="15" fillId="6" borderId="58" xfId="6" applyNumberFormat="1" applyFont="1" applyFill="1" applyBorder="1" applyAlignment="1">
      <alignment horizontal="center" vertical="center" wrapText="1"/>
    </xf>
    <xf numFmtId="0" fontId="122" fillId="34" borderId="0" xfId="0" applyFont="1" applyFill="1"/>
    <xf numFmtId="0" fontId="123" fillId="34" borderId="0" xfId="0" applyFont="1" applyFill="1"/>
    <xf numFmtId="0" fontId="124" fillId="34" borderId="0" xfId="0" applyFont="1" applyFill="1"/>
    <xf numFmtId="0" fontId="125" fillId="34" borderId="0" xfId="0" applyFont="1" applyFill="1" applyAlignment="1">
      <alignment horizontal="center"/>
    </xf>
    <xf numFmtId="0" fontId="60" fillId="34" borderId="0" xfId="0" applyFont="1" applyFill="1"/>
    <xf numFmtId="0" fontId="60" fillId="34" borderId="0" xfId="0" applyFont="1" applyFill="1" applyAlignment="1">
      <alignment horizontal="center"/>
    </xf>
    <xf numFmtId="0" fontId="124" fillId="56" borderId="0" xfId="0" applyFont="1" applyFill="1"/>
    <xf numFmtId="0" fontId="123" fillId="56" borderId="0" xfId="0" applyFont="1" applyFill="1"/>
    <xf numFmtId="0" fontId="122" fillId="56" borderId="0" xfId="0" applyFont="1" applyFill="1"/>
    <xf numFmtId="0" fontId="127" fillId="56" borderId="0" xfId="0" applyFont="1" applyFill="1"/>
    <xf numFmtId="17" fontId="122" fillId="34" borderId="0" xfId="0" applyNumberFormat="1" applyFont="1" applyFill="1"/>
    <xf numFmtId="0" fontId="122" fillId="34" borderId="0" xfId="0" applyFont="1" applyFill="1" applyAlignment="1">
      <alignment vertical="center"/>
    </xf>
    <xf numFmtId="8" fontId="122" fillId="34" borderId="0" xfId="0" applyNumberFormat="1" applyFont="1" applyFill="1"/>
    <xf numFmtId="0" fontId="130" fillId="57" borderId="63" xfId="0" applyFont="1" applyFill="1" applyBorder="1" applyAlignment="1">
      <alignment horizontal="center" vertical="center"/>
    </xf>
    <xf numFmtId="0" fontId="122" fillId="34" borderId="0" xfId="0" applyFont="1" applyFill="1" applyAlignment="1">
      <alignment horizontal="center" vertical="center" wrapText="1"/>
    </xf>
    <xf numFmtId="0" fontId="123" fillId="3" borderId="65" xfId="0" applyFont="1" applyFill="1" applyBorder="1" applyAlignment="1">
      <alignment horizontal="center" vertical="center" wrapText="1"/>
    </xf>
    <xf numFmtId="0" fontId="123" fillId="3" borderId="68" xfId="0" applyFont="1" applyFill="1" applyBorder="1" applyAlignment="1">
      <alignment horizontal="center" vertical="center" wrapText="1"/>
    </xf>
    <xf numFmtId="0" fontId="123" fillId="3" borderId="69" xfId="0" applyFont="1" applyFill="1" applyBorder="1" applyAlignment="1">
      <alignment horizontal="center" vertical="center" wrapText="1"/>
    </xf>
    <xf numFmtId="0" fontId="123" fillId="3" borderId="58" xfId="0" applyFont="1" applyFill="1" applyBorder="1" applyAlignment="1">
      <alignment horizontal="center" vertical="center" wrapText="1"/>
    </xf>
    <xf numFmtId="0" fontId="123" fillId="3" borderId="73" xfId="0" applyFont="1" applyFill="1" applyBorder="1" applyAlignment="1">
      <alignment horizontal="center" vertical="center" wrapText="1"/>
    </xf>
    <xf numFmtId="0" fontId="123" fillId="3" borderId="74" xfId="0" applyFont="1" applyFill="1" applyBorder="1" applyAlignment="1">
      <alignment horizontal="center" vertical="center" wrapText="1"/>
    </xf>
    <xf numFmtId="0" fontId="132" fillId="59" borderId="76" xfId="0" applyFont="1" applyFill="1" applyBorder="1"/>
    <xf numFmtId="0" fontId="132" fillId="57" borderId="77" xfId="0" applyFont="1" applyFill="1" applyBorder="1" applyAlignment="1">
      <alignment wrapText="1"/>
    </xf>
    <xf numFmtId="185" fontId="133" fillId="57" borderId="78" xfId="1" applyNumberFormat="1" applyFont="1" applyFill="1" applyBorder="1" applyAlignment="1">
      <alignment horizontal="left" vertical="center" wrapText="1"/>
    </xf>
    <xf numFmtId="164" fontId="133" fillId="60" borderId="77" xfId="15" applyNumberFormat="1" applyFont="1" applyFill="1" applyBorder="1" applyAlignment="1" applyProtection="1">
      <alignment horizontal="right" vertical="center" wrapText="1"/>
      <protection locked="0"/>
    </xf>
    <xf numFmtId="164" fontId="133" fillId="60" borderId="78" xfId="15" applyNumberFormat="1" applyFont="1" applyFill="1" applyBorder="1" applyAlignment="1">
      <alignment horizontal="left" vertical="center" wrapText="1"/>
    </xf>
    <xf numFmtId="185" fontId="133" fillId="60" borderId="77" xfId="1" applyNumberFormat="1" applyFont="1" applyFill="1" applyBorder="1" applyAlignment="1">
      <alignment horizontal="left" vertical="center" wrapText="1"/>
    </xf>
    <xf numFmtId="185" fontId="133" fillId="60" borderId="78" xfId="1" applyNumberFormat="1" applyFont="1" applyFill="1" applyBorder="1" applyAlignment="1">
      <alignment horizontal="left" vertical="center" wrapText="1"/>
    </xf>
    <xf numFmtId="44" fontId="133" fillId="60" borderId="77" xfId="1" applyFont="1" applyFill="1" applyBorder="1" applyAlignment="1">
      <alignment horizontal="left" vertical="center" wrapText="1"/>
    </xf>
    <xf numFmtId="165" fontId="133" fillId="60" borderId="78" xfId="1" applyNumberFormat="1" applyFont="1" applyFill="1" applyBorder="1" applyAlignment="1">
      <alignment horizontal="left" vertical="center" wrapText="1"/>
    </xf>
    <xf numFmtId="165" fontId="133" fillId="60" borderId="77" xfId="1" applyNumberFormat="1" applyFont="1" applyFill="1" applyBorder="1" applyAlignment="1">
      <alignment horizontal="left" vertical="center" wrapText="1"/>
    </xf>
    <xf numFmtId="0" fontId="132" fillId="59" borderId="78" xfId="0" applyFont="1" applyFill="1" applyBorder="1" applyAlignment="1">
      <alignment wrapText="1"/>
    </xf>
    <xf numFmtId="0" fontId="136" fillId="34" borderId="0" xfId="0" applyFont="1" applyFill="1"/>
    <xf numFmtId="0" fontId="137" fillId="0" borderId="0" xfId="0" applyFont="1"/>
    <xf numFmtId="0" fontId="137" fillId="0" borderId="0" xfId="0" applyFont="1" applyAlignment="1">
      <alignment horizontal="center"/>
    </xf>
    <xf numFmtId="0" fontId="0" fillId="35" borderId="1" xfId="0" applyFill="1" applyBorder="1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138" fillId="61" borderId="1" xfId="0" applyFont="1" applyFill="1" applyBorder="1"/>
    <xf numFmtId="164" fontId="138" fillId="61" borderId="1" xfId="0" applyNumberFormat="1" applyFont="1" applyFill="1" applyBorder="1" applyAlignment="1">
      <alignment horizontal="center"/>
    </xf>
    <xf numFmtId="0" fontId="29" fillId="62" borderId="5" xfId="0" applyFont="1" applyFill="1" applyBorder="1"/>
    <xf numFmtId="0" fontId="29" fillId="62" borderId="5" xfId="0" applyFont="1" applyFill="1" applyBorder="1" applyAlignment="1">
      <alignment horizontal="center"/>
    </xf>
    <xf numFmtId="0" fontId="29" fillId="62" borderId="1" xfId="0" applyFont="1" applyFill="1" applyBorder="1" applyAlignment="1">
      <alignment horizontal="center" vertical="center"/>
    </xf>
    <xf numFmtId="0" fontId="29" fillId="63" borderId="1" xfId="0" applyFont="1" applyFill="1" applyBorder="1" applyAlignment="1">
      <alignment horizontal="center"/>
    </xf>
    <xf numFmtId="191" fontId="29" fillId="63" borderId="1" xfId="0" applyNumberFormat="1" applyFont="1" applyFill="1" applyBorder="1" applyAlignment="1">
      <alignment horizontal="center"/>
    </xf>
    <xf numFmtId="192" fontId="29" fillId="63" borderId="1" xfId="0" applyNumberFormat="1" applyFont="1" applyFill="1" applyBorder="1" applyAlignment="1">
      <alignment horizontal="center"/>
    </xf>
    <xf numFmtId="10" fontId="0" fillId="0" borderId="0" xfId="16" applyNumberFormat="1" applyFont="1"/>
    <xf numFmtId="192" fontId="0" fillId="0" borderId="0" xfId="16" applyNumberFormat="1" applyFont="1"/>
    <xf numFmtId="0" fontId="2" fillId="7" borderId="0" xfId="0" applyFont="1" applyFill="1"/>
    <xf numFmtId="0" fontId="10" fillId="7" borderId="0" xfId="0" applyFont="1" applyFill="1"/>
    <xf numFmtId="0" fontId="10" fillId="0" borderId="0" xfId="0" applyFont="1"/>
    <xf numFmtId="0" fontId="2" fillId="0" borderId="0" xfId="0" applyFont="1"/>
    <xf numFmtId="43" fontId="2" fillId="0" borderId="0" xfId="0" applyNumberFormat="1" applyFont="1"/>
    <xf numFmtId="43" fontId="10" fillId="0" borderId="0" xfId="0" applyNumberFormat="1" applyFont="1"/>
    <xf numFmtId="0" fontId="37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0" fillId="0" borderId="1" xfId="0" applyNumberFormat="1" applyBorder="1"/>
    <xf numFmtId="43" fontId="37" fillId="0" borderId="1" xfId="0" applyNumberFormat="1" applyFont="1" applyBorder="1"/>
    <xf numFmtId="43" fontId="37" fillId="0" borderId="0" xfId="0" applyNumberFormat="1" applyFont="1"/>
    <xf numFmtId="43" fontId="3" fillId="0" borderId="0" xfId="0" applyNumberFormat="1" applyFont="1"/>
    <xf numFmtId="191" fontId="0" fillId="0" borderId="0" xfId="0" applyNumberFormat="1"/>
    <xf numFmtId="43" fontId="3" fillId="0" borderId="1" xfId="0" applyNumberFormat="1" applyFont="1" applyBorder="1"/>
    <xf numFmtId="0" fontId="140" fillId="66" borderId="0" xfId="0" applyFont="1" applyFill="1" applyAlignment="1">
      <alignment horizontal="center"/>
    </xf>
    <xf numFmtId="0" fontId="140" fillId="66" borderId="0" xfId="0" applyFont="1" applyFill="1" applyAlignment="1">
      <alignment horizontal="right"/>
    </xf>
    <xf numFmtId="43" fontId="10" fillId="0" borderId="1" xfId="0" applyNumberFormat="1" applyFont="1" applyBorder="1"/>
    <xf numFmtId="191" fontId="37" fillId="0" borderId="0" xfId="0" applyNumberFormat="1" applyFont="1"/>
    <xf numFmtId="0" fontId="37" fillId="0" borderId="0" xfId="0" applyFont="1"/>
    <xf numFmtId="0" fontId="61" fillId="0" borderId="0" xfId="0" applyFont="1"/>
    <xf numFmtId="10" fontId="0" fillId="0" borderId="0" xfId="0" applyNumberFormat="1"/>
    <xf numFmtId="43" fontId="142" fillId="71" borderId="81" xfId="0" applyNumberFormat="1" applyFont="1" applyFill="1" applyBorder="1" applyAlignment="1">
      <alignment horizontal="center" vertical="center"/>
    </xf>
    <xf numFmtId="43" fontId="142" fillId="71" borderId="81" xfId="0" applyNumberFormat="1" applyFont="1" applyFill="1" applyBorder="1" applyAlignment="1">
      <alignment vertical="center"/>
    </xf>
    <xf numFmtId="10" fontId="3" fillId="0" borderId="0" xfId="0" applyNumberFormat="1" applyFont="1"/>
    <xf numFmtId="0" fontId="143" fillId="35" borderId="81" xfId="0" applyFont="1" applyFill="1" applyBorder="1" applyAlignment="1">
      <alignment horizontal="right" vertical="center"/>
    </xf>
    <xf numFmtId="43" fontId="143" fillId="35" borderId="81" xfId="0" applyNumberFormat="1" applyFont="1" applyFill="1" applyBorder="1" applyAlignment="1">
      <alignment horizontal="center" vertical="center"/>
    </xf>
    <xf numFmtId="43" fontId="142" fillId="35" borderId="81" xfId="0" applyNumberFormat="1" applyFont="1" applyFill="1" applyBorder="1" applyAlignment="1">
      <alignment horizontal="center" vertical="center"/>
    </xf>
    <xf numFmtId="0" fontId="142" fillId="35" borderId="81" xfId="0" applyFont="1" applyFill="1" applyBorder="1" applyAlignment="1">
      <alignment horizontal="right" vertical="center"/>
    </xf>
    <xf numFmtId="43" fontId="144" fillId="2" borderId="81" xfId="0" applyNumberFormat="1" applyFont="1" applyFill="1" applyBorder="1" applyAlignment="1">
      <alignment horizontal="center" vertical="center"/>
    </xf>
    <xf numFmtId="9" fontId="3" fillId="0" borderId="0" xfId="0" applyNumberFormat="1" applyFont="1"/>
    <xf numFmtId="43" fontId="143" fillId="7" borderId="81" xfId="0" applyNumberFormat="1" applyFont="1" applyFill="1" applyBorder="1" applyAlignment="1">
      <alignment horizontal="center" vertical="center"/>
    </xf>
    <xf numFmtId="43" fontId="142" fillId="7" borderId="81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10" fillId="0" borderId="0" xfId="0" quotePrefix="1" applyFont="1" applyAlignment="1">
      <alignment horizontal="center"/>
    </xf>
    <xf numFmtId="43" fontId="145" fillId="2" borderId="81" xfId="0" applyNumberFormat="1" applyFont="1" applyFill="1" applyBorder="1" applyAlignment="1">
      <alignment horizontal="center" vertical="center"/>
    </xf>
    <xf numFmtId="165" fontId="6" fillId="6" borderId="1" xfId="1" applyNumberFormat="1" applyFont="1" applyFill="1" applyBorder="1" applyAlignment="1">
      <alignment horizontal="right" vertical="center"/>
    </xf>
    <xf numFmtId="165" fontId="6" fillId="7" borderId="1" xfId="1" applyNumberFormat="1" applyFont="1" applyFill="1" applyBorder="1" applyAlignment="1">
      <alignment horizontal="right" vertical="center"/>
    </xf>
    <xf numFmtId="165" fontId="3" fillId="7" borderId="1" xfId="1" applyNumberFormat="1" applyFont="1" applyFill="1" applyBorder="1" applyAlignment="1">
      <alignment horizontal="right" vertical="center"/>
    </xf>
    <xf numFmtId="0" fontId="147" fillId="0" borderId="83" xfId="0" applyFont="1" applyBorder="1" applyAlignment="1">
      <alignment horizontal="center" vertical="center" wrapText="1"/>
    </xf>
    <xf numFmtId="0" fontId="147" fillId="72" borderId="83" xfId="0" applyFont="1" applyFill="1" applyBorder="1" applyAlignment="1">
      <alignment horizontal="center" vertical="center" wrapText="1"/>
    </xf>
    <xf numFmtId="0" fontId="147" fillId="72" borderId="84" xfId="0" applyFont="1" applyFill="1" applyBorder="1" applyAlignment="1">
      <alignment horizontal="center" vertical="center" wrapText="1"/>
    </xf>
    <xf numFmtId="165" fontId="7" fillId="6" borderId="1" xfId="1" applyNumberFormat="1" applyFont="1" applyFill="1" applyBorder="1" applyAlignment="1">
      <alignment horizontal="right" vertical="center"/>
    </xf>
    <xf numFmtId="165" fontId="6" fillId="0" borderId="1" xfId="1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horizontal="right" vertical="center"/>
    </xf>
    <xf numFmtId="0" fontId="148" fillId="0" borderId="0" xfId="0" applyFont="1" applyAlignment="1">
      <alignment horizontal="left"/>
    </xf>
    <xf numFmtId="0" fontId="149" fillId="0" borderId="0" xfId="0" applyFont="1"/>
    <xf numFmtId="0" fontId="138" fillId="0" borderId="0" xfId="0" applyFont="1" applyAlignment="1">
      <alignment horizontal="center"/>
    </xf>
    <xf numFmtId="4" fontId="149" fillId="0" borderId="0" xfId="0" applyNumberFormat="1" applyFont="1"/>
    <xf numFmtId="0" fontId="149" fillId="73" borderId="0" xfId="0" applyFont="1" applyFill="1"/>
    <xf numFmtId="0" fontId="149" fillId="10" borderId="0" xfId="0" applyFont="1" applyFill="1"/>
    <xf numFmtId="4" fontId="150" fillId="10" borderId="0" xfId="0" applyNumberFormat="1" applyFont="1" applyFill="1" applyAlignment="1">
      <alignment horizontal="center" vertical="center"/>
    </xf>
    <xf numFmtId="0" fontId="120" fillId="0" borderId="1" xfId="0" applyFont="1" applyBorder="1" applyAlignment="1">
      <alignment wrapText="1"/>
    </xf>
    <xf numFmtId="0" fontId="46" fillId="2" borderId="7" xfId="8" applyFont="1" applyFill="1" applyBorder="1" applyAlignment="1">
      <alignment horizontal="left" vertical="center" wrapText="1"/>
    </xf>
    <xf numFmtId="0" fontId="42" fillId="19" borderId="18" xfId="0" applyFont="1" applyFill="1" applyBorder="1" applyAlignment="1">
      <alignment vertical="center"/>
    </xf>
    <xf numFmtId="175" fontId="47" fillId="2" borderId="33" xfId="10" applyNumberFormat="1" applyFont="1" applyFill="1" applyBorder="1" applyAlignment="1">
      <alignment vertical="center" wrapText="1"/>
    </xf>
    <xf numFmtId="164" fontId="34" fillId="0" borderId="0" xfId="15" applyNumberFormat="1" applyFont="1"/>
    <xf numFmtId="164" fontId="36" fillId="0" borderId="0" xfId="8" applyNumberFormat="1" applyFont="1"/>
    <xf numFmtId="0" fontId="37" fillId="61" borderId="1" xfId="0" applyFont="1" applyFill="1" applyBorder="1" applyAlignment="1">
      <alignment horizontal="center" vertical="center" wrapText="1"/>
    </xf>
    <xf numFmtId="0" fontId="37" fillId="61" borderId="1" xfId="0" applyFont="1" applyFill="1" applyBorder="1" applyAlignment="1">
      <alignment horizontal="center" vertical="center"/>
    </xf>
    <xf numFmtId="0" fontId="37" fillId="0" borderId="1" xfId="0" applyFont="1" applyBorder="1"/>
    <xf numFmtId="164" fontId="37" fillId="0" borderId="1" xfId="0" applyNumberFormat="1" applyFont="1" applyBorder="1"/>
    <xf numFmtId="0" fontId="3" fillId="2" borderId="0" xfId="0" applyFont="1" applyFill="1" applyAlignment="1">
      <alignment vertical="center"/>
    </xf>
    <xf numFmtId="165" fontId="6" fillId="6" borderId="1" xfId="1" applyNumberFormat="1" applyFont="1" applyFill="1" applyBorder="1" applyAlignment="1">
      <alignment horizontal="left" vertical="center"/>
    </xf>
    <xf numFmtId="165" fontId="6" fillId="0" borderId="1" xfId="1" applyNumberFormat="1" applyFont="1" applyBorder="1" applyAlignment="1">
      <alignment horizontal="left" vertical="center"/>
    </xf>
    <xf numFmtId="165" fontId="3" fillId="0" borderId="1" xfId="1" applyNumberFormat="1" applyFont="1" applyBorder="1" applyAlignment="1">
      <alignment horizontal="left" vertical="center"/>
    </xf>
    <xf numFmtId="174" fontId="3" fillId="0" borderId="1" xfId="1" applyNumberFormat="1" applyFont="1" applyBorder="1" applyAlignment="1">
      <alignment horizontal="left" vertical="center"/>
    </xf>
    <xf numFmtId="0" fontId="152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2" fillId="74" borderId="0" xfId="0" quotePrefix="1" applyFont="1" applyFill="1" applyAlignment="1">
      <alignment horizontal="center" vertical="center"/>
    </xf>
    <xf numFmtId="164" fontId="27" fillId="0" borderId="0" xfId="15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9" fontId="27" fillId="0" borderId="0" xfId="0" applyNumberFormat="1" applyFont="1" applyAlignment="1">
      <alignment vertical="center" wrapText="1"/>
    </xf>
    <xf numFmtId="43" fontId="27" fillId="0" borderId="0" xfId="15" applyFont="1" applyBorder="1" applyAlignment="1">
      <alignment horizontal="center" vertical="center"/>
    </xf>
    <xf numFmtId="43" fontId="0" fillId="0" borderId="0" xfId="15" applyFont="1" applyBorder="1" applyAlignment="1">
      <alignment vertical="center"/>
    </xf>
    <xf numFmtId="0" fontId="27" fillId="0" borderId="57" xfId="0" applyFont="1" applyBorder="1" applyAlignment="1">
      <alignment horizontal="center" vertical="center" wrapText="1"/>
    </xf>
    <xf numFmtId="9" fontId="27" fillId="0" borderId="57" xfId="0" applyNumberFormat="1" applyFont="1" applyBorder="1" applyAlignment="1">
      <alignment vertical="center" wrapText="1"/>
    </xf>
    <xf numFmtId="43" fontId="27" fillId="0" borderId="23" xfId="15" applyFont="1" applyBorder="1" applyAlignment="1">
      <alignment vertical="center" wrapText="1"/>
    </xf>
    <xf numFmtId="164" fontId="27" fillId="0" borderId="57" xfId="15" applyNumberFormat="1" applyFont="1" applyBorder="1" applyAlignment="1">
      <alignment horizontal="center" vertical="center"/>
    </xf>
    <xf numFmtId="164" fontId="0" fillId="0" borderId="0" xfId="15" applyNumberFormat="1" applyFont="1" applyAlignment="1">
      <alignment vertical="center"/>
    </xf>
    <xf numFmtId="43" fontId="0" fillId="0" borderId="0" xfId="15" applyFont="1" applyAlignment="1">
      <alignment vertical="center"/>
    </xf>
    <xf numFmtId="4" fontId="27" fillId="0" borderId="0" xfId="0" applyNumberFormat="1" applyFont="1" applyAlignment="1">
      <alignment horizontal="center" vertical="center"/>
    </xf>
    <xf numFmtId="4" fontId="27" fillId="0" borderId="57" xfId="0" applyNumberFormat="1" applyFont="1" applyBorder="1" applyAlignment="1">
      <alignment horizontal="center" vertical="center"/>
    </xf>
    <xf numFmtId="164" fontId="2" fillId="0" borderId="0" xfId="15" applyNumberFormat="1" applyFont="1" applyAlignment="1">
      <alignment vertical="center"/>
    </xf>
    <xf numFmtId="43" fontId="2" fillId="0" borderId="0" xfId="15" applyFont="1" applyAlignment="1">
      <alignment vertical="center"/>
    </xf>
    <xf numFmtId="0" fontId="15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56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157" fillId="75" borderId="0" xfId="0" applyFont="1" applyFill="1" applyAlignment="1">
      <alignment horizontal="center" vertical="center" wrapText="1"/>
    </xf>
    <xf numFmtId="17" fontId="157" fillId="75" borderId="0" xfId="0" applyNumberFormat="1" applyFont="1" applyFill="1" applyAlignment="1">
      <alignment horizontal="center" vertical="center"/>
    </xf>
    <xf numFmtId="0" fontId="62" fillId="0" borderId="0" xfId="0" applyFont="1" applyAlignment="1">
      <alignment horizontal="center" vertical="center"/>
    </xf>
    <xf numFmtId="4" fontId="62" fillId="0" borderId="0" xfId="0" applyNumberFormat="1" applyFont="1" applyAlignment="1">
      <alignment horizontal="center" vertical="center"/>
    </xf>
    <xf numFmtId="0" fontId="62" fillId="0" borderId="0" xfId="0" applyFont="1" applyAlignment="1">
      <alignment horizontal="center" vertical="center" wrapText="1"/>
    </xf>
    <xf numFmtId="43" fontId="3" fillId="30" borderId="1" xfId="0" applyNumberFormat="1" applyFont="1" applyFill="1" applyBorder="1"/>
    <xf numFmtId="0" fontId="143" fillId="7" borderId="81" xfId="0" applyFont="1" applyFill="1" applyBorder="1" applyAlignment="1">
      <alignment horizontal="right" vertical="center"/>
    </xf>
    <xf numFmtId="0" fontId="142" fillId="7" borderId="81" xfId="0" applyFont="1" applyFill="1" applyBorder="1" applyAlignment="1">
      <alignment horizontal="right" vertical="center"/>
    </xf>
    <xf numFmtId="0" fontId="159" fillId="0" borderId="0" xfId="0" applyFont="1" applyAlignment="1">
      <alignment vertical="center"/>
    </xf>
    <xf numFmtId="0" fontId="160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43" fontId="27" fillId="0" borderId="57" xfId="15" applyFont="1" applyBorder="1" applyAlignment="1">
      <alignment horizontal="center" vertical="center"/>
    </xf>
    <xf numFmtId="0" fontId="161" fillId="0" borderId="0" xfId="0" applyFont="1" applyAlignment="1">
      <alignment vertical="center"/>
    </xf>
    <xf numFmtId="0" fontId="162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9" fontId="62" fillId="0" borderId="0" xfId="0" applyNumberFormat="1" applyFont="1" applyAlignment="1">
      <alignment vertical="center" wrapText="1"/>
    </xf>
    <xf numFmtId="4" fontId="62" fillId="0" borderId="0" xfId="0" applyNumberFormat="1" applyFont="1" applyAlignment="1">
      <alignment horizontal="right" vertical="center"/>
    </xf>
    <xf numFmtId="0" fontId="62" fillId="0" borderId="0" xfId="0" applyFont="1" applyAlignment="1">
      <alignment horizontal="right" vertical="center"/>
    </xf>
    <xf numFmtId="0" fontId="62" fillId="0" borderId="57" xfId="0" applyFont="1" applyBorder="1" applyAlignment="1">
      <alignment horizontal="center" vertical="center" wrapText="1"/>
    </xf>
    <xf numFmtId="9" fontId="62" fillId="0" borderId="57" xfId="0" applyNumberFormat="1" applyFont="1" applyBorder="1" applyAlignment="1">
      <alignment vertical="center" wrapText="1"/>
    </xf>
    <xf numFmtId="4" fontId="62" fillId="0" borderId="23" xfId="0" applyNumberFormat="1" applyFont="1" applyBorder="1" applyAlignment="1">
      <alignment vertical="center" wrapText="1"/>
    </xf>
    <xf numFmtId="3" fontId="62" fillId="0" borderId="23" xfId="0" applyNumberFormat="1" applyFont="1" applyBorder="1" applyAlignment="1">
      <alignment vertical="center" wrapText="1"/>
    </xf>
    <xf numFmtId="0" fontId="62" fillId="0" borderId="23" xfId="0" applyFont="1" applyBorder="1" applyAlignment="1">
      <alignment vertical="center" wrapText="1"/>
    </xf>
    <xf numFmtId="4" fontId="62" fillId="0" borderId="23" xfId="0" applyNumberFormat="1" applyFont="1" applyBorder="1" applyAlignment="1">
      <alignment horizontal="right" vertical="center" wrapText="1"/>
    </xf>
    <xf numFmtId="0" fontId="62" fillId="0" borderId="23" xfId="0" applyFont="1" applyBorder="1" applyAlignment="1">
      <alignment horizontal="right" vertical="center" wrapText="1"/>
    </xf>
    <xf numFmtId="164" fontId="25" fillId="0" borderId="0" xfId="15" applyNumberFormat="1" applyFont="1" applyAlignment="1">
      <alignment vertical="center"/>
    </xf>
    <xf numFmtId="43" fontId="0" fillId="58" borderId="0" xfId="0" applyNumberFormat="1" applyFill="1"/>
    <xf numFmtId="0" fontId="0" fillId="58" borderId="0" xfId="0" applyFill="1"/>
    <xf numFmtId="0" fontId="0" fillId="2" borderId="0" xfId="0" applyFill="1"/>
    <xf numFmtId="0" fontId="164" fillId="0" borderId="0" xfId="0" applyFont="1"/>
    <xf numFmtId="1" fontId="165" fillId="3" borderId="1" xfId="0" applyNumberFormat="1" applyFont="1" applyFill="1" applyBorder="1" applyAlignment="1">
      <alignment horizontal="center" vertical="center"/>
    </xf>
    <xf numFmtId="0" fontId="165" fillId="3" borderId="1" xfId="0" applyFont="1" applyFill="1" applyBorder="1" applyAlignment="1">
      <alignment horizontal="center" vertical="center"/>
    </xf>
    <xf numFmtId="44" fontId="164" fillId="0" borderId="0" xfId="1" applyFont="1"/>
    <xf numFmtId="1" fontId="165" fillId="3" borderId="6" xfId="0" applyNumberFormat="1" applyFont="1" applyFill="1" applyBorder="1" applyAlignment="1">
      <alignment horizontal="center" vertical="center"/>
    </xf>
    <xf numFmtId="44" fontId="62" fillId="0" borderId="0" xfId="1" applyFont="1"/>
    <xf numFmtId="174" fontId="117" fillId="0" borderId="1" xfId="1" applyNumberFormat="1" applyFont="1" applyBorder="1" applyAlignment="1">
      <alignment horizontal="right" vertical="center"/>
    </xf>
    <xf numFmtId="0" fontId="165" fillId="28" borderId="1" xfId="0" applyFont="1" applyFill="1" applyBorder="1" applyAlignment="1">
      <alignment horizontal="center" vertical="center"/>
    </xf>
    <xf numFmtId="1" fontId="165" fillId="28" borderId="1" xfId="0" applyNumberFormat="1" applyFont="1" applyFill="1" applyBorder="1" applyAlignment="1">
      <alignment horizontal="center" vertical="center"/>
    </xf>
    <xf numFmtId="1" fontId="165" fillId="29" borderId="1" xfId="0" applyNumberFormat="1" applyFont="1" applyFill="1" applyBorder="1" applyAlignment="1">
      <alignment horizontal="center" vertical="center"/>
    </xf>
    <xf numFmtId="0" fontId="135" fillId="36" borderId="85" xfId="0" applyFont="1" applyFill="1" applyBorder="1" applyAlignment="1">
      <alignment horizontal="left" vertical="center" wrapText="1"/>
    </xf>
    <xf numFmtId="0" fontId="120" fillId="0" borderId="5" xfId="0" applyFont="1" applyBorder="1" applyAlignment="1">
      <alignment wrapText="1"/>
    </xf>
    <xf numFmtId="165" fontId="0" fillId="0" borderId="0" xfId="0" applyNumberFormat="1" applyAlignment="1">
      <alignment vertical="center"/>
    </xf>
    <xf numFmtId="0" fontId="169" fillId="0" borderId="0" xfId="2" applyFont="1" applyAlignment="1">
      <alignment vertical="center" wrapText="1"/>
    </xf>
    <xf numFmtId="0" fontId="169" fillId="0" borderId="0" xfId="2" applyFont="1" applyAlignment="1">
      <alignment horizontal="center" vertical="center" wrapText="1"/>
    </xf>
    <xf numFmtId="0" fontId="170" fillId="6" borderId="0" xfId="2" applyFont="1" applyFill="1" applyAlignment="1">
      <alignment vertical="center" wrapText="1"/>
    </xf>
    <xf numFmtId="0" fontId="171" fillId="79" borderId="0" xfId="2" applyFont="1" applyFill="1" applyAlignment="1">
      <alignment horizontal="center" vertical="center" wrapText="1"/>
    </xf>
    <xf numFmtId="0" fontId="171" fillId="79" borderId="0" xfId="2" quotePrefix="1" applyFont="1" applyFill="1" applyAlignment="1">
      <alignment horizontal="center" vertical="center" wrapText="1"/>
    </xf>
    <xf numFmtId="0" fontId="172" fillId="0" borderId="0" xfId="2" applyFont="1" applyAlignment="1">
      <alignment horizontal="center" vertical="center" wrapText="1"/>
    </xf>
    <xf numFmtId="0" fontId="173" fillId="0" borderId="0" xfId="2" applyFont="1" applyAlignment="1">
      <alignment vertical="center" wrapText="1"/>
    </xf>
    <xf numFmtId="0" fontId="173" fillId="0" borderId="0" xfId="2" quotePrefix="1" applyFont="1" applyAlignment="1">
      <alignment horizontal="center" vertical="center" wrapText="1"/>
    </xf>
    <xf numFmtId="0" fontId="173" fillId="0" borderId="0" xfId="2" applyFont="1" applyAlignment="1">
      <alignment horizontal="center" vertical="center" wrapText="1"/>
    </xf>
    <xf numFmtId="43" fontId="169" fillId="0" borderId="0" xfId="2" applyNumberFormat="1" applyFont="1" applyAlignment="1">
      <alignment vertical="center" wrapText="1"/>
    </xf>
    <xf numFmtId="0" fontId="177" fillId="0" borderId="0" xfId="2" applyFont="1" applyAlignment="1">
      <alignment vertical="center"/>
    </xf>
    <xf numFmtId="0" fontId="178" fillId="0" borderId="0" xfId="2" applyFont="1" applyAlignment="1">
      <alignment vertical="center"/>
    </xf>
    <xf numFmtId="0" fontId="178" fillId="56" borderId="0" xfId="2" applyFont="1" applyFill="1" applyAlignment="1">
      <alignment vertical="center"/>
    </xf>
    <xf numFmtId="0" fontId="178" fillId="0" borderId="0" xfId="2" applyFont="1" applyAlignment="1">
      <alignment horizontal="left" vertical="center"/>
    </xf>
    <xf numFmtId="164" fontId="179" fillId="0" borderId="0" xfId="18" applyNumberFormat="1" applyFont="1" applyAlignment="1">
      <alignment vertical="center"/>
    </xf>
    <xf numFmtId="0" fontId="180" fillId="0" borderId="0" xfId="2" quotePrefix="1" applyFont="1" applyAlignment="1">
      <alignment vertical="center"/>
    </xf>
    <xf numFmtId="0" fontId="154" fillId="0" borderId="0" xfId="2" applyFont="1" applyAlignment="1">
      <alignment horizontal="left" vertical="center"/>
    </xf>
    <xf numFmtId="10" fontId="178" fillId="0" borderId="0" xfId="2" applyNumberFormat="1" applyFont="1" applyAlignment="1">
      <alignment vertical="center"/>
    </xf>
    <xf numFmtId="0" fontId="178" fillId="0" borderId="0" xfId="2" applyFont="1" applyAlignment="1">
      <alignment horizontal="center" vertical="center" wrapText="1"/>
    </xf>
    <xf numFmtId="0" fontId="178" fillId="56" borderId="0" xfId="2" applyFont="1" applyFill="1" applyAlignment="1">
      <alignment horizontal="center" vertical="center" wrapText="1"/>
    </xf>
    <xf numFmtId="0" fontId="181" fillId="0" borderId="0" xfId="21"/>
    <xf numFmtId="0" fontId="181" fillId="0" borderId="0" xfId="20"/>
    <xf numFmtId="164" fontId="179" fillId="0" borderId="0" xfId="18" applyNumberFormat="1" applyFont="1" applyFill="1" applyAlignment="1">
      <alignment vertical="center"/>
    </xf>
    <xf numFmtId="43" fontId="178" fillId="0" borderId="0" xfId="2" applyNumberFormat="1" applyFont="1" applyAlignment="1">
      <alignment vertical="center"/>
    </xf>
    <xf numFmtId="164" fontId="178" fillId="0" borderId="0" xfId="2" applyNumberFormat="1" applyFont="1" applyAlignment="1">
      <alignment vertical="center"/>
    </xf>
    <xf numFmtId="0" fontId="181" fillId="0" borderId="0" xfId="22"/>
    <xf numFmtId="43" fontId="179" fillId="0" borderId="0" xfId="2" applyNumberFormat="1" applyFont="1" applyAlignment="1">
      <alignment vertical="center"/>
    </xf>
    <xf numFmtId="0" fontId="2" fillId="7" borderId="0" xfId="2" applyFont="1" applyFill="1"/>
    <xf numFmtId="0" fontId="158" fillId="0" borderId="0" xfId="2" applyFont="1" applyAlignment="1">
      <alignment vertical="center" wrapText="1"/>
    </xf>
    <xf numFmtId="0" fontId="2" fillId="6" borderId="0" xfId="2" applyFont="1" applyFill="1"/>
    <xf numFmtId="0" fontId="8" fillId="7" borderId="31" xfId="2" applyFill="1" applyBorder="1"/>
    <xf numFmtId="0" fontId="8" fillId="7" borderId="2" xfId="2" applyFill="1" applyBorder="1" applyAlignment="1">
      <alignment horizontal="center" vertical="center"/>
    </xf>
    <xf numFmtId="0" fontId="158" fillId="0" borderId="0" xfId="2" applyFont="1" applyAlignment="1">
      <alignment horizontal="center" vertical="center" wrapText="1"/>
    </xf>
    <xf numFmtId="0" fontId="10" fillId="7" borderId="0" xfId="2" applyFont="1" applyFill="1"/>
    <xf numFmtId="0" fontId="8" fillId="0" borderId="0" xfId="2"/>
    <xf numFmtId="0" fontId="8" fillId="0" borderId="1" xfId="2" applyBorder="1" applyAlignment="1">
      <alignment horizontal="center"/>
    </xf>
    <xf numFmtId="0" fontId="3" fillId="0" borderId="0" xfId="2" applyFont="1"/>
    <xf numFmtId="0" fontId="8" fillId="0" borderId="0" xfId="2" applyAlignment="1">
      <alignment horizontal="center"/>
    </xf>
    <xf numFmtId="0" fontId="3" fillId="0" borderId="1" xfId="2" applyFont="1" applyBorder="1" applyAlignment="1">
      <alignment horizontal="center"/>
    </xf>
    <xf numFmtId="0" fontId="8" fillId="0" borderId="2" xfId="2" applyBorder="1" applyAlignment="1">
      <alignment horizontal="center"/>
    </xf>
    <xf numFmtId="43" fontId="8" fillId="0" borderId="1" xfId="2" applyNumberFormat="1" applyBorder="1"/>
    <xf numFmtId="43" fontId="3" fillId="0" borderId="0" xfId="2" applyNumberFormat="1" applyFont="1"/>
    <xf numFmtId="194" fontId="3" fillId="0" borderId="1" xfId="18" applyFont="1" applyBorder="1"/>
    <xf numFmtId="194" fontId="0" fillId="0" borderId="1" xfId="18" applyFont="1" applyBorder="1"/>
    <xf numFmtId="191" fontId="8" fillId="0" borderId="0" xfId="2" applyNumberFormat="1"/>
    <xf numFmtId="194" fontId="0" fillId="0" borderId="2" xfId="18" applyFont="1" applyBorder="1"/>
    <xf numFmtId="43" fontId="8" fillId="0" borderId="0" xfId="2" applyNumberFormat="1"/>
    <xf numFmtId="43" fontId="37" fillId="7" borderId="1" xfId="2" applyNumberFormat="1" applyFont="1" applyFill="1" applyBorder="1"/>
    <xf numFmtId="43" fontId="2" fillId="7" borderId="1" xfId="2" applyNumberFormat="1" applyFont="1" applyFill="1" applyBorder="1"/>
    <xf numFmtId="43" fontId="2" fillId="7" borderId="2" xfId="2" applyNumberFormat="1" applyFont="1" applyFill="1" applyBorder="1"/>
    <xf numFmtId="10" fontId="8" fillId="0" borderId="0" xfId="2" applyNumberFormat="1"/>
    <xf numFmtId="0" fontId="61" fillId="0" borderId="0" xfId="2" applyFont="1"/>
    <xf numFmtId="10" fontId="8" fillId="33" borderId="0" xfId="2" applyNumberFormat="1" applyFill="1"/>
    <xf numFmtId="43" fontId="142" fillId="71" borderId="81" xfId="2" applyNumberFormat="1" applyFont="1" applyFill="1" applyBorder="1" applyAlignment="1">
      <alignment horizontal="center" vertical="center"/>
    </xf>
    <xf numFmtId="43" fontId="142" fillId="71" borderId="81" xfId="2" applyNumberFormat="1" applyFont="1" applyFill="1" applyBorder="1" applyAlignment="1">
      <alignment vertical="center"/>
    </xf>
    <xf numFmtId="43" fontId="142" fillId="71" borderId="87" xfId="2" applyNumberFormat="1" applyFont="1" applyFill="1" applyBorder="1" applyAlignment="1">
      <alignment vertical="center"/>
    </xf>
    <xf numFmtId="10" fontId="3" fillId="33" borderId="0" xfId="2" applyNumberFormat="1" applyFont="1" applyFill="1"/>
    <xf numFmtId="0" fontId="143" fillId="35" borderId="81" xfId="2" applyFont="1" applyFill="1" applyBorder="1" applyAlignment="1">
      <alignment horizontal="right" vertical="center"/>
    </xf>
    <xf numFmtId="194" fontId="143" fillId="35" borderId="81" xfId="18" applyFont="1" applyFill="1" applyBorder="1" applyAlignment="1">
      <alignment horizontal="center" vertical="center"/>
    </xf>
    <xf numFmtId="194" fontId="142" fillId="35" borderId="81" xfId="18" applyFont="1" applyFill="1" applyBorder="1" applyAlignment="1">
      <alignment horizontal="center" vertical="center"/>
    </xf>
    <xf numFmtId="194" fontId="142" fillId="35" borderId="87" xfId="18" applyFont="1" applyFill="1" applyBorder="1" applyAlignment="1">
      <alignment horizontal="center" vertical="center"/>
    </xf>
    <xf numFmtId="43" fontId="142" fillId="0" borderId="0" xfId="2" applyNumberFormat="1" applyFont="1" applyAlignment="1">
      <alignment horizontal="center" vertical="center"/>
    </xf>
    <xf numFmtId="0" fontId="8" fillId="33" borderId="0" xfId="2" applyFill="1"/>
    <xf numFmtId="43" fontId="3" fillId="33" borderId="0" xfId="2" applyNumberFormat="1" applyFont="1" applyFill="1"/>
    <xf numFmtId="0" fontId="142" fillId="35" borderId="81" xfId="2" applyFont="1" applyFill="1" applyBorder="1" applyAlignment="1">
      <alignment horizontal="right" vertical="center"/>
    </xf>
    <xf numFmtId="194" fontId="145" fillId="2" borderId="81" xfId="18" applyFont="1" applyFill="1" applyBorder="1" applyAlignment="1">
      <alignment horizontal="center" vertical="center"/>
    </xf>
    <xf numFmtId="194" fontId="145" fillId="2" borderId="87" xfId="18" applyFont="1" applyFill="1" applyBorder="1" applyAlignment="1">
      <alignment horizontal="center" vertical="center"/>
    </xf>
    <xf numFmtId="10" fontId="3" fillId="33" borderId="0" xfId="16" applyNumberFormat="1" applyFont="1" applyFill="1"/>
    <xf numFmtId="0" fontId="143" fillId="7" borderId="81" xfId="2" applyFont="1" applyFill="1" applyBorder="1" applyAlignment="1">
      <alignment horizontal="right" vertical="center"/>
    </xf>
    <xf numFmtId="194" fontId="143" fillId="7" borderId="81" xfId="18" applyFont="1" applyFill="1" applyBorder="1" applyAlignment="1">
      <alignment horizontal="center" vertical="center"/>
    </xf>
    <xf numFmtId="194" fontId="142" fillId="7" borderId="87" xfId="18" applyFont="1" applyFill="1" applyBorder="1" applyAlignment="1">
      <alignment horizontal="center" vertical="center"/>
    </xf>
    <xf numFmtId="0" fontId="8" fillId="84" borderId="0" xfId="2" applyFill="1"/>
    <xf numFmtId="10" fontId="8" fillId="84" borderId="0" xfId="2" applyNumberFormat="1" applyFill="1"/>
    <xf numFmtId="0" fontId="142" fillId="7" borderId="81" xfId="2" applyFont="1" applyFill="1" applyBorder="1" applyAlignment="1">
      <alignment horizontal="right" vertical="center"/>
    </xf>
    <xf numFmtId="194" fontId="142" fillId="7" borderId="81" xfId="18" applyFont="1" applyFill="1" applyBorder="1" applyAlignment="1">
      <alignment horizontal="center" vertical="center"/>
    </xf>
    <xf numFmtId="0" fontId="10" fillId="0" borderId="0" xfId="2" quotePrefix="1" applyFont="1" applyAlignment="1">
      <alignment horizontal="center"/>
    </xf>
    <xf numFmtId="0" fontId="3" fillId="0" borderId="0" xfId="2" applyFont="1" applyAlignment="1">
      <alignment horizontal="center"/>
    </xf>
    <xf numFmtId="0" fontId="143" fillId="35" borderId="88" xfId="2" applyFont="1" applyFill="1" applyBorder="1" applyAlignment="1">
      <alignment horizontal="right" vertical="center"/>
    </xf>
    <xf numFmtId="43" fontId="143" fillId="35" borderId="81" xfId="2" applyNumberFormat="1" applyFont="1" applyFill="1" applyBorder="1" applyAlignment="1">
      <alignment horizontal="center" vertical="center"/>
    </xf>
    <xf numFmtId="43" fontId="142" fillId="35" borderId="81" xfId="2" applyNumberFormat="1" applyFont="1" applyFill="1" applyBorder="1" applyAlignment="1">
      <alignment horizontal="center" vertical="center"/>
    </xf>
    <xf numFmtId="0" fontId="142" fillId="35" borderId="88" xfId="2" applyFont="1" applyFill="1" applyBorder="1" applyAlignment="1">
      <alignment horizontal="right" vertical="center"/>
    </xf>
    <xf numFmtId="43" fontId="145" fillId="2" borderId="81" xfId="2" applyNumberFormat="1" applyFont="1" applyFill="1" applyBorder="1" applyAlignment="1">
      <alignment horizontal="center" vertical="center"/>
    </xf>
    <xf numFmtId="164" fontId="98" fillId="0" borderId="0" xfId="15" applyNumberFormat="1" applyFont="1" applyAlignment="1">
      <alignment horizontal="left" vertical="center"/>
    </xf>
    <xf numFmtId="164" fontId="0" fillId="0" borderId="0" xfId="15" applyNumberFormat="1" applyFont="1" applyAlignment="1">
      <alignment vertical="center" wrapText="1"/>
    </xf>
    <xf numFmtId="164" fontId="0" fillId="0" borderId="0" xfId="15" applyNumberFormat="1" applyFont="1" applyAlignment="1">
      <alignment horizontal="right" vertical="center"/>
    </xf>
    <xf numFmtId="164" fontId="0" fillId="0" borderId="0" xfId="15" applyNumberFormat="1" applyFont="1" applyAlignment="1">
      <alignment horizontal="center" vertical="center"/>
    </xf>
    <xf numFmtId="164" fontId="3" fillId="0" borderId="0" xfId="15" applyNumberFormat="1" applyFont="1" applyAlignment="1">
      <alignment vertical="center"/>
    </xf>
    <xf numFmtId="170" fontId="11" fillId="0" borderId="0" xfId="0" applyNumberFormat="1" applyFont="1"/>
    <xf numFmtId="0" fontId="11" fillId="0" borderId="0" xfId="0" applyFont="1" applyAlignment="1">
      <alignment horizontal="left" vertical="center"/>
    </xf>
    <xf numFmtId="0" fontId="163" fillId="0" borderId="0" xfId="0" applyFont="1" applyAlignment="1">
      <alignment vertical="center" wrapText="1"/>
    </xf>
    <xf numFmtId="0" fontId="163" fillId="0" borderId="0" xfId="0" applyFont="1" applyAlignment="1">
      <alignment vertical="center"/>
    </xf>
    <xf numFmtId="0" fontId="163" fillId="0" borderId="0" xfId="0" applyFont="1" applyAlignment="1">
      <alignment horizontal="right" vertical="center"/>
    </xf>
    <xf numFmtId="0" fontId="163" fillId="0" borderId="0" xfId="0" applyFont="1" applyAlignment="1">
      <alignment horizontal="center" vertical="center"/>
    </xf>
    <xf numFmtId="0" fontId="154" fillId="0" borderId="0" xfId="0" applyFont="1" applyAlignment="1">
      <alignment horizontal="left" vertical="center"/>
    </xf>
    <xf numFmtId="0" fontId="178" fillId="0" borderId="0" xfId="0" applyFont="1" applyAlignment="1">
      <alignment vertical="center"/>
    </xf>
    <xf numFmtId="0" fontId="178" fillId="56" borderId="0" xfId="0" applyFont="1" applyFill="1" applyAlignment="1">
      <alignment vertical="center"/>
    </xf>
    <xf numFmtId="0" fontId="178" fillId="0" borderId="0" xfId="0" applyFont="1" applyAlignment="1">
      <alignment horizontal="left" vertical="center"/>
    </xf>
    <xf numFmtId="164" fontId="179" fillId="0" borderId="0" xfId="15" applyNumberFormat="1" applyFont="1" applyAlignment="1">
      <alignment vertical="center"/>
    </xf>
    <xf numFmtId="10" fontId="178" fillId="0" borderId="0" xfId="0" applyNumberFormat="1" applyFont="1" applyAlignment="1">
      <alignment vertical="center"/>
    </xf>
    <xf numFmtId="0" fontId="178" fillId="0" borderId="0" xfId="0" applyFont="1" applyAlignment="1">
      <alignment horizontal="center" vertical="center" wrapText="1"/>
    </xf>
    <xf numFmtId="0" fontId="178" fillId="56" borderId="0" xfId="0" applyFont="1" applyFill="1" applyAlignment="1">
      <alignment horizontal="center" vertical="center" wrapText="1"/>
    </xf>
    <xf numFmtId="164" fontId="179" fillId="0" borderId="0" xfId="15" applyNumberFormat="1" applyFont="1" applyFill="1" applyAlignment="1">
      <alignment vertical="center"/>
    </xf>
    <xf numFmtId="43" fontId="178" fillId="0" borderId="0" xfId="0" applyNumberFormat="1" applyFont="1" applyAlignment="1">
      <alignment vertical="center"/>
    </xf>
    <xf numFmtId="164" fontId="178" fillId="0" borderId="0" xfId="0" applyNumberFormat="1" applyFont="1" applyAlignment="1">
      <alignment vertical="center"/>
    </xf>
    <xf numFmtId="43" fontId="179" fillId="0" borderId="0" xfId="0" applyNumberFormat="1" applyFont="1" applyAlignment="1">
      <alignment vertical="center"/>
    </xf>
    <xf numFmtId="0" fontId="158" fillId="0" borderId="0" xfId="0" applyFont="1" applyAlignment="1">
      <alignment vertical="center" wrapText="1"/>
    </xf>
    <xf numFmtId="0" fontId="2" fillId="6" borderId="0" xfId="0" applyFont="1" applyFill="1"/>
    <xf numFmtId="0" fontId="0" fillId="7" borderId="31" xfId="0" applyFill="1" applyBorder="1"/>
    <xf numFmtId="0" fontId="0" fillId="7" borderId="2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43" fontId="3" fillId="0" borderId="1" xfId="15" applyFont="1" applyBorder="1"/>
    <xf numFmtId="43" fontId="0" fillId="0" borderId="1" xfId="15" applyFont="1" applyBorder="1"/>
    <xf numFmtId="43" fontId="0" fillId="0" borderId="2" xfId="15" applyFont="1" applyBorder="1"/>
    <xf numFmtId="0" fontId="188" fillId="85" borderId="0" xfId="17" applyFont="1" applyFill="1" applyAlignment="1">
      <alignment horizontal="right"/>
    </xf>
    <xf numFmtId="0" fontId="188" fillId="82" borderId="0" xfId="17" applyFont="1" applyFill="1" applyAlignment="1">
      <alignment horizontal="right"/>
    </xf>
    <xf numFmtId="43" fontId="37" fillId="7" borderId="1" xfId="0" applyNumberFormat="1" applyFont="1" applyFill="1" applyBorder="1"/>
    <xf numFmtId="43" fontId="2" fillId="7" borderId="1" xfId="0" applyNumberFormat="1" applyFont="1" applyFill="1" applyBorder="1"/>
    <xf numFmtId="43" fontId="2" fillId="7" borderId="2" xfId="0" applyNumberFormat="1" applyFont="1" applyFill="1" applyBorder="1"/>
    <xf numFmtId="9" fontId="0" fillId="0" borderId="0" xfId="0" applyNumberFormat="1"/>
    <xf numFmtId="10" fontId="0" fillId="33" borderId="0" xfId="0" applyNumberFormat="1" applyFill="1"/>
    <xf numFmtId="43" fontId="142" fillId="71" borderId="87" xfId="0" applyNumberFormat="1" applyFont="1" applyFill="1" applyBorder="1" applyAlignment="1">
      <alignment vertical="center"/>
    </xf>
    <xf numFmtId="43" fontId="142" fillId="0" borderId="0" xfId="0" applyNumberFormat="1" applyFont="1" applyAlignment="1">
      <alignment vertical="center"/>
    </xf>
    <xf numFmtId="10" fontId="3" fillId="33" borderId="0" xfId="0" applyNumberFormat="1" applyFont="1" applyFill="1"/>
    <xf numFmtId="43" fontId="143" fillId="35" borderId="81" xfId="15" applyFont="1" applyFill="1" applyBorder="1" applyAlignment="1">
      <alignment horizontal="center" vertical="center"/>
    </xf>
    <xf numFmtId="43" fontId="142" fillId="35" borderId="81" xfId="15" applyFont="1" applyFill="1" applyBorder="1" applyAlignment="1">
      <alignment horizontal="center" vertical="center"/>
    </xf>
    <xf numFmtId="43" fontId="142" fillId="35" borderId="87" xfId="15" applyFont="1" applyFill="1" applyBorder="1" applyAlignment="1">
      <alignment horizontal="center" vertical="center"/>
    </xf>
    <xf numFmtId="43" fontId="142" fillId="0" borderId="0" xfId="0" applyNumberFormat="1" applyFont="1" applyAlignment="1">
      <alignment horizontal="center" vertical="center"/>
    </xf>
    <xf numFmtId="0" fontId="0" fillId="33" borderId="0" xfId="0" applyFill="1"/>
    <xf numFmtId="43" fontId="3" fillId="33" borderId="0" xfId="0" applyNumberFormat="1" applyFont="1" applyFill="1"/>
    <xf numFmtId="43" fontId="145" fillId="2" borderId="81" xfId="15" applyFont="1" applyFill="1" applyBorder="1" applyAlignment="1">
      <alignment horizontal="center" vertical="center"/>
    </xf>
    <xf numFmtId="43" fontId="145" fillId="2" borderId="87" xfId="15" applyFont="1" applyFill="1" applyBorder="1" applyAlignment="1">
      <alignment horizontal="center" vertical="center"/>
    </xf>
    <xf numFmtId="43" fontId="143" fillId="7" borderId="81" xfId="15" applyFont="1" applyFill="1" applyBorder="1" applyAlignment="1">
      <alignment horizontal="center" vertical="center"/>
    </xf>
    <xf numFmtId="43" fontId="142" fillId="7" borderId="87" xfId="15" applyFont="1" applyFill="1" applyBorder="1" applyAlignment="1">
      <alignment horizontal="center" vertical="center"/>
    </xf>
    <xf numFmtId="0" fontId="0" fillId="84" borderId="0" xfId="0" applyFill="1"/>
    <xf numFmtId="10" fontId="0" fillId="84" borderId="0" xfId="0" applyNumberFormat="1" applyFill="1"/>
    <xf numFmtId="43" fontId="142" fillId="7" borderId="81" xfId="15" applyFont="1" applyFill="1" applyBorder="1" applyAlignment="1">
      <alignment horizontal="center" vertical="center"/>
    </xf>
    <xf numFmtId="0" fontId="143" fillId="35" borderId="88" xfId="0" applyFont="1" applyFill="1" applyBorder="1" applyAlignment="1">
      <alignment horizontal="right" vertical="center"/>
    </xf>
    <xf numFmtId="0" fontId="142" fillId="35" borderId="88" xfId="0" applyFont="1" applyFill="1" applyBorder="1" applyAlignment="1">
      <alignment horizontal="right" vertical="center"/>
    </xf>
    <xf numFmtId="0" fontId="169" fillId="0" borderId="0" xfId="0" applyFont="1" applyAlignment="1">
      <alignment vertical="center" wrapText="1"/>
    </xf>
    <xf numFmtId="0" fontId="169" fillId="0" borderId="0" xfId="0" applyFont="1" applyAlignment="1">
      <alignment horizontal="center" vertical="center" wrapText="1"/>
    </xf>
    <xf numFmtId="0" fontId="171" fillId="79" borderId="0" xfId="0" applyFont="1" applyFill="1" applyAlignment="1">
      <alignment horizontal="center" vertical="center" wrapText="1"/>
    </xf>
    <xf numFmtId="0" fontId="171" fillId="79" borderId="0" xfId="0" quotePrefix="1" applyFont="1" applyFill="1" applyAlignment="1">
      <alignment horizontal="center" vertical="center" wrapText="1"/>
    </xf>
    <xf numFmtId="0" fontId="172" fillId="0" borderId="0" xfId="0" applyFont="1" applyAlignment="1">
      <alignment horizontal="center" vertical="center" wrapText="1"/>
    </xf>
    <xf numFmtId="0" fontId="173" fillId="0" borderId="0" xfId="0" applyFont="1" applyAlignment="1">
      <alignment vertical="center" wrapText="1"/>
    </xf>
    <xf numFmtId="0" fontId="173" fillId="0" borderId="0" xfId="0" quotePrefix="1" applyFont="1" applyAlignment="1">
      <alignment horizontal="center" vertical="center" wrapText="1"/>
    </xf>
    <xf numFmtId="0" fontId="173" fillId="0" borderId="0" xfId="0" applyFont="1" applyAlignment="1">
      <alignment horizontal="center" vertical="center" wrapText="1"/>
    </xf>
    <xf numFmtId="43" fontId="169" fillId="0" borderId="0" xfId="0" applyNumberFormat="1" applyFont="1" applyAlignment="1">
      <alignment vertical="center" wrapText="1"/>
    </xf>
    <xf numFmtId="43" fontId="169" fillId="0" borderId="0" xfId="15" applyFont="1" applyAlignment="1">
      <alignment vertical="center" wrapText="1"/>
    </xf>
    <xf numFmtId="0" fontId="189" fillId="0" borderId="0" xfId="0" quotePrefix="1" applyFont="1" applyAlignment="1">
      <alignment vertical="center"/>
    </xf>
    <xf numFmtId="0" fontId="190" fillId="0" borderId="0" xfId="0" applyFont="1" applyAlignment="1">
      <alignment vertical="center"/>
    </xf>
    <xf numFmtId="0" fontId="190" fillId="56" borderId="0" xfId="0" applyFont="1" applyFill="1" applyAlignment="1">
      <alignment vertical="center"/>
    </xf>
    <xf numFmtId="0" fontId="191" fillId="0" borderId="0" xfId="0" applyFont="1" applyAlignment="1">
      <alignment vertical="center" wrapText="1"/>
    </xf>
    <xf numFmtId="0" fontId="192" fillId="0" borderId="0" xfId="0" applyFont="1" applyAlignment="1">
      <alignment vertical="center" wrapText="1"/>
    </xf>
    <xf numFmtId="0" fontId="191" fillId="0" borderId="0" xfId="0" applyFont="1" applyAlignment="1">
      <alignment vertical="center"/>
    </xf>
    <xf numFmtId="0" fontId="191" fillId="56" borderId="0" xfId="0" applyFont="1" applyFill="1" applyAlignment="1">
      <alignment vertical="center"/>
    </xf>
    <xf numFmtId="43" fontId="191" fillId="0" borderId="0" xfId="15" applyFont="1" applyAlignment="1">
      <alignment vertical="center"/>
    </xf>
    <xf numFmtId="0" fontId="193" fillId="0" borderId="0" xfId="0" applyFont="1" applyAlignment="1">
      <alignment horizontal="left" vertical="center"/>
    </xf>
    <xf numFmtId="0" fontId="193" fillId="0" borderId="0" xfId="0" applyFont="1" applyAlignment="1">
      <alignment vertical="center"/>
    </xf>
    <xf numFmtId="0" fontId="193" fillId="56" borderId="0" xfId="0" applyFont="1" applyFill="1" applyAlignment="1">
      <alignment vertical="center"/>
    </xf>
    <xf numFmtId="0" fontId="22" fillId="0" borderId="0" xfId="0" applyFont="1" applyAlignment="1">
      <alignment vertical="center" wrapText="1"/>
    </xf>
    <xf numFmtId="0" fontId="191" fillId="0" borderId="0" xfId="0" applyFont="1" applyAlignment="1">
      <alignment horizontal="right" vertical="center"/>
    </xf>
    <xf numFmtId="191" fontId="191" fillId="0" borderId="0" xfId="16" applyNumberFormat="1" applyFont="1" applyAlignment="1">
      <alignment horizontal="left" vertical="center"/>
    </xf>
    <xf numFmtId="0" fontId="194" fillId="0" borderId="0" xfId="0" applyFont="1" applyAlignment="1">
      <alignment horizontal="left" vertical="center"/>
    </xf>
    <xf numFmtId="0" fontId="191" fillId="0" borderId="0" xfId="0" applyFont="1" applyAlignment="1">
      <alignment horizontal="center" vertical="center"/>
    </xf>
    <xf numFmtId="0" fontId="192" fillId="0" borderId="0" xfId="0" quotePrefix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56" borderId="0" xfId="0" applyFont="1" applyFill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vertical="center" wrapText="1"/>
    </xf>
    <xf numFmtId="0" fontId="192" fillId="0" borderId="0" xfId="0" applyFont="1" applyAlignment="1">
      <alignment horizontal="center" vertical="center"/>
    </xf>
    <xf numFmtId="0" fontId="27" fillId="56" borderId="0" xfId="0" applyFont="1" applyFill="1" applyAlignment="1">
      <alignment horizontal="center" vertical="center"/>
    </xf>
    <xf numFmtId="43" fontId="27" fillId="0" borderId="0" xfId="15" applyFont="1" applyAlignment="1">
      <alignment horizontal="center" vertical="center"/>
    </xf>
    <xf numFmtId="0" fontId="22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center" vertical="center"/>
    </xf>
    <xf numFmtId="0" fontId="22" fillId="86" borderId="79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56" borderId="0" xfId="0" applyFont="1" applyFill="1" applyAlignment="1">
      <alignment vertical="center"/>
    </xf>
    <xf numFmtId="0" fontId="22" fillId="56" borderId="0" xfId="0" applyFont="1" applyFill="1" applyAlignment="1">
      <alignment horizontal="center" vertical="center"/>
    </xf>
    <xf numFmtId="43" fontId="22" fillId="0" borderId="0" xfId="15" applyFont="1" applyAlignment="1">
      <alignment horizontal="center" vertical="center"/>
    </xf>
    <xf numFmtId="0" fontId="22" fillId="86" borderId="57" xfId="0" applyFont="1" applyFill="1" applyBorder="1" applyAlignment="1">
      <alignment horizontal="center" vertical="center"/>
    </xf>
    <xf numFmtId="0" fontId="22" fillId="56" borderId="57" xfId="0" applyFont="1" applyFill="1" applyBorder="1" applyAlignment="1">
      <alignment horizontal="center" vertical="center" wrapText="1"/>
    </xf>
    <xf numFmtId="0" fontId="22" fillId="56" borderId="57" xfId="0" quotePrefix="1" applyFont="1" applyFill="1" applyBorder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0" fontId="22" fillId="56" borderId="57" xfId="0" applyFont="1" applyFill="1" applyBorder="1" applyAlignment="1">
      <alignment horizontal="center" vertical="center"/>
    </xf>
    <xf numFmtId="196" fontId="22" fillId="87" borderId="0" xfId="15" applyNumberFormat="1" applyFont="1" applyFill="1" applyAlignment="1">
      <alignment horizontal="center" vertical="center"/>
    </xf>
    <xf numFmtId="196" fontId="22" fillId="0" borderId="0" xfId="15" applyNumberFormat="1" applyFont="1" applyFill="1" applyBorder="1" applyAlignment="1">
      <alignment horizontal="center" vertical="center"/>
    </xf>
    <xf numFmtId="0" fontId="27" fillId="56" borderId="0" xfId="0" applyFont="1" applyFill="1" applyAlignment="1">
      <alignment vertical="center"/>
    </xf>
    <xf numFmtId="164" fontId="27" fillId="0" borderId="0" xfId="15" applyNumberFormat="1" applyFont="1" applyAlignment="1">
      <alignment vertical="center" wrapText="1"/>
    </xf>
    <xf numFmtId="164" fontId="22" fillId="0" borderId="0" xfId="15" applyNumberFormat="1" applyFont="1" applyAlignment="1">
      <alignment horizontal="center" vertical="center" wrapText="1"/>
    </xf>
    <xf numFmtId="164" fontId="27" fillId="0" borderId="0" xfId="15" applyNumberFormat="1" applyFont="1" applyFill="1" applyBorder="1" applyAlignment="1">
      <alignment horizontal="center" vertical="center"/>
    </xf>
    <xf numFmtId="10" fontId="27" fillId="0" borderId="0" xfId="16" applyNumberFormat="1" applyFont="1" applyFill="1" applyBorder="1" applyAlignment="1">
      <alignment horizontal="center" vertical="center"/>
    </xf>
    <xf numFmtId="10" fontId="27" fillId="56" borderId="0" xfId="0" applyNumberFormat="1" applyFont="1" applyFill="1" applyAlignment="1">
      <alignment horizontal="center" vertical="center"/>
    </xf>
    <xf numFmtId="196" fontId="22" fillId="87" borderId="0" xfId="15" applyNumberFormat="1" applyFont="1" applyFill="1" applyBorder="1" applyAlignment="1">
      <alignment horizontal="center" vertical="center"/>
    </xf>
    <xf numFmtId="10" fontId="27" fillId="36" borderId="0" xfId="16" applyNumberFormat="1" applyFont="1" applyFill="1" applyBorder="1" applyAlignment="1">
      <alignment horizontal="center" vertical="center"/>
    </xf>
    <xf numFmtId="10" fontId="22" fillId="36" borderId="0" xfId="16" applyNumberFormat="1" applyFont="1" applyFill="1" applyBorder="1" applyAlignment="1">
      <alignment horizontal="center" vertical="center"/>
    </xf>
    <xf numFmtId="10" fontId="22" fillId="88" borderId="0" xfId="16" applyNumberFormat="1" applyFont="1" applyFill="1" applyBorder="1" applyAlignment="1">
      <alignment horizontal="center" vertical="center"/>
    </xf>
    <xf numFmtId="10" fontId="27" fillId="0" borderId="0" xfId="16" applyNumberFormat="1" applyFont="1" applyBorder="1" applyAlignment="1">
      <alignment horizontal="center" vertical="center"/>
    </xf>
    <xf numFmtId="4" fontId="22" fillId="0" borderId="23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196" fontId="22" fillId="87" borderId="57" xfId="15" applyNumberFormat="1" applyFont="1" applyFill="1" applyBorder="1" applyAlignment="1">
      <alignment horizontal="center" vertical="center"/>
    </xf>
    <xf numFmtId="10" fontId="27" fillId="36" borderId="57" xfId="16" applyNumberFormat="1" applyFont="1" applyFill="1" applyBorder="1" applyAlignment="1">
      <alignment horizontal="center" vertical="center"/>
    </xf>
    <xf numFmtId="10" fontId="22" fillId="36" borderId="57" xfId="16" applyNumberFormat="1" applyFont="1" applyFill="1" applyBorder="1" applyAlignment="1">
      <alignment horizontal="center" vertical="center"/>
    </xf>
    <xf numFmtId="10" fontId="195" fillId="88" borderId="57" xfId="16" applyNumberFormat="1" applyFont="1" applyFill="1" applyBorder="1" applyAlignment="1">
      <alignment horizontal="center" vertical="center"/>
    </xf>
    <xf numFmtId="10" fontId="27" fillId="0" borderId="57" xfId="16" applyNumberFormat="1" applyFont="1" applyBorder="1" applyAlignment="1">
      <alignment horizontal="center" vertical="center"/>
    </xf>
    <xf numFmtId="164" fontId="22" fillId="0" borderId="0" xfId="15" applyNumberFormat="1" applyFont="1" applyFill="1" applyBorder="1" applyAlignment="1">
      <alignment vertical="center"/>
    </xf>
    <xf numFmtId="10" fontId="27" fillId="56" borderId="0" xfId="0" applyNumberFormat="1" applyFont="1" applyFill="1" applyAlignment="1">
      <alignment vertical="center"/>
    </xf>
    <xf numFmtId="164" fontId="191" fillId="0" borderId="0" xfId="15" applyNumberFormat="1" applyFont="1" applyAlignment="1">
      <alignment vertical="center" wrapText="1"/>
    </xf>
    <xf numFmtId="164" fontId="192" fillId="0" borderId="0" xfId="15" applyNumberFormat="1" applyFont="1" applyAlignment="1">
      <alignment vertical="center" wrapText="1"/>
    </xf>
    <xf numFmtId="164" fontId="191" fillId="0" borderId="0" xfId="15" applyNumberFormat="1" applyFont="1" applyFill="1" applyBorder="1" applyAlignment="1">
      <alignment vertical="center"/>
    </xf>
    <xf numFmtId="43" fontId="191" fillId="0" borderId="0" xfId="15" applyFont="1" applyFill="1" applyBorder="1" applyAlignment="1">
      <alignment vertical="center"/>
    </xf>
    <xf numFmtId="10" fontId="191" fillId="56" borderId="0" xfId="0" applyNumberFormat="1" applyFont="1" applyFill="1" applyAlignment="1">
      <alignment vertical="center"/>
    </xf>
    <xf numFmtId="0" fontId="197" fillId="0" borderId="0" xfId="0" applyFont="1" applyAlignment="1">
      <alignment vertical="center"/>
    </xf>
    <xf numFmtId="0" fontId="197" fillId="56" borderId="0" xfId="0" applyFont="1" applyFill="1" applyAlignment="1">
      <alignment vertical="center"/>
    </xf>
    <xf numFmtId="164" fontId="197" fillId="0" borderId="0" xfId="15" applyNumberFormat="1" applyFont="1" applyAlignment="1">
      <alignment vertical="center" wrapText="1"/>
    </xf>
    <xf numFmtId="164" fontId="198" fillId="0" borderId="0" xfId="15" applyNumberFormat="1" applyFont="1" applyAlignment="1">
      <alignment horizontal="center" vertical="center" wrapText="1"/>
    </xf>
    <xf numFmtId="164" fontId="197" fillId="0" borderId="0" xfId="15" applyNumberFormat="1" applyFont="1" applyFill="1" applyBorder="1" applyAlignment="1">
      <alignment vertical="center"/>
    </xf>
    <xf numFmtId="10" fontId="197" fillId="56" borderId="0" xfId="0" applyNumberFormat="1" applyFont="1" applyFill="1" applyAlignment="1">
      <alignment vertical="center"/>
    </xf>
    <xf numFmtId="43" fontId="197" fillId="0" borderId="0" xfId="15" applyFont="1" applyAlignment="1">
      <alignment vertical="center"/>
    </xf>
    <xf numFmtId="43" fontId="199" fillId="6" borderId="0" xfId="15" applyFont="1" applyFill="1" applyBorder="1" applyAlignment="1">
      <alignment vertical="center"/>
    </xf>
    <xf numFmtId="0" fontId="199" fillId="6" borderId="0" xfId="0" applyFont="1" applyFill="1" applyAlignment="1">
      <alignment vertical="center"/>
    </xf>
    <xf numFmtId="196" fontId="199" fillId="6" borderId="0" xfId="0" applyNumberFormat="1" applyFont="1" applyFill="1" applyAlignment="1">
      <alignment vertical="center"/>
    </xf>
    <xf numFmtId="0" fontId="198" fillId="0" borderId="0" xfId="0" applyFont="1" applyAlignment="1">
      <alignment vertical="center"/>
    </xf>
    <xf numFmtId="0" fontId="198" fillId="56" borderId="0" xfId="0" applyFont="1" applyFill="1" applyAlignment="1">
      <alignment vertical="center"/>
    </xf>
    <xf numFmtId="164" fontId="198" fillId="0" borderId="0" xfId="15" applyNumberFormat="1" applyFont="1" applyAlignment="1">
      <alignment vertical="center" wrapText="1"/>
    </xf>
    <xf numFmtId="43" fontId="200" fillId="6" borderId="0" xfId="15" applyFont="1" applyFill="1" applyBorder="1" applyAlignment="1">
      <alignment vertical="center"/>
    </xf>
    <xf numFmtId="0" fontId="190" fillId="0" borderId="0" xfId="0" applyFont="1" applyAlignment="1">
      <alignment horizontal="left" vertical="center"/>
    </xf>
    <xf numFmtId="164" fontId="22" fillId="56" borderId="57" xfId="15" applyNumberFormat="1" applyFont="1" applyFill="1" applyBorder="1" applyAlignment="1">
      <alignment horizontal="center" vertical="center" wrapText="1"/>
    </xf>
    <xf numFmtId="164" fontId="22" fillId="0" borderId="0" xfId="15" applyNumberFormat="1" applyFont="1" applyFill="1" applyBorder="1" applyAlignment="1">
      <alignment horizontal="center" vertical="center"/>
    </xf>
    <xf numFmtId="10" fontId="22" fillId="56" borderId="0" xfId="0" applyNumberFormat="1" applyFont="1" applyFill="1" applyAlignment="1">
      <alignment horizontal="center" vertical="center"/>
    </xf>
    <xf numFmtId="196" fontId="200" fillId="6" borderId="0" xfId="0" applyNumberFormat="1" applyFont="1" applyFill="1" applyAlignment="1">
      <alignment vertical="center"/>
    </xf>
    <xf numFmtId="43" fontId="0" fillId="89" borderId="1" xfId="0" applyNumberFormat="1" applyFill="1" applyBorder="1"/>
    <xf numFmtId="43" fontId="37" fillId="89" borderId="1" xfId="0" applyNumberFormat="1" applyFont="1" applyFill="1" applyBorder="1"/>
    <xf numFmtId="43" fontId="3" fillId="89" borderId="1" xfId="0" applyNumberFormat="1" applyFont="1" applyFill="1" applyBorder="1"/>
    <xf numFmtId="0" fontId="201" fillId="61" borderId="0" xfId="0" applyFont="1" applyFill="1" applyAlignment="1">
      <alignment horizontal="left" vertical="center" wrapText="1"/>
    </xf>
    <xf numFmtId="0" fontId="151" fillId="0" borderId="0" xfId="0" applyFont="1" applyAlignment="1">
      <alignment vertical="center" wrapText="1"/>
    </xf>
    <xf numFmtId="0" fontId="151" fillId="0" borderId="0" xfId="0" applyFont="1"/>
    <xf numFmtId="0" fontId="151" fillId="0" borderId="0" xfId="0" applyFont="1" applyAlignment="1">
      <alignment horizontal="center" vertical="center"/>
    </xf>
    <xf numFmtId="164" fontId="201" fillId="61" borderId="0" xfId="0" applyNumberFormat="1" applyFont="1" applyFill="1" applyAlignment="1">
      <alignment vertical="center"/>
    </xf>
    <xf numFmtId="0" fontId="202" fillId="27" borderId="0" xfId="0" applyFont="1" applyFill="1" applyAlignment="1">
      <alignment horizontal="left" vertical="center" wrapText="1"/>
    </xf>
    <xf numFmtId="43" fontId="0" fillId="27" borderId="0" xfId="15" applyFont="1" applyFill="1" applyAlignment="1">
      <alignment vertical="center"/>
    </xf>
    <xf numFmtId="43" fontId="2" fillId="0" borderId="0" xfId="0" applyNumberFormat="1" applyFont="1" applyAlignment="1">
      <alignment vertical="center" wrapText="1"/>
    </xf>
    <xf numFmtId="0" fontId="2" fillId="90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3" fontId="0" fillId="0" borderId="0" xfId="0" applyNumberFormat="1" applyAlignment="1">
      <alignment vertical="center"/>
    </xf>
    <xf numFmtId="165" fontId="3" fillId="2" borderId="1" xfId="1" applyNumberFormat="1" applyFont="1" applyFill="1" applyBorder="1" applyAlignment="1">
      <alignment horizontal="right" vertical="center"/>
    </xf>
    <xf numFmtId="0" fontId="8" fillId="0" borderId="0" xfId="0" applyFont="1"/>
    <xf numFmtId="0" fontId="37" fillId="91" borderId="17" xfId="0" applyFont="1" applyFill="1" applyBorder="1" applyAlignment="1">
      <alignment wrapText="1"/>
    </xf>
    <xf numFmtId="0" fontId="8" fillId="10" borderId="7" xfId="0" applyFont="1" applyFill="1" applyBorder="1"/>
    <xf numFmtId="0" fontId="8" fillId="0" borderId="17" xfId="0" applyFont="1" applyBorder="1"/>
    <xf numFmtId="0" fontId="37" fillId="0" borderId="17" xfId="0" applyFont="1" applyBorder="1"/>
    <xf numFmtId="3" fontId="8" fillId="0" borderId="17" xfId="0" applyNumberFormat="1" applyFont="1" applyBorder="1"/>
    <xf numFmtId="3" fontId="37" fillId="0" borderId="17" xfId="0" applyNumberFormat="1" applyFont="1" applyBorder="1"/>
    <xf numFmtId="0" fontId="138" fillId="91" borderId="7" xfId="0" applyFont="1" applyFill="1" applyBorder="1"/>
    <xf numFmtId="0" fontId="138" fillId="91" borderId="17" xfId="0" applyFont="1" applyFill="1" applyBorder="1"/>
    <xf numFmtId="3" fontId="138" fillId="91" borderId="17" xfId="0" applyNumberFormat="1" applyFont="1" applyFill="1" applyBorder="1"/>
    <xf numFmtId="0" fontId="149" fillId="0" borderId="0" xfId="0" applyFont="1" applyAlignment="1">
      <alignment vertical="center"/>
    </xf>
    <xf numFmtId="0" fontId="14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29" fillId="0" borderId="83" xfId="0" applyFont="1" applyBorder="1" applyAlignment="1">
      <alignment horizontal="center" vertical="center" wrapText="1"/>
    </xf>
    <xf numFmtId="3" fontId="29" fillId="0" borderId="83" xfId="0" applyNumberFormat="1" applyFont="1" applyBorder="1" applyAlignment="1">
      <alignment horizontal="center" vertical="center" wrapText="1"/>
    </xf>
    <xf numFmtId="185" fontId="135" fillId="36" borderId="25" xfId="1" applyNumberFormat="1" applyFont="1" applyFill="1" applyBorder="1" applyAlignment="1">
      <alignment horizontal="left" vertical="center" wrapText="1"/>
    </xf>
    <xf numFmtId="164" fontId="135" fillId="36" borderId="26" xfId="15" applyNumberFormat="1" applyFont="1" applyFill="1" applyBorder="1" applyAlignment="1">
      <alignment horizontal="left" vertical="center" wrapText="1"/>
    </xf>
    <xf numFmtId="0" fontId="149" fillId="0" borderId="0" xfId="0" applyFont="1" applyAlignment="1">
      <alignment vertical="center" wrapText="1"/>
    </xf>
    <xf numFmtId="43" fontId="149" fillId="0" borderId="0" xfId="0" applyNumberFormat="1" applyFont="1" applyAlignment="1">
      <alignment vertical="center" wrapText="1"/>
    </xf>
    <xf numFmtId="0" fontId="149" fillId="0" borderId="0" xfId="0" quotePrefix="1" applyFont="1" applyAlignment="1">
      <alignment horizontal="right" vertical="center" wrapText="1"/>
    </xf>
    <xf numFmtId="43" fontId="149" fillId="0" borderId="0" xfId="15" applyFont="1" applyAlignment="1">
      <alignment vertical="center" wrapText="1"/>
    </xf>
    <xf numFmtId="9" fontId="149" fillId="0" borderId="0" xfId="16" applyFont="1" applyAlignment="1">
      <alignment vertical="center" wrapText="1"/>
    </xf>
    <xf numFmtId="0" fontId="149" fillId="0" borderId="0" xfId="2" applyFont="1" applyAlignment="1">
      <alignment vertical="center" wrapText="1"/>
    </xf>
    <xf numFmtId="0" fontId="149" fillId="0" borderId="0" xfId="2" applyFont="1" applyAlignment="1">
      <alignment horizontal="center" vertical="center" wrapText="1"/>
    </xf>
    <xf numFmtId="0" fontId="148" fillId="34" borderId="0" xfId="2" applyFont="1" applyFill="1" applyAlignment="1">
      <alignment horizontal="center" vertical="center" wrapText="1"/>
    </xf>
    <xf numFmtId="0" fontId="148" fillId="34" borderId="0" xfId="2" quotePrefix="1" applyFont="1" applyFill="1" applyAlignment="1">
      <alignment horizontal="center" vertical="center" wrapText="1"/>
    </xf>
    <xf numFmtId="195" fontId="149" fillId="0" borderId="0" xfId="18" applyNumberFormat="1" applyFont="1" applyAlignment="1">
      <alignment vertical="center" wrapText="1"/>
    </xf>
    <xf numFmtId="194" fontId="149" fillId="0" borderId="0" xfId="18" applyFont="1" applyAlignment="1">
      <alignment vertical="center" wrapText="1"/>
    </xf>
    <xf numFmtId="195" fontId="148" fillId="0" borderId="0" xfId="18" applyNumberFormat="1" applyFont="1" applyAlignment="1">
      <alignment vertical="center" wrapText="1"/>
    </xf>
    <xf numFmtId="194" fontId="148" fillId="0" borderId="0" xfId="18" applyFont="1" applyAlignment="1">
      <alignment vertical="center" wrapText="1"/>
    </xf>
    <xf numFmtId="43" fontId="149" fillId="0" borderId="0" xfId="2" applyNumberFormat="1" applyFont="1" applyAlignment="1">
      <alignment vertical="center" wrapText="1"/>
    </xf>
    <xf numFmtId="0" fontId="149" fillId="0" borderId="0" xfId="2" quotePrefix="1" applyFont="1" applyAlignment="1">
      <alignment horizontal="right" vertical="center" wrapText="1"/>
    </xf>
    <xf numFmtId="0" fontId="149" fillId="0" borderId="0" xfId="2" quotePrefix="1" applyFont="1" applyAlignment="1">
      <alignment vertical="center" wrapText="1"/>
    </xf>
    <xf numFmtId="0" fontId="183" fillId="81" borderId="90" xfId="20" applyFont="1" applyFill="1" applyBorder="1" applyAlignment="1">
      <alignment horizontal="center"/>
    </xf>
    <xf numFmtId="0" fontId="183" fillId="81" borderId="90" xfId="20" applyFont="1" applyFill="1" applyBorder="1" applyAlignment="1">
      <alignment horizontal="left"/>
    </xf>
    <xf numFmtId="43" fontId="179" fillId="80" borderId="91" xfId="15" applyFont="1" applyFill="1" applyBorder="1" applyAlignment="1">
      <alignment horizontal="center" vertical="center" wrapText="1"/>
    </xf>
    <xf numFmtId="43" fontId="179" fillId="80" borderId="92" xfId="15" applyFont="1" applyFill="1" applyBorder="1" applyAlignment="1">
      <alignment horizontal="center" vertical="center" wrapText="1"/>
    </xf>
    <xf numFmtId="164" fontId="179" fillId="80" borderId="93" xfId="15" applyNumberFormat="1" applyFont="1" applyFill="1" applyBorder="1" applyAlignment="1">
      <alignment horizontal="center" vertical="center" wrapText="1"/>
    </xf>
    <xf numFmtId="0" fontId="178" fillId="0" borderId="92" xfId="19" applyFont="1" applyBorder="1" applyAlignment="1">
      <alignment vertical="center" wrapText="1"/>
    </xf>
    <xf numFmtId="43" fontId="183" fillId="0" borderId="92" xfId="15" applyFont="1" applyFill="1" applyBorder="1" applyAlignment="1">
      <alignment horizontal="right" vertical="center" wrapText="1"/>
    </xf>
    <xf numFmtId="43" fontId="183" fillId="0" borderId="93" xfId="15" applyFont="1" applyFill="1" applyBorder="1" applyAlignment="1">
      <alignment horizontal="right" vertical="center" wrapText="1"/>
    </xf>
    <xf numFmtId="43" fontId="183" fillId="0" borderId="91" xfId="15" applyFont="1" applyFill="1" applyBorder="1" applyAlignment="1">
      <alignment horizontal="right" vertical="center" wrapText="1"/>
    </xf>
    <xf numFmtId="0" fontId="183" fillId="0" borderId="94" xfId="20" applyFont="1" applyBorder="1" applyAlignment="1">
      <alignment wrapText="1"/>
    </xf>
    <xf numFmtId="0" fontId="183" fillId="0" borderId="94" xfId="20" applyFont="1" applyBorder="1" applyAlignment="1">
      <alignment horizontal="left" wrapText="1"/>
    </xf>
    <xf numFmtId="0" fontId="183" fillId="0" borderId="94" xfId="20" applyFont="1" applyBorder="1" applyAlignment="1">
      <alignment horizontal="right" wrapText="1"/>
    </xf>
    <xf numFmtId="164" fontId="178" fillId="0" borderId="91" xfId="15" applyNumberFormat="1" applyFont="1" applyFill="1" applyBorder="1" applyAlignment="1">
      <alignment horizontal="right" vertical="center" wrapText="1"/>
    </xf>
    <xf numFmtId="164" fontId="179" fillId="0" borderId="93" xfId="15" applyNumberFormat="1" applyFont="1" applyFill="1" applyBorder="1" applyAlignment="1">
      <alignment horizontal="right" vertical="center" wrapText="1"/>
    </xf>
    <xf numFmtId="43" fontId="178" fillId="0" borderId="91" xfId="15" applyFont="1" applyFill="1" applyBorder="1" applyAlignment="1">
      <alignment horizontal="right" vertical="center" wrapText="1"/>
    </xf>
    <xf numFmtId="43" fontId="179" fillId="0" borderId="93" xfId="15" applyFont="1" applyFill="1" applyBorder="1" applyAlignment="1">
      <alignment horizontal="right" vertical="center" wrapText="1"/>
    </xf>
    <xf numFmtId="43" fontId="178" fillId="0" borderId="92" xfId="15" applyFont="1" applyFill="1" applyBorder="1" applyAlignment="1">
      <alignment horizontal="right" vertical="center" wrapText="1"/>
    </xf>
    <xf numFmtId="43" fontId="178" fillId="0" borderId="93" xfId="15" applyFont="1" applyFill="1" applyBorder="1" applyAlignment="1">
      <alignment horizontal="right" vertical="center" wrapText="1"/>
    </xf>
    <xf numFmtId="164" fontId="179" fillId="56" borderId="91" xfId="15" applyNumberFormat="1" applyFont="1" applyFill="1" applyBorder="1" applyAlignment="1">
      <alignment horizontal="right" vertical="center" wrapText="1"/>
    </xf>
    <xf numFmtId="164" fontId="179" fillId="56" borderId="92" xfId="15" applyNumberFormat="1" applyFont="1" applyFill="1" applyBorder="1" applyAlignment="1">
      <alignment horizontal="right" vertical="center" wrapText="1"/>
    </xf>
    <xf numFmtId="164" fontId="179" fillId="56" borderId="93" xfId="15" applyNumberFormat="1" applyFont="1" applyFill="1" applyBorder="1" applyAlignment="1">
      <alignment horizontal="right" vertical="center" wrapText="1"/>
    </xf>
    <xf numFmtId="43" fontId="179" fillId="56" borderId="91" xfId="15" applyFont="1" applyFill="1" applyBorder="1" applyAlignment="1">
      <alignment horizontal="right" vertical="center" wrapText="1"/>
    </xf>
    <xf numFmtId="43" fontId="179" fillId="56" borderId="92" xfId="15" applyFont="1" applyFill="1" applyBorder="1" applyAlignment="1">
      <alignment horizontal="right" vertical="center" wrapText="1"/>
    </xf>
    <xf numFmtId="43" fontId="179" fillId="56" borderId="93" xfId="15" applyFont="1" applyFill="1" applyBorder="1" applyAlignment="1">
      <alignment horizontal="right" vertical="center" wrapText="1"/>
    </xf>
    <xf numFmtId="43" fontId="179" fillId="56" borderId="96" xfId="0" applyNumberFormat="1" applyFont="1" applyFill="1" applyBorder="1" applyAlignment="1">
      <alignment vertical="center"/>
    </xf>
    <xf numFmtId="0" fontId="0" fillId="7" borderId="92" xfId="0" applyFill="1" applyBorder="1" applyAlignment="1">
      <alignment horizontal="center"/>
    </xf>
    <xf numFmtId="0" fontId="0" fillId="33" borderId="92" xfId="0" applyFill="1" applyBorder="1" applyAlignment="1">
      <alignment horizontal="center" vertical="center"/>
    </xf>
    <xf numFmtId="10" fontId="0" fillId="33" borderId="92" xfId="16" applyNumberFormat="1" applyFont="1" applyFill="1" applyBorder="1" applyAlignment="1">
      <alignment horizontal="center" vertical="center"/>
    </xf>
    <xf numFmtId="191" fontId="149" fillId="33" borderId="92" xfId="16" applyNumberFormat="1" applyFont="1" applyFill="1" applyBorder="1" applyAlignment="1">
      <alignment vertical="center" wrapText="1"/>
    </xf>
    <xf numFmtId="0" fontId="174" fillId="0" borderId="92" xfId="0" applyFont="1" applyBorder="1" applyAlignment="1">
      <alignment vertical="center" wrapText="1"/>
    </xf>
    <xf numFmtId="43" fontId="174" fillId="0" borderId="92" xfId="0" applyNumberFormat="1" applyFont="1" applyBorder="1" applyAlignment="1">
      <alignment horizontal="right" vertical="center" wrapText="1"/>
    </xf>
    <xf numFmtId="0" fontId="174" fillId="0" borderId="92" xfId="0" applyFont="1" applyBorder="1" applyAlignment="1">
      <alignment horizontal="right" vertical="center" wrapText="1"/>
    </xf>
    <xf numFmtId="191" fontId="175" fillId="0" borderId="92" xfId="16" applyNumberFormat="1" applyFont="1" applyBorder="1" applyAlignment="1">
      <alignment horizontal="right" vertical="center" wrapText="1"/>
    </xf>
    <xf numFmtId="0" fontId="174" fillId="0" borderId="92" xfId="2" applyFont="1" applyBorder="1" applyAlignment="1">
      <alignment vertical="center" wrapText="1"/>
    </xf>
    <xf numFmtId="43" fontId="174" fillId="0" borderId="92" xfId="2" applyNumberFormat="1" applyFont="1" applyBorder="1" applyAlignment="1">
      <alignment horizontal="right" vertical="center" wrapText="1"/>
    </xf>
    <xf numFmtId="0" fontId="175" fillId="0" borderId="92" xfId="2" applyFont="1" applyBorder="1" applyAlignment="1">
      <alignment vertical="center" wrapText="1"/>
    </xf>
    <xf numFmtId="0" fontId="175" fillId="0" borderId="92" xfId="2" applyFont="1" applyBorder="1" applyAlignment="1">
      <alignment horizontal="right" vertical="center" wrapText="1"/>
    </xf>
    <xf numFmtId="43" fontId="175" fillId="0" borderId="92" xfId="2" applyNumberFormat="1" applyFont="1" applyBorder="1" applyAlignment="1">
      <alignment horizontal="right" vertical="center" wrapText="1"/>
    </xf>
    <xf numFmtId="0" fontId="176" fillId="0" borderId="92" xfId="2" applyFont="1" applyBorder="1" applyAlignment="1">
      <alignment vertical="center" wrapText="1"/>
    </xf>
    <xf numFmtId="0" fontId="183" fillId="81" borderId="90" xfId="20" applyFont="1" applyFill="1" applyBorder="1"/>
    <xf numFmtId="194" fontId="179" fillId="80" borderId="91" xfId="18" applyFont="1" applyFill="1" applyBorder="1" applyAlignment="1">
      <alignment horizontal="center" vertical="center" wrapText="1"/>
    </xf>
    <xf numFmtId="194" fontId="179" fillId="80" borderId="92" xfId="18" applyFont="1" applyFill="1" applyBorder="1" applyAlignment="1">
      <alignment horizontal="center" vertical="center" wrapText="1"/>
    </xf>
    <xf numFmtId="164" fontId="179" fillId="80" borderId="93" xfId="18" applyNumberFormat="1" applyFont="1" applyFill="1" applyBorder="1" applyAlignment="1">
      <alignment horizontal="center" vertical="center" wrapText="1"/>
    </xf>
    <xf numFmtId="194" fontId="183" fillId="0" borderId="92" xfId="18" applyFont="1" applyFill="1" applyBorder="1" applyAlignment="1">
      <alignment horizontal="right" vertical="center" wrapText="1"/>
    </xf>
    <xf numFmtId="194" fontId="183" fillId="0" borderId="93" xfId="18" applyFont="1" applyFill="1" applyBorder="1" applyAlignment="1">
      <alignment horizontal="right" vertical="center" wrapText="1"/>
    </xf>
    <xf numFmtId="194" fontId="183" fillId="0" borderId="91" xfId="18" applyFont="1" applyFill="1" applyBorder="1" applyAlignment="1">
      <alignment horizontal="right" vertical="center" wrapText="1"/>
    </xf>
    <xf numFmtId="0" fontId="184" fillId="0" borderId="94" xfId="21" applyFont="1" applyBorder="1" applyAlignment="1">
      <alignment horizontal="right" wrapText="1"/>
    </xf>
    <xf numFmtId="164" fontId="178" fillId="0" borderId="91" xfId="18" applyNumberFormat="1" applyFont="1" applyFill="1" applyBorder="1" applyAlignment="1">
      <alignment horizontal="right" vertical="center" wrapText="1"/>
    </xf>
    <xf numFmtId="164" fontId="179" fillId="0" borderId="93" xfId="18" applyNumberFormat="1" applyFont="1" applyFill="1" applyBorder="1" applyAlignment="1">
      <alignment horizontal="right" vertical="center" wrapText="1"/>
    </xf>
    <xf numFmtId="194" fontId="178" fillId="0" borderId="91" xfId="18" applyFont="1" applyFill="1" applyBorder="1" applyAlignment="1">
      <alignment horizontal="right" vertical="center" wrapText="1"/>
    </xf>
    <xf numFmtId="194" fontId="179" fillId="0" borderId="93" xfId="18" applyFont="1" applyFill="1" applyBorder="1" applyAlignment="1">
      <alignment horizontal="right" vertical="center" wrapText="1"/>
    </xf>
    <xf numFmtId="194" fontId="178" fillId="0" borderId="92" xfId="18" applyFont="1" applyFill="1" applyBorder="1" applyAlignment="1">
      <alignment horizontal="right" vertical="center" wrapText="1"/>
    </xf>
    <xf numFmtId="194" fontId="178" fillId="0" borderId="93" xfId="18" applyFont="1" applyFill="1" applyBorder="1" applyAlignment="1">
      <alignment horizontal="right" vertical="center" wrapText="1"/>
    </xf>
    <xf numFmtId="164" fontId="179" fillId="56" borderId="91" xfId="18" applyNumberFormat="1" applyFont="1" applyFill="1" applyBorder="1" applyAlignment="1">
      <alignment horizontal="right" vertical="center" wrapText="1"/>
    </xf>
    <xf numFmtId="164" fontId="179" fillId="56" borderId="92" xfId="18" applyNumberFormat="1" applyFont="1" applyFill="1" applyBorder="1" applyAlignment="1">
      <alignment horizontal="right" vertical="center" wrapText="1"/>
    </xf>
    <xf numFmtId="164" fontId="179" fillId="56" borderId="93" xfId="18" applyNumberFormat="1" applyFont="1" applyFill="1" applyBorder="1" applyAlignment="1">
      <alignment horizontal="right" vertical="center" wrapText="1"/>
    </xf>
    <xf numFmtId="194" fontId="179" fillId="56" borderId="91" xfId="18" applyFont="1" applyFill="1" applyBorder="1" applyAlignment="1">
      <alignment horizontal="right" vertical="center" wrapText="1"/>
    </xf>
    <xf numFmtId="194" fontId="179" fillId="56" borderId="92" xfId="18" applyFont="1" applyFill="1" applyBorder="1" applyAlignment="1">
      <alignment horizontal="right" vertical="center" wrapText="1"/>
    </xf>
    <xf numFmtId="194" fontId="179" fillId="56" borderId="93" xfId="18" applyFont="1" applyFill="1" applyBorder="1" applyAlignment="1">
      <alignment horizontal="right" vertical="center" wrapText="1"/>
    </xf>
    <xf numFmtId="0" fontId="184" fillId="81" borderId="90" xfId="22" applyFont="1" applyFill="1" applyBorder="1" applyAlignment="1">
      <alignment horizontal="center"/>
    </xf>
    <xf numFmtId="0" fontId="184" fillId="81" borderId="90" xfId="21" applyFont="1" applyFill="1" applyBorder="1" applyAlignment="1">
      <alignment horizontal="center"/>
    </xf>
    <xf numFmtId="0" fontId="184" fillId="81" borderId="90" xfId="21" applyFont="1" applyFill="1" applyBorder="1"/>
    <xf numFmtId="43" fontId="179" fillId="56" borderId="96" xfId="2" applyNumberFormat="1" applyFont="1" applyFill="1" applyBorder="1" applyAlignment="1">
      <alignment vertical="center"/>
    </xf>
    <xf numFmtId="0" fontId="184" fillId="0" borderId="94" xfId="22" applyFont="1" applyBorder="1" applyAlignment="1">
      <alignment wrapText="1"/>
    </xf>
    <xf numFmtId="0" fontId="184" fillId="0" borderId="94" xfId="22" applyFont="1" applyBorder="1" applyAlignment="1">
      <alignment horizontal="right" wrapText="1"/>
    </xf>
    <xf numFmtId="0" fontId="184" fillId="0" borderId="94" xfId="21" applyFont="1" applyBorder="1" applyAlignment="1">
      <alignment wrapText="1"/>
    </xf>
    <xf numFmtId="0" fontId="8" fillId="7" borderId="92" xfId="2" applyFill="1" applyBorder="1" applyAlignment="1">
      <alignment horizontal="center"/>
    </xf>
    <xf numFmtId="0" fontId="8" fillId="7" borderId="92" xfId="2" quotePrefix="1" applyFill="1" applyBorder="1" applyAlignment="1">
      <alignment horizontal="center"/>
    </xf>
    <xf numFmtId="0" fontId="8" fillId="33" borderId="92" xfId="2" applyFill="1" applyBorder="1" applyAlignment="1">
      <alignment horizontal="center" vertical="center"/>
    </xf>
    <xf numFmtId="164" fontId="14" fillId="10" borderId="92" xfId="15" applyNumberFormat="1" applyFont="1" applyFill="1" applyBorder="1" applyAlignment="1">
      <alignment horizontal="right" vertical="center" wrapText="1"/>
    </xf>
    <xf numFmtId="0" fontId="3" fillId="0" borderId="92" xfId="0" applyFont="1" applyBorder="1" applyAlignment="1">
      <alignment vertical="center"/>
    </xf>
    <xf numFmtId="0" fontId="120" fillId="0" borderId="92" xfId="0" applyFont="1" applyBorder="1" applyAlignment="1">
      <alignment wrapText="1"/>
    </xf>
    <xf numFmtId="4" fontId="187" fillId="10" borderId="92" xfId="0" applyNumberFormat="1" applyFont="1" applyFill="1" applyBorder="1" applyAlignment="1">
      <alignment horizontal="right" vertical="center" wrapText="1"/>
    </xf>
    <xf numFmtId="4" fontId="14" fillId="10" borderId="92" xfId="0" applyNumberFormat="1" applyFont="1" applyFill="1" applyBorder="1" applyAlignment="1">
      <alignment horizontal="right" vertical="center" wrapText="1"/>
    </xf>
    <xf numFmtId="0" fontId="67" fillId="6" borderId="92" xfId="11" applyFont="1" applyFill="1" applyBorder="1" applyAlignment="1" applyProtection="1">
      <alignment vertical="center" wrapText="1"/>
      <protection hidden="1"/>
    </xf>
    <xf numFmtId="0" fontId="68" fillId="6" borderId="92" xfId="11" applyFont="1" applyFill="1" applyBorder="1" applyAlignment="1" applyProtection="1">
      <alignment vertical="center" wrapText="1"/>
      <protection hidden="1"/>
    </xf>
    <xf numFmtId="0" fontId="70" fillId="34" borderId="92" xfId="11" applyFont="1" applyFill="1" applyBorder="1" applyAlignment="1">
      <alignment vertical="center"/>
    </xf>
    <xf numFmtId="0" fontId="71" fillId="0" borderId="92" xfId="11" applyFont="1" applyBorder="1" applyAlignment="1">
      <alignment horizontal="center" vertical="center"/>
    </xf>
    <xf numFmtId="0" fontId="71" fillId="0" borderId="97" xfId="11" applyFont="1" applyBorder="1" applyAlignment="1">
      <alignment horizontal="center" vertical="center"/>
    </xf>
    <xf numFmtId="0" fontId="69" fillId="6" borderId="96" xfId="11" applyFont="1" applyFill="1" applyBorder="1" applyAlignment="1">
      <alignment horizontal="left" vertical="center" wrapText="1"/>
    </xf>
    <xf numFmtId="0" fontId="69" fillId="6" borderId="91" xfId="11" applyFont="1" applyFill="1" applyBorder="1" applyAlignment="1">
      <alignment horizontal="left" vertical="center" wrapText="1"/>
    </xf>
    <xf numFmtId="0" fontId="70" fillId="34" borderId="93" xfId="11" applyFont="1" applyFill="1" applyBorder="1" applyAlignment="1">
      <alignment vertical="center"/>
    </xf>
    <xf numFmtId="0" fontId="63" fillId="0" borderId="93" xfId="11" applyFont="1" applyBorder="1" applyAlignment="1">
      <alignment horizontal="center" vertical="center"/>
    </xf>
    <xf numFmtId="10" fontId="72" fillId="36" borderId="92" xfId="11" applyNumberFormat="1" applyFont="1" applyFill="1" applyBorder="1" applyAlignment="1" applyProtection="1">
      <alignment horizontal="center" vertical="center"/>
      <protection locked="0"/>
    </xf>
    <xf numFmtId="0" fontId="70" fillId="34" borderId="92" xfId="11" applyFont="1" applyFill="1" applyBorder="1" applyAlignment="1">
      <alignment horizontal="center" vertical="center"/>
    </xf>
    <xf numFmtId="0" fontId="74" fillId="6" borderId="95" xfId="11" applyFont="1" applyFill="1" applyBorder="1" applyAlignment="1">
      <alignment horizontal="left" vertical="center" wrapText="1"/>
    </xf>
    <xf numFmtId="0" fontId="65" fillId="6" borderId="96" xfId="11" applyFont="1" applyFill="1" applyBorder="1" applyAlignment="1">
      <alignment horizontal="left" vertical="center" wrapText="1"/>
    </xf>
    <xf numFmtId="0" fontId="65" fillId="6" borderId="91" xfId="11" applyFont="1" applyFill="1" applyBorder="1" applyAlignment="1">
      <alignment horizontal="left" vertical="center" wrapText="1"/>
    </xf>
    <xf numFmtId="0" fontId="69" fillId="6" borderId="92" xfId="11" applyFont="1" applyFill="1" applyBorder="1" applyAlignment="1">
      <alignment vertical="center" wrapText="1"/>
    </xf>
    <xf numFmtId="183" fontId="74" fillId="38" borderId="92" xfId="11" applyNumberFormat="1" applyFont="1" applyFill="1" applyBorder="1" applyAlignment="1">
      <alignment horizontal="center" vertical="center" wrapText="1"/>
    </xf>
    <xf numFmtId="0" fontId="74" fillId="38" borderId="92" xfId="11" applyFont="1" applyFill="1" applyBorder="1" applyAlignment="1">
      <alignment horizontal="center" vertical="center" wrapText="1"/>
    </xf>
    <xf numFmtId="9" fontId="74" fillId="38" borderId="92" xfId="11" applyNumberFormat="1" applyFont="1" applyFill="1" applyBorder="1" applyAlignment="1">
      <alignment horizontal="center" vertical="center" wrapText="1"/>
    </xf>
    <xf numFmtId="183" fontId="74" fillId="39" borderId="92" xfId="11" applyNumberFormat="1" applyFont="1" applyFill="1" applyBorder="1" applyAlignment="1">
      <alignment horizontal="center" vertical="center" wrapText="1"/>
    </xf>
    <xf numFmtId="0" fontId="74" fillId="39" borderId="92" xfId="11" applyFont="1" applyFill="1" applyBorder="1" applyAlignment="1">
      <alignment horizontal="center" vertical="center" wrapText="1"/>
    </xf>
    <xf numFmtId="183" fontId="78" fillId="40" borderId="92" xfId="11" applyNumberFormat="1" applyFont="1" applyFill="1" applyBorder="1" applyAlignment="1">
      <alignment horizontal="center" vertical="center" wrapText="1"/>
    </xf>
    <xf numFmtId="0" fontId="78" fillId="40" borderId="92" xfId="11" applyFont="1" applyFill="1" applyBorder="1" applyAlignment="1">
      <alignment horizontal="center" vertical="center" wrapText="1"/>
    </xf>
    <xf numFmtId="0" fontId="57" fillId="0" borderId="97" xfId="11" applyFont="1" applyBorder="1" applyAlignment="1">
      <alignment horizontal="left" wrapText="1"/>
    </xf>
    <xf numFmtId="0" fontId="65" fillId="0" borderId="92" xfId="11" applyFont="1" applyBorder="1" applyAlignment="1">
      <alignment vertical="center"/>
    </xf>
    <xf numFmtId="4" fontId="79" fillId="0" borderId="92" xfId="11" applyNumberFormat="1" applyFont="1" applyBorder="1" applyAlignment="1">
      <alignment horizontal="center" vertical="center" wrapText="1"/>
    </xf>
    <xf numFmtId="184" fontId="80" fillId="0" borderId="92" xfId="11" applyNumberFormat="1" applyFont="1" applyBorder="1" applyAlignment="1">
      <alignment horizontal="center" vertical="center" wrapText="1"/>
    </xf>
    <xf numFmtId="10" fontId="80" fillId="0" borderId="92" xfId="11" applyNumberFormat="1" applyFont="1" applyBorder="1" applyAlignment="1">
      <alignment horizontal="center" vertical="center" wrapText="1"/>
    </xf>
    <xf numFmtId="185" fontId="81" fillId="0" borderId="92" xfId="12" applyNumberFormat="1" applyFont="1" applyBorder="1" applyAlignment="1">
      <alignment horizontal="center" vertical="center" wrapText="1"/>
    </xf>
    <xf numFmtId="184" fontId="81" fillId="0" borderId="92" xfId="11" applyNumberFormat="1" applyFont="1" applyBorder="1" applyAlignment="1">
      <alignment horizontal="center" vertical="center" wrapText="1"/>
    </xf>
    <xf numFmtId="184" fontId="82" fillId="0" borderId="92" xfId="11" applyNumberFormat="1" applyFont="1" applyBorder="1" applyAlignment="1">
      <alignment horizontal="center" vertical="center" wrapText="1"/>
    </xf>
    <xf numFmtId="10" fontId="82" fillId="0" borderId="92" xfId="11" applyNumberFormat="1" applyFont="1" applyBorder="1" applyAlignment="1">
      <alignment horizontal="center" vertical="center" wrapText="1"/>
    </xf>
    <xf numFmtId="184" fontId="83" fillId="0" borderId="92" xfId="11" applyNumberFormat="1" applyFont="1" applyBorder="1" applyAlignment="1">
      <alignment horizontal="center" vertical="center" wrapText="1"/>
    </xf>
    <xf numFmtId="10" fontId="83" fillId="0" borderId="92" xfId="11" applyNumberFormat="1" applyFont="1" applyBorder="1" applyAlignment="1">
      <alignment horizontal="center" vertical="center" wrapText="1"/>
    </xf>
    <xf numFmtId="0" fontId="57" fillId="35" borderId="97" xfId="11" applyFont="1" applyFill="1" applyBorder="1" applyAlignment="1">
      <alignment horizontal="left" wrapText="1"/>
    </xf>
    <xf numFmtId="0" fontId="65" fillId="42" borderId="92" xfId="11" applyFont="1" applyFill="1" applyBorder="1" applyAlignment="1">
      <alignment vertical="center"/>
    </xf>
    <xf numFmtId="4" fontId="79" fillId="42" borderId="92" xfId="11" applyNumberFormat="1" applyFont="1" applyFill="1" applyBorder="1" applyAlignment="1">
      <alignment horizontal="center" vertical="center" wrapText="1"/>
    </xf>
    <xf numFmtId="184" fontId="80" fillId="42" borderId="92" xfId="11" applyNumberFormat="1" applyFont="1" applyFill="1" applyBorder="1" applyAlignment="1">
      <alignment horizontal="center" vertical="center" wrapText="1"/>
    </xf>
    <xf numFmtId="10" fontId="80" fillId="42" borderId="92" xfId="11" applyNumberFormat="1" applyFont="1" applyFill="1" applyBorder="1" applyAlignment="1">
      <alignment horizontal="center" vertical="center" wrapText="1"/>
    </xf>
    <xf numFmtId="185" fontId="81" fillId="42" borderId="92" xfId="12" applyNumberFormat="1" applyFont="1" applyFill="1" applyBorder="1" applyAlignment="1">
      <alignment horizontal="center" vertical="center" wrapText="1"/>
    </xf>
    <xf numFmtId="184" fontId="81" fillId="42" borderId="92" xfId="11" applyNumberFormat="1" applyFont="1" applyFill="1" applyBorder="1" applyAlignment="1">
      <alignment horizontal="center" vertical="center" wrapText="1"/>
    </xf>
    <xf numFmtId="184" fontId="82" fillId="42" borderId="92" xfId="11" applyNumberFormat="1" applyFont="1" applyFill="1" applyBorder="1" applyAlignment="1">
      <alignment horizontal="center" vertical="center" wrapText="1"/>
    </xf>
    <xf numFmtId="10" fontId="82" fillId="42" borderId="92" xfId="11" applyNumberFormat="1" applyFont="1" applyFill="1" applyBorder="1" applyAlignment="1">
      <alignment horizontal="center" vertical="center" wrapText="1"/>
    </xf>
    <xf numFmtId="184" fontId="83" fillId="42" borderId="92" xfId="11" applyNumberFormat="1" applyFont="1" applyFill="1" applyBorder="1" applyAlignment="1">
      <alignment horizontal="center" vertical="center" wrapText="1"/>
    </xf>
    <xf numFmtId="10" fontId="83" fillId="42" borderId="92" xfId="11" applyNumberFormat="1" applyFont="1" applyFill="1" applyBorder="1" applyAlignment="1">
      <alignment horizontal="center" vertical="center" wrapText="1"/>
    </xf>
    <xf numFmtId="184" fontId="84" fillId="0" borderId="93" xfId="11" applyNumberFormat="1" applyFont="1" applyBorder="1" applyAlignment="1">
      <alignment vertical="center" wrapText="1"/>
    </xf>
    <xf numFmtId="184" fontId="84" fillId="0" borderId="96" xfId="11" applyNumberFormat="1" applyFont="1" applyBorder="1" applyAlignment="1">
      <alignment vertical="center" wrapText="1"/>
    </xf>
    <xf numFmtId="184" fontId="84" fillId="0" borderId="91" xfId="11" applyNumberFormat="1" applyFont="1" applyBorder="1" applyAlignment="1">
      <alignment vertical="center" wrapText="1"/>
    </xf>
    <xf numFmtId="9" fontId="74" fillId="48" borderId="92" xfId="11" applyNumberFormat="1" applyFont="1" applyFill="1" applyBorder="1" applyAlignment="1">
      <alignment horizontal="center" vertical="center" wrapText="1"/>
    </xf>
    <xf numFmtId="0" fontId="93" fillId="47" borderId="92" xfId="11" applyFont="1" applyFill="1" applyBorder="1" applyAlignment="1">
      <alignment horizontal="center" vertical="center"/>
    </xf>
    <xf numFmtId="3" fontId="97" fillId="34" borderId="92" xfId="11" applyNumberFormat="1" applyFont="1" applyFill="1" applyBorder="1" applyAlignment="1">
      <alignment horizontal="center" vertical="center"/>
    </xf>
    <xf numFmtId="3" fontId="61" fillId="0" borderId="92" xfId="11" applyNumberFormat="1" applyFont="1" applyBorder="1" applyAlignment="1">
      <alignment horizontal="center" vertical="center"/>
    </xf>
    <xf numFmtId="3" fontId="61" fillId="0" borderId="92" xfId="11" applyNumberFormat="1" applyFont="1" applyBorder="1" applyAlignment="1">
      <alignment horizontal="center" vertical="center" wrapText="1"/>
    </xf>
    <xf numFmtId="3" fontId="98" fillId="0" borderId="92" xfId="11" applyNumberFormat="1" applyFont="1" applyBorder="1" applyAlignment="1">
      <alignment horizontal="center" vertical="center"/>
    </xf>
    <xf numFmtId="3" fontId="87" fillId="49" borderId="92" xfId="11" applyNumberFormat="1" applyFont="1" applyFill="1" applyBorder="1" applyAlignment="1">
      <alignment horizontal="center" vertical="center"/>
    </xf>
    <xf numFmtId="3" fontId="99" fillId="33" borderId="92" xfId="11" applyNumberFormat="1" applyFont="1" applyFill="1" applyBorder="1" applyAlignment="1">
      <alignment horizontal="center" vertical="center"/>
    </xf>
    <xf numFmtId="3" fontId="99" fillId="33" borderId="92" xfId="11" applyNumberFormat="1" applyFont="1" applyFill="1" applyBorder="1" applyAlignment="1">
      <alignment horizontal="center" vertical="center" wrapText="1"/>
    </xf>
    <xf numFmtId="3" fontId="97" fillId="33" borderId="92" xfId="11" applyNumberFormat="1" applyFont="1" applyFill="1" applyBorder="1" applyAlignment="1">
      <alignment horizontal="center" vertical="center"/>
    </xf>
    <xf numFmtId="0" fontId="88" fillId="49" borderId="92" xfId="11" applyFont="1" applyFill="1" applyBorder="1" applyAlignment="1">
      <alignment horizontal="center" vertical="center" wrapText="1"/>
    </xf>
    <xf numFmtId="9" fontId="17" fillId="30" borderId="92" xfId="13" applyFont="1" applyFill="1" applyBorder="1" applyAlignment="1">
      <alignment horizontal="center" vertical="center"/>
    </xf>
    <xf numFmtId="164" fontId="63" fillId="30" borderId="92" xfId="14" applyNumberFormat="1" applyFont="1" applyFill="1" applyBorder="1" applyAlignment="1">
      <alignment vertical="center"/>
    </xf>
    <xf numFmtId="165" fontId="101" fillId="30" borderId="92" xfId="12" applyNumberFormat="1" applyFont="1" applyFill="1" applyBorder="1" applyAlignment="1">
      <alignment vertical="center"/>
    </xf>
    <xf numFmtId="9" fontId="17" fillId="50" borderId="92" xfId="13" applyFont="1" applyFill="1" applyBorder="1" applyAlignment="1">
      <alignment horizontal="center" vertical="center"/>
    </xf>
    <xf numFmtId="164" fontId="63" fillId="50" borderId="92" xfId="14" applyNumberFormat="1" applyFont="1" applyFill="1" applyBorder="1" applyAlignment="1">
      <alignment vertical="center"/>
    </xf>
    <xf numFmtId="165" fontId="101" fillId="50" borderId="92" xfId="12" applyNumberFormat="1" applyFont="1" applyFill="1" applyBorder="1" applyAlignment="1">
      <alignment vertical="center"/>
    </xf>
    <xf numFmtId="9" fontId="17" fillId="36" borderId="92" xfId="13" applyFont="1" applyFill="1" applyBorder="1" applyAlignment="1">
      <alignment horizontal="center" vertical="center"/>
    </xf>
    <xf numFmtId="164" fontId="63" fillId="36" borderId="92" xfId="14" applyNumberFormat="1" applyFont="1" applyFill="1" applyBorder="1" applyAlignment="1">
      <alignment vertical="center"/>
    </xf>
    <xf numFmtId="165" fontId="101" fillId="36" borderId="93" xfId="12" applyNumberFormat="1" applyFont="1" applyFill="1" applyBorder="1" applyAlignment="1">
      <alignment horizontal="center" vertical="center"/>
    </xf>
    <xf numFmtId="165" fontId="101" fillId="36" borderId="91" xfId="12" applyNumberFormat="1" applyFont="1" applyFill="1" applyBorder="1" applyAlignment="1">
      <alignment horizontal="center" vertical="center"/>
    </xf>
    <xf numFmtId="165" fontId="101" fillId="36" borderId="92" xfId="12" applyNumberFormat="1" applyFont="1" applyFill="1" applyBorder="1" applyAlignment="1">
      <alignment vertical="center"/>
    </xf>
    <xf numFmtId="165" fontId="101" fillId="2" borderId="93" xfId="12" applyNumberFormat="1" applyFont="1" applyFill="1" applyBorder="1" applyAlignment="1">
      <alignment horizontal="center" vertical="center"/>
    </xf>
    <xf numFmtId="164" fontId="101" fillId="2" borderId="91" xfId="15" applyNumberFormat="1" applyFont="1" applyFill="1" applyBorder="1" applyAlignment="1">
      <alignment horizontal="center" vertical="center"/>
    </xf>
    <xf numFmtId="9" fontId="17" fillId="53" borderId="92" xfId="13" applyFont="1" applyFill="1" applyBorder="1" applyAlignment="1">
      <alignment horizontal="center" vertical="center"/>
    </xf>
    <xf numFmtId="164" fontId="63" fillId="53" borderId="92" xfId="14" applyNumberFormat="1" applyFont="1" applyFill="1" applyBorder="1" applyAlignment="1">
      <alignment vertical="center"/>
    </xf>
    <xf numFmtId="165" fontId="101" fillId="53" borderId="92" xfId="12" applyNumberFormat="1" applyFont="1" applyFill="1" applyBorder="1" applyAlignment="1">
      <alignment vertical="center"/>
    </xf>
    <xf numFmtId="10" fontId="69" fillId="53" borderId="92" xfId="11" applyNumberFormat="1" applyFont="1" applyFill="1" applyBorder="1" applyAlignment="1" applyProtection="1">
      <alignment horizontal="center" vertical="center"/>
      <protection locked="0"/>
    </xf>
    <xf numFmtId="0" fontId="105" fillId="43" borderId="96" xfId="11" applyFont="1" applyFill="1" applyBorder="1" applyAlignment="1">
      <alignment horizontal="centerContinuous" vertical="center"/>
    </xf>
    <xf numFmtId="0" fontId="88" fillId="43" borderId="96" xfId="11" applyFont="1" applyFill="1" applyBorder="1" applyAlignment="1">
      <alignment horizontal="centerContinuous" vertical="center"/>
    </xf>
    <xf numFmtId="0" fontId="88" fillId="43" borderId="91" xfId="11" applyFont="1" applyFill="1" applyBorder="1" applyAlignment="1">
      <alignment horizontal="centerContinuous" vertical="center"/>
    </xf>
    <xf numFmtId="0" fontId="154" fillId="56" borderId="93" xfId="0" applyFont="1" applyFill="1" applyBorder="1" applyAlignment="1">
      <alignment horizontal="center" vertical="center" wrapText="1"/>
    </xf>
    <xf numFmtId="0" fontId="154" fillId="56" borderId="92" xfId="0" applyFont="1" applyFill="1" applyBorder="1" applyAlignment="1">
      <alignment horizontal="center" vertical="center" wrapText="1"/>
    </xf>
    <xf numFmtId="0" fontId="27" fillId="0" borderId="95" xfId="0" applyFont="1" applyBorder="1" applyAlignment="1">
      <alignment horizontal="center" vertical="center" wrapText="1"/>
    </xf>
    <xf numFmtId="9" fontId="27" fillId="0" borderId="95" xfId="0" applyNumberFormat="1" applyFont="1" applyBorder="1" applyAlignment="1">
      <alignment vertical="center" wrapText="1"/>
    </xf>
    <xf numFmtId="43" fontId="27" fillId="0" borderId="95" xfId="15" applyFont="1" applyBorder="1" applyAlignment="1">
      <alignment horizontal="center" vertical="center"/>
    </xf>
    <xf numFmtId="164" fontId="27" fillId="0" borderId="95" xfId="15" applyNumberFormat="1" applyFont="1" applyBorder="1" applyAlignment="1">
      <alignment horizontal="center" vertical="center"/>
    </xf>
    <xf numFmtId="164" fontId="2" fillId="56" borderId="96" xfId="15" applyNumberFormat="1" applyFont="1" applyFill="1" applyBorder="1" applyAlignment="1">
      <alignment vertical="center"/>
    </xf>
    <xf numFmtId="43" fontId="2" fillId="56" borderId="96" xfId="15" applyFont="1" applyFill="1" applyBorder="1" applyAlignment="1">
      <alignment vertical="center"/>
    </xf>
    <xf numFmtId="4" fontId="27" fillId="0" borderId="95" xfId="0" applyNumberFormat="1" applyFont="1" applyBorder="1" applyAlignment="1">
      <alignment horizontal="center" vertical="center"/>
    </xf>
    <xf numFmtId="0" fontId="27" fillId="0" borderId="95" xfId="0" applyFont="1" applyBorder="1" applyAlignment="1">
      <alignment horizontal="center" vertical="center"/>
    </xf>
    <xf numFmtId="43" fontId="2" fillId="56" borderId="96" xfId="0" applyNumberFormat="1" applyFont="1" applyFill="1" applyBorder="1" applyAlignment="1">
      <alignment vertical="center"/>
    </xf>
    <xf numFmtId="0" fontId="86" fillId="76" borderId="93" xfId="0" applyFont="1" applyFill="1" applyBorder="1" applyAlignment="1">
      <alignment horizontal="center" vertical="center" wrapText="1"/>
    </xf>
    <xf numFmtId="0" fontId="157" fillId="75" borderId="95" xfId="0" applyFont="1" applyFill="1" applyBorder="1" applyAlignment="1">
      <alignment horizontal="center" vertical="center" wrapText="1"/>
    </xf>
    <xf numFmtId="0" fontId="86" fillId="76" borderId="92" xfId="0" applyFont="1" applyFill="1" applyBorder="1" applyAlignment="1">
      <alignment horizontal="center" vertical="center" wrapText="1"/>
    </xf>
    <xf numFmtId="0" fontId="62" fillId="0" borderId="95" xfId="0" applyFont="1" applyBorder="1" applyAlignment="1">
      <alignment horizontal="center" vertical="center" wrapText="1"/>
    </xf>
    <xf numFmtId="9" fontId="62" fillId="0" borderId="95" xfId="0" applyNumberFormat="1" applyFont="1" applyBorder="1" applyAlignment="1">
      <alignment vertical="center" wrapText="1"/>
    </xf>
    <xf numFmtId="4" fontId="62" fillId="0" borderId="95" xfId="0" applyNumberFormat="1" applyFont="1" applyBorder="1" applyAlignment="1">
      <alignment horizontal="center" vertical="center"/>
    </xf>
    <xf numFmtId="4" fontId="62" fillId="0" borderId="95" xfId="0" applyNumberFormat="1" applyFont="1" applyBorder="1" applyAlignment="1">
      <alignment horizontal="right" vertical="center"/>
    </xf>
    <xf numFmtId="0" fontId="62" fillId="0" borderId="95" xfId="0" applyFont="1" applyBorder="1" applyAlignment="1">
      <alignment horizontal="right" vertical="center"/>
    </xf>
    <xf numFmtId="3" fontId="26" fillId="76" borderId="96" xfId="0" applyNumberFormat="1" applyFont="1" applyFill="1" applyBorder="1" applyAlignment="1">
      <alignment vertical="center"/>
    </xf>
    <xf numFmtId="4" fontId="26" fillId="76" borderId="96" xfId="0" applyNumberFormat="1" applyFont="1" applyFill="1" applyBorder="1" applyAlignment="1">
      <alignment vertical="center"/>
    </xf>
    <xf numFmtId="0" fontId="123" fillId="0" borderId="92" xfId="0" applyFont="1" applyBorder="1" applyAlignment="1">
      <alignment horizontal="center" vertical="center"/>
    </xf>
    <xf numFmtId="0" fontId="123" fillId="28" borderId="92" xfId="0" applyFont="1" applyFill="1" applyBorder="1" applyAlignment="1">
      <alignment horizontal="center" vertical="center"/>
    </xf>
    <xf numFmtId="0" fontId="124" fillId="31" borderId="92" xfId="0" applyFont="1" applyFill="1" applyBorder="1"/>
    <xf numFmtId="0" fontId="124" fillId="36" borderId="92" xfId="0" applyFont="1" applyFill="1" applyBorder="1"/>
    <xf numFmtId="0" fontId="130" fillId="57" borderId="97" xfId="0" applyFont="1" applyFill="1" applyBorder="1" applyAlignment="1">
      <alignment horizontal="center" vertical="center"/>
    </xf>
    <xf numFmtId="0" fontId="132" fillId="59" borderId="96" xfId="0" applyFont="1" applyFill="1" applyBorder="1" applyAlignment="1">
      <alignment wrapText="1"/>
    </xf>
    <xf numFmtId="0" fontId="132" fillId="57" borderId="92" xfId="0" applyFont="1" applyFill="1" applyBorder="1" applyAlignment="1">
      <alignment wrapText="1"/>
    </xf>
    <xf numFmtId="185" fontId="133" fillId="60" borderId="92" xfId="1" applyNumberFormat="1" applyFont="1" applyFill="1" applyBorder="1" applyAlignment="1">
      <alignment horizontal="left" vertical="center" wrapText="1"/>
    </xf>
    <xf numFmtId="164" fontId="133" fillId="57" borderId="96" xfId="15" applyNumberFormat="1" applyFont="1" applyFill="1" applyBorder="1" applyAlignment="1">
      <alignment horizontal="center" vertical="center" wrapText="1"/>
    </xf>
    <xf numFmtId="44" fontId="133" fillId="60" borderId="92" xfId="1" applyFont="1" applyFill="1" applyBorder="1" applyAlignment="1">
      <alignment horizontal="left" vertical="center" wrapText="1"/>
    </xf>
    <xf numFmtId="165" fontId="133" fillId="60" borderId="92" xfId="1" applyNumberFormat="1" applyFont="1" applyFill="1" applyBorder="1" applyAlignment="1">
      <alignment horizontal="left" vertical="center" wrapText="1"/>
    </xf>
    <xf numFmtId="0" fontId="134" fillId="6" borderId="92" xfId="0" applyFont="1" applyFill="1" applyBorder="1" applyAlignment="1">
      <alignment horizontal="center" vertical="center"/>
    </xf>
    <xf numFmtId="0" fontId="135" fillId="36" borderId="92" xfId="0" applyFont="1" applyFill="1" applyBorder="1" applyAlignment="1">
      <alignment horizontal="left" vertical="center" wrapText="1"/>
    </xf>
    <xf numFmtId="1" fontId="135" fillId="36" borderId="92" xfId="0" applyNumberFormat="1" applyFont="1" applyFill="1" applyBorder="1" applyAlignment="1">
      <alignment horizontal="center" vertical="center" wrapText="1"/>
    </xf>
    <xf numFmtId="0" fontId="135" fillId="36" borderId="92" xfId="0" applyFont="1" applyFill="1" applyBorder="1" applyAlignment="1">
      <alignment horizontal="center" vertical="center" wrapText="1"/>
    </xf>
    <xf numFmtId="44" fontId="135" fillId="31" borderId="92" xfId="1" applyFont="1" applyFill="1" applyBorder="1" applyAlignment="1">
      <alignment horizontal="left" vertical="center" wrapText="1"/>
    </xf>
    <xf numFmtId="190" fontId="135" fillId="36" borderId="92" xfId="1" applyNumberFormat="1" applyFont="1" applyFill="1" applyBorder="1" applyAlignment="1">
      <alignment horizontal="left" vertical="center" wrapText="1"/>
    </xf>
    <xf numFmtId="1" fontId="135" fillId="36" borderId="92" xfId="15" applyNumberFormat="1" applyFont="1" applyFill="1" applyBorder="1" applyAlignment="1">
      <alignment horizontal="center" vertical="center" wrapText="1"/>
    </xf>
    <xf numFmtId="185" fontId="135" fillId="31" borderId="92" xfId="1" applyNumberFormat="1" applyFont="1" applyFill="1" applyBorder="1" applyAlignment="1">
      <alignment horizontal="left" vertical="center" wrapText="1"/>
    </xf>
    <xf numFmtId="165" fontId="135" fillId="31" borderId="92" xfId="1" applyNumberFormat="1" applyFont="1" applyFill="1" applyBorder="1" applyAlignment="1">
      <alignment horizontal="left" vertical="center" wrapText="1"/>
    </xf>
    <xf numFmtId="185" fontId="135" fillId="36" borderId="92" xfId="1" applyNumberFormat="1" applyFont="1" applyFill="1" applyBorder="1" applyAlignment="1">
      <alignment horizontal="left" vertical="center" wrapText="1"/>
    </xf>
    <xf numFmtId="164" fontId="135" fillId="36" borderId="92" xfId="15" applyNumberFormat="1" applyFont="1" applyFill="1" applyBorder="1" applyAlignment="1">
      <alignment horizontal="left" vertical="center" wrapText="1"/>
    </xf>
    <xf numFmtId="0" fontId="138" fillId="7" borderId="92" xfId="0" applyFont="1" applyFill="1" applyBorder="1" applyAlignment="1">
      <alignment horizontal="center" vertical="center"/>
    </xf>
    <xf numFmtId="0" fontId="149" fillId="73" borderId="92" xfId="0" applyFont="1" applyFill="1" applyBorder="1"/>
    <xf numFmtId="0" fontId="148" fillId="10" borderId="92" xfId="0" applyFont="1" applyFill="1" applyBorder="1" applyAlignment="1">
      <alignment horizontal="center" vertical="center"/>
    </xf>
    <xf numFmtId="0" fontId="36" fillId="0" borderId="92" xfId="0" applyFont="1" applyBorder="1" applyAlignment="1">
      <alignment horizontal="center"/>
    </xf>
    <xf numFmtId="193" fontId="36" fillId="0" borderId="92" xfId="0" applyNumberFormat="1" applyFont="1" applyBorder="1"/>
    <xf numFmtId="0" fontId="149" fillId="10" borderId="92" xfId="0" applyFont="1" applyFill="1" applyBorder="1"/>
    <xf numFmtId="4" fontId="150" fillId="10" borderId="92" xfId="0" applyNumberFormat="1" applyFont="1" applyFill="1" applyBorder="1" applyAlignment="1">
      <alignment horizontal="center" vertical="center"/>
    </xf>
    <xf numFmtId="0" fontId="2" fillId="0" borderId="92" xfId="0" applyFont="1" applyBorder="1" applyAlignment="1">
      <alignment horizontal="center"/>
    </xf>
    <xf numFmtId="0" fontId="0" fillId="2" borderId="92" xfId="0" applyFill="1" applyBorder="1" applyAlignment="1">
      <alignment horizontal="center"/>
    </xf>
    <xf numFmtId="1" fontId="2" fillId="2" borderId="93" xfId="0" applyNumberFormat="1" applyFont="1" applyFill="1" applyBorder="1" applyAlignment="1">
      <alignment horizontal="center"/>
    </xf>
    <xf numFmtId="44" fontId="146" fillId="2" borderId="92" xfId="0" applyNumberFormat="1" applyFont="1" applyFill="1" applyBorder="1"/>
    <xf numFmtId="0" fontId="2" fillId="0" borderId="92" xfId="0" applyFont="1" applyBorder="1" applyAlignment="1">
      <alignment horizontal="center" vertical="center" wrapText="1"/>
    </xf>
    <xf numFmtId="0" fontId="0" fillId="0" borderId="92" xfId="0" applyBorder="1" applyAlignment="1">
      <alignment horizontal="center" vertical="center"/>
    </xf>
    <xf numFmtId="44" fontId="0" fillId="0" borderId="92" xfId="1" applyFont="1" applyBorder="1" applyAlignment="1">
      <alignment horizontal="center" vertical="center"/>
    </xf>
    <xf numFmtId="44" fontId="2" fillId="0" borderId="92" xfId="1" applyFont="1" applyBorder="1" applyAlignment="1">
      <alignment horizontal="center" vertical="center"/>
    </xf>
    <xf numFmtId="1" fontId="0" fillId="0" borderId="92" xfId="1" applyNumberFormat="1" applyFont="1" applyBorder="1" applyAlignment="1">
      <alignment horizontal="center" vertical="center"/>
    </xf>
    <xf numFmtId="0" fontId="0" fillId="0" borderId="92" xfId="1" applyNumberFormat="1" applyFont="1" applyBorder="1" applyAlignment="1">
      <alignment horizontal="center" vertical="center"/>
    </xf>
    <xf numFmtId="166" fontId="15" fillId="6" borderId="92" xfId="4" applyNumberFormat="1" applyFont="1" applyFill="1" applyBorder="1" applyAlignment="1">
      <alignment horizontal="center" vertical="center" wrapText="1"/>
    </xf>
    <xf numFmtId="0" fontId="15" fillId="6" borderId="92" xfId="4" applyFont="1" applyFill="1" applyBorder="1" applyAlignment="1">
      <alignment horizontal="center" vertical="center" wrapText="1"/>
    </xf>
    <xf numFmtId="0" fontId="16" fillId="6" borderId="93" xfId="4" applyFont="1" applyFill="1" applyBorder="1" applyAlignment="1">
      <alignment horizontal="center" vertical="center"/>
    </xf>
    <xf numFmtId="4" fontId="16" fillId="6" borderId="92" xfId="4" applyNumberFormat="1" applyFont="1" applyFill="1" applyBorder="1" applyAlignment="1">
      <alignment horizontal="right" vertical="center"/>
    </xf>
    <xf numFmtId="167" fontId="16" fillId="6" borderId="92" xfId="5" applyFont="1" applyFill="1" applyBorder="1" applyAlignment="1" applyProtection="1">
      <alignment horizontal="center"/>
    </xf>
    <xf numFmtId="168" fontId="16" fillId="6" borderId="92" xfId="4" applyNumberFormat="1" applyFont="1" applyFill="1" applyBorder="1" applyAlignment="1">
      <alignment horizontal="center"/>
    </xf>
    <xf numFmtId="169" fontId="16" fillId="6" borderId="92" xfId="4" applyNumberFormat="1" applyFont="1" applyFill="1" applyBorder="1" applyAlignment="1">
      <alignment horizontal="center"/>
    </xf>
    <xf numFmtId="170" fontId="16" fillId="6" borderId="92" xfId="4" applyNumberFormat="1" applyFont="1" applyFill="1" applyBorder="1" applyAlignment="1">
      <alignment horizontal="right" vertical="center"/>
    </xf>
    <xf numFmtId="0" fontId="18" fillId="6" borderId="92" xfId="3" applyNumberFormat="1" applyFont="1" applyFill="1" applyBorder="1" applyAlignment="1" applyProtection="1">
      <alignment horizontal="center"/>
    </xf>
    <xf numFmtId="167" fontId="16" fillId="6" borderId="91" xfId="5" applyFont="1" applyFill="1" applyBorder="1" applyAlignment="1" applyProtection="1">
      <alignment horizontal="center"/>
    </xf>
    <xf numFmtId="0" fontId="20" fillId="6" borderId="92" xfId="3" applyNumberFormat="1" applyFont="1" applyFill="1" applyBorder="1" applyAlignment="1" applyProtection="1">
      <alignment horizontal="center"/>
    </xf>
    <xf numFmtId="165" fontId="6" fillId="7" borderId="92" xfId="1" applyNumberFormat="1" applyFont="1" applyFill="1" applyBorder="1" applyAlignment="1">
      <alignment vertical="center"/>
    </xf>
    <xf numFmtId="0" fontId="22" fillId="56" borderId="95" xfId="0" applyFont="1" applyFill="1" applyBorder="1" applyAlignment="1">
      <alignment horizontal="center" vertical="center" wrapText="1"/>
    </xf>
    <xf numFmtId="0" fontId="183" fillId="81" borderId="90" xfId="23" applyFont="1" applyFill="1" applyBorder="1" applyAlignment="1">
      <alignment horizontal="center"/>
    </xf>
    <xf numFmtId="196" fontId="22" fillId="87" borderId="96" xfId="15" applyNumberFormat="1" applyFont="1" applyFill="1" applyBorder="1" applyAlignment="1">
      <alignment horizontal="center" vertical="center"/>
    </xf>
    <xf numFmtId="0" fontId="183" fillId="0" borderId="94" xfId="23" applyFont="1" applyBorder="1" applyAlignment="1">
      <alignment wrapText="1"/>
    </xf>
    <xf numFmtId="0" fontId="183" fillId="0" borderId="94" xfId="23" applyFont="1" applyBorder="1" applyAlignment="1">
      <alignment horizontal="right" wrapText="1"/>
    </xf>
    <xf numFmtId="196" fontId="22" fillId="87" borderId="95" xfId="15" applyNumberFormat="1" applyFont="1" applyFill="1" applyBorder="1" applyAlignment="1">
      <alignment horizontal="center" vertical="center"/>
    </xf>
    <xf numFmtId="10" fontId="27" fillId="36" borderId="95" xfId="16" applyNumberFormat="1" applyFont="1" applyFill="1" applyBorder="1" applyAlignment="1">
      <alignment horizontal="center" vertical="center"/>
    </xf>
    <xf numFmtId="10" fontId="22" fillId="36" borderId="95" xfId="16" applyNumberFormat="1" applyFont="1" applyFill="1" applyBorder="1" applyAlignment="1">
      <alignment horizontal="center" vertical="center"/>
    </xf>
    <xf numFmtId="10" fontId="22" fillId="88" borderId="95" xfId="16" applyNumberFormat="1" applyFont="1" applyFill="1" applyBorder="1" applyAlignment="1">
      <alignment horizontal="center" vertical="center"/>
    </xf>
    <xf numFmtId="10" fontId="27" fillId="0" borderId="95" xfId="16" applyNumberFormat="1" applyFont="1" applyBorder="1" applyAlignment="1">
      <alignment horizontal="center" vertical="center"/>
    </xf>
    <xf numFmtId="164" fontId="22" fillId="56" borderId="96" xfId="15" applyNumberFormat="1" applyFont="1" applyFill="1" applyBorder="1" applyAlignment="1">
      <alignment vertical="center" wrapText="1"/>
    </xf>
    <xf numFmtId="43" fontId="22" fillId="56" borderId="96" xfId="15" applyFont="1" applyFill="1" applyBorder="1" applyAlignment="1">
      <alignment vertical="center"/>
    </xf>
    <xf numFmtId="0" fontId="192" fillId="56" borderId="96" xfId="0" applyFont="1" applyFill="1" applyBorder="1" applyAlignment="1">
      <alignment horizontal="right" vertical="center"/>
    </xf>
    <xf numFmtId="0" fontId="191" fillId="56" borderId="96" xfId="0" applyFont="1" applyFill="1" applyBorder="1" applyAlignment="1">
      <alignment vertical="center"/>
    </xf>
    <xf numFmtId="0" fontId="179" fillId="80" borderId="92" xfId="19" applyFont="1" applyFill="1" applyBorder="1" applyAlignment="1">
      <alignment horizontal="center" vertical="center" wrapText="1"/>
    </xf>
    <xf numFmtId="43" fontId="182" fillId="80" borderId="92" xfId="15" applyFont="1" applyFill="1" applyBorder="1" applyAlignment="1">
      <alignment horizontal="center" vertical="center" wrapText="1"/>
    </xf>
    <xf numFmtId="43" fontId="182" fillId="80" borderId="93" xfId="15" applyFont="1" applyFill="1" applyBorder="1" applyAlignment="1">
      <alignment horizontal="center" vertical="center" wrapText="1"/>
    </xf>
    <xf numFmtId="43" fontId="182" fillId="80" borderId="91" xfId="15" applyFont="1" applyFill="1" applyBorder="1" applyAlignment="1">
      <alignment horizontal="center" vertical="center" wrapText="1"/>
    </xf>
    <xf numFmtId="43" fontId="175" fillId="35" borderId="92" xfId="2" applyNumberFormat="1" applyFont="1" applyFill="1" applyBorder="1" applyAlignment="1">
      <alignment horizontal="right" vertical="center" wrapText="1"/>
    </xf>
    <xf numFmtId="194" fontId="182" fillId="80" borderId="92" xfId="18" applyFont="1" applyFill="1" applyBorder="1" applyAlignment="1">
      <alignment horizontal="center" vertical="center" wrapText="1"/>
    </xf>
    <xf numFmtId="194" fontId="182" fillId="80" borderId="93" xfId="18" applyFont="1" applyFill="1" applyBorder="1" applyAlignment="1">
      <alignment horizontal="center" vertical="center" wrapText="1"/>
    </xf>
    <xf numFmtId="194" fontId="182" fillId="80" borderId="91" xfId="18" applyFont="1" applyFill="1" applyBorder="1" applyAlignment="1">
      <alignment horizontal="center" vertical="center" wrapText="1"/>
    </xf>
    <xf numFmtId="0" fontId="167" fillId="0" borderId="4" xfId="0" applyFont="1" applyBorder="1" applyAlignment="1">
      <alignment horizontal="center"/>
    </xf>
    <xf numFmtId="174" fontId="6" fillId="2" borderId="1" xfId="1" applyNumberFormat="1" applyFont="1" applyFill="1" applyBorder="1" applyAlignment="1">
      <alignment horizontal="right" vertical="center"/>
    </xf>
    <xf numFmtId="187" fontId="2" fillId="0" borderId="0" xfId="0" applyNumberFormat="1" applyFont="1" applyAlignment="1">
      <alignment horizontal="center" vertical="center"/>
    </xf>
    <xf numFmtId="174" fontId="2" fillId="0" borderId="0" xfId="0" applyNumberFormat="1" applyFont="1" applyAlignment="1">
      <alignment horizontal="center" vertical="center"/>
    </xf>
    <xf numFmtId="44" fontId="0" fillId="0" borderId="0" xfId="0" applyNumberFormat="1"/>
    <xf numFmtId="0" fontId="0" fillId="2" borderId="0" xfId="0" applyFill="1" applyAlignment="1">
      <alignment horizontal="right" vertical="center"/>
    </xf>
    <xf numFmtId="174" fontId="0" fillId="2" borderId="0" xfId="0" applyNumberFormat="1" applyFill="1" applyAlignment="1">
      <alignment vertical="center"/>
    </xf>
    <xf numFmtId="165" fontId="7" fillId="8" borderId="1" xfId="1" applyNumberFormat="1" applyFont="1" applyFill="1" applyBorder="1" applyAlignment="1">
      <alignment horizontal="right" vertical="center"/>
    </xf>
    <xf numFmtId="165" fontId="164" fillId="0" borderId="0" xfId="0" applyNumberFormat="1" applyFont="1"/>
    <xf numFmtId="165" fontId="165" fillId="31" borderId="1" xfId="0" applyNumberFormat="1" applyFont="1" applyFill="1" applyBorder="1" applyAlignment="1">
      <alignment horizontal="center" vertical="center"/>
    </xf>
    <xf numFmtId="165" fontId="165" fillId="29" borderId="1" xfId="0" applyNumberFormat="1" applyFont="1" applyFill="1" applyBorder="1" applyAlignment="1">
      <alignment horizontal="center" vertical="center"/>
    </xf>
    <xf numFmtId="165" fontId="164" fillId="0" borderId="1" xfId="1" applyNumberFormat="1" applyFont="1" applyBorder="1"/>
    <xf numFmtId="165" fontId="165" fillId="8" borderId="1" xfId="0" applyNumberFormat="1" applyFont="1" applyFill="1" applyBorder="1" applyAlignment="1">
      <alignment horizontal="center" vertical="center"/>
    </xf>
    <xf numFmtId="165" fontId="166" fillId="0" borderId="1" xfId="1" applyNumberFormat="1" applyFont="1" applyBorder="1"/>
    <xf numFmtId="165" fontId="62" fillId="0" borderId="1" xfId="1" applyNumberFormat="1" applyFont="1" applyBorder="1"/>
    <xf numFmtId="165" fontId="165" fillId="28" borderId="1" xfId="0" applyNumberFormat="1" applyFont="1" applyFill="1" applyBorder="1" applyAlignment="1">
      <alignment horizontal="center" vertical="center"/>
    </xf>
    <xf numFmtId="165" fontId="164" fillId="28" borderId="1" xfId="1" applyNumberFormat="1" applyFont="1" applyFill="1" applyBorder="1"/>
    <xf numFmtId="165" fontId="164" fillId="0" borderId="1" xfId="1" applyNumberFormat="1" applyFont="1" applyFill="1" applyBorder="1"/>
    <xf numFmtId="170" fontId="15" fillId="6" borderId="98" xfId="7" applyNumberFormat="1" applyFont="1" applyFill="1" applyBorder="1" applyAlignment="1" applyProtection="1">
      <alignment horizontal="right" vertical="center" wrapText="1"/>
      <protection locked="0"/>
    </xf>
    <xf numFmtId="0" fontId="137" fillId="0" borderId="0" xfId="0" applyFont="1" applyAlignment="1">
      <alignment horizontal="center" vertical="center"/>
    </xf>
    <xf numFmtId="165" fontId="165" fillId="5" borderId="2" xfId="0" applyNumberFormat="1" applyFont="1" applyFill="1" applyBorder="1" applyAlignment="1">
      <alignment horizontal="center" vertical="center"/>
    </xf>
    <xf numFmtId="165" fontId="164" fillId="0" borderId="92" xfId="0" applyNumberFormat="1" applyFont="1" applyBorder="1"/>
    <xf numFmtId="0" fontId="167" fillId="0" borderId="0" xfId="0" applyFont="1" applyAlignment="1">
      <alignment horizontal="center"/>
    </xf>
    <xf numFmtId="165" fontId="165" fillId="92" borderId="99" xfId="1" applyNumberFormat="1" applyFont="1" applyFill="1" applyBorder="1"/>
    <xf numFmtId="165" fontId="165" fillId="0" borderId="99" xfId="1" applyNumberFormat="1" applyFont="1" applyBorder="1"/>
    <xf numFmtId="0" fontId="165" fillId="0" borderId="0" xfId="0" applyFont="1" applyAlignment="1">
      <alignment horizontal="center"/>
    </xf>
    <xf numFmtId="0" fontId="179" fillId="92" borderId="92" xfId="0" applyFont="1" applyFill="1" applyBorder="1" applyAlignment="1">
      <alignment horizontal="center" vertical="center" wrapText="1"/>
    </xf>
    <xf numFmtId="14" fontId="179" fillId="92" borderId="92" xfId="0" applyNumberFormat="1" applyFont="1" applyFill="1" applyBorder="1" applyAlignment="1">
      <alignment horizontal="center" vertical="center" wrapText="1"/>
    </xf>
    <xf numFmtId="0" fontId="0" fillId="93" borderId="92" xfId="0" applyFill="1" applyBorder="1" applyAlignment="1">
      <alignment horizontal="center" vertical="center" wrapText="1"/>
    </xf>
    <xf numFmtId="0" fontId="2" fillId="29" borderId="92" xfId="0" applyFont="1" applyFill="1" applyBorder="1" applyAlignment="1">
      <alignment horizontal="center" vertical="center" wrapText="1"/>
    </xf>
    <xf numFmtId="0" fontId="203" fillId="2" borderId="92" xfId="0" applyFont="1" applyFill="1" applyBorder="1" applyAlignment="1">
      <alignment horizontal="center" vertical="center" wrapText="1"/>
    </xf>
    <xf numFmtId="0" fontId="2" fillId="90" borderId="92" xfId="1" applyNumberFormat="1" applyFont="1" applyFill="1" applyBorder="1" applyAlignment="1">
      <alignment horizontal="center" vertical="center" wrapText="1"/>
    </xf>
    <xf numFmtId="0" fontId="0" fillId="0" borderId="92" xfId="0" applyBorder="1"/>
    <xf numFmtId="0" fontId="0" fillId="0" borderId="92" xfId="0" applyBorder="1" applyAlignment="1">
      <alignment horizontal="center"/>
    </xf>
    <xf numFmtId="14" fontId="0" fillId="0" borderId="92" xfId="0" applyNumberFormat="1" applyBorder="1"/>
    <xf numFmtId="2" fontId="0" fillId="0" borderId="92" xfId="0" applyNumberFormat="1" applyBorder="1" applyAlignment="1">
      <alignment horizontal="center"/>
    </xf>
    <xf numFmtId="14" fontId="0" fillId="0" borderId="92" xfId="0" applyNumberFormat="1" applyBorder="1" applyAlignment="1">
      <alignment horizontal="center"/>
    </xf>
    <xf numFmtId="44" fontId="0" fillId="0" borderId="92" xfId="0" applyNumberFormat="1" applyBorder="1"/>
    <xf numFmtId="2" fontId="0" fillId="0" borderId="92" xfId="0" applyNumberFormat="1" applyBorder="1"/>
    <xf numFmtId="0" fontId="167" fillId="0" borderId="0" xfId="0" applyFont="1" applyAlignment="1">
      <alignment horizontal="center"/>
    </xf>
    <xf numFmtId="0" fontId="165" fillId="3" borderId="2" xfId="0" applyFont="1" applyFill="1" applyBorder="1" applyAlignment="1">
      <alignment horizontal="center" vertical="center"/>
    </xf>
    <xf numFmtId="1" fontId="165" fillId="28" borderId="5" xfId="0" applyNumberFormat="1" applyFont="1" applyFill="1" applyBorder="1" applyAlignment="1">
      <alignment horizontal="center" vertical="center"/>
    </xf>
    <xf numFmtId="1" fontId="165" fillId="28" borderId="7" xfId="0" applyNumberFormat="1" applyFont="1" applyFill="1" applyBorder="1" applyAlignment="1">
      <alignment horizontal="center" vertical="center"/>
    </xf>
    <xf numFmtId="0" fontId="165" fillId="28" borderId="2" xfId="0" applyFont="1" applyFill="1" applyBorder="1" applyAlignment="1">
      <alignment horizontal="center" vertical="center"/>
    </xf>
    <xf numFmtId="0" fontId="165" fillId="28" borderId="3" xfId="0" applyFont="1" applyFill="1" applyBorder="1" applyAlignment="1">
      <alignment horizontal="center" vertical="center"/>
    </xf>
    <xf numFmtId="0" fontId="165" fillId="28" borderId="4" xfId="0" applyFont="1" applyFill="1" applyBorder="1" applyAlignment="1">
      <alignment horizontal="center" vertical="center"/>
    </xf>
    <xf numFmtId="0" fontId="167" fillId="0" borderId="3" xfId="0" applyFont="1" applyBorder="1" applyAlignment="1">
      <alignment horizontal="center"/>
    </xf>
    <xf numFmtId="0" fontId="167" fillId="0" borderId="4" xfId="0" applyFont="1" applyBorder="1" applyAlignment="1">
      <alignment horizontal="center"/>
    </xf>
    <xf numFmtId="0" fontId="167" fillId="0" borderId="2" xfId="0" applyFont="1" applyBorder="1" applyAlignment="1">
      <alignment horizontal="center"/>
    </xf>
    <xf numFmtId="165" fontId="167" fillId="0" borderId="2" xfId="0" applyNumberFormat="1" applyFont="1" applyBorder="1" applyAlignment="1">
      <alignment horizontal="center"/>
    </xf>
    <xf numFmtId="165" fontId="167" fillId="0" borderId="3" xfId="0" applyNumberFormat="1" applyFont="1" applyBorder="1" applyAlignment="1">
      <alignment horizontal="center"/>
    </xf>
    <xf numFmtId="165" fontId="167" fillId="0" borderId="4" xfId="0" applyNumberFormat="1" applyFont="1" applyBorder="1" applyAlignment="1">
      <alignment horizontal="center"/>
    </xf>
    <xf numFmtId="165" fontId="167" fillId="0" borderId="79" xfId="0" applyNumberFormat="1" applyFont="1" applyBorder="1" applyAlignment="1">
      <alignment horizontal="center"/>
    </xf>
    <xf numFmtId="165" fontId="167" fillId="0" borderId="2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20" fillId="56" borderId="1" xfId="0" applyFont="1" applyFill="1" applyBorder="1" applyAlignment="1">
      <alignment horizontal="left" wrapText="1"/>
    </xf>
    <xf numFmtId="0" fontId="76" fillId="39" borderId="92" xfId="11" applyFont="1" applyFill="1" applyBorder="1" applyAlignment="1">
      <alignment horizontal="center" vertical="center" wrapText="1"/>
    </xf>
    <xf numFmtId="0" fontId="77" fillId="40" borderId="92" xfId="11" applyFont="1" applyFill="1" applyBorder="1" applyAlignment="1">
      <alignment horizontal="center" vertical="center" wrapText="1"/>
    </xf>
    <xf numFmtId="10" fontId="84" fillId="0" borderId="92" xfId="11" applyNumberFormat="1" applyFont="1" applyBorder="1" applyAlignment="1">
      <alignment horizontal="center" vertical="center" wrapText="1"/>
    </xf>
    <xf numFmtId="0" fontId="86" fillId="0" borderId="92" xfId="11" applyFont="1" applyBorder="1" applyAlignment="1">
      <alignment horizontal="center" vertical="center" wrapText="1"/>
    </xf>
    <xf numFmtId="0" fontId="87" fillId="29" borderId="92" xfId="11" applyFont="1" applyFill="1" applyBorder="1" applyAlignment="1">
      <alignment horizontal="center" vertical="center"/>
    </xf>
    <xf numFmtId="0" fontId="88" fillId="43" borderId="92" xfId="11" applyFont="1" applyFill="1" applyBorder="1" applyAlignment="1">
      <alignment horizontal="center" vertical="center"/>
    </xf>
    <xf numFmtId="0" fontId="67" fillId="6" borderId="93" xfId="11" applyFont="1" applyFill="1" applyBorder="1" applyAlignment="1" applyProtection="1">
      <alignment horizontal="center" vertical="center" wrapText="1"/>
      <protection hidden="1"/>
    </xf>
    <xf numFmtId="0" fontId="67" fillId="6" borderId="96" xfId="11" applyFont="1" applyFill="1" applyBorder="1" applyAlignment="1" applyProtection="1">
      <alignment horizontal="center" vertical="center" wrapText="1"/>
      <protection hidden="1"/>
    </xf>
    <xf numFmtId="0" fontId="67" fillId="6" borderId="91" xfId="11" applyFont="1" applyFill="1" applyBorder="1" applyAlignment="1" applyProtection="1">
      <alignment horizontal="center" vertical="center" wrapText="1"/>
      <protection hidden="1"/>
    </xf>
    <xf numFmtId="0" fontId="68" fillId="6" borderId="93" xfId="11" applyFont="1" applyFill="1" applyBorder="1" applyAlignment="1" applyProtection="1">
      <alignment horizontal="center" vertical="center" wrapText="1"/>
      <protection hidden="1"/>
    </xf>
    <xf numFmtId="0" fontId="68" fillId="6" borderId="96" xfId="11" applyFont="1" applyFill="1" applyBorder="1" applyAlignment="1" applyProtection="1">
      <alignment horizontal="center" vertical="center" wrapText="1"/>
      <protection hidden="1"/>
    </xf>
    <xf numFmtId="0" fontId="68" fillId="6" borderId="91" xfId="11" applyFont="1" applyFill="1" applyBorder="1" applyAlignment="1" applyProtection="1">
      <alignment horizontal="center" vertical="center" wrapText="1"/>
      <protection hidden="1"/>
    </xf>
    <xf numFmtId="0" fontId="74" fillId="37" borderId="92" xfId="11" applyFont="1" applyFill="1" applyBorder="1" applyAlignment="1">
      <alignment horizontal="center" vertical="center" wrapText="1"/>
    </xf>
    <xf numFmtId="0" fontId="74" fillId="41" borderId="92" xfId="11" applyFont="1" applyFill="1" applyBorder="1" applyAlignment="1">
      <alignment vertical="center"/>
    </xf>
    <xf numFmtId="0" fontId="74" fillId="37" borderId="92" xfId="11" applyFont="1" applyFill="1" applyBorder="1" applyAlignment="1">
      <alignment vertical="center"/>
    </xf>
    <xf numFmtId="0" fontId="76" fillId="38" borderId="93" xfId="11" applyFont="1" applyFill="1" applyBorder="1" applyAlignment="1">
      <alignment horizontal="center" vertical="center" wrapText="1"/>
    </xf>
    <xf numFmtId="0" fontId="76" fillId="38" borderId="96" xfId="11" applyFont="1" applyFill="1" applyBorder="1" applyAlignment="1">
      <alignment horizontal="center" vertical="center" wrapText="1"/>
    </xf>
    <xf numFmtId="0" fontId="76" fillId="38" borderId="91" xfId="11" applyFont="1" applyFill="1" applyBorder="1" applyAlignment="1">
      <alignment horizontal="center" vertical="center" wrapText="1"/>
    </xf>
    <xf numFmtId="0" fontId="76" fillId="38" borderId="92" xfId="11" applyFont="1" applyFill="1" applyBorder="1" applyAlignment="1">
      <alignment horizontal="center" vertical="center" wrapText="1"/>
    </xf>
    <xf numFmtId="0" fontId="57" fillId="0" borderId="97" xfId="11" applyFont="1" applyBorder="1" applyAlignment="1">
      <alignment horizontal="left" wrapText="1"/>
    </xf>
    <xf numFmtId="0" fontId="58" fillId="0" borderId="97" xfId="11" applyFont="1" applyBorder="1" applyAlignment="1">
      <alignment horizontal="left" wrapText="1"/>
    </xf>
    <xf numFmtId="187" fontId="89" fillId="0" borderId="45" xfId="11" applyNumberFormat="1" applyFont="1" applyBorder="1" applyAlignment="1">
      <alignment horizontal="center" vertical="center"/>
    </xf>
    <xf numFmtId="187" fontId="89" fillId="0" borderId="34" xfId="11" applyNumberFormat="1" applyFont="1" applyBorder="1" applyAlignment="1">
      <alignment horizontal="center" vertical="center"/>
    </xf>
    <xf numFmtId="187" fontId="89" fillId="0" borderId="59" xfId="11" applyNumberFormat="1" applyFont="1" applyBorder="1" applyAlignment="1">
      <alignment horizontal="center" vertical="center"/>
    </xf>
    <xf numFmtId="187" fontId="89" fillId="0" borderId="60" xfId="11" applyNumberFormat="1" applyFont="1" applyBorder="1" applyAlignment="1">
      <alignment horizontal="center" vertical="center"/>
    </xf>
    <xf numFmtId="187" fontId="90" fillId="0" borderId="45" xfId="11" applyNumberFormat="1" applyFont="1" applyBorder="1" applyAlignment="1">
      <alignment horizontal="center" vertical="center"/>
    </xf>
    <xf numFmtId="187" fontId="90" fillId="0" borderId="34" xfId="11" applyNumberFormat="1" applyFont="1" applyBorder="1" applyAlignment="1">
      <alignment horizontal="center" vertical="center"/>
    </xf>
    <xf numFmtId="187" fontId="90" fillId="0" borderId="59" xfId="11" applyNumberFormat="1" applyFont="1" applyBorder="1" applyAlignment="1">
      <alignment horizontal="center" vertical="center"/>
    </xf>
    <xf numFmtId="187" fontId="90" fillId="0" borderId="60" xfId="11" applyNumberFormat="1" applyFont="1" applyBorder="1" applyAlignment="1">
      <alignment horizontal="center" vertical="center"/>
    </xf>
    <xf numFmtId="0" fontId="91" fillId="0" borderId="59" xfId="11" applyFont="1" applyBorder="1" applyAlignment="1">
      <alignment horizontal="left" vertical="top" wrapText="1"/>
    </xf>
    <xf numFmtId="0" fontId="91" fillId="0" borderId="57" xfId="11" applyFont="1" applyBorder="1" applyAlignment="1">
      <alignment horizontal="left" vertical="top" wrapText="1"/>
    </xf>
    <xf numFmtId="0" fontId="91" fillId="0" borderId="60" xfId="11" applyFont="1" applyBorder="1" applyAlignment="1">
      <alignment horizontal="left" vertical="top" wrapText="1"/>
    </xf>
    <xf numFmtId="0" fontId="61" fillId="0" borderId="59" xfId="11" applyFont="1" applyBorder="1" applyAlignment="1">
      <alignment horizontal="left" vertical="top" wrapText="1"/>
    </xf>
    <xf numFmtId="0" fontId="61" fillId="0" borderId="57" xfId="11" applyFont="1" applyBorder="1" applyAlignment="1">
      <alignment horizontal="left" vertical="top" wrapText="1"/>
    </xf>
    <xf numFmtId="0" fontId="61" fillId="0" borderId="60" xfId="11" applyFont="1" applyBorder="1" applyAlignment="1">
      <alignment horizontal="left" vertical="top" wrapText="1"/>
    </xf>
    <xf numFmtId="0" fontId="57" fillId="44" borderId="45" xfId="11" applyFont="1" applyFill="1" applyBorder="1" applyAlignment="1">
      <alignment horizontal="left" wrapText="1"/>
    </xf>
    <xf numFmtId="0" fontId="58" fillId="44" borderId="95" xfId="11" applyFont="1" applyFill="1" applyBorder="1" applyAlignment="1">
      <alignment horizontal="left" wrapText="1"/>
    </xf>
    <xf numFmtId="0" fontId="58" fillId="44" borderId="34" xfId="11" applyFont="1" applyFill="1" applyBorder="1" applyAlignment="1">
      <alignment horizontal="left" wrapText="1"/>
    </xf>
    <xf numFmtId="187" fontId="89" fillId="34" borderId="45" xfId="11" applyNumberFormat="1" applyFont="1" applyFill="1" applyBorder="1" applyAlignment="1">
      <alignment horizontal="center" vertical="center"/>
    </xf>
    <xf numFmtId="187" fontId="89" fillId="34" borderId="34" xfId="11" applyNumberFormat="1" applyFont="1" applyFill="1" applyBorder="1" applyAlignment="1">
      <alignment horizontal="center" vertical="center"/>
    </xf>
    <xf numFmtId="187" fontId="89" fillId="34" borderId="59" xfId="11" applyNumberFormat="1" applyFont="1" applyFill="1" applyBorder="1" applyAlignment="1">
      <alignment horizontal="center" vertical="center"/>
    </xf>
    <xf numFmtId="187" fontId="89" fillId="34" borderId="60" xfId="11" applyNumberFormat="1" applyFont="1" applyFill="1" applyBorder="1" applyAlignment="1">
      <alignment horizontal="center" vertical="center"/>
    </xf>
    <xf numFmtId="187" fontId="90" fillId="34" borderId="45" xfId="11" applyNumberFormat="1" applyFont="1" applyFill="1" applyBorder="1" applyAlignment="1">
      <alignment horizontal="center" vertical="center"/>
    </xf>
    <xf numFmtId="187" fontId="90" fillId="34" borderId="34" xfId="11" applyNumberFormat="1" applyFont="1" applyFill="1" applyBorder="1" applyAlignment="1">
      <alignment horizontal="center" vertical="center"/>
    </xf>
    <xf numFmtId="187" fontId="90" fillId="34" borderId="59" xfId="11" applyNumberFormat="1" applyFont="1" applyFill="1" applyBorder="1" applyAlignment="1">
      <alignment horizontal="center" vertical="center"/>
    </xf>
    <xf numFmtId="187" fontId="90" fillId="34" borderId="60" xfId="11" applyNumberFormat="1" applyFont="1" applyFill="1" applyBorder="1" applyAlignment="1">
      <alignment horizontal="center" vertical="center"/>
    </xf>
    <xf numFmtId="0" fontId="57" fillId="0" borderId="45" xfId="11" applyFont="1" applyBorder="1" applyAlignment="1">
      <alignment horizontal="left" wrapText="1"/>
    </xf>
    <xf numFmtId="0" fontId="58" fillId="0" borderId="95" xfId="11" applyFont="1" applyBorder="1" applyAlignment="1">
      <alignment horizontal="left" wrapText="1"/>
    </xf>
    <xf numFmtId="0" fontId="58" fillId="0" borderId="34" xfId="11" applyFont="1" applyBorder="1" applyAlignment="1">
      <alignment horizontal="left" wrapText="1"/>
    </xf>
    <xf numFmtId="184" fontId="95" fillId="0" borderId="0" xfId="11" applyNumberFormat="1" applyFont="1" applyAlignment="1">
      <alignment horizontal="center" vertical="center" wrapText="1"/>
    </xf>
    <xf numFmtId="184" fontId="95" fillId="0" borderId="57" xfId="11" applyNumberFormat="1" applyFont="1" applyBorder="1" applyAlignment="1">
      <alignment horizontal="center" vertical="center" wrapText="1"/>
    </xf>
    <xf numFmtId="184" fontId="96" fillId="0" borderId="0" xfId="11" applyNumberFormat="1" applyFont="1" applyAlignment="1">
      <alignment horizontal="left" vertical="center" wrapText="1"/>
    </xf>
    <xf numFmtId="0" fontId="92" fillId="47" borderId="36" xfId="11" applyFont="1" applyFill="1" applyBorder="1" applyAlignment="1">
      <alignment horizontal="left" vertical="center"/>
    </xf>
    <xf numFmtId="0" fontId="92" fillId="47" borderId="0" xfId="11" applyFont="1" applyFill="1" applyAlignment="1">
      <alignment horizontal="left" vertical="center"/>
    </xf>
    <xf numFmtId="0" fontId="92" fillId="47" borderId="35" xfId="11" applyFont="1" applyFill="1" applyBorder="1" applyAlignment="1">
      <alignment horizontal="left" vertical="center"/>
    </xf>
    <xf numFmtId="0" fontId="92" fillId="45" borderId="45" xfId="11" applyFont="1" applyFill="1" applyBorder="1" applyAlignment="1">
      <alignment horizontal="left" wrapText="1"/>
    </xf>
    <xf numFmtId="0" fontId="93" fillId="45" borderId="95" xfId="11" applyFont="1" applyFill="1" applyBorder="1" applyAlignment="1">
      <alignment horizontal="left" wrapText="1"/>
    </xf>
    <xf numFmtId="0" fontId="93" fillId="45" borderId="34" xfId="11" applyFont="1" applyFill="1" applyBorder="1" applyAlignment="1">
      <alignment horizontal="left" wrapText="1"/>
    </xf>
    <xf numFmtId="187" fontId="88" fillId="46" borderId="92" xfId="11" applyNumberFormat="1" applyFont="1" applyFill="1" applyBorder="1" applyAlignment="1">
      <alignment horizontal="center" vertical="center"/>
    </xf>
    <xf numFmtId="187" fontId="88" fillId="46" borderId="97" xfId="11" applyNumberFormat="1" applyFont="1" applyFill="1" applyBorder="1" applyAlignment="1">
      <alignment horizontal="center" vertical="center"/>
    </xf>
    <xf numFmtId="3" fontId="58" fillId="0" borderId="59" xfId="11" applyNumberFormat="1" applyFont="1" applyBorder="1" applyAlignment="1">
      <alignment horizontal="left" vertical="center"/>
    </xf>
    <xf numFmtId="3" fontId="58" fillId="0" borderId="57" xfId="11" applyNumberFormat="1" applyFont="1" applyBorder="1" applyAlignment="1">
      <alignment horizontal="left" vertical="center"/>
    </xf>
    <xf numFmtId="3" fontId="58" fillId="0" borderId="60" xfId="11" applyNumberFormat="1" applyFont="1" applyBorder="1" applyAlignment="1">
      <alignment horizontal="left" vertical="center"/>
    </xf>
    <xf numFmtId="3" fontId="57" fillId="33" borderId="92" xfId="11" applyNumberFormat="1" applyFont="1" applyFill="1" applyBorder="1" applyAlignment="1">
      <alignment horizontal="left" vertical="center"/>
    </xf>
    <xf numFmtId="0" fontId="100" fillId="0" borderId="0" xfId="11" applyFont="1" applyAlignment="1">
      <alignment horizontal="left" vertical="center" wrapText="1"/>
    </xf>
    <xf numFmtId="165" fontId="103" fillId="51" borderId="48" xfId="12" applyNumberFormat="1" applyFont="1" applyFill="1" applyBorder="1" applyAlignment="1">
      <alignment horizontal="center" vertical="center"/>
    </xf>
    <xf numFmtId="165" fontId="103" fillId="51" borderId="49" xfId="12" applyNumberFormat="1" applyFont="1" applyFill="1" applyBorder="1" applyAlignment="1">
      <alignment horizontal="center" vertical="center"/>
    </xf>
    <xf numFmtId="165" fontId="101" fillId="51" borderId="46" xfId="12" applyNumberFormat="1" applyFont="1" applyFill="1" applyBorder="1" applyAlignment="1">
      <alignment horizontal="center" vertical="center"/>
    </xf>
    <xf numFmtId="165" fontId="101" fillId="51" borderId="50" xfId="12" applyNumberFormat="1" applyFont="1" applyFill="1" applyBorder="1" applyAlignment="1">
      <alignment horizontal="center" vertical="center"/>
    </xf>
    <xf numFmtId="0" fontId="88" fillId="49" borderId="59" xfId="11" applyFont="1" applyFill="1" applyBorder="1" applyAlignment="1">
      <alignment horizontal="center" vertical="center" wrapText="1"/>
    </xf>
    <xf numFmtId="0" fontId="88" fillId="49" borderId="57" xfId="11" applyFont="1" applyFill="1" applyBorder="1" applyAlignment="1">
      <alignment horizontal="center" vertical="center" wrapText="1"/>
    </xf>
    <xf numFmtId="165" fontId="101" fillId="30" borderId="93" xfId="12" applyNumberFormat="1" applyFont="1" applyFill="1" applyBorder="1" applyAlignment="1">
      <alignment horizontal="center" vertical="center"/>
    </xf>
    <xf numFmtId="165" fontId="101" fillId="30" borderId="91" xfId="12" applyNumberFormat="1" applyFont="1" applyFill="1" applyBorder="1" applyAlignment="1">
      <alignment horizontal="center" vertical="center"/>
    </xf>
    <xf numFmtId="165" fontId="102" fillId="30" borderId="93" xfId="12" applyNumberFormat="1" applyFont="1" applyFill="1" applyBorder="1" applyAlignment="1">
      <alignment horizontal="center" vertical="center"/>
    </xf>
    <xf numFmtId="165" fontId="102" fillId="30" borderId="91" xfId="12" applyNumberFormat="1" applyFont="1" applyFill="1" applyBorder="1" applyAlignment="1">
      <alignment horizontal="center" vertical="center"/>
    </xf>
    <xf numFmtId="165" fontId="101" fillId="50" borderId="48" xfId="12" applyNumberFormat="1" applyFont="1" applyFill="1" applyBorder="1" applyAlignment="1">
      <alignment horizontal="center" vertical="center"/>
    </xf>
    <xf numFmtId="165" fontId="101" fillId="50" borderId="51" xfId="12" applyNumberFormat="1" applyFont="1" applyFill="1" applyBorder="1" applyAlignment="1">
      <alignment horizontal="center" vertical="center"/>
    </xf>
    <xf numFmtId="165" fontId="101" fillId="50" borderId="46" xfId="12" applyNumberFormat="1" applyFont="1" applyFill="1" applyBorder="1" applyAlignment="1">
      <alignment horizontal="center" vertical="center"/>
    </xf>
    <xf numFmtId="165" fontId="101" fillId="50" borderId="47" xfId="12" applyNumberFormat="1" applyFont="1" applyFill="1" applyBorder="1" applyAlignment="1">
      <alignment horizontal="center" vertical="center"/>
    </xf>
    <xf numFmtId="0" fontId="63" fillId="0" borderId="45" xfId="11" applyFont="1" applyBorder="1" applyAlignment="1">
      <alignment horizontal="center" vertical="center" wrapText="1"/>
    </xf>
    <xf numFmtId="0" fontId="63" fillId="0" borderId="34" xfId="11" applyFont="1" applyBorder="1" applyAlignment="1">
      <alignment horizontal="center" vertical="center" wrapText="1"/>
    </xf>
    <xf numFmtId="0" fontId="63" fillId="0" borderId="36" xfId="11" applyFont="1" applyBorder="1" applyAlignment="1">
      <alignment horizontal="center" vertical="center" wrapText="1"/>
    </xf>
    <xf numFmtId="0" fontId="63" fillId="0" borderId="35" xfId="11" applyFont="1" applyBorder="1" applyAlignment="1">
      <alignment horizontal="center" vertical="center" wrapText="1"/>
    </xf>
    <xf numFmtId="0" fontId="63" fillId="0" borderId="59" xfId="11" applyFont="1" applyBorder="1" applyAlignment="1">
      <alignment horizontal="center" vertical="center" wrapText="1"/>
    </xf>
    <xf numFmtId="0" fontId="63" fillId="0" borderId="60" xfId="11" applyFont="1" applyBorder="1" applyAlignment="1">
      <alignment horizontal="center" vertical="center" wrapText="1"/>
    </xf>
    <xf numFmtId="165" fontId="101" fillId="52" borderId="93" xfId="12" applyNumberFormat="1" applyFont="1" applyFill="1" applyBorder="1" applyAlignment="1">
      <alignment horizontal="center" vertical="center"/>
    </xf>
    <xf numFmtId="165" fontId="101" fillId="52" borderId="91" xfId="12" applyNumberFormat="1" applyFont="1" applyFill="1" applyBorder="1" applyAlignment="1">
      <alignment horizontal="center" vertical="center"/>
    </xf>
    <xf numFmtId="165" fontId="101" fillId="53" borderId="93" xfId="12" applyNumberFormat="1" applyFont="1" applyFill="1" applyBorder="1" applyAlignment="1">
      <alignment horizontal="center" vertical="center"/>
    </xf>
    <xf numFmtId="165" fontId="101" fillId="53" borderId="91" xfId="12" applyNumberFormat="1" applyFont="1" applyFill="1" applyBorder="1" applyAlignment="1">
      <alignment horizontal="center" vertical="center"/>
    </xf>
    <xf numFmtId="0" fontId="88" fillId="46" borderId="45" xfId="11" applyFont="1" applyFill="1" applyBorder="1" applyAlignment="1">
      <alignment horizontal="center" vertical="center" wrapText="1"/>
    </xf>
    <xf numFmtId="0" fontId="88" fillId="46" borderId="34" xfId="11" applyFont="1" applyFill="1" applyBorder="1" applyAlignment="1">
      <alignment horizontal="center" vertical="center" wrapText="1"/>
    </xf>
    <xf numFmtId="0" fontId="88" fillId="46" borderId="59" xfId="11" applyFont="1" applyFill="1" applyBorder="1" applyAlignment="1">
      <alignment horizontal="center" vertical="center" wrapText="1"/>
    </xf>
    <xf numFmtId="0" fontId="88" fillId="46" borderId="60" xfId="11" applyFont="1" applyFill="1" applyBorder="1" applyAlignment="1">
      <alignment horizontal="center" vertical="center" wrapText="1"/>
    </xf>
    <xf numFmtId="0" fontId="106" fillId="29" borderId="45" xfId="11" applyFont="1" applyFill="1" applyBorder="1" applyAlignment="1">
      <alignment horizontal="center" vertical="center" wrapText="1"/>
    </xf>
    <xf numFmtId="0" fontId="106" fillId="29" borderId="34" xfId="11" applyFont="1" applyFill="1" applyBorder="1" applyAlignment="1">
      <alignment horizontal="center" vertical="center" wrapText="1"/>
    </xf>
    <xf numFmtId="0" fontId="106" fillId="29" borderId="59" xfId="11" applyFont="1" applyFill="1" applyBorder="1" applyAlignment="1">
      <alignment horizontal="center" vertical="center" wrapText="1"/>
    </xf>
    <xf numFmtId="0" fontId="106" fillId="29" borderId="60" xfId="11" applyFont="1" applyFill="1" applyBorder="1" applyAlignment="1">
      <alignment horizontal="center" vertical="center" wrapText="1"/>
    </xf>
    <xf numFmtId="0" fontId="71" fillId="34" borderId="92" xfId="11" applyFont="1" applyFill="1" applyBorder="1" applyAlignment="1">
      <alignment horizontal="right" vertical="center"/>
    </xf>
    <xf numFmtId="0" fontId="71" fillId="34" borderId="97" xfId="11" applyFont="1" applyFill="1" applyBorder="1" applyAlignment="1">
      <alignment horizontal="center" vertical="center"/>
    </xf>
    <xf numFmtId="0" fontId="71" fillId="34" borderId="93" xfId="11" applyFont="1" applyFill="1" applyBorder="1" applyAlignment="1">
      <alignment horizontal="center" vertical="center"/>
    </xf>
    <xf numFmtId="0" fontId="71" fillId="34" borderId="91" xfId="11" applyFont="1" applyFill="1" applyBorder="1" applyAlignment="1">
      <alignment horizontal="center" vertical="center"/>
    </xf>
    <xf numFmtId="0" fontId="71" fillId="34" borderId="93" xfId="11" applyFont="1" applyFill="1" applyBorder="1" applyAlignment="1">
      <alignment horizontal="center" vertical="center" wrapText="1"/>
    </xf>
    <xf numFmtId="0" fontId="104" fillId="0" borderId="0" xfId="11" applyFont="1" applyAlignment="1">
      <alignment horizontal="left" vertical="center" wrapText="1"/>
    </xf>
    <xf numFmtId="165" fontId="101" fillId="36" borderId="93" xfId="12" applyNumberFormat="1" applyFont="1" applyFill="1" applyBorder="1" applyAlignment="1">
      <alignment horizontal="center" vertical="center"/>
    </xf>
    <xf numFmtId="165" fontId="101" fillId="36" borderId="91" xfId="12" applyNumberFormat="1" applyFont="1" applyFill="1" applyBorder="1" applyAlignment="1">
      <alignment horizontal="center" vertical="center"/>
    </xf>
    <xf numFmtId="10" fontId="73" fillId="36" borderId="56" xfId="11" applyNumberFormat="1" applyFont="1" applyFill="1" applyBorder="1" applyAlignment="1" applyProtection="1">
      <alignment horizontal="center" vertical="center"/>
      <protection locked="0" hidden="1"/>
    </xf>
    <xf numFmtId="10" fontId="73" fillId="36" borderId="43" xfId="11" applyNumberFormat="1" applyFont="1" applyFill="1" applyBorder="1" applyAlignment="1" applyProtection="1">
      <alignment horizontal="center" vertical="center"/>
      <protection locked="0" hidden="1"/>
    </xf>
    <xf numFmtId="17" fontId="101" fillId="0" borderId="54" xfId="11" applyNumberFormat="1" applyFont="1" applyBorder="1" applyAlignment="1">
      <alignment horizontal="center" vertical="center"/>
    </xf>
    <xf numFmtId="17" fontId="101" fillId="0" borderId="91" xfId="11" applyNumberFormat="1" applyFont="1" applyBorder="1" applyAlignment="1">
      <alignment horizontal="center" vertical="center"/>
    </xf>
    <xf numFmtId="0" fontId="103" fillId="0" borderId="92" xfId="11" applyFont="1" applyBorder="1" applyAlignment="1">
      <alignment horizontal="right" vertical="center" wrapText="1"/>
    </xf>
    <xf numFmtId="0" fontId="103" fillId="0" borderId="93" xfId="11" applyFont="1" applyBorder="1" applyAlignment="1">
      <alignment horizontal="right" vertical="center" wrapText="1"/>
    </xf>
    <xf numFmtId="17" fontId="73" fillId="36" borderId="52" xfId="11" applyNumberFormat="1" applyFont="1" applyFill="1" applyBorder="1" applyAlignment="1" applyProtection="1">
      <alignment horizontal="center" vertical="center"/>
      <protection locked="0"/>
    </xf>
    <xf numFmtId="17" fontId="73" fillId="36" borderId="53" xfId="11" applyNumberFormat="1" applyFont="1" applyFill="1" applyBorder="1" applyAlignment="1" applyProtection="1">
      <alignment horizontal="center" vertical="center"/>
      <protection locked="0"/>
    </xf>
    <xf numFmtId="0" fontId="101" fillId="0" borderId="45" xfId="11" applyFont="1" applyBorder="1" applyAlignment="1">
      <alignment horizontal="center" vertical="center" wrapText="1"/>
    </xf>
    <xf numFmtId="0" fontId="101" fillId="0" borderId="34" xfId="11" applyFont="1" applyBorder="1" applyAlignment="1">
      <alignment horizontal="center" vertical="center" wrapText="1"/>
    </xf>
    <xf numFmtId="0" fontId="101" fillId="0" borderId="36" xfId="11" applyFont="1" applyBorder="1" applyAlignment="1">
      <alignment horizontal="center" vertical="center" wrapText="1"/>
    </xf>
    <xf numFmtId="0" fontId="101" fillId="0" borderId="35" xfId="11" applyFont="1" applyBorder="1" applyAlignment="1">
      <alignment horizontal="center" vertical="center" wrapText="1"/>
    </xf>
    <xf numFmtId="0" fontId="101" fillId="0" borderId="59" xfId="11" applyFont="1" applyBorder="1" applyAlignment="1">
      <alignment horizontal="center" vertical="center" wrapText="1"/>
    </xf>
    <xf numFmtId="0" fontId="101" fillId="0" borderId="60" xfId="11" applyFont="1" applyBorder="1" applyAlignment="1">
      <alignment horizontal="center" vertical="center" wrapText="1"/>
    </xf>
    <xf numFmtId="0" fontId="103" fillId="0" borderId="55" xfId="11" applyFont="1" applyBorder="1" applyAlignment="1">
      <alignment horizontal="right" vertical="center" wrapText="1"/>
    </xf>
    <xf numFmtId="187" fontId="106" fillId="29" borderId="92" xfId="11" applyNumberFormat="1" applyFont="1" applyFill="1" applyBorder="1" applyAlignment="1">
      <alignment horizontal="center" vertical="center"/>
    </xf>
    <xf numFmtId="0" fontId="92" fillId="54" borderId="45" xfId="11" applyFont="1" applyFill="1" applyBorder="1" applyAlignment="1">
      <alignment horizontal="left" wrapText="1"/>
    </xf>
    <xf numFmtId="0" fontId="93" fillId="54" borderId="95" xfId="11" applyFont="1" applyFill="1" applyBorder="1" applyAlignment="1">
      <alignment horizontal="left" wrapText="1"/>
    </xf>
    <xf numFmtId="0" fontId="93" fillId="54" borderId="34" xfId="11" applyFont="1" applyFill="1" applyBorder="1" applyAlignment="1">
      <alignment horizontal="left" wrapText="1"/>
    </xf>
    <xf numFmtId="187" fontId="76" fillId="43" borderId="92" xfId="14" applyNumberFormat="1" applyFont="1" applyFill="1" applyBorder="1" applyAlignment="1">
      <alignment horizontal="center" vertical="center" wrapText="1"/>
    </xf>
    <xf numFmtId="187" fontId="76" fillId="55" borderId="92" xfId="14" applyNumberFormat="1" applyFont="1" applyFill="1" applyBorder="1" applyAlignment="1">
      <alignment horizontal="center" vertical="center" wrapText="1"/>
    </xf>
    <xf numFmtId="187" fontId="64" fillId="0" borderId="45" xfId="11" applyNumberFormat="1" applyFont="1" applyBorder="1" applyAlignment="1">
      <alignment horizontal="center" vertical="center"/>
    </xf>
    <xf numFmtId="187" fontId="64" fillId="0" borderId="34" xfId="11" applyNumberFormat="1" applyFont="1" applyBorder="1" applyAlignment="1">
      <alignment horizontal="center" vertical="center"/>
    </xf>
    <xf numFmtId="187" fontId="64" fillId="0" borderId="59" xfId="11" applyNumberFormat="1" applyFont="1" applyBorder="1" applyAlignment="1">
      <alignment horizontal="center" vertical="center"/>
    </xf>
    <xf numFmtId="187" fontId="64" fillId="0" borderId="60" xfId="11" applyNumberFormat="1" applyFont="1" applyBorder="1" applyAlignment="1">
      <alignment horizontal="center" vertical="center"/>
    </xf>
    <xf numFmtId="0" fontId="115" fillId="0" borderId="59" xfId="11" applyFont="1" applyBorder="1" applyAlignment="1">
      <alignment horizontal="left" vertical="top" wrapText="1"/>
    </xf>
    <xf numFmtId="0" fontId="115" fillId="0" borderId="57" xfId="11" applyFont="1" applyBorder="1" applyAlignment="1">
      <alignment horizontal="left" vertical="top" wrapText="1"/>
    </xf>
    <xf numFmtId="0" fontId="115" fillId="0" borderId="60" xfId="11" applyFont="1" applyBorder="1" applyAlignment="1">
      <alignment horizontal="left" vertical="top" wrapText="1"/>
    </xf>
    <xf numFmtId="0" fontId="107" fillId="0" borderId="97" xfId="11" applyFont="1" applyBorder="1" applyAlignment="1">
      <alignment horizontal="left" wrapText="1"/>
    </xf>
    <xf numFmtId="187" fontId="112" fillId="0" borderId="45" xfId="12" applyNumberFormat="1" applyFont="1" applyBorder="1" applyAlignment="1">
      <alignment horizontal="center" vertical="center" wrapText="1"/>
    </xf>
    <xf numFmtId="187" fontId="112" fillId="0" borderId="34" xfId="12" applyNumberFormat="1" applyFont="1" applyBorder="1" applyAlignment="1">
      <alignment horizontal="center" vertical="center" wrapText="1"/>
    </xf>
    <xf numFmtId="187" fontId="112" fillId="0" borderId="59" xfId="12" applyNumberFormat="1" applyFont="1" applyBorder="1" applyAlignment="1">
      <alignment horizontal="center" vertical="center" wrapText="1"/>
    </xf>
    <xf numFmtId="187" fontId="112" fillId="0" borderId="60" xfId="12" applyNumberFormat="1" applyFont="1" applyBorder="1" applyAlignment="1">
      <alignment horizontal="center" vertical="center" wrapText="1"/>
    </xf>
    <xf numFmtId="187" fontId="80" fillId="34" borderId="45" xfId="12" applyNumberFormat="1" applyFont="1" applyFill="1" applyBorder="1" applyAlignment="1">
      <alignment horizontal="center" vertical="center" wrapText="1"/>
    </xf>
    <xf numFmtId="187" fontId="80" fillId="34" borderId="34" xfId="12" applyNumberFormat="1" applyFont="1" applyFill="1" applyBorder="1" applyAlignment="1">
      <alignment horizontal="center" vertical="center" wrapText="1"/>
    </xf>
    <xf numFmtId="187" fontId="80" fillId="34" borderId="59" xfId="12" applyNumberFormat="1" applyFont="1" applyFill="1" applyBorder="1" applyAlignment="1">
      <alignment horizontal="center" vertical="center" wrapText="1"/>
    </xf>
    <xf numFmtId="187" fontId="80" fillId="34" borderId="60" xfId="12" applyNumberFormat="1" applyFont="1" applyFill="1" applyBorder="1" applyAlignment="1">
      <alignment horizontal="center" vertical="center" wrapText="1"/>
    </xf>
    <xf numFmtId="187" fontId="101" fillId="0" borderId="45" xfId="11" applyNumberFormat="1" applyFont="1" applyBorder="1" applyAlignment="1">
      <alignment horizontal="center" vertical="center"/>
    </xf>
    <xf numFmtId="187" fontId="101" fillId="0" borderId="34" xfId="11" applyNumberFormat="1" applyFont="1" applyBorder="1" applyAlignment="1">
      <alignment horizontal="center" vertical="center"/>
    </xf>
    <xf numFmtId="187" fontId="101" fillId="0" borderId="59" xfId="11" applyNumberFormat="1" applyFont="1" applyBorder="1" applyAlignment="1">
      <alignment horizontal="center" vertical="center"/>
    </xf>
    <xf numFmtId="187" fontId="101" fillId="0" borderId="60" xfId="11" applyNumberFormat="1" applyFont="1" applyBorder="1" applyAlignment="1">
      <alignment horizontal="center" vertical="center"/>
    </xf>
    <xf numFmtId="187" fontId="110" fillId="0" borderId="45" xfId="11" applyNumberFormat="1" applyFont="1" applyBorder="1" applyAlignment="1">
      <alignment horizontal="center" vertical="center"/>
    </xf>
    <xf numFmtId="187" fontId="110" fillId="0" borderId="34" xfId="11" applyNumberFormat="1" applyFont="1" applyBorder="1" applyAlignment="1">
      <alignment horizontal="center" vertical="center"/>
    </xf>
    <xf numFmtId="187" fontId="110" fillId="0" borderId="59" xfId="11" applyNumberFormat="1" applyFont="1" applyBorder="1" applyAlignment="1">
      <alignment horizontal="center" vertical="center"/>
    </xf>
    <xf numFmtId="187" fontId="110" fillId="0" borderId="60" xfId="11" applyNumberFormat="1" applyFont="1" applyBorder="1" applyAlignment="1">
      <alignment horizontal="center" vertical="center"/>
    </xf>
    <xf numFmtId="0" fontId="81" fillId="0" borderId="59" xfId="11" applyFont="1" applyBorder="1" applyAlignment="1">
      <alignment horizontal="left" vertical="top" wrapText="1"/>
    </xf>
    <xf numFmtId="0" fontId="81" fillId="0" borderId="57" xfId="11" applyFont="1" applyBorder="1" applyAlignment="1">
      <alignment horizontal="left" vertical="top" wrapText="1"/>
    </xf>
    <xf numFmtId="0" fontId="81" fillId="0" borderId="60" xfId="11" applyFont="1" applyBorder="1" applyAlignment="1">
      <alignment horizontal="left" vertical="top" wrapText="1"/>
    </xf>
    <xf numFmtId="0" fontId="113" fillId="0" borderId="97" xfId="11" applyFont="1" applyBorder="1" applyAlignment="1">
      <alignment horizontal="left" wrapText="1"/>
    </xf>
    <xf numFmtId="0" fontId="114" fillId="0" borderId="97" xfId="11" applyFont="1" applyBorder="1" applyAlignment="1">
      <alignment horizontal="left" wrapText="1"/>
    </xf>
    <xf numFmtId="187" fontId="66" fillId="0" borderId="45" xfId="14" applyNumberFormat="1" applyFont="1" applyBorder="1" applyAlignment="1">
      <alignment horizontal="center" vertical="center" wrapText="1"/>
    </xf>
    <xf numFmtId="187" fontId="66" fillId="0" borderId="34" xfId="14" applyNumberFormat="1" applyFont="1" applyBorder="1" applyAlignment="1">
      <alignment horizontal="center" vertical="center" wrapText="1"/>
    </xf>
    <xf numFmtId="187" fontId="66" fillId="0" borderId="59" xfId="14" applyNumberFormat="1" applyFont="1" applyBorder="1" applyAlignment="1">
      <alignment horizontal="center" vertical="center" wrapText="1"/>
    </xf>
    <xf numFmtId="187" fontId="66" fillId="0" borderId="60" xfId="14" applyNumberFormat="1" applyFont="1" applyBorder="1" applyAlignment="1">
      <alignment horizontal="center" vertical="center" wrapText="1"/>
    </xf>
    <xf numFmtId="187" fontId="72" fillId="34" borderId="45" xfId="14" applyNumberFormat="1" applyFont="1" applyFill="1" applyBorder="1" applyAlignment="1">
      <alignment horizontal="center" vertical="center" wrapText="1"/>
    </xf>
    <xf numFmtId="187" fontId="72" fillId="34" borderId="34" xfId="14" applyNumberFormat="1" applyFont="1" applyFill="1" applyBorder="1" applyAlignment="1">
      <alignment horizontal="center" vertical="center" wrapText="1"/>
    </xf>
    <xf numFmtId="187" fontId="72" fillId="34" borderId="59" xfId="14" applyNumberFormat="1" applyFont="1" applyFill="1" applyBorder="1" applyAlignment="1">
      <alignment horizontal="center" vertical="center" wrapText="1"/>
    </xf>
    <xf numFmtId="187" fontId="72" fillId="34" borderId="60" xfId="14" applyNumberFormat="1" applyFont="1" applyFill="1" applyBorder="1" applyAlignment="1">
      <alignment horizontal="center" vertical="center" wrapText="1"/>
    </xf>
    <xf numFmtId="187" fontId="101" fillId="34" borderId="45" xfId="11" applyNumberFormat="1" applyFont="1" applyFill="1" applyBorder="1" applyAlignment="1">
      <alignment horizontal="center" vertical="center"/>
    </xf>
    <xf numFmtId="187" fontId="101" fillId="34" borderId="34" xfId="11" applyNumberFormat="1" applyFont="1" applyFill="1" applyBorder="1" applyAlignment="1">
      <alignment horizontal="center" vertical="center"/>
    </xf>
    <xf numFmtId="187" fontId="101" fillId="34" borderId="59" xfId="11" applyNumberFormat="1" applyFont="1" applyFill="1" applyBorder="1" applyAlignment="1">
      <alignment horizontal="center" vertical="center"/>
    </xf>
    <xf numFmtId="187" fontId="101" fillId="34" borderId="60" xfId="11" applyNumberFormat="1" applyFont="1" applyFill="1" applyBorder="1" applyAlignment="1">
      <alignment horizontal="center" vertical="center"/>
    </xf>
    <xf numFmtId="187" fontId="110" fillId="34" borderId="45" xfId="11" applyNumberFormat="1" applyFont="1" applyFill="1" applyBorder="1" applyAlignment="1">
      <alignment horizontal="center" vertical="center"/>
    </xf>
    <xf numFmtId="187" fontId="110" fillId="34" borderId="34" xfId="11" applyNumberFormat="1" applyFont="1" applyFill="1" applyBorder="1" applyAlignment="1">
      <alignment horizontal="center" vertical="center"/>
    </xf>
    <xf numFmtId="187" fontId="110" fillId="34" borderId="59" xfId="11" applyNumberFormat="1" applyFont="1" applyFill="1" applyBorder="1" applyAlignment="1">
      <alignment horizontal="center" vertical="center"/>
    </xf>
    <xf numFmtId="187" fontId="110" fillId="34" borderId="60" xfId="11" applyNumberFormat="1" applyFont="1" applyFill="1" applyBorder="1" applyAlignment="1">
      <alignment horizontal="center" vertical="center"/>
    </xf>
    <xf numFmtId="0" fontId="103" fillId="34" borderId="93" xfId="11" applyFont="1" applyFill="1" applyBorder="1" applyAlignment="1">
      <alignment horizontal="right" vertical="center" wrapText="1"/>
    </xf>
    <xf numFmtId="0" fontId="103" fillId="34" borderId="96" xfId="11" applyFont="1" applyFill="1" applyBorder="1" applyAlignment="1">
      <alignment horizontal="right" vertical="center" wrapText="1"/>
    </xf>
    <xf numFmtId="0" fontId="103" fillId="34" borderId="91" xfId="11" applyFont="1" applyFill="1" applyBorder="1" applyAlignment="1">
      <alignment horizontal="right" vertical="center" wrapText="1"/>
    </xf>
    <xf numFmtId="10" fontId="51" fillId="43" borderId="93" xfId="11" applyNumberFormat="1" applyFont="1" applyFill="1" applyBorder="1" applyAlignment="1" applyProtection="1">
      <alignment horizontal="center" vertical="center"/>
      <protection locked="0" hidden="1"/>
    </xf>
    <xf numFmtId="10" fontId="51" fillId="43" borderId="96" xfId="11" applyNumberFormat="1" applyFont="1" applyFill="1" applyBorder="1" applyAlignment="1" applyProtection="1">
      <alignment horizontal="center" vertical="center"/>
      <protection locked="0" hidden="1"/>
    </xf>
    <xf numFmtId="10" fontId="51" fillId="43" borderId="91" xfId="11" applyNumberFormat="1" applyFont="1" applyFill="1" applyBorder="1" applyAlignment="1" applyProtection="1">
      <alignment horizontal="center" vertical="center"/>
      <protection locked="0" hidden="1"/>
    </xf>
    <xf numFmtId="17" fontId="101" fillId="0" borderId="96" xfId="11" applyNumberFormat="1" applyFont="1" applyBorder="1" applyAlignment="1">
      <alignment horizontal="center" vertical="center"/>
    </xf>
    <xf numFmtId="10" fontId="88" fillId="46" borderId="93" xfId="11" applyNumberFormat="1" applyFont="1" applyFill="1" applyBorder="1" applyAlignment="1">
      <alignment horizontal="center" vertical="center"/>
    </xf>
    <xf numFmtId="10" fontId="88" fillId="46" borderId="91" xfId="11" applyNumberFormat="1" applyFont="1" applyFill="1" applyBorder="1" applyAlignment="1">
      <alignment horizontal="center" vertical="center"/>
    </xf>
    <xf numFmtId="0" fontId="107" fillId="0" borderId="45" xfId="11" applyFont="1" applyBorder="1" applyAlignment="1">
      <alignment horizontal="left" wrapText="1"/>
    </xf>
    <xf numFmtId="0" fontId="108" fillId="0" borderId="95" xfId="11" applyFont="1" applyBorder="1" applyAlignment="1">
      <alignment horizontal="left" wrapText="1"/>
    </xf>
    <xf numFmtId="0" fontId="108" fillId="0" borderId="34" xfId="11" applyFont="1" applyBorder="1" applyAlignment="1">
      <alignment horizontal="left" wrapText="1"/>
    </xf>
    <xf numFmtId="187" fontId="112" fillId="0" borderId="45" xfId="14" applyNumberFormat="1" applyFont="1" applyBorder="1" applyAlignment="1">
      <alignment horizontal="center" vertical="center" wrapText="1"/>
    </xf>
    <xf numFmtId="187" fontId="112" fillId="0" borderId="34" xfId="14" applyNumberFormat="1" applyFont="1" applyBorder="1" applyAlignment="1">
      <alignment horizontal="center" vertical="center" wrapText="1"/>
    </xf>
    <xf numFmtId="187" fontId="112" fillId="0" borderId="59" xfId="14" applyNumberFormat="1" applyFont="1" applyBorder="1" applyAlignment="1">
      <alignment horizontal="center" vertical="center" wrapText="1"/>
    </xf>
    <xf numFmtId="187" fontId="112" fillId="0" borderId="60" xfId="14" applyNumberFormat="1" applyFont="1" applyBorder="1" applyAlignment="1">
      <alignment horizontal="center" vertical="center" wrapText="1"/>
    </xf>
    <xf numFmtId="187" fontId="80" fillId="34" borderId="45" xfId="14" applyNumberFormat="1" applyFont="1" applyFill="1" applyBorder="1" applyAlignment="1">
      <alignment horizontal="center" vertical="center" wrapText="1"/>
    </xf>
    <xf numFmtId="187" fontId="80" fillId="34" borderId="34" xfId="14" applyNumberFormat="1" applyFont="1" applyFill="1" applyBorder="1" applyAlignment="1">
      <alignment horizontal="center" vertical="center" wrapText="1"/>
    </xf>
    <xf numFmtId="187" fontId="80" fillId="34" borderId="59" xfId="14" applyNumberFormat="1" applyFont="1" applyFill="1" applyBorder="1" applyAlignment="1">
      <alignment horizontal="center" vertical="center" wrapText="1"/>
    </xf>
    <xf numFmtId="187" fontId="80" fillId="34" borderId="60" xfId="14" applyNumberFormat="1" applyFont="1" applyFill="1" applyBorder="1" applyAlignment="1">
      <alignment horizontal="center" vertical="center" wrapText="1"/>
    </xf>
    <xf numFmtId="10" fontId="106" fillId="29" borderId="93" xfId="11" applyNumberFormat="1" applyFont="1" applyFill="1" applyBorder="1" applyAlignment="1">
      <alignment horizontal="center" vertical="center"/>
    </xf>
    <xf numFmtId="10" fontId="106" fillId="29" borderId="91" xfId="11" applyNumberFormat="1" applyFont="1" applyFill="1" applyBorder="1" applyAlignment="1">
      <alignment horizontal="center" vertical="center"/>
    </xf>
    <xf numFmtId="0" fontId="107" fillId="44" borderId="45" xfId="11" applyFont="1" applyFill="1" applyBorder="1" applyAlignment="1">
      <alignment horizontal="left" wrapText="1"/>
    </xf>
    <xf numFmtId="0" fontId="108" fillId="44" borderId="95" xfId="11" applyFont="1" applyFill="1" applyBorder="1" applyAlignment="1">
      <alignment horizontal="left" wrapText="1"/>
    </xf>
    <xf numFmtId="0" fontId="108" fillId="44" borderId="34" xfId="11" applyFont="1" applyFill="1" applyBorder="1" applyAlignment="1">
      <alignment horizontal="left" wrapText="1"/>
    </xf>
    <xf numFmtId="188" fontId="90" fillId="34" borderId="45" xfId="11" applyNumberFormat="1" applyFont="1" applyFill="1" applyBorder="1" applyAlignment="1">
      <alignment horizontal="center" vertical="center"/>
    </xf>
    <xf numFmtId="188" fontId="90" fillId="34" borderId="34" xfId="11" applyNumberFormat="1" applyFont="1" applyFill="1" applyBorder="1" applyAlignment="1">
      <alignment horizontal="center" vertical="center"/>
    </xf>
    <xf numFmtId="188" fontId="90" fillId="34" borderId="59" xfId="11" applyNumberFormat="1" applyFont="1" applyFill="1" applyBorder="1" applyAlignment="1">
      <alignment horizontal="center" vertical="center"/>
    </xf>
    <xf numFmtId="188" fontId="90" fillId="34" borderId="60" xfId="11" applyNumberFormat="1" applyFont="1" applyFill="1" applyBorder="1" applyAlignment="1">
      <alignment horizontal="center" vertical="center"/>
    </xf>
    <xf numFmtId="188" fontId="109" fillId="34" borderId="45" xfId="11" applyNumberFormat="1" applyFont="1" applyFill="1" applyBorder="1" applyAlignment="1">
      <alignment horizontal="center" vertical="center"/>
    </xf>
    <xf numFmtId="188" fontId="109" fillId="34" borderId="34" xfId="11" applyNumberFormat="1" applyFont="1" applyFill="1" applyBorder="1" applyAlignment="1">
      <alignment horizontal="center" vertical="center"/>
    </xf>
    <xf numFmtId="188" fontId="109" fillId="34" borderId="59" xfId="11" applyNumberFormat="1" applyFont="1" applyFill="1" applyBorder="1" applyAlignment="1">
      <alignment horizontal="center" vertical="center"/>
    </xf>
    <xf numFmtId="188" fontId="109" fillId="34" borderId="60" xfId="11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139" fillId="0" borderId="1" xfId="0" applyFont="1" applyBorder="1" applyAlignment="1">
      <alignment horizontal="center" vertical="center" wrapText="1"/>
    </xf>
    <xf numFmtId="0" fontId="140" fillId="64" borderId="0" xfId="0" applyFont="1" applyFill="1" applyAlignment="1">
      <alignment horizontal="right"/>
    </xf>
    <xf numFmtId="0" fontId="140" fillId="65" borderId="0" xfId="0" applyFont="1" applyFill="1" applyAlignment="1">
      <alignment horizontal="right"/>
    </xf>
    <xf numFmtId="0" fontId="140" fillId="67" borderId="0" xfId="0" applyFont="1" applyFill="1" applyAlignment="1">
      <alignment horizontal="right"/>
    </xf>
    <xf numFmtId="0" fontId="140" fillId="68" borderId="0" xfId="0" applyFont="1" applyFill="1" applyAlignment="1">
      <alignment horizontal="right"/>
    </xf>
    <xf numFmtId="0" fontId="140" fillId="69" borderId="0" xfId="0" applyFont="1" applyFill="1" applyAlignment="1">
      <alignment horizontal="right"/>
    </xf>
    <xf numFmtId="0" fontId="140" fillId="70" borderId="0" xfId="0" applyFont="1" applyFill="1" applyAlignment="1">
      <alignment horizontal="right"/>
    </xf>
    <xf numFmtId="0" fontId="140" fillId="0" borderId="0" xfId="0" applyFont="1" applyAlignment="1">
      <alignment horizontal="right"/>
    </xf>
    <xf numFmtId="0" fontId="141" fillId="3" borderId="0" xfId="17" applyFont="1" applyFill="1" applyAlignment="1">
      <alignment horizontal="right"/>
    </xf>
    <xf numFmtId="0" fontId="137" fillId="2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37" fillId="61" borderId="1" xfId="0" applyFont="1" applyFill="1" applyBorder="1" applyAlignment="1">
      <alignment horizontal="center" vertical="center" wrapText="1"/>
    </xf>
    <xf numFmtId="0" fontId="37" fillId="61" borderId="31" xfId="0" applyFont="1" applyFill="1" applyBorder="1" applyAlignment="1">
      <alignment horizontal="center" vertical="center" wrapText="1"/>
    </xf>
    <xf numFmtId="0" fontId="37" fillId="61" borderId="79" xfId="0" applyFont="1" applyFill="1" applyBorder="1" applyAlignment="1">
      <alignment horizontal="center" vertical="center" wrapText="1"/>
    </xf>
    <xf numFmtId="0" fontId="37" fillId="61" borderId="21" xfId="0" applyFont="1" applyFill="1" applyBorder="1" applyAlignment="1">
      <alignment horizontal="center" vertical="center" wrapText="1"/>
    </xf>
    <xf numFmtId="0" fontId="37" fillId="61" borderId="24" xfId="0" applyFont="1" applyFill="1" applyBorder="1" applyAlignment="1">
      <alignment horizontal="center" vertical="center" wrapText="1"/>
    </xf>
    <xf numFmtId="0" fontId="37" fillId="61" borderId="23" xfId="0" applyFont="1" applyFill="1" applyBorder="1" applyAlignment="1">
      <alignment horizontal="center" vertical="center" wrapText="1"/>
    </xf>
    <xf numFmtId="0" fontId="37" fillId="61" borderId="17" xfId="0" applyFont="1" applyFill="1" applyBorder="1" applyAlignment="1">
      <alignment horizontal="center" vertical="center" wrapText="1"/>
    </xf>
    <xf numFmtId="0" fontId="37" fillId="61" borderId="5" xfId="0" applyFont="1" applyFill="1" applyBorder="1" applyAlignment="1">
      <alignment horizontal="center" vertical="center" wrapText="1"/>
    </xf>
    <xf numFmtId="0" fontId="37" fillId="61" borderId="7" xfId="0" applyFont="1" applyFill="1" applyBorder="1" applyAlignment="1">
      <alignment horizontal="center" vertical="center" wrapText="1"/>
    </xf>
    <xf numFmtId="0" fontId="37" fillId="61" borderId="1" xfId="0" applyFont="1" applyFill="1" applyBorder="1" applyAlignment="1">
      <alignment horizontal="center" vertical="center"/>
    </xf>
    <xf numFmtId="0" fontId="154" fillId="56" borderId="97" xfId="0" applyFont="1" applyFill="1" applyBorder="1" applyAlignment="1">
      <alignment horizontal="center" vertical="center" wrapText="1"/>
    </xf>
    <xf numFmtId="0" fontId="154" fillId="56" borderId="8" xfId="0" applyFont="1" applyFill="1" applyBorder="1" applyAlignment="1">
      <alignment horizontal="center" vertical="center" wrapText="1"/>
    </xf>
    <xf numFmtId="0" fontId="154" fillId="56" borderId="58" xfId="0" applyFont="1" applyFill="1" applyBorder="1" applyAlignment="1">
      <alignment horizontal="center" vertical="center" wrapText="1"/>
    </xf>
    <xf numFmtId="0" fontId="154" fillId="56" borderId="93" xfId="0" applyFont="1" applyFill="1" applyBorder="1" applyAlignment="1">
      <alignment horizontal="center" vertical="center" wrapText="1"/>
    </xf>
    <xf numFmtId="0" fontId="154" fillId="56" borderId="91" xfId="0" applyFont="1" applyFill="1" applyBorder="1" applyAlignment="1">
      <alignment horizontal="center" vertical="center" wrapText="1"/>
    </xf>
    <xf numFmtId="0" fontId="22" fillId="74" borderId="86" xfId="0" applyFont="1" applyFill="1" applyBorder="1" applyAlignment="1">
      <alignment horizontal="center" vertical="center" wrapText="1"/>
    </xf>
    <xf numFmtId="0" fontId="22" fillId="74" borderId="36" xfId="0" applyFont="1" applyFill="1" applyBorder="1" applyAlignment="1">
      <alignment horizontal="center" vertical="center" wrapText="1"/>
    </xf>
    <xf numFmtId="0" fontId="154" fillId="56" borderId="45" xfId="0" applyFont="1" applyFill="1" applyBorder="1" applyAlignment="1">
      <alignment horizontal="center" vertical="center" wrapText="1"/>
    </xf>
    <xf numFmtId="0" fontId="154" fillId="56" borderId="95" xfId="0" applyFont="1" applyFill="1" applyBorder="1" applyAlignment="1">
      <alignment horizontal="center" vertical="center" wrapText="1"/>
    </xf>
    <xf numFmtId="0" fontId="154" fillId="56" borderId="59" xfId="0" applyFont="1" applyFill="1" applyBorder="1" applyAlignment="1">
      <alignment horizontal="center" vertical="center" wrapText="1"/>
    </xf>
    <xf numFmtId="0" fontId="154" fillId="56" borderId="57" xfId="0" applyFont="1" applyFill="1" applyBorder="1" applyAlignment="1">
      <alignment horizontal="center" vertical="center" wrapText="1"/>
    </xf>
    <xf numFmtId="0" fontId="22" fillId="74" borderId="96" xfId="0" applyFont="1" applyFill="1" applyBorder="1" applyAlignment="1">
      <alignment horizontal="center" vertical="center" wrapText="1"/>
    </xf>
    <xf numFmtId="0" fontId="22" fillId="74" borderId="95" xfId="0" quotePrefix="1" applyFont="1" applyFill="1" applyBorder="1" applyAlignment="1">
      <alignment horizontal="center" vertical="center" wrapText="1"/>
    </xf>
    <xf numFmtId="0" fontId="22" fillId="74" borderId="0" xfId="0" quotePrefix="1" applyFont="1" applyFill="1" applyAlignment="1">
      <alignment horizontal="center" vertical="center" wrapText="1"/>
    </xf>
    <xf numFmtId="0" fontId="22" fillId="74" borderId="57" xfId="0" quotePrefix="1" applyFont="1" applyFill="1" applyBorder="1" applyAlignment="1">
      <alignment horizontal="center" vertical="center" wrapText="1"/>
    </xf>
    <xf numFmtId="0" fontId="22" fillId="74" borderId="95" xfId="0" applyFont="1" applyFill="1" applyBorder="1" applyAlignment="1">
      <alignment horizontal="center" vertical="center" wrapText="1"/>
    </xf>
    <xf numFmtId="0" fontId="22" fillId="74" borderId="5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40" fillId="77" borderId="0" xfId="0" applyFont="1" applyFill="1" applyAlignment="1">
      <alignment horizontal="right"/>
    </xf>
    <xf numFmtId="0" fontId="140" fillId="52" borderId="0" xfId="0" applyFont="1" applyFill="1" applyAlignment="1">
      <alignment horizontal="right"/>
    </xf>
    <xf numFmtId="0" fontId="140" fillId="31" borderId="0" xfId="0" applyFont="1" applyFill="1" applyAlignment="1">
      <alignment horizontal="right"/>
    </xf>
    <xf numFmtId="0" fontId="140" fillId="78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68" borderId="0" xfId="0" applyFill="1" applyAlignment="1">
      <alignment horizontal="right"/>
    </xf>
    <xf numFmtId="0" fontId="140" fillId="46" borderId="0" xfId="0" applyFont="1" applyFill="1" applyAlignment="1">
      <alignment horizontal="right"/>
    </xf>
    <xf numFmtId="0" fontId="22" fillId="74" borderId="79" xfId="0" applyFont="1" applyFill="1" applyBorder="1" applyAlignment="1">
      <alignment horizontal="center" vertical="center"/>
    </xf>
    <xf numFmtId="0" fontId="22" fillId="74" borderId="0" xfId="0" applyFont="1" applyFill="1" applyAlignment="1">
      <alignment horizontal="center" vertical="center"/>
    </xf>
    <xf numFmtId="0" fontId="22" fillId="74" borderId="23" xfId="0" applyFont="1" applyFill="1" applyBorder="1" applyAlignment="1">
      <alignment horizontal="center" vertical="center"/>
    </xf>
    <xf numFmtId="0" fontId="22" fillId="74" borderId="79" xfId="0" applyFont="1" applyFill="1" applyBorder="1" applyAlignment="1">
      <alignment horizontal="center" vertical="center" wrapText="1"/>
    </xf>
    <xf numFmtId="0" fontId="22" fillId="74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86" fillId="76" borderId="97" xfId="0" applyFont="1" applyFill="1" applyBorder="1" applyAlignment="1">
      <alignment horizontal="center" vertical="center" wrapText="1"/>
    </xf>
    <xf numFmtId="0" fontId="86" fillId="76" borderId="8" xfId="0" applyFont="1" applyFill="1" applyBorder="1" applyAlignment="1">
      <alignment horizontal="center" vertical="center" wrapText="1"/>
    </xf>
    <xf numFmtId="0" fontId="86" fillId="76" borderId="58" xfId="0" applyFont="1" applyFill="1" applyBorder="1" applyAlignment="1">
      <alignment horizontal="center" vertical="center" wrapText="1"/>
    </xf>
    <xf numFmtId="0" fontId="86" fillId="76" borderId="93" xfId="0" applyFont="1" applyFill="1" applyBorder="1" applyAlignment="1">
      <alignment horizontal="center" vertical="center" wrapText="1"/>
    </xf>
    <xf numFmtId="0" fontId="86" fillId="76" borderId="91" xfId="0" applyFont="1" applyFill="1" applyBorder="1" applyAlignment="1">
      <alignment horizontal="center" vertical="center" wrapText="1"/>
    </xf>
    <xf numFmtId="0" fontId="157" fillId="75" borderId="86" xfId="0" applyFont="1" applyFill="1" applyBorder="1" applyAlignment="1">
      <alignment horizontal="center" vertical="center" wrapText="1"/>
    </xf>
    <xf numFmtId="0" fontId="157" fillId="75" borderId="36" xfId="0" applyFont="1" applyFill="1" applyBorder="1" applyAlignment="1">
      <alignment horizontal="center" vertical="center" wrapText="1"/>
    </xf>
    <xf numFmtId="0" fontId="86" fillId="76" borderId="45" xfId="0" applyFont="1" applyFill="1" applyBorder="1" applyAlignment="1">
      <alignment horizontal="center" vertical="center" wrapText="1"/>
    </xf>
    <xf numFmtId="0" fontId="86" fillId="76" borderId="95" xfId="0" applyFont="1" applyFill="1" applyBorder="1" applyAlignment="1">
      <alignment horizontal="center" vertical="center" wrapText="1"/>
    </xf>
    <xf numFmtId="0" fontId="86" fillId="76" borderId="59" xfId="0" applyFont="1" applyFill="1" applyBorder="1" applyAlignment="1">
      <alignment horizontal="center" vertical="center" wrapText="1"/>
    </xf>
    <xf numFmtId="0" fontId="86" fillId="76" borderId="57" xfId="0" applyFont="1" applyFill="1" applyBorder="1" applyAlignment="1">
      <alignment horizontal="center" vertical="center" wrapText="1"/>
    </xf>
    <xf numFmtId="0" fontId="157" fillId="75" borderId="96" xfId="0" applyFont="1" applyFill="1" applyBorder="1" applyAlignment="1">
      <alignment horizontal="center" vertical="center" wrapText="1"/>
    </xf>
    <xf numFmtId="0" fontId="157" fillId="75" borderId="95" xfId="0" applyFont="1" applyFill="1" applyBorder="1" applyAlignment="1">
      <alignment horizontal="center" vertical="center" wrapText="1"/>
    </xf>
    <xf numFmtId="0" fontId="157" fillId="75" borderId="5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79" xfId="0" applyFont="1" applyBorder="1" applyAlignment="1">
      <alignment vertical="center"/>
    </xf>
    <xf numFmtId="0" fontId="25" fillId="0" borderId="0" xfId="0" applyFont="1" applyAlignment="1">
      <alignment horizontal="right" vertical="center"/>
    </xf>
    <xf numFmtId="0" fontId="128" fillId="6" borderId="92" xfId="0" applyFont="1" applyFill="1" applyBorder="1" applyAlignment="1">
      <alignment horizontal="center"/>
    </xf>
    <xf numFmtId="0" fontId="125" fillId="34" borderId="0" xfId="0" applyFont="1" applyFill="1" applyAlignment="1">
      <alignment horizontal="center"/>
    </xf>
    <xf numFmtId="0" fontId="126" fillId="34" borderId="0" xfId="0" applyFont="1" applyFill="1" applyAlignment="1">
      <alignment horizontal="center" vertical="center"/>
    </xf>
    <xf numFmtId="0" fontId="130" fillId="57" borderId="37" xfId="0" applyFont="1" applyFill="1" applyBorder="1" applyAlignment="1">
      <alignment horizontal="center" vertical="center"/>
    </xf>
    <xf numFmtId="0" fontId="130" fillId="57" borderId="38" xfId="0" applyFont="1" applyFill="1" applyBorder="1" applyAlignment="1">
      <alignment horizontal="center" vertical="center"/>
    </xf>
    <xf numFmtId="0" fontId="130" fillId="57" borderId="61" xfId="0" applyFont="1" applyFill="1" applyBorder="1" applyAlignment="1">
      <alignment horizontal="center" vertical="center"/>
    </xf>
    <xf numFmtId="0" fontId="130" fillId="57" borderId="62" xfId="0" applyFont="1" applyFill="1" applyBorder="1" applyAlignment="1">
      <alignment horizontal="center" vertical="center"/>
    </xf>
    <xf numFmtId="0" fontId="130" fillId="57" borderId="97" xfId="0" applyFont="1" applyFill="1" applyBorder="1" applyAlignment="1">
      <alignment horizontal="center" vertical="center"/>
    </xf>
    <xf numFmtId="0" fontId="123" fillId="3" borderId="65" xfId="0" applyFont="1" applyFill="1" applyBorder="1" applyAlignment="1">
      <alignment horizontal="center" vertical="center" wrapText="1"/>
    </xf>
    <xf numFmtId="0" fontId="123" fillId="3" borderId="58" xfId="0" applyFont="1" applyFill="1" applyBorder="1" applyAlignment="1">
      <alignment horizontal="center" vertical="center" wrapText="1"/>
    </xf>
    <xf numFmtId="0" fontId="123" fillId="3" borderId="66" xfId="0" applyFont="1" applyFill="1" applyBorder="1" applyAlignment="1">
      <alignment horizontal="center" vertical="center" wrapText="1"/>
    </xf>
    <xf numFmtId="0" fontId="123" fillId="3" borderId="60" xfId="0" applyFont="1" applyFill="1" applyBorder="1" applyAlignment="1">
      <alignment horizontal="center" vertical="center" wrapText="1"/>
    </xf>
    <xf numFmtId="0" fontId="123" fillId="3" borderId="67" xfId="0" applyFont="1" applyFill="1" applyBorder="1" applyAlignment="1">
      <alignment horizontal="center" vertical="center" wrapText="1"/>
    </xf>
    <xf numFmtId="0" fontId="123" fillId="3" borderId="72" xfId="0" applyFont="1" applyFill="1" applyBorder="1" applyAlignment="1">
      <alignment horizontal="center" vertical="center" wrapText="1"/>
    </xf>
    <xf numFmtId="0" fontId="129" fillId="34" borderId="0" xfId="0" applyFont="1" applyFill="1" applyAlignment="1">
      <alignment horizontal="left" vertical="center" wrapText="1"/>
    </xf>
    <xf numFmtId="0" fontId="123" fillId="3" borderId="64" xfId="0" applyFont="1" applyFill="1" applyBorder="1" applyAlignment="1">
      <alignment horizontal="center" vertical="center" wrapText="1"/>
    </xf>
    <xf numFmtId="0" fontId="123" fillId="3" borderId="71" xfId="0" applyFont="1" applyFill="1" applyBorder="1" applyAlignment="1">
      <alignment horizontal="center" vertical="center" wrapText="1"/>
    </xf>
    <xf numFmtId="0" fontId="123" fillId="3" borderId="70" xfId="0" applyFont="1" applyFill="1" applyBorder="1" applyAlignment="1">
      <alignment horizontal="center" vertical="center" wrapText="1"/>
    </xf>
    <xf numFmtId="0" fontId="123" fillId="3" borderId="75" xfId="0" applyFont="1" applyFill="1" applyBorder="1" applyAlignment="1">
      <alignment horizontal="center" vertical="center" wrapText="1"/>
    </xf>
    <xf numFmtId="0" fontId="131" fillId="57" borderId="92" xfId="0" applyFont="1" applyFill="1" applyBorder="1" applyAlignment="1">
      <alignment horizontal="center" vertical="center"/>
    </xf>
    <xf numFmtId="0" fontId="131" fillId="58" borderId="92" xfId="0" applyFont="1" applyFill="1" applyBorder="1" applyAlignment="1">
      <alignment horizontal="center" vertical="center" wrapText="1"/>
    </xf>
    <xf numFmtId="0" fontId="37" fillId="91" borderId="80" xfId="0" applyFont="1" applyFill="1" applyBorder="1" applyAlignment="1">
      <alignment wrapText="1"/>
    </xf>
    <xf numFmtId="0" fontId="37" fillId="91" borderId="7" xfId="0" applyFont="1" applyFill="1" applyBorder="1" applyAlignment="1">
      <alignment wrapText="1"/>
    </xf>
    <xf numFmtId="0" fontId="37" fillId="91" borderId="24" xfId="0" applyFont="1" applyFill="1" applyBorder="1" applyAlignment="1">
      <alignment wrapText="1"/>
    </xf>
    <xf numFmtId="0" fontId="37" fillId="91" borderId="23" xfId="0" applyFont="1" applyFill="1" applyBorder="1" applyAlignment="1">
      <alignment wrapText="1"/>
    </xf>
    <xf numFmtId="0" fontId="37" fillId="91" borderId="3" xfId="0" applyFont="1" applyFill="1" applyBorder="1" applyAlignment="1">
      <alignment wrapText="1"/>
    </xf>
    <xf numFmtId="0" fontId="37" fillId="91" borderId="4" xfId="0" applyFont="1" applyFill="1" applyBorder="1" applyAlignment="1">
      <alignment wrapText="1"/>
    </xf>
    <xf numFmtId="0" fontId="137" fillId="65" borderId="0" xfId="0" applyFont="1" applyFill="1"/>
    <xf numFmtId="0" fontId="37" fillId="0" borderId="0" xfId="0" applyFont="1"/>
    <xf numFmtId="0" fontId="37" fillId="91" borderId="5" xfId="0" applyFont="1" applyFill="1" applyBorder="1" applyAlignment="1">
      <alignment wrapText="1"/>
    </xf>
    <xf numFmtId="0" fontId="37" fillId="91" borderId="31" xfId="0" applyFont="1" applyFill="1" applyBorder="1" applyAlignment="1">
      <alignment wrapText="1"/>
    </xf>
    <xf numFmtId="0" fontId="37" fillId="91" borderId="79" xfId="0" applyFont="1" applyFill="1" applyBorder="1" applyAlignment="1">
      <alignment wrapText="1"/>
    </xf>
    <xf numFmtId="0" fontId="37" fillId="91" borderId="21" xfId="0" applyFont="1" applyFill="1" applyBorder="1" applyAlignment="1">
      <alignment wrapText="1"/>
    </xf>
    <xf numFmtId="0" fontId="37" fillId="91" borderId="17" xfId="0" applyFont="1" applyFill="1" applyBorder="1" applyAlignment="1">
      <alignment wrapText="1"/>
    </xf>
    <xf numFmtId="0" fontId="31" fillId="12" borderId="14" xfId="0" applyFont="1" applyFill="1" applyBorder="1" applyAlignment="1">
      <alignment wrapText="1"/>
    </xf>
    <xf numFmtId="0" fontId="31" fillId="12" borderId="10" xfId="0" applyFont="1" applyFill="1" applyBorder="1" applyAlignment="1">
      <alignment wrapText="1"/>
    </xf>
    <xf numFmtId="0" fontId="32" fillId="12" borderId="12" xfId="0" applyFont="1" applyFill="1" applyBorder="1" applyAlignment="1">
      <alignment wrapText="1"/>
    </xf>
    <xf numFmtId="0" fontId="32" fillId="12" borderId="11" xfId="0" applyFont="1" applyFill="1" applyBorder="1" applyAlignment="1">
      <alignment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30" fillId="11" borderId="9" xfId="0" applyFont="1" applyFill="1" applyBorder="1" applyAlignment="1">
      <alignment wrapText="1"/>
    </xf>
    <xf numFmtId="0" fontId="30" fillId="11" borderId="10" xfId="0" applyFont="1" applyFill="1" applyBorder="1" applyAlignment="1">
      <alignment wrapText="1"/>
    </xf>
    <xf numFmtId="0" fontId="30" fillId="11" borderId="12" xfId="0" applyFont="1" applyFill="1" applyBorder="1" applyAlignment="1">
      <alignment wrapText="1"/>
    </xf>
    <xf numFmtId="0" fontId="30" fillId="11" borderId="11" xfId="0" applyFont="1" applyFill="1" applyBorder="1" applyAlignment="1">
      <alignment wrapText="1"/>
    </xf>
    <xf numFmtId="0" fontId="30" fillId="11" borderId="15" xfId="0" applyFont="1" applyFill="1" applyBorder="1" applyAlignment="1">
      <alignment wrapText="1"/>
    </xf>
    <xf numFmtId="0" fontId="33" fillId="0" borderId="0" xfId="0" applyFont="1" applyAlignment="1">
      <alignment wrapText="1"/>
    </xf>
    <xf numFmtId="0" fontId="27" fillId="0" borderId="0" xfId="0" quotePrefix="1" applyFont="1" applyAlignment="1">
      <alignment wrapText="1"/>
    </xf>
    <xf numFmtId="0" fontId="137" fillId="0" borderId="0" xfId="0" applyFont="1" applyAlignment="1">
      <alignment horizontal="center" vertical="center"/>
    </xf>
    <xf numFmtId="0" fontId="138" fillId="7" borderId="36" xfId="0" applyFont="1" applyFill="1" applyBorder="1" applyAlignment="1">
      <alignment horizontal="center" vertical="center" wrapText="1"/>
    </xf>
    <xf numFmtId="0" fontId="138" fillId="7" borderId="0" xfId="0" applyFont="1" applyFill="1" applyAlignment="1">
      <alignment horizontal="center" vertical="center" wrapText="1"/>
    </xf>
    <xf numFmtId="0" fontId="71" fillId="0" borderId="82" xfId="0" applyFont="1" applyBorder="1" applyAlignment="1">
      <alignment horizontal="center"/>
    </xf>
    <xf numFmtId="0" fontId="39" fillId="0" borderId="1" xfId="8" applyFont="1" applyBorder="1" applyAlignment="1">
      <alignment horizontal="left"/>
    </xf>
    <xf numFmtId="0" fontId="25" fillId="13" borderId="16" xfId="8" applyFill="1" applyBorder="1"/>
    <xf numFmtId="0" fontId="34" fillId="21" borderId="1" xfId="8" applyFont="1" applyFill="1" applyBorder="1" applyAlignment="1">
      <alignment horizontal="center" vertical="center" wrapText="1"/>
    </xf>
    <xf numFmtId="0" fontId="43" fillId="20" borderId="28" xfId="8" applyFont="1" applyFill="1" applyBorder="1" applyAlignment="1">
      <alignment horizontal="center" vertical="center"/>
    </xf>
    <xf numFmtId="178" fontId="42" fillId="19" borderId="28" xfId="9" applyFont="1" applyFill="1" applyBorder="1" applyAlignment="1">
      <alignment horizontal="left" vertical="center"/>
    </xf>
    <xf numFmtId="0" fontId="43" fillId="20" borderId="29" xfId="8" applyFont="1" applyFill="1" applyBorder="1" applyAlignment="1">
      <alignment horizontal="center"/>
    </xf>
    <xf numFmtId="0" fontId="42" fillId="19" borderId="28" xfId="8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196" fillId="0" borderId="0" xfId="0" applyFont="1" applyAlignment="1">
      <alignment horizontal="left" vertical="center" wrapText="1"/>
    </xf>
    <xf numFmtId="0" fontId="22" fillId="74" borderId="57" xfId="0" applyFont="1" applyFill="1" applyBorder="1" applyAlignment="1">
      <alignment horizontal="center" vertical="center"/>
    </xf>
    <xf numFmtId="0" fontId="22" fillId="74" borderId="79" xfId="0" applyFont="1" applyFill="1" applyBorder="1" applyAlignment="1">
      <alignment horizontal="center" vertical="center" wrapText="1" shrinkToFit="1"/>
    </xf>
    <xf numFmtId="0" fontId="22" fillId="74" borderId="89" xfId="0" applyFont="1" applyFill="1" applyBorder="1" applyAlignment="1">
      <alignment horizontal="center" vertical="center" wrapText="1" shrinkToFit="1"/>
    </xf>
    <xf numFmtId="0" fontId="22" fillId="56" borderId="95" xfId="0" applyFont="1" applyFill="1" applyBorder="1" applyAlignment="1">
      <alignment horizontal="center" vertical="center" wrapText="1"/>
    </xf>
    <xf numFmtId="0" fontId="22" fillId="56" borderId="95" xfId="0" applyFont="1" applyFill="1" applyBorder="1" applyAlignment="1">
      <alignment horizontal="center" vertical="center"/>
    </xf>
    <xf numFmtId="0" fontId="22" fillId="56" borderId="96" xfId="0" applyFont="1" applyFill="1" applyBorder="1" applyAlignment="1">
      <alignment horizontal="center" vertical="center" wrapText="1"/>
    </xf>
    <xf numFmtId="0" fontId="22" fillId="56" borderId="57" xfId="0" applyFont="1" applyFill="1" applyBorder="1" applyAlignment="1">
      <alignment horizontal="center" vertical="center" wrapText="1"/>
    </xf>
    <xf numFmtId="43" fontId="22" fillId="0" borderId="0" xfId="15" applyFont="1" applyAlignment="1">
      <alignment horizontal="center" vertical="center"/>
    </xf>
    <xf numFmtId="164" fontId="22" fillId="56" borderId="96" xfId="15" applyNumberFormat="1" applyFont="1" applyFill="1" applyBorder="1" applyAlignment="1">
      <alignment horizontal="center" vertical="center" wrapText="1"/>
    </xf>
    <xf numFmtId="0" fontId="140" fillId="82" borderId="0" xfId="0" applyFont="1" applyFill="1" applyAlignment="1">
      <alignment horizontal="right"/>
    </xf>
    <xf numFmtId="0" fontId="179" fillId="56" borderId="91" xfId="0" applyFont="1" applyFill="1" applyBorder="1" applyAlignment="1">
      <alignment horizontal="center" vertical="center"/>
    </xf>
    <xf numFmtId="0" fontId="179" fillId="56" borderId="92" xfId="0" applyFont="1" applyFill="1" applyBorder="1" applyAlignment="1">
      <alignment horizontal="center" vertical="center"/>
    </xf>
    <xf numFmtId="0" fontId="179" fillId="56" borderId="93" xfId="0" applyFont="1" applyFill="1" applyBorder="1" applyAlignment="1">
      <alignment horizontal="center" vertical="center"/>
    </xf>
    <xf numFmtId="0" fontId="185" fillId="0" borderId="95" xfId="19" applyFont="1" applyBorder="1" applyAlignment="1">
      <alignment horizontal="left" vertical="center" wrapText="1"/>
    </xf>
    <xf numFmtId="0" fontId="179" fillId="56" borderId="96" xfId="0" quotePrefix="1" applyFont="1" applyFill="1" applyBorder="1" applyAlignment="1">
      <alignment horizontal="center" vertical="center" wrapText="1"/>
    </xf>
    <xf numFmtId="0" fontId="179" fillId="56" borderId="9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88" fillId="50" borderId="0" xfId="17" applyFont="1" applyFill="1" applyAlignment="1">
      <alignment horizontal="right"/>
    </xf>
    <xf numFmtId="0" fontId="188" fillId="52" borderId="0" xfId="17" applyFont="1" applyFill="1" applyAlignment="1">
      <alignment horizontal="right"/>
    </xf>
    <xf numFmtId="0" fontId="188" fillId="78" borderId="0" xfId="17" applyFont="1" applyFill="1" applyAlignment="1">
      <alignment horizontal="right"/>
    </xf>
    <xf numFmtId="0" fontId="188" fillId="0" borderId="0" xfId="17" applyFont="1" applyAlignment="1">
      <alignment horizontal="right"/>
    </xf>
    <xf numFmtId="0" fontId="188" fillId="83" borderId="0" xfId="17" applyFont="1" applyFill="1" applyAlignment="1">
      <alignment horizontal="right"/>
    </xf>
    <xf numFmtId="0" fontId="188" fillId="47" borderId="0" xfId="17" applyFont="1" applyFill="1" applyAlignment="1">
      <alignment horizontal="right"/>
    </xf>
    <xf numFmtId="0" fontId="168" fillId="0" borderId="0" xfId="0" applyFont="1" applyAlignment="1">
      <alignment horizontal="center" vertical="center" wrapText="1"/>
    </xf>
    <xf numFmtId="0" fontId="173" fillId="46" borderId="93" xfId="0" applyFont="1" applyFill="1" applyBorder="1" applyAlignment="1">
      <alignment horizontal="center" vertical="center" wrapText="1"/>
    </xf>
    <xf numFmtId="0" fontId="173" fillId="46" borderId="96" xfId="0" applyFont="1" applyFill="1" applyBorder="1" applyAlignment="1">
      <alignment horizontal="center" vertical="center" wrapText="1"/>
    </xf>
    <xf numFmtId="0" fontId="173" fillId="46" borderId="91" xfId="0" applyFont="1" applyFill="1" applyBorder="1" applyAlignment="1">
      <alignment horizontal="center" vertical="center" wrapText="1"/>
    </xf>
    <xf numFmtId="0" fontId="175" fillId="0" borderId="97" xfId="2" applyFont="1" applyBorder="1" applyAlignment="1">
      <alignment horizontal="center" vertical="center" wrapText="1"/>
    </xf>
    <xf numFmtId="0" fontId="175" fillId="0" borderId="8" xfId="2" applyFont="1" applyBorder="1" applyAlignment="1">
      <alignment horizontal="center" vertical="center" wrapText="1"/>
    </xf>
    <xf numFmtId="0" fontId="175" fillId="0" borderId="58" xfId="2" applyFont="1" applyBorder="1" applyAlignment="1">
      <alignment horizontal="center" vertical="center" wrapText="1"/>
    </xf>
    <xf numFmtId="0" fontId="175" fillId="35" borderId="93" xfId="2" applyFont="1" applyFill="1" applyBorder="1" applyAlignment="1">
      <alignment horizontal="center" vertical="center" wrapText="1"/>
    </xf>
    <xf numFmtId="0" fontId="175" fillId="35" borderId="91" xfId="2" applyFont="1" applyFill="1" applyBorder="1" applyAlignment="1">
      <alignment horizontal="center" vertical="center" wrapText="1"/>
    </xf>
    <xf numFmtId="0" fontId="168" fillId="0" borderId="0" xfId="2" applyFont="1" applyAlignment="1">
      <alignment horizontal="center" vertical="center" wrapText="1"/>
    </xf>
    <xf numFmtId="0" fontId="173" fillId="43" borderId="93" xfId="2" applyFont="1" applyFill="1" applyBorder="1" applyAlignment="1">
      <alignment horizontal="center" vertical="center" wrapText="1"/>
    </xf>
    <xf numFmtId="0" fontId="173" fillId="43" borderId="96" xfId="2" applyFont="1" applyFill="1" applyBorder="1" applyAlignment="1">
      <alignment horizontal="center" vertical="center" wrapText="1"/>
    </xf>
    <xf numFmtId="0" fontId="173" fillId="43" borderId="91" xfId="2" applyFont="1" applyFill="1" applyBorder="1" applyAlignment="1">
      <alignment horizontal="center" vertical="center" wrapText="1"/>
    </xf>
    <xf numFmtId="0" fontId="170" fillId="2" borderId="0" xfId="2" applyFont="1" applyFill="1" applyAlignment="1">
      <alignment horizontal="center" vertical="center" wrapText="1"/>
    </xf>
    <xf numFmtId="0" fontId="179" fillId="56" borderId="91" xfId="2" applyFont="1" applyFill="1" applyBorder="1" applyAlignment="1">
      <alignment horizontal="center" vertical="center"/>
    </xf>
    <xf numFmtId="0" fontId="179" fillId="56" borderId="92" xfId="2" applyFont="1" applyFill="1" applyBorder="1" applyAlignment="1">
      <alignment horizontal="center" vertical="center"/>
    </xf>
    <xf numFmtId="0" fontId="179" fillId="56" borderId="93" xfId="2" applyFont="1" applyFill="1" applyBorder="1" applyAlignment="1">
      <alignment horizontal="center" vertical="center"/>
    </xf>
    <xf numFmtId="0" fontId="179" fillId="56" borderId="96" xfId="2" quotePrefix="1" applyFont="1" applyFill="1" applyBorder="1" applyAlignment="1">
      <alignment horizontal="center" vertical="center" wrapText="1"/>
    </xf>
    <xf numFmtId="0" fontId="179" fillId="56" borderId="96" xfId="2" applyFont="1" applyFill="1" applyBorder="1" applyAlignment="1">
      <alignment horizontal="center" vertical="center"/>
    </xf>
    <xf numFmtId="0" fontId="148" fillId="0" borderId="0" xfId="2" applyFont="1" applyAlignment="1">
      <alignment horizontal="center" vertical="center" wrapText="1"/>
    </xf>
    <xf numFmtId="0" fontId="148" fillId="34" borderId="0" xfId="2" applyFont="1" applyFill="1" applyAlignment="1">
      <alignment horizontal="center" vertical="center" wrapText="1"/>
    </xf>
    <xf numFmtId="0" fontId="8" fillId="0" borderId="1" xfId="2" applyBorder="1" applyAlignment="1">
      <alignment horizontal="center"/>
    </xf>
    <xf numFmtId="0" fontId="139" fillId="0" borderId="1" xfId="2" applyFont="1" applyBorder="1" applyAlignment="1">
      <alignment horizontal="center" vertical="center" wrapText="1"/>
    </xf>
    <xf numFmtId="0" fontId="186" fillId="50" borderId="0" xfId="17" applyFont="1" applyFill="1" applyAlignment="1">
      <alignment horizontal="right" vertical="center"/>
    </xf>
    <xf numFmtId="0" fontId="186" fillId="52" borderId="0" xfId="17" applyFont="1" applyFill="1" applyAlignment="1">
      <alignment horizontal="right" vertical="center"/>
    </xf>
    <xf numFmtId="0" fontId="186" fillId="82" borderId="0" xfId="17" applyFont="1" applyFill="1" applyAlignment="1">
      <alignment horizontal="right" vertical="center"/>
    </xf>
    <xf numFmtId="0" fontId="186" fillId="78" borderId="0" xfId="17" applyFont="1" applyFill="1" applyAlignment="1">
      <alignment horizontal="right" vertical="center"/>
    </xf>
    <xf numFmtId="0" fontId="186" fillId="0" borderId="0" xfId="17" applyFont="1" applyAlignment="1">
      <alignment horizontal="right" vertical="center"/>
    </xf>
    <xf numFmtId="0" fontId="186" fillId="83" borderId="0" xfId="17" applyFont="1" applyFill="1" applyAlignment="1">
      <alignment horizontal="right" vertical="center"/>
    </xf>
    <xf numFmtId="0" fontId="186" fillId="47" borderId="0" xfId="17" applyFont="1" applyFill="1" applyAlignment="1">
      <alignment horizontal="right" vertical="center"/>
    </xf>
    <xf numFmtId="0" fontId="141" fillId="3" borderId="16" xfId="17" applyFont="1" applyFill="1" applyBorder="1" applyAlignment="1">
      <alignment horizontal="center"/>
    </xf>
    <xf numFmtId="0" fontId="141" fillId="3" borderId="6" xfId="17" applyFont="1" applyFill="1" applyBorder="1" applyAlignment="1">
      <alignment horizontal="center"/>
    </xf>
    <xf numFmtId="3" fontId="138" fillId="65" borderId="17" xfId="0" applyNumberFormat="1" applyFont="1" applyFill="1" applyBorder="1"/>
    <xf numFmtId="165" fontId="146" fillId="2" borderId="92" xfId="0" applyNumberFormat="1" applyFont="1" applyFill="1" applyBorder="1"/>
    <xf numFmtId="0" fontId="2" fillId="0" borderId="92" xfId="0" applyFont="1" applyBorder="1" applyAlignment="1">
      <alignment horizontal="center" vertical="center"/>
    </xf>
    <xf numFmtId="0" fontId="10" fillId="0" borderId="23" xfId="11" applyFont="1" applyBorder="1" applyAlignment="1">
      <alignment horizontal="center" vertical="center"/>
    </xf>
    <xf numFmtId="164" fontId="138" fillId="2" borderId="1" xfId="0" applyNumberFormat="1" applyFont="1" applyFill="1" applyBorder="1" applyAlignment="1">
      <alignment horizontal="center"/>
    </xf>
    <xf numFmtId="174" fontId="2" fillId="2" borderId="0" xfId="0" applyNumberFormat="1" applyFont="1" applyFill="1"/>
    <xf numFmtId="0" fontId="2" fillId="2" borderId="0" xfId="0" applyFont="1" applyFill="1"/>
    <xf numFmtId="3" fontId="29" fillId="2" borderId="83" xfId="0" applyNumberFormat="1" applyFont="1" applyFill="1" applyBorder="1" applyAlignment="1">
      <alignment horizontal="center" vertical="center" wrapText="1"/>
    </xf>
    <xf numFmtId="4" fontId="150" fillId="65" borderId="92" xfId="0" applyNumberFormat="1" applyFont="1" applyFill="1" applyBorder="1" applyAlignment="1">
      <alignment horizontal="center" vertical="center"/>
    </xf>
    <xf numFmtId="0" fontId="149" fillId="10" borderId="0" xfId="0" applyFont="1" applyFill="1" applyBorder="1"/>
    <xf numFmtId="4" fontId="150" fillId="65" borderId="0" xfId="0" applyNumberFormat="1" applyFont="1" applyFill="1" applyBorder="1" applyAlignment="1">
      <alignment horizontal="center" vertical="center"/>
    </xf>
    <xf numFmtId="4" fontId="29" fillId="2" borderId="83" xfId="0" applyNumberFormat="1" applyFont="1" applyFill="1" applyBorder="1" applyAlignment="1">
      <alignment horizontal="center" vertical="center" wrapText="1"/>
    </xf>
    <xf numFmtId="170" fontId="15" fillId="2" borderId="98" xfId="7" applyNumberFormat="1" applyFont="1" applyFill="1" applyBorder="1" applyAlignment="1" applyProtection="1">
      <alignment horizontal="right" vertical="center" wrapText="1"/>
      <protection locked="0"/>
    </xf>
    <xf numFmtId="187" fontId="7" fillId="0" borderId="1" xfId="1" applyNumberFormat="1" applyFont="1" applyBorder="1" applyAlignment="1">
      <alignment horizontal="right" vertical="center"/>
    </xf>
    <xf numFmtId="187" fontId="0" fillId="0" borderId="0" xfId="0" applyNumberFormat="1"/>
    <xf numFmtId="44" fontId="165" fillId="0" borderId="100" xfId="0" applyNumberFormat="1" applyFont="1" applyBorder="1"/>
    <xf numFmtId="44" fontId="165" fillId="0" borderId="101" xfId="0" applyNumberFormat="1" applyFont="1" applyBorder="1"/>
    <xf numFmtId="44" fontId="164" fillId="28" borderId="7" xfId="0" applyNumberFormat="1" applyFont="1" applyFill="1" applyBorder="1"/>
    <xf numFmtId="44" fontId="165" fillId="92" borderId="100" xfId="0" applyNumberFormat="1" applyFont="1" applyFill="1" applyBorder="1"/>
    <xf numFmtId="44" fontId="165" fillId="92" borderId="101" xfId="0" applyNumberFormat="1" applyFont="1" applyFill="1" applyBorder="1"/>
    <xf numFmtId="0" fontId="33" fillId="0" borderId="2" xfId="0" applyFont="1" applyBorder="1" applyAlignment="1">
      <alignment horizontal="left" wrapText="1"/>
    </xf>
    <xf numFmtId="187" fontId="7" fillId="8" borderId="1" xfId="1" applyNumberFormat="1" applyFont="1" applyFill="1" applyBorder="1" applyAlignment="1">
      <alignment horizontal="right" vertical="center"/>
    </xf>
    <xf numFmtId="0" fontId="120" fillId="6" borderId="0" xfId="0" applyFont="1" applyFill="1" applyAlignment="1">
      <alignment horizontal="left" wrapText="1"/>
    </xf>
    <xf numFmtId="0" fontId="120" fillId="6" borderId="1" xfId="0" applyFont="1" applyFill="1" applyBorder="1" applyAlignment="1">
      <alignment horizontal="left" wrapText="1"/>
    </xf>
    <xf numFmtId="0" fontId="120" fillId="6" borderId="1" xfId="0" applyFont="1" applyFill="1" applyBorder="1" applyAlignment="1">
      <alignment horizontal="left" wrapText="1"/>
    </xf>
    <xf numFmtId="0" fontId="120" fillId="6" borderId="5" xfId="0" applyFont="1" applyFill="1" applyBorder="1" applyAlignment="1">
      <alignment wrapText="1"/>
    </xf>
    <xf numFmtId="0" fontId="120" fillId="6" borderId="1" xfId="0" applyFont="1" applyFill="1" applyBorder="1" applyAlignment="1">
      <alignment wrapText="1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74" fontId="3" fillId="0" borderId="0" xfId="1" applyNumberFormat="1" applyFont="1" applyBorder="1" applyAlignment="1">
      <alignment horizontal="left" vertical="center"/>
    </xf>
    <xf numFmtId="187" fontId="7" fillId="8" borderId="0" xfId="1" applyNumberFormat="1" applyFont="1" applyFill="1" applyBorder="1" applyAlignment="1">
      <alignment horizontal="right" vertical="center"/>
    </xf>
  </cellXfs>
  <cellStyles count="24">
    <cellStyle name="Excel Built-in Excel Built-in Excel Built-in Excel Built-in Excel Built-in Excel Built-in Excel Built-in TableStyleLight1 2" xfId="7" xr:uid="{8814F3AF-3135-724E-BC69-57104BECB98A}"/>
    <cellStyle name="Moeda" xfId="1" builtinId="4"/>
    <cellStyle name="Moeda 2" xfId="9" xr:uid="{24417A23-E263-9A42-B326-E04C8BCBD621}"/>
    <cellStyle name="Moeda 3" xfId="12" xr:uid="{508F7069-CD1C-44AE-BDED-CC03902E0A0C}"/>
    <cellStyle name="Moeda 3 2" xfId="6" xr:uid="{55E4621B-26D7-AC48-9305-64D545C10447}"/>
    <cellStyle name="Normal" xfId="0" builtinId="0"/>
    <cellStyle name="Normal 2" xfId="8" xr:uid="{633A6CF8-D88A-3544-A7D9-2DC0764A9580}"/>
    <cellStyle name="Normal 3" xfId="2" xr:uid="{0B3F2D8B-A74E-45E7-AA3C-D03A5FF18671}"/>
    <cellStyle name="Normal 4" xfId="4" xr:uid="{58EF48A1-4873-D04C-A2D8-EF0EB250DD1F}"/>
    <cellStyle name="Normal 5" xfId="11" xr:uid="{789D97A6-ECCF-45AF-BBAE-16D3C2612AEE}"/>
    <cellStyle name="Normal_Auxílio-Moradia - ex-Território" xfId="22" xr:uid="{A2D3A8EF-1FD6-4C9A-8A82-A0CDFF0FBA6A}"/>
    <cellStyle name="Normal_Auxílio-Moradia - ex-Território_1" xfId="21" xr:uid="{88CC4AD9-CFC2-4E93-8165-694033D953E4}"/>
    <cellStyle name="Normal_IMPACTO - POLÍCIA CIVIL-GDF" xfId="23" xr:uid="{558A77CD-1C32-4C2E-A3D1-5703153F08C7}"/>
    <cellStyle name="Normal_Pasta3" xfId="17" xr:uid="{7388FEA2-5BC0-483F-97AE-F410637EA6C5}"/>
    <cellStyle name="Normal_Planilha1" xfId="19" xr:uid="{62291061-AABF-4E50-AFE4-2C9C78169E37}"/>
    <cellStyle name="Normal_PM-CBM-GDF - AUX MORADIA" xfId="20" xr:uid="{13B155B5-A042-4C8C-8F03-19A84FF3734C}"/>
    <cellStyle name="Porcentagem" xfId="16" builtinId="5"/>
    <cellStyle name="Porcentagem 2" xfId="13" xr:uid="{CB47834D-96E0-4F3B-B574-50023DE4F355}"/>
    <cellStyle name="Texto Explicativo" xfId="3" builtinId="53"/>
    <cellStyle name="Vírgula" xfId="15" builtinId="3"/>
    <cellStyle name="Vírgula 2" xfId="5" xr:uid="{43BA7C1F-6E51-5649-863D-D176C64D9DDA}"/>
    <cellStyle name="Vírgula 3" xfId="10" xr:uid="{EE3C2806-822B-5642-AE8F-E953BE61FAD9}"/>
    <cellStyle name="Vírgula 4" xfId="14" xr:uid="{A170E078-1B54-4CEC-8AA0-E0C0D0B6A867}"/>
    <cellStyle name="Vírgula 5" xfId="18" xr:uid="{493F35C6-F645-4222-A75F-DB1FCF6F1E9D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</xdr:col>
      <xdr:colOff>304800</xdr:colOff>
      <xdr:row>20</xdr:row>
      <xdr:rowOff>64605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8106CF12-DD6D-454E-93CA-723AC8E82FB6}"/>
            </a:ext>
          </a:extLst>
        </xdr:cNvPr>
        <xdr:cNvSpPr>
          <a:spLocks noChangeAspect="1" noChangeArrowheads="1"/>
        </xdr:cNvSpPr>
      </xdr:nvSpPr>
      <xdr:spPr bwMode="auto">
        <a:xfrm>
          <a:off x="0" y="39147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304800</xdr:colOff>
      <xdr:row>20</xdr:row>
      <xdr:rowOff>64605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5D3BCDA3-66AC-4BC3-A94A-516F031B87B0}"/>
            </a:ext>
            <a:ext uri="{147F2762-F138-4A5C-976F-8EAC2B608ADB}">
              <a16:predDERef xmlns:a16="http://schemas.microsoft.com/office/drawing/2014/main" pred="{8106CF12-DD6D-454E-93CA-723AC8E82FB6}"/>
            </a:ext>
          </a:extLst>
        </xdr:cNvPr>
        <xdr:cNvSpPr>
          <a:spLocks noChangeAspect="1" noChangeArrowheads="1"/>
        </xdr:cNvSpPr>
      </xdr:nvSpPr>
      <xdr:spPr bwMode="auto">
        <a:xfrm>
          <a:off x="0" y="39147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304800</xdr:colOff>
      <xdr:row>20</xdr:row>
      <xdr:rowOff>36030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8A750E44-F89F-4882-86E2-B7FB06AE7E13}"/>
            </a:ext>
            <a:ext uri="{147F2762-F138-4A5C-976F-8EAC2B608ADB}">
              <a16:predDERef xmlns:a16="http://schemas.microsoft.com/office/drawing/2014/main" pred="{5D3BCDA3-66AC-4BC3-A94A-516F031B87B0}"/>
            </a:ext>
          </a:extLst>
        </xdr:cNvPr>
        <xdr:cNvSpPr>
          <a:spLocks noChangeAspect="1" noChangeArrowheads="1"/>
        </xdr:cNvSpPr>
      </xdr:nvSpPr>
      <xdr:spPr bwMode="auto">
        <a:xfrm>
          <a:off x="0" y="3914775"/>
          <a:ext cx="304800" cy="276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304800</xdr:colOff>
      <xdr:row>20</xdr:row>
      <xdr:rowOff>36030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1596F65C-A139-4032-8D7C-F8B6C7D1AF0F}"/>
            </a:ext>
            <a:ext uri="{147F2762-F138-4A5C-976F-8EAC2B608ADB}">
              <a16:predDERef xmlns:a16="http://schemas.microsoft.com/office/drawing/2014/main" pred="{8A750E44-F89F-4882-86E2-B7FB06AE7E13}"/>
            </a:ext>
          </a:extLst>
        </xdr:cNvPr>
        <xdr:cNvSpPr>
          <a:spLocks noChangeAspect="1" noChangeArrowheads="1"/>
        </xdr:cNvSpPr>
      </xdr:nvSpPr>
      <xdr:spPr bwMode="auto">
        <a:xfrm>
          <a:off x="0" y="3914775"/>
          <a:ext cx="304800" cy="276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111125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9166C4A8-C6C4-46DB-B928-6959E73B3810}"/>
            </a:ext>
            <a:ext uri="{147F2762-F138-4A5C-976F-8EAC2B608ADB}">
              <a16:predDERef xmlns:a16="http://schemas.microsoft.com/office/drawing/2014/main" pred="{1596F65C-A139-4032-8D7C-F8B6C7D1AF0F}"/>
            </a:ext>
          </a:extLst>
        </xdr:cNvPr>
        <xdr:cNvSpPr>
          <a:spLocks noChangeAspect="1" noChangeArrowheads="1"/>
        </xdr:cNvSpPr>
      </xdr:nvSpPr>
      <xdr:spPr bwMode="auto">
        <a:xfrm>
          <a:off x="0" y="4705350"/>
          <a:ext cx="30480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111125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E82783EF-00FA-4DA2-BDDA-D023618137AB}"/>
            </a:ext>
            <a:ext uri="{147F2762-F138-4A5C-976F-8EAC2B608ADB}">
              <a16:predDERef xmlns:a16="http://schemas.microsoft.com/office/drawing/2014/main" pred="{9166C4A8-C6C4-46DB-B928-6959E73B3810}"/>
            </a:ext>
          </a:extLst>
        </xdr:cNvPr>
        <xdr:cNvSpPr>
          <a:spLocks noChangeAspect="1" noChangeArrowheads="1"/>
        </xdr:cNvSpPr>
      </xdr:nvSpPr>
      <xdr:spPr bwMode="auto">
        <a:xfrm>
          <a:off x="0" y="4705350"/>
          <a:ext cx="30480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0A062C0-F299-49D6-AF63-7AE0B80BB6B6}"/>
            </a:ext>
          </a:extLst>
        </xdr:cNvPr>
        <xdr:cNvSpPr>
          <a:spLocks noChangeAspect="1" noChangeArrowheads="1"/>
        </xdr:cNvSpPr>
      </xdr:nvSpPr>
      <xdr:spPr bwMode="auto">
        <a:xfrm>
          <a:off x="0" y="483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114300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9A368265-71AD-49F7-9D17-3A7B4763042A}"/>
            </a:ext>
            <a:ext uri="{147F2762-F138-4A5C-976F-8EAC2B608ADB}">
              <a16:predDERef xmlns:a16="http://schemas.microsoft.com/office/drawing/2014/main" pred="{40A062C0-F299-49D6-AF63-7AE0B80BB6B6}"/>
            </a:ext>
          </a:extLst>
        </xdr:cNvPr>
        <xdr:cNvSpPr>
          <a:spLocks noChangeAspect="1" noChangeArrowheads="1"/>
        </xdr:cNvSpPr>
      </xdr:nvSpPr>
      <xdr:spPr bwMode="auto">
        <a:xfrm>
          <a:off x="0" y="483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4733399-377D-CF4E-B902-037B09073302}"/>
            </a:ext>
          </a:extLst>
        </xdr:cNvPr>
        <xdr:cNvSpPr/>
      </xdr:nvSpPr>
      <xdr:spPr>
        <a:xfrm>
          <a:off x="965200" y="9093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E1C3241-E3EB-E743-BCFE-B299CE0A6A5B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D6433F8F-4677-1D4D-8DA1-6F0DBD902111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508837E8-3DCA-4D4E-91F1-5D5CFC01A847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123B971A-17A7-7849-8667-5C39A16F7371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C8A777E3-D100-DF42-98F2-5E4FE406854E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E46BE9FF-C56E-724A-9189-FA4FD093D32E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318C8DDE-B269-294E-AE74-F7B6EFB26A62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A8A6975E-CDDC-FA49-82C7-4D6B4BB156FE}"/>
            </a:ext>
          </a:extLst>
        </xdr:cNvPr>
        <xdr:cNvSpPr/>
      </xdr:nvSpPr>
      <xdr:spPr>
        <a:xfrm>
          <a:off x="965200" y="9093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C721BAEB-3D85-CF42-9CED-19523E8729DF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7FC5BC4F-70F9-2A45-A977-8B0458DF2C74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D82EA217-9694-DE41-8067-BCA4AA01EFEB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B7F20EF9-16B0-6545-9DE3-0E9E01AE7BD2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25E49873-6F3C-D946-AAFC-74B679210BF8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3983CB9B-AAB4-0C48-95AC-3A7A04AA14F4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57FE99F8-0FC3-3545-B53F-BAF2E3FD80C5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1A7568CD-7049-754D-AB0C-74FB6C6CB32C}"/>
            </a:ext>
          </a:extLst>
        </xdr:cNvPr>
        <xdr:cNvSpPr/>
      </xdr:nvSpPr>
      <xdr:spPr>
        <a:xfrm>
          <a:off x="965200" y="9093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654630B7-78D7-314D-B6E7-771DC1D05796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3C999440-FCB6-A748-B822-F75A0D4F1E8C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252C5257-2DB2-5747-AB9E-B5FC404477D2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96E99040-E7E7-8C4C-B3D1-46A83BF307C3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516D987F-2D8F-1F42-94BE-F76FF6C56F02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304796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2245E893-6EA3-2E4D-8930-4CFA5AEF9752}"/>
            </a:ext>
          </a:extLst>
        </xdr:cNvPr>
        <xdr:cNvSpPr/>
      </xdr:nvSpPr>
      <xdr:spPr>
        <a:xfrm>
          <a:off x="965200" y="10490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2054A6E4-4178-5945-B31F-E23183572563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D2A6DDA5-327C-714B-AFFC-17A6419BF7A5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FA9EE722-034F-964F-8DDC-B5AAE89A824D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B7B875BC-99AE-134B-AF38-99BB763EE0F0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CC8D857D-DC74-644C-8BF6-A07BE4C4E77E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10CB0B8F-DA1C-E14F-9257-967FC38E68DF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DD10DC67-3C81-354F-B7A5-B284CB2C9A66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304796"/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F329A908-BBD6-F34E-82EE-1C2F4FA4D273}"/>
            </a:ext>
          </a:extLst>
        </xdr:cNvPr>
        <xdr:cNvSpPr/>
      </xdr:nvSpPr>
      <xdr:spPr>
        <a:xfrm>
          <a:off x="965200" y="10490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B7502039-90B7-E34D-A7A5-67321A1C4638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7B49F0D8-38D1-7648-9AE8-B46B3950F928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5C9AF26B-BF2D-9E48-B4AF-13FE8575AB9B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050265F9-7865-CF4E-9A0E-B056A872971E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5D3F6ED0-492D-4448-9ED1-E8EB1B0B597A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8EE8480E-3A38-154D-BC36-17F20E166858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5BDFEA48-448C-8D4B-9804-C1DAA216158D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304796"/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FC9619AA-36F5-FB44-BF92-18F426A4C45B}"/>
            </a:ext>
          </a:extLst>
        </xdr:cNvPr>
        <xdr:cNvSpPr/>
      </xdr:nvSpPr>
      <xdr:spPr>
        <a:xfrm>
          <a:off x="965200" y="10490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C978D66C-18DA-B445-97FC-1F87A9A327B2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6907AC3E-7229-8B44-BB3D-C2FF93838E8F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3C45E115-DC3B-934B-ACC7-1BCD381BFE18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C5728C44-9AE7-6B45-801B-CFB8846A02E1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53460A20-A5F1-AB45-B027-569D4847F801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304796"/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82DC925F-3F4B-8648-A401-C194E94BE673}"/>
            </a:ext>
          </a:extLst>
        </xdr:cNvPr>
        <xdr:cNvSpPr/>
      </xdr:nvSpPr>
      <xdr:spPr>
        <a:xfrm>
          <a:off x="965200" y="10490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id="{02EFE850-3CC4-AE42-82EA-ECB7FB45D58D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48" name="AutoShape 1">
          <a:extLst>
            <a:ext uri="{FF2B5EF4-FFF2-40B4-BE49-F238E27FC236}">
              <a16:creationId xmlns:a16="http://schemas.microsoft.com/office/drawing/2014/main" id="{4336EE0C-2601-C741-98A5-B5A12F8E5391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A59FBF02-15E8-514B-BDDF-EAC1FDCD9D48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CD1F663C-7770-934B-84C5-99D7F0780AB8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51" name="AutoShape 1">
          <a:extLst>
            <a:ext uri="{FF2B5EF4-FFF2-40B4-BE49-F238E27FC236}">
              <a16:creationId xmlns:a16="http://schemas.microsoft.com/office/drawing/2014/main" id="{668B8B33-B652-BA46-8F5C-5FE438482A26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52" name="AutoShape 1">
          <a:extLst>
            <a:ext uri="{FF2B5EF4-FFF2-40B4-BE49-F238E27FC236}">
              <a16:creationId xmlns:a16="http://schemas.microsoft.com/office/drawing/2014/main" id="{E2ED17D5-1C0F-B647-ADDA-ECAFE1D51C09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93B486F7-D16E-1B46-B5D1-DFD19C7F93F3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304796"/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id="{442E984C-7068-8D41-A4AE-6FC14F706A6E}"/>
            </a:ext>
          </a:extLst>
        </xdr:cNvPr>
        <xdr:cNvSpPr/>
      </xdr:nvSpPr>
      <xdr:spPr>
        <a:xfrm>
          <a:off x="965200" y="10490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55" name="AutoShape 1">
          <a:extLst>
            <a:ext uri="{FF2B5EF4-FFF2-40B4-BE49-F238E27FC236}">
              <a16:creationId xmlns:a16="http://schemas.microsoft.com/office/drawing/2014/main" id="{A3BCDD24-07D7-D74A-9A7B-005DEEA45135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79B05B1D-5926-BA45-87F4-624A87956424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57" name="AutoShape 1">
          <a:extLst>
            <a:ext uri="{FF2B5EF4-FFF2-40B4-BE49-F238E27FC236}">
              <a16:creationId xmlns:a16="http://schemas.microsoft.com/office/drawing/2014/main" id="{B5384880-D5EE-8948-A3F3-8AC08450D26A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58" name="AutoShape 1">
          <a:extLst>
            <a:ext uri="{FF2B5EF4-FFF2-40B4-BE49-F238E27FC236}">
              <a16:creationId xmlns:a16="http://schemas.microsoft.com/office/drawing/2014/main" id="{14D28AAA-C18B-BC4E-B740-01B2F4CDD35A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id="{CEFA3F4F-AECF-1940-BBB9-7391AB82C50A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60" name="AutoShape 1">
          <a:extLst>
            <a:ext uri="{FF2B5EF4-FFF2-40B4-BE49-F238E27FC236}">
              <a16:creationId xmlns:a16="http://schemas.microsoft.com/office/drawing/2014/main" id="{C1629ADF-B725-C34B-9B0A-AA93E7F5E92A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id="{867C4A4F-64C2-0942-A9DF-1D77AF9A824E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304796"/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id="{D1121052-DE44-B540-BC69-B0DED1A52112}"/>
            </a:ext>
          </a:extLst>
        </xdr:cNvPr>
        <xdr:cNvSpPr/>
      </xdr:nvSpPr>
      <xdr:spPr>
        <a:xfrm>
          <a:off x="965200" y="10490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63" name="AutoShape 1">
          <a:extLst>
            <a:ext uri="{FF2B5EF4-FFF2-40B4-BE49-F238E27FC236}">
              <a16:creationId xmlns:a16="http://schemas.microsoft.com/office/drawing/2014/main" id="{A208ED1F-DF4E-7046-B02C-A3E52783E090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64" name="AutoShape 1">
          <a:extLst>
            <a:ext uri="{FF2B5EF4-FFF2-40B4-BE49-F238E27FC236}">
              <a16:creationId xmlns:a16="http://schemas.microsoft.com/office/drawing/2014/main" id="{BF1062AB-5857-BD41-83BF-93A801D997CF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65" name="AutoShape 1">
          <a:extLst>
            <a:ext uri="{FF2B5EF4-FFF2-40B4-BE49-F238E27FC236}">
              <a16:creationId xmlns:a16="http://schemas.microsoft.com/office/drawing/2014/main" id="{E71A85F0-C139-1F42-911B-48AEA69B4E5A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66" name="AutoShape 1">
          <a:extLst>
            <a:ext uri="{FF2B5EF4-FFF2-40B4-BE49-F238E27FC236}">
              <a16:creationId xmlns:a16="http://schemas.microsoft.com/office/drawing/2014/main" id="{784FFC79-E92C-424D-8D3A-91F538C76915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67" name="AutoShape 1">
          <a:extLst>
            <a:ext uri="{FF2B5EF4-FFF2-40B4-BE49-F238E27FC236}">
              <a16:creationId xmlns:a16="http://schemas.microsoft.com/office/drawing/2014/main" id="{81E7428F-082E-D247-A603-AB7A6867652D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304796"/>
    <xdr:sp macro="" textlink="">
      <xdr:nvSpPr>
        <xdr:cNvPr id="68" name="AutoShape 1">
          <a:extLst>
            <a:ext uri="{FF2B5EF4-FFF2-40B4-BE49-F238E27FC236}">
              <a16:creationId xmlns:a16="http://schemas.microsoft.com/office/drawing/2014/main" id="{70A3E622-9106-B241-B18D-5145A510B6F0}"/>
            </a:ext>
          </a:extLst>
        </xdr:cNvPr>
        <xdr:cNvSpPr/>
      </xdr:nvSpPr>
      <xdr:spPr>
        <a:xfrm>
          <a:off x="965200" y="10490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69" name="AutoShape 1">
          <a:extLst>
            <a:ext uri="{FF2B5EF4-FFF2-40B4-BE49-F238E27FC236}">
              <a16:creationId xmlns:a16="http://schemas.microsoft.com/office/drawing/2014/main" id="{0ED03BFE-2A1A-4F42-BD92-0C9E8255B184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70" name="AutoShape 1">
          <a:extLst>
            <a:ext uri="{FF2B5EF4-FFF2-40B4-BE49-F238E27FC236}">
              <a16:creationId xmlns:a16="http://schemas.microsoft.com/office/drawing/2014/main" id="{E2805EB6-914B-C84D-9AE6-4DFCC52BD074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71" name="AutoShape 1">
          <a:extLst>
            <a:ext uri="{FF2B5EF4-FFF2-40B4-BE49-F238E27FC236}">
              <a16:creationId xmlns:a16="http://schemas.microsoft.com/office/drawing/2014/main" id="{A5CAB38A-E408-4541-A033-E1AD197A160B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72" name="AutoShape 1">
          <a:extLst>
            <a:ext uri="{FF2B5EF4-FFF2-40B4-BE49-F238E27FC236}">
              <a16:creationId xmlns:a16="http://schemas.microsoft.com/office/drawing/2014/main" id="{23E10B8A-2A5E-3F4F-A18F-E1ABD13200D2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73" name="AutoShape 1">
          <a:extLst>
            <a:ext uri="{FF2B5EF4-FFF2-40B4-BE49-F238E27FC236}">
              <a16:creationId xmlns:a16="http://schemas.microsoft.com/office/drawing/2014/main" id="{9257A42F-BF53-E140-99B1-6148C76038CF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74" name="AutoShape 1">
          <a:extLst>
            <a:ext uri="{FF2B5EF4-FFF2-40B4-BE49-F238E27FC236}">
              <a16:creationId xmlns:a16="http://schemas.microsoft.com/office/drawing/2014/main" id="{D8FA6814-C69F-AD48-8F6E-D1022B54EF27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75" name="AutoShape 1">
          <a:extLst>
            <a:ext uri="{FF2B5EF4-FFF2-40B4-BE49-F238E27FC236}">
              <a16:creationId xmlns:a16="http://schemas.microsoft.com/office/drawing/2014/main" id="{8B6C074B-2966-2944-8FCD-4543BFCE5E74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304796"/>
    <xdr:sp macro="" textlink="">
      <xdr:nvSpPr>
        <xdr:cNvPr id="76" name="AutoShape 1">
          <a:extLst>
            <a:ext uri="{FF2B5EF4-FFF2-40B4-BE49-F238E27FC236}">
              <a16:creationId xmlns:a16="http://schemas.microsoft.com/office/drawing/2014/main" id="{E74FFAA9-8B50-F747-84EA-9B67C6A5F64B}"/>
            </a:ext>
          </a:extLst>
        </xdr:cNvPr>
        <xdr:cNvSpPr/>
      </xdr:nvSpPr>
      <xdr:spPr>
        <a:xfrm>
          <a:off x="965200" y="10490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77" name="AutoShape 1">
          <a:extLst>
            <a:ext uri="{FF2B5EF4-FFF2-40B4-BE49-F238E27FC236}">
              <a16:creationId xmlns:a16="http://schemas.microsoft.com/office/drawing/2014/main" id="{E599E76E-373A-EB4C-A0B8-96C419EB4846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78" name="AutoShape 1">
          <a:extLst>
            <a:ext uri="{FF2B5EF4-FFF2-40B4-BE49-F238E27FC236}">
              <a16:creationId xmlns:a16="http://schemas.microsoft.com/office/drawing/2014/main" id="{6B60592B-5F07-BF42-A21F-843582AC8D47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79" name="AutoShape 1">
          <a:extLst>
            <a:ext uri="{FF2B5EF4-FFF2-40B4-BE49-F238E27FC236}">
              <a16:creationId xmlns:a16="http://schemas.microsoft.com/office/drawing/2014/main" id="{AC6A7855-5120-FB48-9905-45CBEFD35F3A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80" name="AutoShape 1">
          <a:extLst>
            <a:ext uri="{FF2B5EF4-FFF2-40B4-BE49-F238E27FC236}">
              <a16:creationId xmlns:a16="http://schemas.microsoft.com/office/drawing/2014/main" id="{561D0560-81E2-7F4D-AFE1-319E22742780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81" name="AutoShape 1">
          <a:extLst>
            <a:ext uri="{FF2B5EF4-FFF2-40B4-BE49-F238E27FC236}">
              <a16:creationId xmlns:a16="http://schemas.microsoft.com/office/drawing/2014/main" id="{C9E8CDB1-B435-9540-8782-5C46B46BED66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82" name="AutoShape 1">
          <a:extLst>
            <a:ext uri="{FF2B5EF4-FFF2-40B4-BE49-F238E27FC236}">
              <a16:creationId xmlns:a16="http://schemas.microsoft.com/office/drawing/2014/main" id="{0F5C0EC5-9E02-D34D-BC0C-B4F61405F4C9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83" name="AutoShape 1">
          <a:extLst>
            <a:ext uri="{FF2B5EF4-FFF2-40B4-BE49-F238E27FC236}">
              <a16:creationId xmlns:a16="http://schemas.microsoft.com/office/drawing/2014/main" id="{DB006ECE-C1FF-1D4E-93D3-F99418FB0621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304796"/>
    <xdr:sp macro="" textlink="">
      <xdr:nvSpPr>
        <xdr:cNvPr id="84" name="AutoShape 1">
          <a:extLst>
            <a:ext uri="{FF2B5EF4-FFF2-40B4-BE49-F238E27FC236}">
              <a16:creationId xmlns:a16="http://schemas.microsoft.com/office/drawing/2014/main" id="{49413358-F194-674C-8117-0387CC65AE2B}"/>
            </a:ext>
          </a:extLst>
        </xdr:cNvPr>
        <xdr:cNvSpPr/>
      </xdr:nvSpPr>
      <xdr:spPr>
        <a:xfrm>
          <a:off x="965200" y="10490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85" name="AutoShape 1">
          <a:extLst>
            <a:ext uri="{FF2B5EF4-FFF2-40B4-BE49-F238E27FC236}">
              <a16:creationId xmlns:a16="http://schemas.microsoft.com/office/drawing/2014/main" id="{A2AEA40C-06DD-2644-B147-B88C01910FA5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86" name="AutoShape 1">
          <a:extLst>
            <a:ext uri="{FF2B5EF4-FFF2-40B4-BE49-F238E27FC236}">
              <a16:creationId xmlns:a16="http://schemas.microsoft.com/office/drawing/2014/main" id="{97FABABF-5383-B445-9196-471F040FC3EC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87" name="AutoShape 1">
          <a:extLst>
            <a:ext uri="{FF2B5EF4-FFF2-40B4-BE49-F238E27FC236}">
              <a16:creationId xmlns:a16="http://schemas.microsoft.com/office/drawing/2014/main" id="{10E282A8-AC26-634D-B924-694F9DEF8D37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88" name="AutoShape 1">
          <a:extLst>
            <a:ext uri="{FF2B5EF4-FFF2-40B4-BE49-F238E27FC236}">
              <a16:creationId xmlns:a16="http://schemas.microsoft.com/office/drawing/2014/main" id="{423BEE82-8298-BB4E-AB65-EE6764B9231A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FC52DB4F-B0BA-DE4B-9B7C-C025415A8C3B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304796"/>
    <xdr:sp macro="" textlink="">
      <xdr:nvSpPr>
        <xdr:cNvPr id="90" name="AutoShape 1">
          <a:extLst>
            <a:ext uri="{FF2B5EF4-FFF2-40B4-BE49-F238E27FC236}">
              <a16:creationId xmlns:a16="http://schemas.microsoft.com/office/drawing/2014/main" id="{13FDBE8D-95FC-B846-BEE2-C0154C23DF56}"/>
            </a:ext>
          </a:extLst>
        </xdr:cNvPr>
        <xdr:cNvSpPr/>
      </xdr:nvSpPr>
      <xdr:spPr>
        <a:xfrm>
          <a:off x="965200" y="10490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91" name="AutoShape 1">
          <a:extLst>
            <a:ext uri="{FF2B5EF4-FFF2-40B4-BE49-F238E27FC236}">
              <a16:creationId xmlns:a16="http://schemas.microsoft.com/office/drawing/2014/main" id="{C729906A-CB08-E64F-A9A2-43363B498BB4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92" name="AutoShape 1">
          <a:extLst>
            <a:ext uri="{FF2B5EF4-FFF2-40B4-BE49-F238E27FC236}">
              <a16:creationId xmlns:a16="http://schemas.microsoft.com/office/drawing/2014/main" id="{E80A9294-9BE8-9249-9D90-A3F8D56ABFF0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93" name="AutoShape 1">
          <a:extLst>
            <a:ext uri="{FF2B5EF4-FFF2-40B4-BE49-F238E27FC236}">
              <a16:creationId xmlns:a16="http://schemas.microsoft.com/office/drawing/2014/main" id="{24718600-CE44-1440-AA09-2ED99944E142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94" name="AutoShape 1">
          <a:extLst>
            <a:ext uri="{FF2B5EF4-FFF2-40B4-BE49-F238E27FC236}">
              <a16:creationId xmlns:a16="http://schemas.microsoft.com/office/drawing/2014/main" id="{97DE45B3-1AA7-A54A-89DD-A6E7AA4B5268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95" name="AutoShape 1">
          <a:extLst>
            <a:ext uri="{FF2B5EF4-FFF2-40B4-BE49-F238E27FC236}">
              <a16:creationId xmlns:a16="http://schemas.microsoft.com/office/drawing/2014/main" id="{4BAC6DB5-182E-D24A-979D-D2DE81A7BB50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96" name="AutoShape 1">
          <a:extLst>
            <a:ext uri="{FF2B5EF4-FFF2-40B4-BE49-F238E27FC236}">
              <a16:creationId xmlns:a16="http://schemas.microsoft.com/office/drawing/2014/main" id="{5EF975DD-5EBF-3342-A386-4CA35096D6F6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97" name="AutoShape 1">
          <a:extLst>
            <a:ext uri="{FF2B5EF4-FFF2-40B4-BE49-F238E27FC236}">
              <a16:creationId xmlns:a16="http://schemas.microsoft.com/office/drawing/2014/main" id="{B79DBF8D-7356-F543-A3A6-EC2F1248AC4E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304796"/>
    <xdr:sp macro="" textlink="">
      <xdr:nvSpPr>
        <xdr:cNvPr id="98" name="AutoShape 1">
          <a:extLst>
            <a:ext uri="{FF2B5EF4-FFF2-40B4-BE49-F238E27FC236}">
              <a16:creationId xmlns:a16="http://schemas.microsoft.com/office/drawing/2014/main" id="{AEF1B6E9-F09A-5742-A5FB-034F80FC7F1E}"/>
            </a:ext>
          </a:extLst>
        </xdr:cNvPr>
        <xdr:cNvSpPr/>
      </xdr:nvSpPr>
      <xdr:spPr>
        <a:xfrm>
          <a:off x="965200" y="10490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99" name="AutoShape 1">
          <a:extLst>
            <a:ext uri="{FF2B5EF4-FFF2-40B4-BE49-F238E27FC236}">
              <a16:creationId xmlns:a16="http://schemas.microsoft.com/office/drawing/2014/main" id="{26C5A4C6-71EF-5742-B62B-0AF4C8F6D0D6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00" name="AutoShape 1">
          <a:extLst>
            <a:ext uri="{FF2B5EF4-FFF2-40B4-BE49-F238E27FC236}">
              <a16:creationId xmlns:a16="http://schemas.microsoft.com/office/drawing/2014/main" id="{F2BA20C6-2735-5749-978C-A4AB4AFFAC25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01" name="AutoShape 1">
          <a:extLst>
            <a:ext uri="{FF2B5EF4-FFF2-40B4-BE49-F238E27FC236}">
              <a16:creationId xmlns:a16="http://schemas.microsoft.com/office/drawing/2014/main" id="{2489E823-5097-6941-8486-E368B0EB9780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02" name="AutoShape 1">
          <a:extLst>
            <a:ext uri="{FF2B5EF4-FFF2-40B4-BE49-F238E27FC236}">
              <a16:creationId xmlns:a16="http://schemas.microsoft.com/office/drawing/2014/main" id="{CE8D9214-21F6-C649-A510-5B2CA8F3ABED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03" name="AutoShape 1">
          <a:extLst>
            <a:ext uri="{FF2B5EF4-FFF2-40B4-BE49-F238E27FC236}">
              <a16:creationId xmlns:a16="http://schemas.microsoft.com/office/drawing/2014/main" id="{0252949A-776E-7145-A1A7-070D88F7C0A3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04" name="AutoShape 1">
          <a:extLst>
            <a:ext uri="{FF2B5EF4-FFF2-40B4-BE49-F238E27FC236}">
              <a16:creationId xmlns:a16="http://schemas.microsoft.com/office/drawing/2014/main" id="{7D4EA075-591A-1A4A-8D92-C09B27AFFF9C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05" name="AutoShape 1">
          <a:extLst>
            <a:ext uri="{FF2B5EF4-FFF2-40B4-BE49-F238E27FC236}">
              <a16:creationId xmlns:a16="http://schemas.microsoft.com/office/drawing/2014/main" id="{7EC9A5AF-D837-A24D-983F-14B6A5309D84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304796"/>
    <xdr:sp macro="" textlink="">
      <xdr:nvSpPr>
        <xdr:cNvPr id="106" name="AutoShape 1">
          <a:extLst>
            <a:ext uri="{FF2B5EF4-FFF2-40B4-BE49-F238E27FC236}">
              <a16:creationId xmlns:a16="http://schemas.microsoft.com/office/drawing/2014/main" id="{AD84913A-28E4-8248-9C62-B33193E79CCC}"/>
            </a:ext>
          </a:extLst>
        </xdr:cNvPr>
        <xdr:cNvSpPr/>
      </xdr:nvSpPr>
      <xdr:spPr>
        <a:xfrm>
          <a:off x="965200" y="10490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07" name="AutoShape 1">
          <a:extLst>
            <a:ext uri="{FF2B5EF4-FFF2-40B4-BE49-F238E27FC236}">
              <a16:creationId xmlns:a16="http://schemas.microsoft.com/office/drawing/2014/main" id="{0CD84B51-5DDC-7D4F-B864-602AC44D608F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08" name="AutoShape 1">
          <a:extLst>
            <a:ext uri="{FF2B5EF4-FFF2-40B4-BE49-F238E27FC236}">
              <a16:creationId xmlns:a16="http://schemas.microsoft.com/office/drawing/2014/main" id="{E20206EF-CBD8-8649-A20A-381641275C31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09" name="AutoShape 1">
          <a:extLst>
            <a:ext uri="{FF2B5EF4-FFF2-40B4-BE49-F238E27FC236}">
              <a16:creationId xmlns:a16="http://schemas.microsoft.com/office/drawing/2014/main" id="{7C1FAE97-6AFD-8040-BBE7-69121A124440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10" name="AutoShape 1">
          <a:extLst>
            <a:ext uri="{FF2B5EF4-FFF2-40B4-BE49-F238E27FC236}">
              <a16:creationId xmlns:a16="http://schemas.microsoft.com/office/drawing/2014/main" id="{10354597-B9C7-4B40-95F5-A26FB603453C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11" name="AutoShape 1">
          <a:extLst>
            <a:ext uri="{FF2B5EF4-FFF2-40B4-BE49-F238E27FC236}">
              <a16:creationId xmlns:a16="http://schemas.microsoft.com/office/drawing/2014/main" id="{99CD15C8-BE5C-7E4A-9532-3D52BB34DC03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112" name="AutoShape 1">
          <a:extLst>
            <a:ext uri="{FF2B5EF4-FFF2-40B4-BE49-F238E27FC236}">
              <a16:creationId xmlns:a16="http://schemas.microsoft.com/office/drawing/2014/main" id="{68C298BA-6CB9-1847-9901-18FA3F65FA02}"/>
            </a:ext>
          </a:extLst>
        </xdr:cNvPr>
        <xdr:cNvSpPr/>
      </xdr:nvSpPr>
      <xdr:spPr>
        <a:xfrm>
          <a:off x="965200" y="9093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13" name="AutoShape 1">
          <a:extLst>
            <a:ext uri="{FF2B5EF4-FFF2-40B4-BE49-F238E27FC236}">
              <a16:creationId xmlns:a16="http://schemas.microsoft.com/office/drawing/2014/main" id="{D7FD7597-E65A-9C45-8B7F-080D3DAA5B97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EB7114C6-2233-DE48-9D9E-D0EFB7F3752A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15" name="AutoShape 1">
          <a:extLst>
            <a:ext uri="{FF2B5EF4-FFF2-40B4-BE49-F238E27FC236}">
              <a16:creationId xmlns:a16="http://schemas.microsoft.com/office/drawing/2014/main" id="{B6A9511E-BFEC-D640-A96B-A8953430240B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16" name="AutoShape 1">
          <a:extLst>
            <a:ext uri="{FF2B5EF4-FFF2-40B4-BE49-F238E27FC236}">
              <a16:creationId xmlns:a16="http://schemas.microsoft.com/office/drawing/2014/main" id="{9E5A13BB-28D0-F440-A9AE-3FABD63EBF67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17" name="AutoShape 1">
          <a:extLst>
            <a:ext uri="{FF2B5EF4-FFF2-40B4-BE49-F238E27FC236}">
              <a16:creationId xmlns:a16="http://schemas.microsoft.com/office/drawing/2014/main" id="{2DADB544-7E62-8340-8A06-C31E1A5EEDAA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18" name="AutoShape 1">
          <a:extLst>
            <a:ext uri="{FF2B5EF4-FFF2-40B4-BE49-F238E27FC236}">
              <a16:creationId xmlns:a16="http://schemas.microsoft.com/office/drawing/2014/main" id="{4901C942-EAF7-FC48-A41D-FE9300E55B9F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19" name="AutoShape 1">
          <a:extLst>
            <a:ext uri="{FF2B5EF4-FFF2-40B4-BE49-F238E27FC236}">
              <a16:creationId xmlns:a16="http://schemas.microsoft.com/office/drawing/2014/main" id="{ACEADEC3-C430-D042-9DE3-7630460C5508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120" name="AutoShape 1">
          <a:extLst>
            <a:ext uri="{FF2B5EF4-FFF2-40B4-BE49-F238E27FC236}">
              <a16:creationId xmlns:a16="http://schemas.microsoft.com/office/drawing/2014/main" id="{00DC8EE0-9774-374E-B0E4-80596C05EA45}"/>
            </a:ext>
          </a:extLst>
        </xdr:cNvPr>
        <xdr:cNvSpPr/>
      </xdr:nvSpPr>
      <xdr:spPr>
        <a:xfrm>
          <a:off x="965200" y="9093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21" name="AutoShape 1">
          <a:extLst>
            <a:ext uri="{FF2B5EF4-FFF2-40B4-BE49-F238E27FC236}">
              <a16:creationId xmlns:a16="http://schemas.microsoft.com/office/drawing/2014/main" id="{5AFA2070-E2BE-8E4C-A55A-7E8DCB143152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22" name="AutoShape 1">
          <a:extLst>
            <a:ext uri="{FF2B5EF4-FFF2-40B4-BE49-F238E27FC236}">
              <a16:creationId xmlns:a16="http://schemas.microsoft.com/office/drawing/2014/main" id="{5644F127-88D4-D34C-B82E-2EF3F2753601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23" name="AutoShape 1">
          <a:extLst>
            <a:ext uri="{FF2B5EF4-FFF2-40B4-BE49-F238E27FC236}">
              <a16:creationId xmlns:a16="http://schemas.microsoft.com/office/drawing/2014/main" id="{E7F36CE9-097D-B84B-82C6-605C0AC8B7FC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24" name="AutoShape 1">
          <a:extLst>
            <a:ext uri="{FF2B5EF4-FFF2-40B4-BE49-F238E27FC236}">
              <a16:creationId xmlns:a16="http://schemas.microsoft.com/office/drawing/2014/main" id="{F039F5A7-DE1D-5D4F-B43B-6D64284B5E04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25" name="AutoShape 1">
          <a:extLst>
            <a:ext uri="{FF2B5EF4-FFF2-40B4-BE49-F238E27FC236}">
              <a16:creationId xmlns:a16="http://schemas.microsoft.com/office/drawing/2014/main" id="{84A45982-2D2E-F941-A007-478CAC276916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26" name="AutoShape 1">
          <a:extLst>
            <a:ext uri="{FF2B5EF4-FFF2-40B4-BE49-F238E27FC236}">
              <a16:creationId xmlns:a16="http://schemas.microsoft.com/office/drawing/2014/main" id="{F4C58DE1-9A30-AA40-8111-3014C8CC1AB6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27" name="AutoShape 1">
          <a:extLst>
            <a:ext uri="{FF2B5EF4-FFF2-40B4-BE49-F238E27FC236}">
              <a16:creationId xmlns:a16="http://schemas.microsoft.com/office/drawing/2014/main" id="{A3810DF8-C076-5B40-9048-A28A0562ED76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128" name="AutoShape 1">
          <a:extLst>
            <a:ext uri="{FF2B5EF4-FFF2-40B4-BE49-F238E27FC236}">
              <a16:creationId xmlns:a16="http://schemas.microsoft.com/office/drawing/2014/main" id="{74239604-B6AF-8842-8EBE-924B95F31FF6}"/>
            </a:ext>
          </a:extLst>
        </xdr:cNvPr>
        <xdr:cNvSpPr/>
      </xdr:nvSpPr>
      <xdr:spPr>
        <a:xfrm>
          <a:off x="965200" y="9093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29" name="AutoShape 1">
          <a:extLst>
            <a:ext uri="{FF2B5EF4-FFF2-40B4-BE49-F238E27FC236}">
              <a16:creationId xmlns:a16="http://schemas.microsoft.com/office/drawing/2014/main" id="{18397BF0-476E-8841-8D0E-56F913E49327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30" name="AutoShape 1">
          <a:extLst>
            <a:ext uri="{FF2B5EF4-FFF2-40B4-BE49-F238E27FC236}">
              <a16:creationId xmlns:a16="http://schemas.microsoft.com/office/drawing/2014/main" id="{7813B96F-710D-194C-972D-1DA9FF7EEFD6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31" name="AutoShape 1">
          <a:extLst>
            <a:ext uri="{FF2B5EF4-FFF2-40B4-BE49-F238E27FC236}">
              <a16:creationId xmlns:a16="http://schemas.microsoft.com/office/drawing/2014/main" id="{CFC96F00-483A-7A49-8CFB-28A870FB7F67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32" name="AutoShape 1">
          <a:extLst>
            <a:ext uri="{FF2B5EF4-FFF2-40B4-BE49-F238E27FC236}">
              <a16:creationId xmlns:a16="http://schemas.microsoft.com/office/drawing/2014/main" id="{6C2A760D-0789-AC43-B753-091512B04AD6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33" name="AutoShape 1">
          <a:extLst>
            <a:ext uri="{FF2B5EF4-FFF2-40B4-BE49-F238E27FC236}">
              <a16:creationId xmlns:a16="http://schemas.microsoft.com/office/drawing/2014/main" id="{CB37EFB8-8A93-4543-8D3B-53422F3F187B}"/>
            </a:ext>
          </a:extLst>
        </xdr:cNvPr>
        <xdr:cNvSpPr/>
      </xdr:nvSpPr>
      <xdr:spPr>
        <a:xfrm>
          <a:off x="965200" y="9093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304796"/>
    <xdr:sp macro="" textlink="">
      <xdr:nvSpPr>
        <xdr:cNvPr id="134" name="AutoShape 1">
          <a:extLst>
            <a:ext uri="{FF2B5EF4-FFF2-40B4-BE49-F238E27FC236}">
              <a16:creationId xmlns:a16="http://schemas.microsoft.com/office/drawing/2014/main" id="{26981753-E64B-4B4B-8B2C-37D94D7392E0}"/>
            </a:ext>
          </a:extLst>
        </xdr:cNvPr>
        <xdr:cNvSpPr/>
      </xdr:nvSpPr>
      <xdr:spPr>
        <a:xfrm>
          <a:off x="965200" y="10490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35" name="AutoShape 1">
          <a:extLst>
            <a:ext uri="{FF2B5EF4-FFF2-40B4-BE49-F238E27FC236}">
              <a16:creationId xmlns:a16="http://schemas.microsoft.com/office/drawing/2014/main" id="{7EBFEF81-E2E5-C440-B43D-5BBC6618B8B9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36" name="AutoShape 1">
          <a:extLst>
            <a:ext uri="{FF2B5EF4-FFF2-40B4-BE49-F238E27FC236}">
              <a16:creationId xmlns:a16="http://schemas.microsoft.com/office/drawing/2014/main" id="{6E0360CC-F62C-0748-95F8-E8A087238798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37" name="AutoShape 1">
          <a:extLst>
            <a:ext uri="{FF2B5EF4-FFF2-40B4-BE49-F238E27FC236}">
              <a16:creationId xmlns:a16="http://schemas.microsoft.com/office/drawing/2014/main" id="{89386009-3C77-4543-9BBC-4F59B0794B06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38" name="AutoShape 1">
          <a:extLst>
            <a:ext uri="{FF2B5EF4-FFF2-40B4-BE49-F238E27FC236}">
              <a16:creationId xmlns:a16="http://schemas.microsoft.com/office/drawing/2014/main" id="{056B43ED-6212-7C49-9482-21DFC9F1BFE4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39" name="AutoShape 1">
          <a:extLst>
            <a:ext uri="{FF2B5EF4-FFF2-40B4-BE49-F238E27FC236}">
              <a16:creationId xmlns:a16="http://schemas.microsoft.com/office/drawing/2014/main" id="{5F6B9E0B-9E14-F642-8A93-FC4EF0CCF726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40" name="AutoShape 1">
          <a:extLst>
            <a:ext uri="{FF2B5EF4-FFF2-40B4-BE49-F238E27FC236}">
              <a16:creationId xmlns:a16="http://schemas.microsoft.com/office/drawing/2014/main" id="{EAC7358A-277F-C644-98B3-1EBAD7C3EEF2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41" name="AutoShape 1">
          <a:extLst>
            <a:ext uri="{FF2B5EF4-FFF2-40B4-BE49-F238E27FC236}">
              <a16:creationId xmlns:a16="http://schemas.microsoft.com/office/drawing/2014/main" id="{3514D458-26D8-C042-A94C-E3F4A9594E73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304796"/>
    <xdr:sp macro="" textlink="">
      <xdr:nvSpPr>
        <xdr:cNvPr id="142" name="AutoShape 1">
          <a:extLst>
            <a:ext uri="{FF2B5EF4-FFF2-40B4-BE49-F238E27FC236}">
              <a16:creationId xmlns:a16="http://schemas.microsoft.com/office/drawing/2014/main" id="{1CF3F347-A850-124F-B2E3-15DC6FBA8A5C}"/>
            </a:ext>
          </a:extLst>
        </xdr:cNvPr>
        <xdr:cNvSpPr/>
      </xdr:nvSpPr>
      <xdr:spPr>
        <a:xfrm>
          <a:off x="965200" y="10490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43" name="AutoShape 1">
          <a:extLst>
            <a:ext uri="{FF2B5EF4-FFF2-40B4-BE49-F238E27FC236}">
              <a16:creationId xmlns:a16="http://schemas.microsoft.com/office/drawing/2014/main" id="{67E83F43-1CCF-3C44-BCE9-9FCD993247C6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44" name="AutoShape 1">
          <a:extLst>
            <a:ext uri="{FF2B5EF4-FFF2-40B4-BE49-F238E27FC236}">
              <a16:creationId xmlns:a16="http://schemas.microsoft.com/office/drawing/2014/main" id="{E54BC9C1-3E97-EE46-BD74-60C96A08FA5D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45" name="AutoShape 1">
          <a:extLst>
            <a:ext uri="{FF2B5EF4-FFF2-40B4-BE49-F238E27FC236}">
              <a16:creationId xmlns:a16="http://schemas.microsoft.com/office/drawing/2014/main" id="{28AC0DA4-725E-3746-BD86-5D847077FD5C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46" name="AutoShape 1">
          <a:extLst>
            <a:ext uri="{FF2B5EF4-FFF2-40B4-BE49-F238E27FC236}">
              <a16:creationId xmlns:a16="http://schemas.microsoft.com/office/drawing/2014/main" id="{C541625D-5521-DB4B-A3F1-113384E3EE48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47" name="AutoShape 1">
          <a:extLst>
            <a:ext uri="{FF2B5EF4-FFF2-40B4-BE49-F238E27FC236}">
              <a16:creationId xmlns:a16="http://schemas.microsoft.com/office/drawing/2014/main" id="{B74A2F2A-9BC3-7743-ACBE-370050A4B8C5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48" name="AutoShape 1">
          <a:extLst>
            <a:ext uri="{FF2B5EF4-FFF2-40B4-BE49-F238E27FC236}">
              <a16:creationId xmlns:a16="http://schemas.microsoft.com/office/drawing/2014/main" id="{161EAB65-0E22-9C4B-8901-4C0C1E89376F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49" name="AutoShape 1">
          <a:extLst>
            <a:ext uri="{FF2B5EF4-FFF2-40B4-BE49-F238E27FC236}">
              <a16:creationId xmlns:a16="http://schemas.microsoft.com/office/drawing/2014/main" id="{C88BE61E-A1A9-D84C-A685-E8993EF0258C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304796"/>
    <xdr:sp macro="" textlink="">
      <xdr:nvSpPr>
        <xdr:cNvPr id="150" name="AutoShape 1">
          <a:extLst>
            <a:ext uri="{FF2B5EF4-FFF2-40B4-BE49-F238E27FC236}">
              <a16:creationId xmlns:a16="http://schemas.microsoft.com/office/drawing/2014/main" id="{835273EC-A478-3C4C-9095-11D53EB21B96}"/>
            </a:ext>
          </a:extLst>
        </xdr:cNvPr>
        <xdr:cNvSpPr/>
      </xdr:nvSpPr>
      <xdr:spPr>
        <a:xfrm>
          <a:off x="965200" y="10490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51" name="AutoShape 1">
          <a:extLst>
            <a:ext uri="{FF2B5EF4-FFF2-40B4-BE49-F238E27FC236}">
              <a16:creationId xmlns:a16="http://schemas.microsoft.com/office/drawing/2014/main" id="{FD565C97-45C3-DB4F-B6E6-E9D6C8C5E14F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52" name="AutoShape 1">
          <a:extLst>
            <a:ext uri="{FF2B5EF4-FFF2-40B4-BE49-F238E27FC236}">
              <a16:creationId xmlns:a16="http://schemas.microsoft.com/office/drawing/2014/main" id="{D08EDBD6-F799-5D40-9747-551FEB4888AA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53" name="AutoShape 1">
          <a:extLst>
            <a:ext uri="{FF2B5EF4-FFF2-40B4-BE49-F238E27FC236}">
              <a16:creationId xmlns:a16="http://schemas.microsoft.com/office/drawing/2014/main" id="{7BDD8F4F-B932-0940-8F03-68A55824BF0F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54" name="AutoShape 1">
          <a:extLst>
            <a:ext uri="{FF2B5EF4-FFF2-40B4-BE49-F238E27FC236}">
              <a16:creationId xmlns:a16="http://schemas.microsoft.com/office/drawing/2014/main" id="{9B3B1985-099F-2F4D-BDE3-ED86FFDCB0AC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304796" cy="295278"/>
    <xdr:sp macro="" textlink="">
      <xdr:nvSpPr>
        <xdr:cNvPr id="155" name="AutoShape 1">
          <a:extLst>
            <a:ext uri="{FF2B5EF4-FFF2-40B4-BE49-F238E27FC236}">
              <a16:creationId xmlns:a16="http://schemas.microsoft.com/office/drawing/2014/main" id="{D1BBA5A0-828B-BC4E-91D9-E1EA02E96D53}"/>
            </a:ext>
          </a:extLst>
        </xdr:cNvPr>
        <xdr:cNvSpPr/>
      </xdr:nvSpPr>
      <xdr:spPr>
        <a:xfrm>
          <a:off x="965200" y="10490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304796"/>
    <xdr:sp macro="" textlink="">
      <xdr:nvSpPr>
        <xdr:cNvPr id="156" name="AutoShape 1">
          <a:extLst>
            <a:ext uri="{FF2B5EF4-FFF2-40B4-BE49-F238E27FC236}">
              <a16:creationId xmlns:a16="http://schemas.microsoft.com/office/drawing/2014/main" id="{F3F543FF-27B6-E74B-8C01-CF9DBB629D97}"/>
            </a:ext>
          </a:extLst>
        </xdr:cNvPr>
        <xdr:cNvSpPr/>
      </xdr:nvSpPr>
      <xdr:spPr>
        <a:xfrm>
          <a:off x="965200" y="12141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157" name="AutoShape 1">
          <a:extLst>
            <a:ext uri="{FF2B5EF4-FFF2-40B4-BE49-F238E27FC236}">
              <a16:creationId xmlns:a16="http://schemas.microsoft.com/office/drawing/2014/main" id="{B4E512E9-913A-7146-8A8D-07073F601113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158" name="AutoShape 1">
          <a:extLst>
            <a:ext uri="{FF2B5EF4-FFF2-40B4-BE49-F238E27FC236}">
              <a16:creationId xmlns:a16="http://schemas.microsoft.com/office/drawing/2014/main" id="{B3EF5930-613A-5549-919F-FBAE8B0585CB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159" name="AutoShape 1">
          <a:extLst>
            <a:ext uri="{FF2B5EF4-FFF2-40B4-BE49-F238E27FC236}">
              <a16:creationId xmlns:a16="http://schemas.microsoft.com/office/drawing/2014/main" id="{83C60E97-EB77-3441-BB40-E037A6F06850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160" name="AutoShape 1">
          <a:extLst>
            <a:ext uri="{FF2B5EF4-FFF2-40B4-BE49-F238E27FC236}">
              <a16:creationId xmlns:a16="http://schemas.microsoft.com/office/drawing/2014/main" id="{4F488D3E-89D8-8148-B41C-38F7B5DD8C45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161" name="AutoShape 1">
          <a:extLst>
            <a:ext uri="{FF2B5EF4-FFF2-40B4-BE49-F238E27FC236}">
              <a16:creationId xmlns:a16="http://schemas.microsoft.com/office/drawing/2014/main" id="{853D1C08-9E95-0F41-91B4-F6CE96392033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162" name="AutoShape 1">
          <a:extLst>
            <a:ext uri="{FF2B5EF4-FFF2-40B4-BE49-F238E27FC236}">
              <a16:creationId xmlns:a16="http://schemas.microsoft.com/office/drawing/2014/main" id="{D62F278C-5800-474E-964E-AF24B76BD275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163" name="AutoShape 1">
          <a:extLst>
            <a:ext uri="{FF2B5EF4-FFF2-40B4-BE49-F238E27FC236}">
              <a16:creationId xmlns:a16="http://schemas.microsoft.com/office/drawing/2014/main" id="{387DD7A0-11DD-2940-8974-640B93DB23A3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304796"/>
    <xdr:sp macro="" textlink="">
      <xdr:nvSpPr>
        <xdr:cNvPr id="164" name="AutoShape 1">
          <a:extLst>
            <a:ext uri="{FF2B5EF4-FFF2-40B4-BE49-F238E27FC236}">
              <a16:creationId xmlns:a16="http://schemas.microsoft.com/office/drawing/2014/main" id="{9E924BD2-D9DA-C449-9739-E1694ADB02CB}"/>
            </a:ext>
          </a:extLst>
        </xdr:cNvPr>
        <xdr:cNvSpPr/>
      </xdr:nvSpPr>
      <xdr:spPr>
        <a:xfrm>
          <a:off x="965200" y="12141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165" name="AutoShape 1">
          <a:extLst>
            <a:ext uri="{FF2B5EF4-FFF2-40B4-BE49-F238E27FC236}">
              <a16:creationId xmlns:a16="http://schemas.microsoft.com/office/drawing/2014/main" id="{45653FC8-0307-2143-B511-9E4417A0DFC7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166" name="AutoShape 1">
          <a:extLst>
            <a:ext uri="{FF2B5EF4-FFF2-40B4-BE49-F238E27FC236}">
              <a16:creationId xmlns:a16="http://schemas.microsoft.com/office/drawing/2014/main" id="{78FD715B-A248-3A43-890F-09155F3A5319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167" name="AutoShape 1">
          <a:extLst>
            <a:ext uri="{FF2B5EF4-FFF2-40B4-BE49-F238E27FC236}">
              <a16:creationId xmlns:a16="http://schemas.microsoft.com/office/drawing/2014/main" id="{8C3BBAC2-9A70-344B-B29F-FEA68F0E1051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168" name="AutoShape 1">
          <a:extLst>
            <a:ext uri="{FF2B5EF4-FFF2-40B4-BE49-F238E27FC236}">
              <a16:creationId xmlns:a16="http://schemas.microsoft.com/office/drawing/2014/main" id="{7905629F-CC96-1A4D-8959-A31F52107B28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169" name="AutoShape 1">
          <a:extLst>
            <a:ext uri="{FF2B5EF4-FFF2-40B4-BE49-F238E27FC236}">
              <a16:creationId xmlns:a16="http://schemas.microsoft.com/office/drawing/2014/main" id="{0E095E42-6E8F-8E4F-8F68-13FA9907C51D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170" name="AutoShape 1">
          <a:extLst>
            <a:ext uri="{FF2B5EF4-FFF2-40B4-BE49-F238E27FC236}">
              <a16:creationId xmlns:a16="http://schemas.microsoft.com/office/drawing/2014/main" id="{52E99BF9-5050-7345-A42E-C4E226C079B0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171" name="AutoShape 1">
          <a:extLst>
            <a:ext uri="{FF2B5EF4-FFF2-40B4-BE49-F238E27FC236}">
              <a16:creationId xmlns:a16="http://schemas.microsoft.com/office/drawing/2014/main" id="{5EBAE2C0-52E5-884C-B42F-81721ABC8EA7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304796"/>
    <xdr:sp macro="" textlink="">
      <xdr:nvSpPr>
        <xdr:cNvPr id="172" name="AutoShape 1">
          <a:extLst>
            <a:ext uri="{FF2B5EF4-FFF2-40B4-BE49-F238E27FC236}">
              <a16:creationId xmlns:a16="http://schemas.microsoft.com/office/drawing/2014/main" id="{59A00027-F50F-984D-A959-5C4CA82BB779}"/>
            </a:ext>
          </a:extLst>
        </xdr:cNvPr>
        <xdr:cNvSpPr/>
      </xdr:nvSpPr>
      <xdr:spPr>
        <a:xfrm>
          <a:off x="965200" y="12141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173" name="AutoShape 1">
          <a:extLst>
            <a:ext uri="{FF2B5EF4-FFF2-40B4-BE49-F238E27FC236}">
              <a16:creationId xmlns:a16="http://schemas.microsoft.com/office/drawing/2014/main" id="{896427C8-9332-EA41-A8DB-3D82B9971E3C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174" name="AutoShape 1">
          <a:extLst>
            <a:ext uri="{FF2B5EF4-FFF2-40B4-BE49-F238E27FC236}">
              <a16:creationId xmlns:a16="http://schemas.microsoft.com/office/drawing/2014/main" id="{4138877A-776B-3142-A1A7-D1A51877BB91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175" name="AutoShape 1">
          <a:extLst>
            <a:ext uri="{FF2B5EF4-FFF2-40B4-BE49-F238E27FC236}">
              <a16:creationId xmlns:a16="http://schemas.microsoft.com/office/drawing/2014/main" id="{8A6D0026-6D9E-1A41-910A-724375868E37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176" name="AutoShape 1">
          <a:extLst>
            <a:ext uri="{FF2B5EF4-FFF2-40B4-BE49-F238E27FC236}">
              <a16:creationId xmlns:a16="http://schemas.microsoft.com/office/drawing/2014/main" id="{6BB358CA-1984-1F44-BB09-29CE3023F6A2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177" name="AutoShape 1">
          <a:extLst>
            <a:ext uri="{FF2B5EF4-FFF2-40B4-BE49-F238E27FC236}">
              <a16:creationId xmlns:a16="http://schemas.microsoft.com/office/drawing/2014/main" id="{95A225EA-488F-C94D-8D1C-1AD845588DD4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304796"/>
    <xdr:sp macro="" textlink="">
      <xdr:nvSpPr>
        <xdr:cNvPr id="178" name="AutoShape 1">
          <a:extLst>
            <a:ext uri="{FF2B5EF4-FFF2-40B4-BE49-F238E27FC236}">
              <a16:creationId xmlns:a16="http://schemas.microsoft.com/office/drawing/2014/main" id="{82B44AE6-088A-BF48-BFA9-7C64351EA460}"/>
            </a:ext>
          </a:extLst>
        </xdr:cNvPr>
        <xdr:cNvSpPr/>
      </xdr:nvSpPr>
      <xdr:spPr>
        <a:xfrm>
          <a:off x="965200" y="12776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179" name="AutoShape 1">
          <a:extLst>
            <a:ext uri="{FF2B5EF4-FFF2-40B4-BE49-F238E27FC236}">
              <a16:creationId xmlns:a16="http://schemas.microsoft.com/office/drawing/2014/main" id="{D47BB21B-7D32-6B4E-A3A0-A3DF432001A6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180" name="AutoShape 1">
          <a:extLst>
            <a:ext uri="{FF2B5EF4-FFF2-40B4-BE49-F238E27FC236}">
              <a16:creationId xmlns:a16="http://schemas.microsoft.com/office/drawing/2014/main" id="{0CA4645D-1801-0742-B2F9-D4291719D415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181" name="AutoShape 1">
          <a:extLst>
            <a:ext uri="{FF2B5EF4-FFF2-40B4-BE49-F238E27FC236}">
              <a16:creationId xmlns:a16="http://schemas.microsoft.com/office/drawing/2014/main" id="{08BB6011-88B9-C740-93AD-49F46B6A3EB2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182" name="AutoShape 1">
          <a:extLst>
            <a:ext uri="{FF2B5EF4-FFF2-40B4-BE49-F238E27FC236}">
              <a16:creationId xmlns:a16="http://schemas.microsoft.com/office/drawing/2014/main" id="{0BA8D513-7D6C-6D46-B593-D79703CC4990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183" name="AutoShape 1">
          <a:extLst>
            <a:ext uri="{FF2B5EF4-FFF2-40B4-BE49-F238E27FC236}">
              <a16:creationId xmlns:a16="http://schemas.microsoft.com/office/drawing/2014/main" id="{917C1713-CFF0-B145-8CEB-03F60578BEF5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184" name="AutoShape 1">
          <a:extLst>
            <a:ext uri="{FF2B5EF4-FFF2-40B4-BE49-F238E27FC236}">
              <a16:creationId xmlns:a16="http://schemas.microsoft.com/office/drawing/2014/main" id="{8F3BDDAE-07DF-DA48-A194-26939313A763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185" name="AutoShape 1">
          <a:extLst>
            <a:ext uri="{FF2B5EF4-FFF2-40B4-BE49-F238E27FC236}">
              <a16:creationId xmlns:a16="http://schemas.microsoft.com/office/drawing/2014/main" id="{DF87D437-8627-854D-B778-38BA48FA437B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304796"/>
    <xdr:sp macro="" textlink="">
      <xdr:nvSpPr>
        <xdr:cNvPr id="186" name="AutoShape 1">
          <a:extLst>
            <a:ext uri="{FF2B5EF4-FFF2-40B4-BE49-F238E27FC236}">
              <a16:creationId xmlns:a16="http://schemas.microsoft.com/office/drawing/2014/main" id="{0CBF153A-68A2-0F47-A548-4E542E01E968}"/>
            </a:ext>
          </a:extLst>
        </xdr:cNvPr>
        <xdr:cNvSpPr/>
      </xdr:nvSpPr>
      <xdr:spPr>
        <a:xfrm>
          <a:off x="965200" y="12776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187" name="AutoShape 1">
          <a:extLst>
            <a:ext uri="{FF2B5EF4-FFF2-40B4-BE49-F238E27FC236}">
              <a16:creationId xmlns:a16="http://schemas.microsoft.com/office/drawing/2014/main" id="{2647FE7E-5EA3-FD44-B377-16065DBCF96E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188" name="AutoShape 1">
          <a:extLst>
            <a:ext uri="{FF2B5EF4-FFF2-40B4-BE49-F238E27FC236}">
              <a16:creationId xmlns:a16="http://schemas.microsoft.com/office/drawing/2014/main" id="{078F53B8-6826-EA4B-ADF3-827502939E3F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189" name="AutoShape 1">
          <a:extLst>
            <a:ext uri="{FF2B5EF4-FFF2-40B4-BE49-F238E27FC236}">
              <a16:creationId xmlns:a16="http://schemas.microsoft.com/office/drawing/2014/main" id="{6BD7672B-BE9E-5A43-B55D-EF35683BF6A3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190" name="AutoShape 1">
          <a:extLst>
            <a:ext uri="{FF2B5EF4-FFF2-40B4-BE49-F238E27FC236}">
              <a16:creationId xmlns:a16="http://schemas.microsoft.com/office/drawing/2014/main" id="{CB121208-CCF8-8145-B355-4C603B5C46FF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191" name="AutoShape 1">
          <a:extLst>
            <a:ext uri="{FF2B5EF4-FFF2-40B4-BE49-F238E27FC236}">
              <a16:creationId xmlns:a16="http://schemas.microsoft.com/office/drawing/2014/main" id="{592C44F7-4DC6-3D4D-86F8-E2EDD5A879CF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192" name="AutoShape 1">
          <a:extLst>
            <a:ext uri="{FF2B5EF4-FFF2-40B4-BE49-F238E27FC236}">
              <a16:creationId xmlns:a16="http://schemas.microsoft.com/office/drawing/2014/main" id="{1C6BFF60-C192-5D44-A76D-CFF2A8027EF1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193" name="AutoShape 1">
          <a:extLst>
            <a:ext uri="{FF2B5EF4-FFF2-40B4-BE49-F238E27FC236}">
              <a16:creationId xmlns:a16="http://schemas.microsoft.com/office/drawing/2014/main" id="{7CAAD8F2-759D-D744-BF23-4B9CDB3A725F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304796"/>
    <xdr:sp macro="" textlink="">
      <xdr:nvSpPr>
        <xdr:cNvPr id="194" name="AutoShape 1">
          <a:extLst>
            <a:ext uri="{FF2B5EF4-FFF2-40B4-BE49-F238E27FC236}">
              <a16:creationId xmlns:a16="http://schemas.microsoft.com/office/drawing/2014/main" id="{926E3AC5-EF03-564F-8723-4ECAC3546213}"/>
            </a:ext>
          </a:extLst>
        </xdr:cNvPr>
        <xdr:cNvSpPr/>
      </xdr:nvSpPr>
      <xdr:spPr>
        <a:xfrm>
          <a:off x="965200" y="12776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195" name="AutoShape 1">
          <a:extLst>
            <a:ext uri="{FF2B5EF4-FFF2-40B4-BE49-F238E27FC236}">
              <a16:creationId xmlns:a16="http://schemas.microsoft.com/office/drawing/2014/main" id="{CCA81A43-F30A-B04F-8FA5-6DDFFBF1F55B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196" name="AutoShape 1">
          <a:extLst>
            <a:ext uri="{FF2B5EF4-FFF2-40B4-BE49-F238E27FC236}">
              <a16:creationId xmlns:a16="http://schemas.microsoft.com/office/drawing/2014/main" id="{50243FF7-B77F-0448-8339-3150EAABFEB9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197" name="AutoShape 1">
          <a:extLst>
            <a:ext uri="{FF2B5EF4-FFF2-40B4-BE49-F238E27FC236}">
              <a16:creationId xmlns:a16="http://schemas.microsoft.com/office/drawing/2014/main" id="{F7AC2967-BC15-0E4D-B840-B7A95F0D5402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198" name="AutoShape 1">
          <a:extLst>
            <a:ext uri="{FF2B5EF4-FFF2-40B4-BE49-F238E27FC236}">
              <a16:creationId xmlns:a16="http://schemas.microsoft.com/office/drawing/2014/main" id="{FCA4F936-4652-6C4F-918B-19EFFB3A590D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199" name="AutoShape 1">
          <a:extLst>
            <a:ext uri="{FF2B5EF4-FFF2-40B4-BE49-F238E27FC236}">
              <a16:creationId xmlns:a16="http://schemas.microsoft.com/office/drawing/2014/main" id="{68E9D6C6-7D25-B844-A8B1-51E3135D9667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304796"/>
    <xdr:sp macro="" textlink="">
      <xdr:nvSpPr>
        <xdr:cNvPr id="200" name="AutoShape 1">
          <a:extLst>
            <a:ext uri="{FF2B5EF4-FFF2-40B4-BE49-F238E27FC236}">
              <a16:creationId xmlns:a16="http://schemas.microsoft.com/office/drawing/2014/main" id="{AFE6ABB7-ACB8-694B-B0ED-3F2615876ADB}"/>
            </a:ext>
          </a:extLst>
        </xdr:cNvPr>
        <xdr:cNvSpPr/>
      </xdr:nvSpPr>
      <xdr:spPr>
        <a:xfrm>
          <a:off x="965200" y="12776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01" name="AutoShape 1">
          <a:extLst>
            <a:ext uri="{FF2B5EF4-FFF2-40B4-BE49-F238E27FC236}">
              <a16:creationId xmlns:a16="http://schemas.microsoft.com/office/drawing/2014/main" id="{570E8501-ECA5-4341-858E-D08E87F62BE1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02" name="AutoShape 1">
          <a:extLst>
            <a:ext uri="{FF2B5EF4-FFF2-40B4-BE49-F238E27FC236}">
              <a16:creationId xmlns:a16="http://schemas.microsoft.com/office/drawing/2014/main" id="{0657E961-7C96-624E-8E7F-61926CCEC8E3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03" name="AutoShape 1">
          <a:extLst>
            <a:ext uri="{FF2B5EF4-FFF2-40B4-BE49-F238E27FC236}">
              <a16:creationId xmlns:a16="http://schemas.microsoft.com/office/drawing/2014/main" id="{312E9EDD-EEB3-6B43-B03F-956548418A47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04" name="AutoShape 1">
          <a:extLst>
            <a:ext uri="{FF2B5EF4-FFF2-40B4-BE49-F238E27FC236}">
              <a16:creationId xmlns:a16="http://schemas.microsoft.com/office/drawing/2014/main" id="{17EA03E0-354F-D14C-8BEF-D049FDE20AFA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05" name="AutoShape 1">
          <a:extLst>
            <a:ext uri="{FF2B5EF4-FFF2-40B4-BE49-F238E27FC236}">
              <a16:creationId xmlns:a16="http://schemas.microsoft.com/office/drawing/2014/main" id="{B18FB101-60FF-C847-8D88-BF32B4F422AB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06" name="AutoShape 1">
          <a:extLst>
            <a:ext uri="{FF2B5EF4-FFF2-40B4-BE49-F238E27FC236}">
              <a16:creationId xmlns:a16="http://schemas.microsoft.com/office/drawing/2014/main" id="{B5F772EE-4494-EB46-BF1A-75FBB5CB4867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07" name="AutoShape 1">
          <a:extLst>
            <a:ext uri="{FF2B5EF4-FFF2-40B4-BE49-F238E27FC236}">
              <a16:creationId xmlns:a16="http://schemas.microsoft.com/office/drawing/2014/main" id="{61710348-40B1-4946-82A3-7783514F9231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304796"/>
    <xdr:sp macro="" textlink="">
      <xdr:nvSpPr>
        <xdr:cNvPr id="208" name="AutoShape 1">
          <a:extLst>
            <a:ext uri="{FF2B5EF4-FFF2-40B4-BE49-F238E27FC236}">
              <a16:creationId xmlns:a16="http://schemas.microsoft.com/office/drawing/2014/main" id="{6115F048-D1E5-2E40-9A5E-CF012B588D4B}"/>
            </a:ext>
          </a:extLst>
        </xdr:cNvPr>
        <xdr:cNvSpPr/>
      </xdr:nvSpPr>
      <xdr:spPr>
        <a:xfrm>
          <a:off x="965200" y="12776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09" name="AutoShape 1">
          <a:extLst>
            <a:ext uri="{FF2B5EF4-FFF2-40B4-BE49-F238E27FC236}">
              <a16:creationId xmlns:a16="http://schemas.microsoft.com/office/drawing/2014/main" id="{9B9FD6FC-3FA1-9C41-8EFB-671954B7C8A6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10" name="AutoShape 1">
          <a:extLst>
            <a:ext uri="{FF2B5EF4-FFF2-40B4-BE49-F238E27FC236}">
              <a16:creationId xmlns:a16="http://schemas.microsoft.com/office/drawing/2014/main" id="{590D5F75-8362-3246-BEE9-4436D1DE55E6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11" name="AutoShape 1">
          <a:extLst>
            <a:ext uri="{FF2B5EF4-FFF2-40B4-BE49-F238E27FC236}">
              <a16:creationId xmlns:a16="http://schemas.microsoft.com/office/drawing/2014/main" id="{E744E3C8-9AD3-F347-B75F-5BEB317B3F3B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12" name="AutoShape 1">
          <a:extLst>
            <a:ext uri="{FF2B5EF4-FFF2-40B4-BE49-F238E27FC236}">
              <a16:creationId xmlns:a16="http://schemas.microsoft.com/office/drawing/2014/main" id="{BC19E906-DED3-9C44-8B6D-EB96FBACB01B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13" name="AutoShape 1">
          <a:extLst>
            <a:ext uri="{FF2B5EF4-FFF2-40B4-BE49-F238E27FC236}">
              <a16:creationId xmlns:a16="http://schemas.microsoft.com/office/drawing/2014/main" id="{3932DAA2-9B38-AA43-9C80-5E26BEF0C0BC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14" name="AutoShape 1">
          <a:extLst>
            <a:ext uri="{FF2B5EF4-FFF2-40B4-BE49-F238E27FC236}">
              <a16:creationId xmlns:a16="http://schemas.microsoft.com/office/drawing/2014/main" id="{D75CA17F-5B4F-F84D-AD31-3220DF0B2658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15" name="AutoShape 1">
          <a:extLst>
            <a:ext uri="{FF2B5EF4-FFF2-40B4-BE49-F238E27FC236}">
              <a16:creationId xmlns:a16="http://schemas.microsoft.com/office/drawing/2014/main" id="{A26A859B-ECEE-304E-ADA8-11DDEB6576A9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304796"/>
    <xdr:sp macro="" textlink="">
      <xdr:nvSpPr>
        <xdr:cNvPr id="216" name="AutoShape 1">
          <a:extLst>
            <a:ext uri="{FF2B5EF4-FFF2-40B4-BE49-F238E27FC236}">
              <a16:creationId xmlns:a16="http://schemas.microsoft.com/office/drawing/2014/main" id="{C4D814DB-A3BA-4745-9E44-98674673BA97}"/>
            </a:ext>
          </a:extLst>
        </xdr:cNvPr>
        <xdr:cNvSpPr/>
      </xdr:nvSpPr>
      <xdr:spPr>
        <a:xfrm>
          <a:off x="965200" y="12776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17" name="AutoShape 1">
          <a:extLst>
            <a:ext uri="{FF2B5EF4-FFF2-40B4-BE49-F238E27FC236}">
              <a16:creationId xmlns:a16="http://schemas.microsoft.com/office/drawing/2014/main" id="{34F4D8AC-4191-AE41-9AC1-6B9709A1DAB2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18" name="AutoShape 1">
          <a:extLst>
            <a:ext uri="{FF2B5EF4-FFF2-40B4-BE49-F238E27FC236}">
              <a16:creationId xmlns:a16="http://schemas.microsoft.com/office/drawing/2014/main" id="{247E9C9F-DC0B-B54F-A0B8-0083D6662EDD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19" name="AutoShape 1">
          <a:extLst>
            <a:ext uri="{FF2B5EF4-FFF2-40B4-BE49-F238E27FC236}">
              <a16:creationId xmlns:a16="http://schemas.microsoft.com/office/drawing/2014/main" id="{143AF5A1-2A4A-3940-BA3E-0E7C9AA72A13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20" name="AutoShape 1">
          <a:extLst>
            <a:ext uri="{FF2B5EF4-FFF2-40B4-BE49-F238E27FC236}">
              <a16:creationId xmlns:a16="http://schemas.microsoft.com/office/drawing/2014/main" id="{90A485E8-252F-3D47-A876-DFBE8402697D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21" name="AutoShape 1">
          <a:extLst>
            <a:ext uri="{FF2B5EF4-FFF2-40B4-BE49-F238E27FC236}">
              <a16:creationId xmlns:a16="http://schemas.microsoft.com/office/drawing/2014/main" id="{CA569775-25DD-FE40-9EB5-EF7A5107BD6B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304796"/>
    <xdr:sp macro="" textlink="">
      <xdr:nvSpPr>
        <xdr:cNvPr id="222" name="AutoShape 1">
          <a:extLst>
            <a:ext uri="{FF2B5EF4-FFF2-40B4-BE49-F238E27FC236}">
              <a16:creationId xmlns:a16="http://schemas.microsoft.com/office/drawing/2014/main" id="{9733E619-7331-2F4E-8FEF-959E8EC7F433}"/>
            </a:ext>
          </a:extLst>
        </xdr:cNvPr>
        <xdr:cNvSpPr/>
      </xdr:nvSpPr>
      <xdr:spPr>
        <a:xfrm>
          <a:off x="965200" y="12776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23" name="AutoShape 1">
          <a:extLst>
            <a:ext uri="{FF2B5EF4-FFF2-40B4-BE49-F238E27FC236}">
              <a16:creationId xmlns:a16="http://schemas.microsoft.com/office/drawing/2014/main" id="{EAAAA671-0218-0C4C-9AEB-C96CC7E81CDD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24" name="AutoShape 1">
          <a:extLst>
            <a:ext uri="{FF2B5EF4-FFF2-40B4-BE49-F238E27FC236}">
              <a16:creationId xmlns:a16="http://schemas.microsoft.com/office/drawing/2014/main" id="{3EDF4DB6-2350-3740-B116-842590985B85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25" name="AutoShape 1">
          <a:extLst>
            <a:ext uri="{FF2B5EF4-FFF2-40B4-BE49-F238E27FC236}">
              <a16:creationId xmlns:a16="http://schemas.microsoft.com/office/drawing/2014/main" id="{18B66ADD-318C-B540-9F8F-3E205E988449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26" name="AutoShape 1">
          <a:extLst>
            <a:ext uri="{FF2B5EF4-FFF2-40B4-BE49-F238E27FC236}">
              <a16:creationId xmlns:a16="http://schemas.microsoft.com/office/drawing/2014/main" id="{B5FBE4F8-934F-EF4A-922B-6C5CD82F2E30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27" name="AutoShape 1">
          <a:extLst>
            <a:ext uri="{FF2B5EF4-FFF2-40B4-BE49-F238E27FC236}">
              <a16:creationId xmlns:a16="http://schemas.microsoft.com/office/drawing/2014/main" id="{BB3DC77E-82A7-9A44-9EA1-37B1E1488A6C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28" name="AutoShape 1">
          <a:extLst>
            <a:ext uri="{FF2B5EF4-FFF2-40B4-BE49-F238E27FC236}">
              <a16:creationId xmlns:a16="http://schemas.microsoft.com/office/drawing/2014/main" id="{EF1CEE18-B432-C34C-B4A0-1001B7162A7C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29" name="AutoShape 1">
          <a:extLst>
            <a:ext uri="{FF2B5EF4-FFF2-40B4-BE49-F238E27FC236}">
              <a16:creationId xmlns:a16="http://schemas.microsoft.com/office/drawing/2014/main" id="{91233870-ACDF-4947-BFC6-4FD33B24151D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304796"/>
    <xdr:sp macro="" textlink="">
      <xdr:nvSpPr>
        <xdr:cNvPr id="230" name="AutoShape 1">
          <a:extLst>
            <a:ext uri="{FF2B5EF4-FFF2-40B4-BE49-F238E27FC236}">
              <a16:creationId xmlns:a16="http://schemas.microsoft.com/office/drawing/2014/main" id="{AB14B34A-EDA0-884D-957E-317E8B8F5847}"/>
            </a:ext>
          </a:extLst>
        </xdr:cNvPr>
        <xdr:cNvSpPr/>
      </xdr:nvSpPr>
      <xdr:spPr>
        <a:xfrm>
          <a:off x="965200" y="12776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31" name="AutoShape 1">
          <a:extLst>
            <a:ext uri="{FF2B5EF4-FFF2-40B4-BE49-F238E27FC236}">
              <a16:creationId xmlns:a16="http://schemas.microsoft.com/office/drawing/2014/main" id="{5F0C1D92-3ED0-E949-BCF9-0AE0A5AAEC26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32" name="AutoShape 1">
          <a:extLst>
            <a:ext uri="{FF2B5EF4-FFF2-40B4-BE49-F238E27FC236}">
              <a16:creationId xmlns:a16="http://schemas.microsoft.com/office/drawing/2014/main" id="{09C8808C-E54A-FD48-9208-66A7CF0EC877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33" name="AutoShape 1">
          <a:extLst>
            <a:ext uri="{FF2B5EF4-FFF2-40B4-BE49-F238E27FC236}">
              <a16:creationId xmlns:a16="http://schemas.microsoft.com/office/drawing/2014/main" id="{5E6F6893-273B-054A-AC55-EDE1D1B27579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34" name="AutoShape 1">
          <a:extLst>
            <a:ext uri="{FF2B5EF4-FFF2-40B4-BE49-F238E27FC236}">
              <a16:creationId xmlns:a16="http://schemas.microsoft.com/office/drawing/2014/main" id="{51647A15-850B-5E41-BF94-D4E22DABCA22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35" name="AutoShape 1">
          <a:extLst>
            <a:ext uri="{FF2B5EF4-FFF2-40B4-BE49-F238E27FC236}">
              <a16:creationId xmlns:a16="http://schemas.microsoft.com/office/drawing/2014/main" id="{7D20F9F1-5064-844D-967F-E9FDA97070E9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36" name="AutoShape 1">
          <a:extLst>
            <a:ext uri="{FF2B5EF4-FFF2-40B4-BE49-F238E27FC236}">
              <a16:creationId xmlns:a16="http://schemas.microsoft.com/office/drawing/2014/main" id="{DE9502D1-A5B7-FA4F-A06C-E11DFFC78DAD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37" name="AutoShape 1">
          <a:extLst>
            <a:ext uri="{FF2B5EF4-FFF2-40B4-BE49-F238E27FC236}">
              <a16:creationId xmlns:a16="http://schemas.microsoft.com/office/drawing/2014/main" id="{3F98A7D1-8BEF-6748-9DAA-05FC4BB8E5C6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304796"/>
    <xdr:sp macro="" textlink="">
      <xdr:nvSpPr>
        <xdr:cNvPr id="238" name="AutoShape 1">
          <a:extLst>
            <a:ext uri="{FF2B5EF4-FFF2-40B4-BE49-F238E27FC236}">
              <a16:creationId xmlns:a16="http://schemas.microsoft.com/office/drawing/2014/main" id="{D42B3802-CE9D-B548-9D07-1B630A1CA68D}"/>
            </a:ext>
          </a:extLst>
        </xdr:cNvPr>
        <xdr:cNvSpPr/>
      </xdr:nvSpPr>
      <xdr:spPr>
        <a:xfrm>
          <a:off x="965200" y="12776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39" name="AutoShape 1">
          <a:extLst>
            <a:ext uri="{FF2B5EF4-FFF2-40B4-BE49-F238E27FC236}">
              <a16:creationId xmlns:a16="http://schemas.microsoft.com/office/drawing/2014/main" id="{2FF773F3-9326-D347-8C4D-F17926940CE9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40" name="AutoShape 1">
          <a:extLst>
            <a:ext uri="{FF2B5EF4-FFF2-40B4-BE49-F238E27FC236}">
              <a16:creationId xmlns:a16="http://schemas.microsoft.com/office/drawing/2014/main" id="{07B4F542-0A8E-824B-9AA3-06D2144A1E11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41" name="AutoShape 1">
          <a:extLst>
            <a:ext uri="{FF2B5EF4-FFF2-40B4-BE49-F238E27FC236}">
              <a16:creationId xmlns:a16="http://schemas.microsoft.com/office/drawing/2014/main" id="{AD1CA409-EED0-A446-9C78-F17C8F7565E3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42" name="AutoShape 1">
          <a:extLst>
            <a:ext uri="{FF2B5EF4-FFF2-40B4-BE49-F238E27FC236}">
              <a16:creationId xmlns:a16="http://schemas.microsoft.com/office/drawing/2014/main" id="{49B741B7-4252-6846-B36D-23455DEEE93B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43" name="AutoShape 1">
          <a:extLst>
            <a:ext uri="{FF2B5EF4-FFF2-40B4-BE49-F238E27FC236}">
              <a16:creationId xmlns:a16="http://schemas.microsoft.com/office/drawing/2014/main" id="{B01974A1-0B52-134B-8566-331342069520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304796"/>
    <xdr:sp macro="" textlink="">
      <xdr:nvSpPr>
        <xdr:cNvPr id="244" name="AutoShape 1">
          <a:extLst>
            <a:ext uri="{FF2B5EF4-FFF2-40B4-BE49-F238E27FC236}">
              <a16:creationId xmlns:a16="http://schemas.microsoft.com/office/drawing/2014/main" id="{6419E16A-BCCE-A943-BBDE-B2B1679544B2}"/>
            </a:ext>
          </a:extLst>
        </xdr:cNvPr>
        <xdr:cNvSpPr/>
      </xdr:nvSpPr>
      <xdr:spPr>
        <a:xfrm>
          <a:off x="965200" y="12776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45" name="AutoShape 1">
          <a:extLst>
            <a:ext uri="{FF2B5EF4-FFF2-40B4-BE49-F238E27FC236}">
              <a16:creationId xmlns:a16="http://schemas.microsoft.com/office/drawing/2014/main" id="{49CF4AC7-923B-6647-8949-FAA4E94B2456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46" name="AutoShape 1">
          <a:extLst>
            <a:ext uri="{FF2B5EF4-FFF2-40B4-BE49-F238E27FC236}">
              <a16:creationId xmlns:a16="http://schemas.microsoft.com/office/drawing/2014/main" id="{46C481D1-0C31-EA4B-8C66-18C7F4E39565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47" name="AutoShape 1">
          <a:extLst>
            <a:ext uri="{FF2B5EF4-FFF2-40B4-BE49-F238E27FC236}">
              <a16:creationId xmlns:a16="http://schemas.microsoft.com/office/drawing/2014/main" id="{241F152A-645D-B147-BAF2-575C654FB6C5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48" name="AutoShape 1">
          <a:extLst>
            <a:ext uri="{FF2B5EF4-FFF2-40B4-BE49-F238E27FC236}">
              <a16:creationId xmlns:a16="http://schemas.microsoft.com/office/drawing/2014/main" id="{48A4E4EC-3067-F446-BD44-DAA0A7F54B75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49" name="AutoShape 1">
          <a:extLst>
            <a:ext uri="{FF2B5EF4-FFF2-40B4-BE49-F238E27FC236}">
              <a16:creationId xmlns:a16="http://schemas.microsoft.com/office/drawing/2014/main" id="{7DDF0CE0-4401-FA40-A859-ABF955D9CCD2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50" name="AutoShape 1">
          <a:extLst>
            <a:ext uri="{FF2B5EF4-FFF2-40B4-BE49-F238E27FC236}">
              <a16:creationId xmlns:a16="http://schemas.microsoft.com/office/drawing/2014/main" id="{5732EBF8-B246-B042-A64D-19EE1E365C2E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51" name="AutoShape 1">
          <a:extLst>
            <a:ext uri="{FF2B5EF4-FFF2-40B4-BE49-F238E27FC236}">
              <a16:creationId xmlns:a16="http://schemas.microsoft.com/office/drawing/2014/main" id="{BE18DB02-083F-FF49-B434-ECA6B6D429D5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304796"/>
    <xdr:sp macro="" textlink="">
      <xdr:nvSpPr>
        <xdr:cNvPr id="252" name="AutoShape 1">
          <a:extLst>
            <a:ext uri="{FF2B5EF4-FFF2-40B4-BE49-F238E27FC236}">
              <a16:creationId xmlns:a16="http://schemas.microsoft.com/office/drawing/2014/main" id="{41F3D42B-896A-514B-B3D5-24239F84D93B}"/>
            </a:ext>
          </a:extLst>
        </xdr:cNvPr>
        <xdr:cNvSpPr/>
      </xdr:nvSpPr>
      <xdr:spPr>
        <a:xfrm>
          <a:off x="965200" y="12776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53" name="AutoShape 1">
          <a:extLst>
            <a:ext uri="{FF2B5EF4-FFF2-40B4-BE49-F238E27FC236}">
              <a16:creationId xmlns:a16="http://schemas.microsoft.com/office/drawing/2014/main" id="{284E8025-6A91-A64E-A468-7E20F6CCF821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54" name="AutoShape 1">
          <a:extLst>
            <a:ext uri="{FF2B5EF4-FFF2-40B4-BE49-F238E27FC236}">
              <a16:creationId xmlns:a16="http://schemas.microsoft.com/office/drawing/2014/main" id="{C24F003C-A068-4E45-94F6-1C7F65464E12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55" name="AutoShape 1">
          <a:extLst>
            <a:ext uri="{FF2B5EF4-FFF2-40B4-BE49-F238E27FC236}">
              <a16:creationId xmlns:a16="http://schemas.microsoft.com/office/drawing/2014/main" id="{EDC8A817-1C7A-B74B-806A-D1A0EEB063C9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56" name="AutoShape 1">
          <a:extLst>
            <a:ext uri="{FF2B5EF4-FFF2-40B4-BE49-F238E27FC236}">
              <a16:creationId xmlns:a16="http://schemas.microsoft.com/office/drawing/2014/main" id="{CBA70CAD-F6C9-194D-AA9E-D90BA0FFBE44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57" name="AutoShape 1">
          <a:extLst>
            <a:ext uri="{FF2B5EF4-FFF2-40B4-BE49-F238E27FC236}">
              <a16:creationId xmlns:a16="http://schemas.microsoft.com/office/drawing/2014/main" id="{DBA8934C-56B4-0242-8E04-D75EAECF8A16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58" name="AutoShape 1">
          <a:extLst>
            <a:ext uri="{FF2B5EF4-FFF2-40B4-BE49-F238E27FC236}">
              <a16:creationId xmlns:a16="http://schemas.microsoft.com/office/drawing/2014/main" id="{C1233518-724D-1D47-B57F-FC29C77CB1F1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59" name="AutoShape 1">
          <a:extLst>
            <a:ext uri="{FF2B5EF4-FFF2-40B4-BE49-F238E27FC236}">
              <a16:creationId xmlns:a16="http://schemas.microsoft.com/office/drawing/2014/main" id="{697EB741-8B69-4C44-AA3A-B9915498B62E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304796"/>
    <xdr:sp macro="" textlink="">
      <xdr:nvSpPr>
        <xdr:cNvPr id="260" name="AutoShape 1">
          <a:extLst>
            <a:ext uri="{FF2B5EF4-FFF2-40B4-BE49-F238E27FC236}">
              <a16:creationId xmlns:a16="http://schemas.microsoft.com/office/drawing/2014/main" id="{576BF2F3-373C-064D-A202-C08C42DD0CA7}"/>
            </a:ext>
          </a:extLst>
        </xdr:cNvPr>
        <xdr:cNvSpPr/>
      </xdr:nvSpPr>
      <xdr:spPr>
        <a:xfrm>
          <a:off x="965200" y="12776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61" name="AutoShape 1">
          <a:extLst>
            <a:ext uri="{FF2B5EF4-FFF2-40B4-BE49-F238E27FC236}">
              <a16:creationId xmlns:a16="http://schemas.microsoft.com/office/drawing/2014/main" id="{4C1C2990-6DDC-AA46-8EC0-AC7D2C9DC8AC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62" name="AutoShape 1">
          <a:extLst>
            <a:ext uri="{FF2B5EF4-FFF2-40B4-BE49-F238E27FC236}">
              <a16:creationId xmlns:a16="http://schemas.microsoft.com/office/drawing/2014/main" id="{B8F73402-899A-C04C-BAA4-DA8736723FDA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63" name="AutoShape 1">
          <a:extLst>
            <a:ext uri="{FF2B5EF4-FFF2-40B4-BE49-F238E27FC236}">
              <a16:creationId xmlns:a16="http://schemas.microsoft.com/office/drawing/2014/main" id="{9C7E7F8E-5ACC-744C-B960-1C3FFF11F861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64" name="AutoShape 1">
          <a:extLst>
            <a:ext uri="{FF2B5EF4-FFF2-40B4-BE49-F238E27FC236}">
              <a16:creationId xmlns:a16="http://schemas.microsoft.com/office/drawing/2014/main" id="{6C22D810-49D4-B24D-8A5E-56ECC0ADFFC9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65" name="AutoShape 1">
          <a:extLst>
            <a:ext uri="{FF2B5EF4-FFF2-40B4-BE49-F238E27FC236}">
              <a16:creationId xmlns:a16="http://schemas.microsoft.com/office/drawing/2014/main" id="{3C26BC47-2566-3E49-8C8E-58109A62806E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304796"/>
    <xdr:sp macro="" textlink="">
      <xdr:nvSpPr>
        <xdr:cNvPr id="266" name="AutoShape 1">
          <a:extLst>
            <a:ext uri="{FF2B5EF4-FFF2-40B4-BE49-F238E27FC236}">
              <a16:creationId xmlns:a16="http://schemas.microsoft.com/office/drawing/2014/main" id="{9942D52F-1471-2443-8BFC-E80BF6E7299B}"/>
            </a:ext>
          </a:extLst>
        </xdr:cNvPr>
        <xdr:cNvSpPr/>
      </xdr:nvSpPr>
      <xdr:spPr>
        <a:xfrm>
          <a:off x="965200" y="12141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267" name="AutoShape 1">
          <a:extLst>
            <a:ext uri="{FF2B5EF4-FFF2-40B4-BE49-F238E27FC236}">
              <a16:creationId xmlns:a16="http://schemas.microsoft.com/office/drawing/2014/main" id="{89B0BEB8-33C4-4F43-B0F3-F1383067A4E1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268" name="AutoShape 1">
          <a:extLst>
            <a:ext uri="{FF2B5EF4-FFF2-40B4-BE49-F238E27FC236}">
              <a16:creationId xmlns:a16="http://schemas.microsoft.com/office/drawing/2014/main" id="{FEAC31E3-C27E-6041-AA46-7F95A75376B1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269" name="AutoShape 1">
          <a:extLst>
            <a:ext uri="{FF2B5EF4-FFF2-40B4-BE49-F238E27FC236}">
              <a16:creationId xmlns:a16="http://schemas.microsoft.com/office/drawing/2014/main" id="{B430D514-DC99-CC44-A17C-F2F5A9966C5F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270" name="AutoShape 1">
          <a:extLst>
            <a:ext uri="{FF2B5EF4-FFF2-40B4-BE49-F238E27FC236}">
              <a16:creationId xmlns:a16="http://schemas.microsoft.com/office/drawing/2014/main" id="{2E09C27E-99E7-0543-AA28-AAB735E415C2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271" name="AutoShape 1">
          <a:extLst>
            <a:ext uri="{FF2B5EF4-FFF2-40B4-BE49-F238E27FC236}">
              <a16:creationId xmlns:a16="http://schemas.microsoft.com/office/drawing/2014/main" id="{4944ECB8-F001-5345-8CAF-4ED909F10088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272" name="AutoShape 1">
          <a:extLst>
            <a:ext uri="{FF2B5EF4-FFF2-40B4-BE49-F238E27FC236}">
              <a16:creationId xmlns:a16="http://schemas.microsoft.com/office/drawing/2014/main" id="{46D2155E-167A-4045-9307-DBF080E9F0E8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273" name="AutoShape 1">
          <a:extLst>
            <a:ext uri="{FF2B5EF4-FFF2-40B4-BE49-F238E27FC236}">
              <a16:creationId xmlns:a16="http://schemas.microsoft.com/office/drawing/2014/main" id="{DFEF4F44-4D55-2A4E-B2AF-80B82B0B868C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304796"/>
    <xdr:sp macro="" textlink="">
      <xdr:nvSpPr>
        <xdr:cNvPr id="274" name="AutoShape 1">
          <a:extLst>
            <a:ext uri="{FF2B5EF4-FFF2-40B4-BE49-F238E27FC236}">
              <a16:creationId xmlns:a16="http://schemas.microsoft.com/office/drawing/2014/main" id="{2ABC8883-9D82-4B4B-A762-80D2FB342054}"/>
            </a:ext>
          </a:extLst>
        </xdr:cNvPr>
        <xdr:cNvSpPr/>
      </xdr:nvSpPr>
      <xdr:spPr>
        <a:xfrm>
          <a:off x="965200" y="12141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275" name="AutoShape 1">
          <a:extLst>
            <a:ext uri="{FF2B5EF4-FFF2-40B4-BE49-F238E27FC236}">
              <a16:creationId xmlns:a16="http://schemas.microsoft.com/office/drawing/2014/main" id="{D26F8657-B5A2-564F-85ED-CA66FF7CBA69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276" name="AutoShape 1">
          <a:extLst>
            <a:ext uri="{FF2B5EF4-FFF2-40B4-BE49-F238E27FC236}">
              <a16:creationId xmlns:a16="http://schemas.microsoft.com/office/drawing/2014/main" id="{8058860B-A651-D145-9181-F18F2422AEC2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277" name="AutoShape 1">
          <a:extLst>
            <a:ext uri="{FF2B5EF4-FFF2-40B4-BE49-F238E27FC236}">
              <a16:creationId xmlns:a16="http://schemas.microsoft.com/office/drawing/2014/main" id="{1F94FDEF-D1F0-8340-BBBC-AECF9594B4E5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278" name="AutoShape 1">
          <a:extLst>
            <a:ext uri="{FF2B5EF4-FFF2-40B4-BE49-F238E27FC236}">
              <a16:creationId xmlns:a16="http://schemas.microsoft.com/office/drawing/2014/main" id="{6A6DE422-3C8A-B944-8BC1-E9481E2EA06F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279" name="AutoShape 1">
          <a:extLst>
            <a:ext uri="{FF2B5EF4-FFF2-40B4-BE49-F238E27FC236}">
              <a16:creationId xmlns:a16="http://schemas.microsoft.com/office/drawing/2014/main" id="{5F21185C-7338-324C-843D-232EA876DAC9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280" name="AutoShape 1">
          <a:extLst>
            <a:ext uri="{FF2B5EF4-FFF2-40B4-BE49-F238E27FC236}">
              <a16:creationId xmlns:a16="http://schemas.microsoft.com/office/drawing/2014/main" id="{E68A079F-5414-5146-AC1B-E560E53ADF56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281" name="AutoShape 1">
          <a:extLst>
            <a:ext uri="{FF2B5EF4-FFF2-40B4-BE49-F238E27FC236}">
              <a16:creationId xmlns:a16="http://schemas.microsoft.com/office/drawing/2014/main" id="{939DCB7D-E779-FB46-AF75-9CB4F0CE3557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304796"/>
    <xdr:sp macro="" textlink="">
      <xdr:nvSpPr>
        <xdr:cNvPr id="282" name="AutoShape 1">
          <a:extLst>
            <a:ext uri="{FF2B5EF4-FFF2-40B4-BE49-F238E27FC236}">
              <a16:creationId xmlns:a16="http://schemas.microsoft.com/office/drawing/2014/main" id="{3E8D2285-A63B-6947-89EB-69EAD024A4EB}"/>
            </a:ext>
          </a:extLst>
        </xdr:cNvPr>
        <xdr:cNvSpPr/>
      </xdr:nvSpPr>
      <xdr:spPr>
        <a:xfrm>
          <a:off x="965200" y="12141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283" name="AutoShape 1">
          <a:extLst>
            <a:ext uri="{FF2B5EF4-FFF2-40B4-BE49-F238E27FC236}">
              <a16:creationId xmlns:a16="http://schemas.microsoft.com/office/drawing/2014/main" id="{CBA7A499-151D-C946-9973-BF5C3626BDCE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284" name="AutoShape 1">
          <a:extLst>
            <a:ext uri="{FF2B5EF4-FFF2-40B4-BE49-F238E27FC236}">
              <a16:creationId xmlns:a16="http://schemas.microsoft.com/office/drawing/2014/main" id="{E0C2DDDD-8E3B-004E-8E29-ADA1000F5621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285" name="AutoShape 1">
          <a:extLst>
            <a:ext uri="{FF2B5EF4-FFF2-40B4-BE49-F238E27FC236}">
              <a16:creationId xmlns:a16="http://schemas.microsoft.com/office/drawing/2014/main" id="{80CF4E6F-7A5F-1048-9DEA-FF681A739AAD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286" name="AutoShape 1">
          <a:extLst>
            <a:ext uri="{FF2B5EF4-FFF2-40B4-BE49-F238E27FC236}">
              <a16:creationId xmlns:a16="http://schemas.microsoft.com/office/drawing/2014/main" id="{5D352976-A3EC-6A4D-B0EA-4F0ECAB2AFDF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304796" cy="295278"/>
    <xdr:sp macro="" textlink="">
      <xdr:nvSpPr>
        <xdr:cNvPr id="287" name="AutoShape 1">
          <a:extLst>
            <a:ext uri="{FF2B5EF4-FFF2-40B4-BE49-F238E27FC236}">
              <a16:creationId xmlns:a16="http://schemas.microsoft.com/office/drawing/2014/main" id="{796661AF-A943-B943-A384-68958CC4AE1D}"/>
            </a:ext>
          </a:extLst>
        </xdr:cNvPr>
        <xdr:cNvSpPr/>
      </xdr:nvSpPr>
      <xdr:spPr>
        <a:xfrm>
          <a:off x="965200" y="12141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304796"/>
    <xdr:sp macro="" textlink="">
      <xdr:nvSpPr>
        <xdr:cNvPr id="288" name="AutoShape 1">
          <a:extLst>
            <a:ext uri="{FF2B5EF4-FFF2-40B4-BE49-F238E27FC236}">
              <a16:creationId xmlns:a16="http://schemas.microsoft.com/office/drawing/2014/main" id="{A86757B4-5D7C-1749-8989-E6A6D6ED2A5B}"/>
            </a:ext>
          </a:extLst>
        </xdr:cNvPr>
        <xdr:cNvSpPr/>
      </xdr:nvSpPr>
      <xdr:spPr>
        <a:xfrm>
          <a:off x="965200" y="12776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89" name="AutoShape 1">
          <a:extLst>
            <a:ext uri="{FF2B5EF4-FFF2-40B4-BE49-F238E27FC236}">
              <a16:creationId xmlns:a16="http://schemas.microsoft.com/office/drawing/2014/main" id="{FB6DDFBC-71F5-A641-AFF9-05BC854C125C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90" name="AutoShape 1">
          <a:extLst>
            <a:ext uri="{FF2B5EF4-FFF2-40B4-BE49-F238E27FC236}">
              <a16:creationId xmlns:a16="http://schemas.microsoft.com/office/drawing/2014/main" id="{F2C74DBD-3DB6-804A-8FDF-E8442086BEC3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91" name="AutoShape 1">
          <a:extLst>
            <a:ext uri="{FF2B5EF4-FFF2-40B4-BE49-F238E27FC236}">
              <a16:creationId xmlns:a16="http://schemas.microsoft.com/office/drawing/2014/main" id="{6BCE391B-AD14-A54F-B48F-2BAD5DD22A15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92" name="AutoShape 1">
          <a:extLst>
            <a:ext uri="{FF2B5EF4-FFF2-40B4-BE49-F238E27FC236}">
              <a16:creationId xmlns:a16="http://schemas.microsoft.com/office/drawing/2014/main" id="{640C2A68-C0C1-7446-AE03-71052BF047ED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93" name="AutoShape 1">
          <a:extLst>
            <a:ext uri="{FF2B5EF4-FFF2-40B4-BE49-F238E27FC236}">
              <a16:creationId xmlns:a16="http://schemas.microsoft.com/office/drawing/2014/main" id="{8D3BB793-604E-1345-B0CB-107E849091AC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94" name="AutoShape 1">
          <a:extLst>
            <a:ext uri="{FF2B5EF4-FFF2-40B4-BE49-F238E27FC236}">
              <a16:creationId xmlns:a16="http://schemas.microsoft.com/office/drawing/2014/main" id="{ACEA58E6-DA22-2649-B4E4-EDA24C2D059F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95" name="AutoShape 1">
          <a:extLst>
            <a:ext uri="{FF2B5EF4-FFF2-40B4-BE49-F238E27FC236}">
              <a16:creationId xmlns:a16="http://schemas.microsoft.com/office/drawing/2014/main" id="{840DC458-A9B4-354D-B4A2-26B980B9613D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304796"/>
    <xdr:sp macro="" textlink="">
      <xdr:nvSpPr>
        <xdr:cNvPr id="296" name="AutoShape 1">
          <a:extLst>
            <a:ext uri="{FF2B5EF4-FFF2-40B4-BE49-F238E27FC236}">
              <a16:creationId xmlns:a16="http://schemas.microsoft.com/office/drawing/2014/main" id="{54A3B263-3C18-5944-BC4A-A806883E2196}"/>
            </a:ext>
          </a:extLst>
        </xdr:cNvPr>
        <xdr:cNvSpPr/>
      </xdr:nvSpPr>
      <xdr:spPr>
        <a:xfrm>
          <a:off x="965200" y="12776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97" name="AutoShape 1">
          <a:extLst>
            <a:ext uri="{FF2B5EF4-FFF2-40B4-BE49-F238E27FC236}">
              <a16:creationId xmlns:a16="http://schemas.microsoft.com/office/drawing/2014/main" id="{8E90D7CD-9D89-FE40-884C-5CD2EB2FB89D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98" name="AutoShape 1">
          <a:extLst>
            <a:ext uri="{FF2B5EF4-FFF2-40B4-BE49-F238E27FC236}">
              <a16:creationId xmlns:a16="http://schemas.microsoft.com/office/drawing/2014/main" id="{304A5F5E-76BD-FB40-ADFB-EFE2A542F999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299" name="AutoShape 1">
          <a:extLst>
            <a:ext uri="{FF2B5EF4-FFF2-40B4-BE49-F238E27FC236}">
              <a16:creationId xmlns:a16="http://schemas.microsoft.com/office/drawing/2014/main" id="{A405964A-A338-4C47-B81A-FA58B0D3978C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300" name="AutoShape 1">
          <a:extLst>
            <a:ext uri="{FF2B5EF4-FFF2-40B4-BE49-F238E27FC236}">
              <a16:creationId xmlns:a16="http://schemas.microsoft.com/office/drawing/2014/main" id="{15A0A78D-3DCA-3547-9865-F4F5C6E06A6E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301" name="AutoShape 1">
          <a:extLst>
            <a:ext uri="{FF2B5EF4-FFF2-40B4-BE49-F238E27FC236}">
              <a16:creationId xmlns:a16="http://schemas.microsoft.com/office/drawing/2014/main" id="{78217D9F-128E-324C-9D18-665D5E65D8FF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302" name="AutoShape 1">
          <a:extLst>
            <a:ext uri="{FF2B5EF4-FFF2-40B4-BE49-F238E27FC236}">
              <a16:creationId xmlns:a16="http://schemas.microsoft.com/office/drawing/2014/main" id="{D5E190F3-BD57-7749-B9E8-685A0E226F89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303" name="AutoShape 1">
          <a:extLst>
            <a:ext uri="{FF2B5EF4-FFF2-40B4-BE49-F238E27FC236}">
              <a16:creationId xmlns:a16="http://schemas.microsoft.com/office/drawing/2014/main" id="{2B2189EC-A13B-D746-928B-457DE21C7623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304796"/>
    <xdr:sp macro="" textlink="">
      <xdr:nvSpPr>
        <xdr:cNvPr id="304" name="AutoShape 1">
          <a:extLst>
            <a:ext uri="{FF2B5EF4-FFF2-40B4-BE49-F238E27FC236}">
              <a16:creationId xmlns:a16="http://schemas.microsoft.com/office/drawing/2014/main" id="{CE107A30-310E-AF4B-9E68-36C5E5D9DD24}"/>
            </a:ext>
          </a:extLst>
        </xdr:cNvPr>
        <xdr:cNvSpPr/>
      </xdr:nvSpPr>
      <xdr:spPr>
        <a:xfrm>
          <a:off x="965200" y="12776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305" name="AutoShape 1">
          <a:extLst>
            <a:ext uri="{FF2B5EF4-FFF2-40B4-BE49-F238E27FC236}">
              <a16:creationId xmlns:a16="http://schemas.microsoft.com/office/drawing/2014/main" id="{BFC1B590-0E93-054C-98E7-62661CB153D2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306" name="AutoShape 1">
          <a:extLst>
            <a:ext uri="{FF2B5EF4-FFF2-40B4-BE49-F238E27FC236}">
              <a16:creationId xmlns:a16="http://schemas.microsoft.com/office/drawing/2014/main" id="{FDCA0351-5084-154B-BDBE-C6798B372786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307" name="AutoShape 1">
          <a:extLst>
            <a:ext uri="{FF2B5EF4-FFF2-40B4-BE49-F238E27FC236}">
              <a16:creationId xmlns:a16="http://schemas.microsoft.com/office/drawing/2014/main" id="{27A639F4-2EFB-2A4C-80D3-4AE62B656AE4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308" name="AutoShape 1">
          <a:extLst>
            <a:ext uri="{FF2B5EF4-FFF2-40B4-BE49-F238E27FC236}">
              <a16:creationId xmlns:a16="http://schemas.microsoft.com/office/drawing/2014/main" id="{4018D87F-F808-DC44-B3DC-FD4470814425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304796" cy="295278"/>
    <xdr:sp macro="" textlink="">
      <xdr:nvSpPr>
        <xdr:cNvPr id="309" name="AutoShape 1">
          <a:extLst>
            <a:ext uri="{FF2B5EF4-FFF2-40B4-BE49-F238E27FC236}">
              <a16:creationId xmlns:a16="http://schemas.microsoft.com/office/drawing/2014/main" id="{CD3DC4C7-F1B9-B747-835C-596759659008}"/>
            </a:ext>
          </a:extLst>
        </xdr:cNvPr>
        <xdr:cNvSpPr/>
      </xdr:nvSpPr>
      <xdr:spPr>
        <a:xfrm>
          <a:off x="965200" y="1277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304796"/>
    <xdr:sp macro="" textlink="">
      <xdr:nvSpPr>
        <xdr:cNvPr id="310" name="AutoShape 1">
          <a:extLst>
            <a:ext uri="{FF2B5EF4-FFF2-40B4-BE49-F238E27FC236}">
              <a16:creationId xmlns:a16="http://schemas.microsoft.com/office/drawing/2014/main" id="{482F3D78-3FCF-FA49-AB7D-66F1401F7E9D}"/>
            </a:ext>
          </a:extLst>
        </xdr:cNvPr>
        <xdr:cNvSpPr/>
      </xdr:nvSpPr>
      <xdr:spPr>
        <a:xfrm>
          <a:off x="965200" y="31826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11" name="AutoShape 1">
          <a:extLst>
            <a:ext uri="{FF2B5EF4-FFF2-40B4-BE49-F238E27FC236}">
              <a16:creationId xmlns:a16="http://schemas.microsoft.com/office/drawing/2014/main" id="{EAFB3387-4724-4C43-969E-37BBF21348AD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12" name="AutoShape 1">
          <a:extLst>
            <a:ext uri="{FF2B5EF4-FFF2-40B4-BE49-F238E27FC236}">
              <a16:creationId xmlns:a16="http://schemas.microsoft.com/office/drawing/2014/main" id="{6AE8A306-4381-6D42-A81E-756397C7F100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13" name="AutoShape 1">
          <a:extLst>
            <a:ext uri="{FF2B5EF4-FFF2-40B4-BE49-F238E27FC236}">
              <a16:creationId xmlns:a16="http://schemas.microsoft.com/office/drawing/2014/main" id="{34DE01AB-59FD-0C43-B53A-FB3BD949D2A7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14" name="AutoShape 1">
          <a:extLst>
            <a:ext uri="{FF2B5EF4-FFF2-40B4-BE49-F238E27FC236}">
              <a16:creationId xmlns:a16="http://schemas.microsoft.com/office/drawing/2014/main" id="{F5E29216-C6C8-7E4A-A883-3299518A9EEC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15" name="AutoShape 1">
          <a:extLst>
            <a:ext uri="{FF2B5EF4-FFF2-40B4-BE49-F238E27FC236}">
              <a16:creationId xmlns:a16="http://schemas.microsoft.com/office/drawing/2014/main" id="{6660E3D0-EABE-714E-9C2C-F79AAF243B7A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16" name="AutoShape 1">
          <a:extLst>
            <a:ext uri="{FF2B5EF4-FFF2-40B4-BE49-F238E27FC236}">
              <a16:creationId xmlns:a16="http://schemas.microsoft.com/office/drawing/2014/main" id="{41FE39CE-9946-8146-9550-0B0CF308501A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17" name="AutoShape 1">
          <a:extLst>
            <a:ext uri="{FF2B5EF4-FFF2-40B4-BE49-F238E27FC236}">
              <a16:creationId xmlns:a16="http://schemas.microsoft.com/office/drawing/2014/main" id="{AC306DAC-D06E-8549-9834-3BA020019B65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304796"/>
    <xdr:sp macro="" textlink="">
      <xdr:nvSpPr>
        <xdr:cNvPr id="318" name="AutoShape 1">
          <a:extLst>
            <a:ext uri="{FF2B5EF4-FFF2-40B4-BE49-F238E27FC236}">
              <a16:creationId xmlns:a16="http://schemas.microsoft.com/office/drawing/2014/main" id="{A278B70C-D66E-0C4D-BC2E-D072AD84D302}"/>
            </a:ext>
          </a:extLst>
        </xdr:cNvPr>
        <xdr:cNvSpPr/>
      </xdr:nvSpPr>
      <xdr:spPr>
        <a:xfrm>
          <a:off x="965200" y="31826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19" name="AutoShape 1">
          <a:extLst>
            <a:ext uri="{FF2B5EF4-FFF2-40B4-BE49-F238E27FC236}">
              <a16:creationId xmlns:a16="http://schemas.microsoft.com/office/drawing/2014/main" id="{BC656E65-1500-F74C-BD9D-FB7723A2280C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20" name="AutoShape 1">
          <a:extLst>
            <a:ext uri="{FF2B5EF4-FFF2-40B4-BE49-F238E27FC236}">
              <a16:creationId xmlns:a16="http://schemas.microsoft.com/office/drawing/2014/main" id="{E9FF17D0-74AA-BE4F-8C36-93EEBA4B91BD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21" name="AutoShape 1">
          <a:extLst>
            <a:ext uri="{FF2B5EF4-FFF2-40B4-BE49-F238E27FC236}">
              <a16:creationId xmlns:a16="http://schemas.microsoft.com/office/drawing/2014/main" id="{378652A6-5734-3C48-B9F8-589CA4C84972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22" name="AutoShape 1">
          <a:extLst>
            <a:ext uri="{FF2B5EF4-FFF2-40B4-BE49-F238E27FC236}">
              <a16:creationId xmlns:a16="http://schemas.microsoft.com/office/drawing/2014/main" id="{F20872F8-56B4-DC49-8057-3232EB5401B0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23" name="AutoShape 1">
          <a:extLst>
            <a:ext uri="{FF2B5EF4-FFF2-40B4-BE49-F238E27FC236}">
              <a16:creationId xmlns:a16="http://schemas.microsoft.com/office/drawing/2014/main" id="{7BB3EC6C-3F3B-044D-B517-C48D6618507D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24" name="AutoShape 1">
          <a:extLst>
            <a:ext uri="{FF2B5EF4-FFF2-40B4-BE49-F238E27FC236}">
              <a16:creationId xmlns:a16="http://schemas.microsoft.com/office/drawing/2014/main" id="{F7E30FF2-A082-F24D-853C-FE94FA9CB972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25" name="AutoShape 1">
          <a:extLst>
            <a:ext uri="{FF2B5EF4-FFF2-40B4-BE49-F238E27FC236}">
              <a16:creationId xmlns:a16="http://schemas.microsoft.com/office/drawing/2014/main" id="{58EFB9EA-8FD7-BE4D-B6CB-1682FDCDFD50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304796"/>
    <xdr:sp macro="" textlink="">
      <xdr:nvSpPr>
        <xdr:cNvPr id="326" name="AutoShape 1">
          <a:extLst>
            <a:ext uri="{FF2B5EF4-FFF2-40B4-BE49-F238E27FC236}">
              <a16:creationId xmlns:a16="http://schemas.microsoft.com/office/drawing/2014/main" id="{331B0025-9674-8146-A4E3-DFFD9DA892BD}"/>
            </a:ext>
          </a:extLst>
        </xdr:cNvPr>
        <xdr:cNvSpPr/>
      </xdr:nvSpPr>
      <xdr:spPr>
        <a:xfrm>
          <a:off x="965200" y="31826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27" name="AutoShape 1">
          <a:extLst>
            <a:ext uri="{FF2B5EF4-FFF2-40B4-BE49-F238E27FC236}">
              <a16:creationId xmlns:a16="http://schemas.microsoft.com/office/drawing/2014/main" id="{43FB8EB8-C261-2546-BD5F-FAD92B107E9C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28" name="AutoShape 1">
          <a:extLst>
            <a:ext uri="{FF2B5EF4-FFF2-40B4-BE49-F238E27FC236}">
              <a16:creationId xmlns:a16="http://schemas.microsoft.com/office/drawing/2014/main" id="{5B0AE7CB-4058-0346-8135-BDCE25A2D6F5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29" name="AutoShape 1">
          <a:extLst>
            <a:ext uri="{FF2B5EF4-FFF2-40B4-BE49-F238E27FC236}">
              <a16:creationId xmlns:a16="http://schemas.microsoft.com/office/drawing/2014/main" id="{259DD5FD-4BC2-F945-AB16-C614E76290F0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30" name="AutoShape 1">
          <a:extLst>
            <a:ext uri="{FF2B5EF4-FFF2-40B4-BE49-F238E27FC236}">
              <a16:creationId xmlns:a16="http://schemas.microsoft.com/office/drawing/2014/main" id="{F1118A3E-CCD3-FB49-B5A0-F736D202EA9F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31" name="AutoShape 1">
          <a:extLst>
            <a:ext uri="{FF2B5EF4-FFF2-40B4-BE49-F238E27FC236}">
              <a16:creationId xmlns:a16="http://schemas.microsoft.com/office/drawing/2014/main" id="{B83B6278-164E-E842-A33F-FFBD4E683F2E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304796"/>
    <xdr:sp macro="" textlink="">
      <xdr:nvSpPr>
        <xdr:cNvPr id="332" name="AutoShape 1">
          <a:extLst>
            <a:ext uri="{FF2B5EF4-FFF2-40B4-BE49-F238E27FC236}">
              <a16:creationId xmlns:a16="http://schemas.microsoft.com/office/drawing/2014/main" id="{0FCCC612-7F2E-9E43-95AD-F4BD78DAC4C6}"/>
            </a:ext>
          </a:extLst>
        </xdr:cNvPr>
        <xdr:cNvSpPr/>
      </xdr:nvSpPr>
      <xdr:spPr>
        <a:xfrm>
          <a:off x="965200" y="31826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33" name="AutoShape 1">
          <a:extLst>
            <a:ext uri="{FF2B5EF4-FFF2-40B4-BE49-F238E27FC236}">
              <a16:creationId xmlns:a16="http://schemas.microsoft.com/office/drawing/2014/main" id="{D4419F87-1224-F341-8EE5-3FACE93E1626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34" name="AutoShape 1">
          <a:extLst>
            <a:ext uri="{FF2B5EF4-FFF2-40B4-BE49-F238E27FC236}">
              <a16:creationId xmlns:a16="http://schemas.microsoft.com/office/drawing/2014/main" id="{95070186-EFAC-254D-A0EA-198E85720BF2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35" name="AutoShape 1">
          <a:extLst>
            <a:ext uri="{FF2B5EF4-FFF2-40B4-BE49-F238E27FC236}">
              <a16:creationId xmlns:a16="http://schemas.microsoft.com/office/drawing/2014/main" id="{09B2036A-73F8-EC48-BAFE-50600D7EBE85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36" name="AutoShape 1">
          <a:extLst>
            <a:ext uri="{FF2B5EF4-FFF2-40B4-BE49-F238E27FC236}">
              <a16:creationId xmlns:a16="http://schemas.microsoft.com/office/drawing/2014/main" id="{36C81E9E-EAAF-2845-BE8C-725B1E12F963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37" name="AutoShape 1">
          <a:extLst>
            <a:ext uri="{FF2B5EF4-FFF2-40B4-BE49-F238E27FC236}">
              <a16:creationId xmlns:a16="http://schemas.microsoft.com/office/drawing/2014/main" id="{F808F6F3-222E-8648-8C8A-74E4A1A5C309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38" name="AutoShape 1">
          <a:extLst>
            <a:ext uri="{FF2B5EF4-FFF2-40B4-BE49-F238E27FC236}">
              <a16:creationId xmlns:a16="http://schemas.microsoft.com/office/drawing/2014/main" id="{889C16FD-454E-6C40-B32B-924FBBD09172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39" name="AutoShape 1">
          <a:extLst>
            <a:ext uri="{FF2B5EF4-FFF2-40B4-BE49-F238E27FC236}">
              <a16:creationId xmlns:a16="http://schemas.microsoft.com/office/drawing/2014/main" id="{4371D111-2DB5-F741-B49F-C994738F04D8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304796"/>
    <xdr:sp macro="" textlink="">
      <xdr:nvSpPr>
        <xdr:cNvPr id="340" name="AutoShape 1">
          <a:extLst>
            <a:ext uri="{FF2B5EF4-FFF2-40B4-BE49-F238E27FC236}">
              <a16:creationId xmlns:a16="http://schemas.microsoft.com/office/drawing/2014/main" id="{371973C5-8DE0-9442-9D99-490FD839A8A9}"/>
            </a:ext>
          </a:extLst>
        </xdr:cNvPr>
        <xdr:cNvSpPr/>
      </xdr:nvSpPr>
      <xdr:spPr>
        <a:xfrm>
          <a:off x="965200" y="31826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41" name="AutoShape 1">
          <a:extLst>
            <a:ext uri="{FF2B5EF4-FFF2-40B4-BE49-F238E27FC236}">
              <a16:creationId xmlns:a16="http://schemas.microsoft.com/office/drawing/2014/main" id="{45CE55C4-C712-1B42-B5E6-6EB0E601B7C0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42" name="AutoShape 1">
          <a:extLst>
            <a:ext uri="{FF2B5EF4-FFF2-40B4-BE49-F238E27FC236}">
              <a16:creationId xmlns:a16="http://schemas.microsoft.com/office/drawing/2014/main" id="{F0CE5EE5-C6D4-FF4A-8034-968DF87DFB35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43" name="AutoShape 1">
          <a:extLst>
            <a:ext uri="{FF2B5EF4-FFF2-40B4-BE49-F238E27FC236}">
              <a16:creationId xmlns:a16="http://schemas.microsoft.com/office/drawing/2014/main" id="{800E48AF-B40C-F447-9DEC-2E02B7C3D91D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44" name="AutoShape 1">
          <a:extLst>
            <a:ext uri="{FF2B5EF4-FFF2-40B4-BE49-F238E27FC236}">
              <a16:creationId xmlns:a16="http://schemas.microsoft.com/office/drawing/2014/main" id="{64BA7626-9771-5044-B87F-A3BA33C7BB82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45" name="AutoShape 1">
          <a:extLst>
            <a:ext uri="{FF2B5EF4-FFF2-40B4-BE49-F238E27FC236}">
              <a16:creationId xmlns:a16="http://schemas.microsoft.com/office/drawing/2014/main" id="{18441CAA-89BA-724C-8DC4-873B81A47E94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46" name="AutoShape 1">
          <a:extLst>
            <a:ext uri="{FF2B5EF4-FFF2-40B4-BE49-F238E27FC236}">
              <a16:creationId xmlns:a16="http://schemas.microsoft.com/office/drawing/2014/main" id="{5798EEBD-56E1-7347-BAAC-FD8CCD428799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47" name="AutoShape 1">
          <a:extLst>
            <a:ext uri="{FF2B5EF4-FFF2-40B4-BE49-F238E27FC236}">
              <a16:creationId xmlns:a16="http://schemas.microsoft.com/office/drawing/2014/main" id="{0F467E1A-8533-154F-B226-75C014E4C434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304796"/>
    <xdr:sp macro="" textlink="">
      <xdr:nvSpPr>
        <xdr:cNvPr id="348" name="AutoShape 1">
          <a:extLst>
            <a:ext uri="{FF2B5EF4-FFF2-40B4-BE49-F238E27FC236}">
              <a16:creationId xmlns:a16="http://schemas.microsoft.com/office/drawing/2014/main" id="{CB2F8238-BA17-4C4C-8F8D-C10C8F426477}"/>
            </a:ext>
          </a:extLst>
        </xdr:cNvPr>
        <xdr:cNvSpPr/>
      </xdr:nvSpPr>
      <xdr:spPr>
        <a:xfrm>
          <a:off x="965200" y="318262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49" name="AutoShape 1">
          <a:extLst>
            <a:ext uri="{FF2B5EF4-FFF2-40B4-BE49-F238E27FC236}">
              <a16:creationId xmlns:a16="http://schemas.microsoft.com/office/drawing/2014/main" id="{68156DAD-1335-2148-A06A-44F7FB573A32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50" name="AutoShape 1">
          <a:extLst>
            <a:ext uri="{FF2B5EF4-FFF2-40B4-BE49-F238E27FC236}">
              <a16:creationId xmlns:a16="http://schemas.microsoft.com/office/drawing/2014/main" id="{0CF042B6-50C5-9E47-B355-A079B317380C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51" name="AutoShape 1">
          <a:extLst>
            <a:ext uri="{FF2B5EF4-FFF2-40B4-BE49-F238E27FC236}">
              <a16:creationId xmlns:a16="http://schemas.microsoft.com/office/drawing/2014/main" id="{5FD791BF-88C1-764D-9694-40FC85472420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52" name="AutoShape 1">
          <a:extLst>
            <a:ext uri="{FF2B5EF4-FFF2-40B4-BE49-F238E27FC236}">
              <a16:creationId xmlns:a16="http://schemas.microsoft.com/office/drawing/2014/main" id="{648953EE-5A17-6148-BF22-4CE77C160918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304796" cy="295278"/>
    <xdr:sp macro="" textlink="">
      <xdr:nvSpPr>
        <xdr:cNvPr id="353" name="AutoShape 1">
          <a:extLst>
            <a:ext uri="{FF2B5EF4-FFF2-40B4-BE49-F238E27FC236}">
              <a16:creationId xmlns:a16="http://schemas.microsoft.com/office/drawing/2014/main" id="{50E96B38-E96D-6F48-97E4-BE21BF808CF5}"/>
            </a:ext>
          </a:extLst>
        </xdr:cNvPr>
        <xdr:cNvSpPr/>
      </xdr:nvSpPr>
      <xdr:spPr>
        <a:xfrm>
          <a:off x="965200" y="318262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304796"/>
    <xdr:sp macro="" textlink="">
      <xdr:nvSpPr>
        <xdr:cNvPr id="354" name="AutoShape 1">
          <a:extLst>
            <a:ext uri="{FF2B5EF4-FFF2-40B4-BE49-F238E27FC236}">
              <a16:creationId xmlns:a16="http://schemas.microsoft.com/office/drawing/2014/main" id="{56B48415-3487-0B47-9531-3F30080E6000}"/>
            </a:ext>
          </a:extLst>
        </xdr:cNvPr>
        <xdr:cNvSpPr/>
      </xdr:nvSpPr>
      <xdr:spPr>
        <a:xfrm>
          <a:off x="965200" y="334137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55" name="AutoShape 1">
          <a:extLst>
            <a:ext uri="{FF2B5EF4-FFF2-40B4-BE49-F238E27FC236}">
              <a16:creationId xmlns:a16="http://schemas.microsoft.com/office/drawing/2014/main" id="{D68E5651-FEA8-184A-934C-E4D33ECD6018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56" name="AutoShape 1">
          <a:extLst>
            <a:ext uri="{FF2B5EF4-FFF2-40B4-BE49-F238E27FC236}">
              <a16:creationId xmlns:a16="http://schemas.microsoft.com/office/drawing/2014/main" id="{47699800-5920-DA4F-B4F9-3E0524BF0F7C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57" name="AutoShape 1">
          <a:extLst>
            <a:ext uri="{FF2B5EF4-FFF2-40B4-BE49-F238E27FC236}">
              <a16:creationId xmlns:a16="http://schemas.microsoft.com/office/drawing/2014/main" id="{2818C1EE-FD02-2142-A3B4-65941CE4A559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58" name="AutoShape 1">
          <a:extLst>
            <a:ext uri="{FF2B5EF4-FFF2-40B4-BE49-F238E27FC236}">
              <a16:creationId xmlns:a16="http://schemas.microsoft.com/office/drawing/2014/main" id="{109C0AD4-667F-E447-888A-B0AC222AE769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59" name="AutoShape 1">
          <a:extLst>
            <a:ext uri="{FF2B5EF4-FFF2-40B4-BE49-F238E27FC236}">
              <a16:creationId xmlns:a16="http://schemas.microsoft.com/office/drawing/2014/main" id="{658E8FAE-A3D9-0C49-A980-26D22A2ED6BA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60" name="AutoShape 1">
          <a:extLst>
            <a:ext uri="{FF2B5EF4-FFF2-40B4-BE49-F238E27FC236}">
              <a16:creationId xmlns:a16="http://schemas.microsoft.com/office/drawing/2014/main" id="{5C09A6E0-1A4C-3B4C-B3D6-A1641ED35DB5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61" name="AutoShape 1">
          <a:extLst>
            <a:ext uri="{FF2B5EF4-FFF2-40B4-BE49-F238E27FC236}">
              <a16:creationId xmlns:a16="http://schemas.microsoft.com/office/drawing/2014/main" id="{7C7C45EF-A2A2-2042-BA44-166E9501B98B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304796"/>
    <xdr:sp macro="" textlink="">
      <xdr:nvSpPr>
        <xdr:cNvPr id="362" name="AutoShape 1">
          <a:extLst>
            <a:ext uri="{FF2B5EF4-FFF2-40B4-BE49-F238E27FC236}">
              <a16:creationId xmlns:a16="http://schemas.microsoft.com/office/drawing/2014/main" id="{AAE8F10F-1052-A547-90F3-FBC8E5C23121}"/>
            </a:ext>
          </a:extLst>
        </xdr:cNvPr>
        <xdr:cNvSpPr/>
      </xdr:nvSpPr>
      <xdr:spPr>
        <a:xfrm>
          <a:off x="965200" y="334137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63" name="AutoShape 1">
          <a:extLst>
            <a:ext uri="{FF2B5EF4-FFF2-40B4-BE49-F238E27FC236}">
              <a16:creationId xmlns:a16="http://schemas.microsoft.com/office/drawing/2014/main" id="{94EE9337-C53B-DA46-BFEF-DFE5EDCBE908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64" name="AutoShape 1">
          <a:extLst>
            <a:ext uri="{FF2B5EF4-FFF2-40B4-BE49-F238E27FC236}">
              <a16:creationId xmlns:a16="http://schemas.microsoft.com/office/drawing/2014/main" id="{0C52EB82-F03B-C94B-A8F5-D6A7BC5757AE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65" name="AutoShape 1">
          <a:extLst>
            <a:ext uri="{FF2B5EF4-FFF2-40B4-BE49-F238E27FC236}">
              <a16:creationId xmlns:a16="http://schemas.microsoft.com/office/drawing/2014/main" id="{2D4FA064-B837-2B43-865C-04DF8F7C807F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66" name="AutoShape 1">
          <a:extLst>
            <a:ext uri="{FF2B5EF4-FFF2-40B4-BE49-F238E27FC236}">
              <a16:creationId xmlns:a16="http://schemas.microsoft.com/office/drawing/2014/main" id="{3E695F5B-B84C-0C4F-A237-E35001A6D76B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67" name="AutoShape 1">
          <a:extLst>
            <a:ext uri="{FF2B5EF4-FFF2-40B4-BE49-F238E27FC236}">
              <a16:creationId xmlns:a16="http://schemas.microsoft.com/office/drawing/2014/main" id="{A4016314-A2E6-B54D-9C7E-54167669189D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68" name="AutoShape 1">
          <a:extLst>
            <a:ext uri="{FF2B5EF4-FFF2-40B4-BE49-F238E27FC236}">
              <a16:creationId xmlns:a16="http://schemas.microsoft.com/office/drawing/2014/main" id="{95F5A0A0-FD87-AD46-909D-8B03A10EF63C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69" name="AutoShape 1">
          <a:extLst>
            <a:ext uri="{FF2B5EF4-FFF2-40B4-BE49-F238E27FC236}">
              <a16:creationId xmlns:a16="http://schemas.microsoft.com/office/drawing/2014/main" id="{41BE7B01-C9F2-054A-8299-583628A2BA57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304796"/>
    <xdr:sp macro="" textlink="">
      <xdr:nvSpPr>
        <xdr:cNvPr id="370" name="AutoShape 1">
          <a:extLst>
            <a:ext uri="{FF2B5EF4-FFF2-40B4-BE49-F238E27FC236}">
              <a16:creationId xmlns:a16="http://schemas.microsoft.com/office/drawing/2014/main" id="{69D09D28-B1DB-934E-A1CB-8CF6232C9C7B}"/>
            </a:ext>
          </a:extLst>
        </xdr:cNvPr>
        <xdr:cNvSpPr/>
      </xdr:nvSpPr>
      <xdr:spPr>
        <a:xfrm>
          <a:off x="965200" y="334137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71" name="AutoShape 1">
          <a:extLst>
            <a:ext uri="{FF2B5EF4-FFF2-40B4-BE49-F238E27FC236}">
              <a16:creationId xmlns:a16="http://schemas.microsoft.com/office/drawing/2014/main" id="{EB49FA95-A88B-6A4C-B2AE-C6B172E4C30B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72" name="AutoShape 1">
          <a:extLst>
            <a:ext uri="{FF2B5EF4-FFF2-40B4-BE49-F238E27FC236}">
              <a16:creationId xmlns:a16="http://schemas.microsoft.com/office/drawing/2014/main" id="{BDD4C9E3-A4A1-6A4A-B427-2EE906D45189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73" name="AutoShape 1">
          <a:extLst>
            <a:ext uri="{FF2B5EF4-FFF2-40B4-BE49-F238E27FC236}">
              <a16:creationId xmlns:a16="http://schemas.microsoft.com/office/drawing/2014/main" id="{2B10D91C-8471-9E48-A2D9-558E0D886F35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74" name="AutoShape 1">
          <a:extLst>
            <a:ext uri="{FF2B5EF4-FFF2-40B4-BE49-F238E27FC236}">
              <a16:creationId xmlns:a16="http://schemas.microsoft.com/office/drawing/2014/main" id="{380FA93E-ADF7-0B44-958A-6283D5D91800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75" name="AutoShape 1">
          <a:extLst>
            <a:ext uri="{FF2B5EF4-FFF2-40B4-BE49-F238E27FC236}">
              <a16:creationId xmlns:a16="http://schemas.microsoft.com/office/drawing/2014/main" id="{5F2A633F-91CE-1543-ABC3-0B8DFC62928F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304796"/>
    <xdr:sp macro="" textlink="">
      <xdr:nvSpPr>
        <xdr:cNvPr id="376" name="AutoShape 1">
          <a:extLst>
            <a:ext uri="{FF2B5EF4-FFF2-40B4-BE49-F238E27FC236}">
              <a16:creationId xmlns:a16="http://schemas.microsoft.com/office/drawing/2014/main" id="{F0EE4ECF-4AD9-2146-9F12-F877650C2F89}"/>
            </a:ext>
          </a:extLst>
        </xdr:cNvPr>
        <xdr:cNvSpPr/>
      </xdr:nvSpPr>
      <xdr:spPr>
        <a:xfrm>
          <a:off x="965200" y="334137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77" name="AutoShape 1">
          <a:extLst>
            <a:ext uri="{FF2B5EF4-FFF2-40B4-BE49-F238E27FC236}">
              <a16:creationId xmlns:a16="http://schemas.microsoft.com/office/drawing/2014/main" id="{A80DB482-E1B4-6043-BC0D-E5E6FB5A8EA7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78" name="AutoShape 1">
          <a:extLst>
            <a:ext uri="{FF2B5EF4-FFF2-40B4-BE49-F238E27FC236}">
              <a16:creationId xmlns:a16="http://schemas.microsoft.com/office/drawing/2014/main" id="{45826669-257A-B744-91B4-2997283412A6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79" name="AutoShape 1">
          <a:extLst>
            <a:ext uri="{FF2B5EF4-FFF2-40B4-BE49-F238E27FC236}">
              <a16:creationId xmlns:a16="http://schemas.microsoft.com/office/drawing/2014/main" id="{CB9FED8B-BCD4-7748-BB50-379AFAC87C7A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80" name="AutoShape 1">
          <a:extLst>
            <a:ext uri="{FF2B5EF4-FFF2-40B4-BE49-F238E27FC236}">
              <a16:creationId xmlns:a16="http://schemas.microsoft.com/office/drawing/2014/main" id="{06120061-90AF-C547-996F-5944F2706038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81" name="AutoShape 1">
          <a:extLst>
            <a:ext uri="{FF2B5EF4-FFF2-40B4-BE49-F238E27FC236}">
              <a16:creationId xmlns:a16="http://schemas.microsoft.com/office/drawing/2014/main" id="{CFF196E9-D0EB-B844-9329-DA9C6DF875CA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82" name="AutoShape 1">
          <a:extLst>
            <a:ext uri="{FF2B5EF4-FFF2-40B4-BE49-F238E27FC236}">
              <a16:creationId xmlns:a16="http://schemas.microsoft.com/office/drawing/2014/main" id="{595106B5-01B4-3343-B27F-944A0D8C7466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83" name="AutoShape 1">
          <a:extLst>
            <a:ext uri="{FF2B5EF4-FFF2-40B4-BE49-F238E27FC236}">
              <a16:creationId xmlns:a16="http://schemas.microsoft.com/office/drawing/2014/main" id="{1C141C0C-E3E5-3149-B07A-9B7584107040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304796"/>
    <xdr:sp macro="" textlink="">
      <xdr:nvSpPr>
        <xdr:cNvPr id="384" name="AutoShape 1">
          <a:extLst>
            <a:ext uri="{FF2B5EF4-FFF2-40B4-BE49-F238E27FC236}">
              <a16:creationId xmlns:a16="http://schemas.microsoft.com/office/drawing/2014/main" id="{F97495F6-8699-EA4D-A9E5-3269E591EC32}"/>
            </a:ext>
          </a:extLst>
        </xdr:cNvPr>
        <xdr:cNvSpPr/>
      </xdr:nvSpPr>
      <xdr:spPr>
        <a:xfrm>
          <a:off x="965200" y="334137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85" name="AutoShape 1">
          <a:extLst>
            <a:ext uri="{FF2B5EF4-FFF2-40B4-BE49-F238E27FC236}">
              <a16:creationId xmlns:a16="http://schemas.microsoft.com/office/drawing/2014/main" id="{8101E1CF-7C6F-4A49-B731-8E23C559702C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86" name="AutoShape 1">
          <a:extLst>
            <a:ext uri="{FF2B5EF4-FFF2-40B4-BE49-F238E27FC236}">
              <a16:creationId xmlns:a16="http://schemas.microsoft.com/office/drawing/2014/main" id="{3D7BCE5E-729A-F146-8FF9-A8C86AFA67C8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87" name="AutoShape 1">
          <a:extLst>
            <a:ext uri="{FF2B5EF4-FFF2-40B4-BE49-F238E27FC236}">
              <a16:creationId xmlns:a16="http://schemas.microsoft.com/office/drawing/2014/main" id="{9D1164E5-2265-E741-8B1A-F40352F3BCDA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88" name="AutoShape 1">
          <a:extLst>
            <a:ext uri="{FF2B5EF4-FFF2-40B4-BE49-F238E27FC236}">
              <a16:creationId xmlns:a16="http://schemas.microsoft.com/office/drawing/2014/main" id="{52151A0D-22CC-2A4B-8137-2D3D416437AB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89" name="AutoShape 1">
          <a:extLst>
            <a:ext uri="{FF2B5EF4-FFF2-40B4-BE49-F238E27FC236}">
              <a16:creationId xmlns:a16="http://schemas.microsoft.com/office/drawing/2014/main" id="{1AF25D11-9170-9A42-9F1F-298E4503633E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90" name="AutoShape 1">
          <a:extLst>
            <a:ext uri="{FF2B5EF4-FFF2-40B4-BE49-F238E27FC236}">
              <a16:creationId xmlns:a16="http://schemas.microsoft.com/office/drawing/2014/main" id="{BC881567-C672-A443-A4DC-D215692D897E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91" name="AutoShape 1">
          <a:extLst>
            <a:ext uri="{FF2B5EF4-FFF2-40B4-BE49-F238E27FC236}">
              <a16:creationId xmlns:a16="http://schemas.microsoft.com/office/drawing/2014/main" id="{50A39FCB-720F-1347-B7DC-23773E189FC5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304796"/>
    <xdr:sp macro="" textlink="">
      <xdr:nvSpPr>
        <xdr:cNvPr id="392" name="AutoShape 1">
          <a:extLst>
            <a:ext uri="{FF2B5EF4-FFF2-40B4-BE49-F238E27FC236}">
              <a16:creationId xmlns:a16="http://schemas.microsoft.com/office/drawing/2014/main" id="{FF5F2FA3-1308-7147-BFE7-03C5EA57CE73}"/>
            </a:ext>
          </a:extLst>
        </xdr:cNvPr>
        <xdr:cNvSpPr/>
      </xdr:nvSpPr>
      <xdr:spPr>
        <a:xfrm>
          <a:off x="965200" y="334137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93" name="AutoShape 1">
          <a:extLst>
            <a:ext uri="{FF2B5EF4-FFF2-40B4-BE49-F238E27FC236}">
              <a16:creationId xmlns:a16="http://schemas.microsoft.com/office/drawing/2014/main" id="{6F7EF698-2B9B-B94B-BF9A-D9AE168C50E0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94" name="AutoShape 1">
          <a:extLst>
            <a:ext uri="{FF2B5EF4-FFF2-40B4-BE49-F238E27FC236}">
              <a16:creationId xmlns:a16="http://schemas.microsoft.com/office/drawing/2014/main" id="{0B2EFEAC-7157-F945-8A76-3403B9A03843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95" name="AutoShape 1">
          <a:extLst>
            <a:ext uri="{FF2B5EF4-FFF2-40B4-BE49-F238E27FC236}">
              <a16:creationId xmlns:a16="http://schemas.microsoft.com/office/drawing/2014/main" id="{5316841A-F487-6442-865E-EBFFCCC3F81C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96" name="AutoShape 1">
          <a:extLst>
            <a:ext uri="{FF2B5EF4-FFF2-40B4-BE49-F238E27FC236}">
              <a16:creationId xmlns:a16="http://schemas.microsoft.com/office/drawing/2014/main" id="{4B6ED087-693C-864B-89EF-69B469B46750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304796" cy="295278"/>
    <xdr:sp macro="" textlink="">
      <xdr:nvSpPr>
        <xdr:cNvPr id="397" name="AutoShape 1">
          <a:extLst>
            <a:ext uri="{FF2B5EF4-FFF2-40B4-BE49-F238E27FC236}">
              <a16:creationId xmlns:a16="http://schemas.microsoft.com/office/drawing/2014/main" id="{D19F4070-B571-DC4E-9F8F-148304775B32}"/>
            </a:ext>
          </a:extLst>
        </xdr:cNvPr>
        <xdr:cNvSpPr/>
      </xdr:nvSpPr>
      <xdr:spPr>
        <a:xfrm>
          <a:off x="965200" y="334137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300896C-9239-46F1-A9A7-08153ACB5544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8523052-B7E6-4EEE-A6BA-A74010DC9ED4}"/>
            </a:ext>
            <a:ext uri="{147F2762-F138-4A5C-976F-8EAC2B608ADB}">
              <a16:predDERef xmlns:a16="http://schemas.microsoft.com/office/drawing/2014/main" pred="{7300896C-9239-46F1-A9A7-08153ACB5544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C8BC548F-CEEA-4532-A1FC-BC4E93459321}"/>
            </a:ext>
            <a:ext uri="{147F2762-F138-4A5C-976F-8EAC2B608ADB}">
              <a16:predDERef xmlns:a16="http://schemas.microsoft.com/office/drawing/2014/main" pred="{D8523052-B7E6-4EEE-A6BA-A74010DC9ED4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F84E1C21-29D2-4741-B56D-19767741BDF2}"/>
            </a:ext>
            <a:ext uri="{147F2762-F138-4A5C-976F-8EAC2B608ADB}">
              <a16:predDERef xmlns:a16="http://schemas.microsoft.com/office/drawing/2014/main" pred="{C8BC548F-CEEA-4532-A1FC-BC4E9345932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B5C6EBBD-CAC7-40FF-80F4-B894C714BD49}"/>
            </a:ext>
            <a:ext uri="{147F2762-F138-4A5C-976F-8EAC2B608ADB}">
              <a16:predDERef xmlns:a16="http://schemas.microsoft.com/office/drawing/2014/main" pred="{F84E1C21-29D2-4741-B56D-19767741BDF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9B7FB2FF-4DCA-4B14-AE08-0C6ABD5B51A1}"/>
            </a:ext>
            <a:ext uri="{147F2762-F138-4A5C-976F-8EAC2B608ADB}">
              <a16:predDERef xmlns:a16="http://schemas.microsoft.com/office/drawing/2014/main" pred="{B5C6EBBD-CAC7-40FF-80F4-B894C714BD49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3236932F-EBEA-4BA5-8096-4FFA9276D6A0}"/>
            </a:ext>
            <a:ext uri="{147F2762-F138-4A5C-976F-8EAC2B608ADB}">
              <a16:predDERef xmlns:a16="http://schemas.microsoft.com/office/drawing/2014/main" pred="{9B7FB2FF-4DCA-4B14-AE08-0C6ABD5B51A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38396C03-9360-48F9-B8AC-7A59AEA3C158}"/>
            </a:ext>
            <a:ext uri="{147F2762-F138-4A5C-976F-8EAC2B608ADB}">
              <a16:predDERef xmlns:a16="http://schemas.microsoft.com/office/drawing/2014/main" pred="{3236932F-EBEA-4BA5-8096-4FFA9276D6A0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2431323D-A297-4B31-AFD6-A7568837F098}"/>
            </a:ext>
            <a:ext uri="{147F2762-F138-4A5C-976F-8EAC2B608ADB}">
              <a16:predDERef xmlns:a16="http://schemas.microsoft.com/office/drawing/2014/main" pred="{38396C03-9360-48F9-B8AC-7A59AEA3C158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7853D163-1B90-4A05-B753-86F2BFA210E2}"/>
            </a:ext>
            <a:ext uri="{147F2762-F138-4A5C-976F-8EAC2B608ADB}">
              <a16:predDERef xmlns:a16="http://schemas.microsoft.com/office/drawing/2014/main" pred="{2431323D-A297-4B31-AFD6-A7568837F098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3FCBC68D-B6E1-4E42-A66C-113DD63D45F6}"/>
            </a:ext>
            <a:ext uri="{147F2762-F138-4A5C-976F-8EAC2B608ADB}">
              <a16:predDERef xmlns:a16="http://schemas.microsoft.com/office/drawing/2014/main" pred="{7853D163-1B90-4A05-B753-86F2BFA210E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DBDB4520-E41B-4410-87FF-23A18965AC21}"/>
            </a:ext>
            <a:ext uri="{147F2762-F138-4A5C-976F-8EAC2B608ADB}">
              <a16:predDERef xmlns:a16="http://schemas.microsoft.com/office/drawing/2014/main" pred="{3FCBC68D-B6E1-4E42-A66C-113DD63D45F6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B5D5F561-60BD-4900-AD4B-1B34085BEEA4}"/>
            </a:ext>
            <a:ext uri="{147F2762-F138-4A5C-976F-8EAC2B608ADB}">
              <a16:predDERef xmlns:a16="http://schemas.microsoft.com/office/drawing/2014/main" pred="{DBDB4520-E41B-4410-87FF-23A18965AC2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879CA395-01AD-41C8-B928-9B2B5BB1B9E0}"/>
            </a:ext>
            <a:ext uri="{147F2762-F138-4A5C-976F-8EAC2B608ADB}">
              <a16:predDERef xmlns:a16="http://schemas.microsoft.com/office/drawing/2014/main" pred="{B5D5F561-60BD-4900-AD4B-1B34085BEEA4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8D6F19C5-47C9-4C61-8BB5-79CD0182032D}"/>
            </a:ext>
            <a:ext uri="{147F2762-F138-4A5C-976F-8EAC2B608ADB}">
              <a16:predDERef xmlns:a16="http://schemas.microsoft.com/office/drawing/2014/main" pred="{879CA395-01AD-41C8-B928-9B2B5BB1B9E0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B337855E-9A9C-4BC9-8E45-52CAEC608AE0}"/>
            </a:ext>
            <a:ext uri="{147F2762-F138-4A5C-976F-8EAC2B608ADB}">
              <a16:predDERef xmlns:a16="http://schemas.microsoft.com/office/drawing/2014/main" pred="{8D6F19C5-47C9-4C61-8BB5-79CD0182032D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BE78EC59-C59B-4640-A701-13CB7FF6B80F}"/>
            </a:ext>
            <a:ext uri="{147F2762-F138-4A5C-976F-8EAC2B608ADB}">
              <a16:predDERef xmlns:a16="http://schemas.microsoft.com/office/drawing/2014/main" pred="{B337855E-9A9C-4BC9-8E45-52CAEC608AE0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49282555-3B6A-4F0E-9702-130A1381102B}"/>
            </a:ext>
            <a:ext uri="{147F2762-F138-4A5C-976F-8EAC2B608ADB}">
              <a16:predDERef xmlns:a16="http://schemas.microsoft.com/office/drawing/2014/main" pred="{BE78EC59-C59B-4640-A701-13CB7FF6B80F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26EFF27F-230B-4543-94BA-9DEB45866AB7}"/>
            </a:ext>
            <a:ext uri="{147F2762-F138-4A5C-976F-8EAC2B608ADB}">
              <a16:predDERef xmlns:a16="http://schemas.microsoft.com/office/drawing/2014/main" pred="{49282555-3B6A-4F0E-9702-130A1381102B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4AB9896B-ABD5-44DA-A82E-1AF5AC9D521F}"/>
            </a:ext>
            <a:ext uri="{147F2762-F138-4A5C-976F-8EAC2B608ADB}">
              <a16:predDERef xmlns:a16="http://schemas.microsoft.com/office/drawing/2014/main" pred="{26EFF27F-230B-4543-94BA-9DEB45866AB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5D4A3070-CFF0-486C-82C9-D09766DF2F5C}"/>
            </a:ext>
            <a:ext uri="{147F2762-F138-4A5C-976F-8EAC2B608ADB}">
              <a16:predDERef xmlns:a16="http://schemas.microsoft.com/office/drawing/2014/main" pred="{4AB9896B-ABD5-44DA-A82E-1AF5AC9D521F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B83A840A-D4F1-4C3C-B0AB-CB08F245B4EA}"/>
            </a:ext>
            <a:ext uri="{147F2762-F138-4A5C-976F-8EAC2B608ADB}">
              <a16:predDERef xmlns:a16="http://schemas.microsoft.com/office/drawing/2014/main" pred="{5D4A3070-CFF0-486C-82C9-D09766DF2F5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FE12F7AE-0902-443B-A00D-AD499BE80850}"/>
            </a:ext>
            <a:ext uri="{147F2762-F138-4A5C-976F-8EAC2B608ADB}">
              <a16:predDERef xmlns:a16="http://schemas.microsoft.com/office/drawing/2014/main" pred="{B83A840A-D4F1-4C3C-B0AB-CB08F245B4EA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0158CAA2-5473-4F5A-98E6-6421A09C37E6}"/>
            </a:ext>
            <a:ext uri="{147F2762-F138-4A5C-976F-8EAC2B608ADB}">
              <a16:predDERef xmlns:a16="http://schemas.microsoft.com/office/drawing/2014/main" pred="{FE12F7AE-0902-443B-A00D-AD499BE80850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1D3F4D2B-918C-4D37-B6D0-DC167F6DE44E}"/>
            </a:ext>
            <a:ext uri="{147F2762-F138-4A5C-976F-8EAC2B608ADB}">
              <a16:predDERef xmlns:a16="http://schemas.microsoft.com/office/drawing/2014/main" pred="{0158CAA2-5473-4F5A-98E6-6421A09C37E6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6EA5347E-D850-4E3E-9E70-C8C6DBCA02FD}"/>
            </a:ext>
            <a:ext uri="{147F2762-F138-4A5C-976F-8EAC2B608ADB}">
              <a16:predDERef xmlns:a16="http://schemas.microsoft.com/office/drawing/2014/main" pred="{1D3F4D2B-918C-4D37-B6D0-DC167F6DE44E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713C471E-B0AA-4E19-A8BE-888047057EF9}"/>
            </a:ext>
            <a:ext uri="{147F2762-F138-4A5C-976F-8EAC2B608ADB}">
              <a16:predDERef xmlns:a16="http://schemas.microsoft.com/office/drawing/2014/main" pred="{6EA5347E-D850-4E3E-9E70-C8C6DBCA02FD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91F4DADA-70D5-4190-B0A1-76730181BEFB}"/>
            </a:ext>
            <a:ext uri="{147F2762-F138-4A5C-976F-8EAC2B608ADB}">
              <a16:predDERef xmlns:a16="http://schemas.microsoft.com/office/drawing/2014/main" pred="{713C471E-B0AA-4E19-A8BE-888047057EF9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298FB2C4-7D3B-4CFC-BC7C-CC097208B87D}"/>
            </a:ext>
            <a:ext uri="{147F2762-F138-4A5C-976F-8EAC2B608ADB}">
              <a16:predDERef xmlns:a16="http://schemas.microsoft.com/office/drawing/2014/main" pred="{91F4DADA-70D5-4190-B0A1-76730181BEFB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FDB4B44E-ACE5-462F-BC7D-C2816E715F51}"/>
            </a:ext>
            <a:ext uri="{147F2762-F138-4A5C-976F-8EAC2B608ADB}">
              <a16:predDERef xmlns:a16="http://schemas.microsoft.com/office/drawing/2014/main" pred="{298FB2C4-7D3B-4CFC-BC7C-CC097208B87D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FF6CDB81-8E0C-4A1B-95F3-25B98620C947}"/>
            </a:ext>
            <a:ext uri="{147F2762-F138-4A5C-976F-8EAC2B608ADB}">
              <a16:predDERef xmlns:a16="http://schemas.microsoft.com/office/drawing/2014/main" pred="{FDB4B44E-ACE5-462F-BC7D-C2816E715F51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41600537-F50B-4CCF-BF3A-C15A0D84C625}"/>
            </a:ext>
            <a:ext uri="{147F2762-F138-4A5C-976F-8EAC2B608ADB}">
              <a16:predDERef xmlns:a16="http://schemas.microsoft.com/office/drawing/2014/main" pred="{FF6CDB81-8E0C-4A1B-95F3-25B98620C94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1E54EB51-0E58-4A1E-8931-7401212E96D7}"/>
            </a:ext>
            <a:ext uri="{147F2762-F138-4A5C-976F-8EAC2B608ADB}">
              <a16:predDERef xmlns:a16="http://schemas.microsoft.com/office/drawing/2014/main" pred="{41600537-F50B-4CCF-BF3A-C15A0D84C625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34F74289-CA10-4A43-9AF0-FA1272C9FDBB}"/>
            </a:ext>
            <a:ext uri="{147F2762-F138-4A5C-976F-8EAC2B608ADB}">
              <a16:predDERef xmlns:a16="http://schemas.microsoft.com/office/drawing/2014/main" pred="{1E54EB51-0E58-4A1E-8931-7401212E96D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F60C2306-AA7E-4FAF-BED7-B109DAF185F0}"/>
            </a:ext>
            <a:ext uri="{147F2762-F138-4A5C-976F-8EAC2B608ADB}">
              <a16:predDERef xmlns:a16="http://schemas.microsoft.com/office/drawing/2014/main" pred="{34F74289-CA10-4A43-9AF0-FA1272C9FDBB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E36952A7-A046-4CDD-BA1D-ACAFB598A252}"/>
            </a:ext>
            <a:ext uri="{147F2762-F138-4A5C-976F-8EAC2B608ADB}">
              <a16:predDERef xmlns:a16="http://schemas.microsoft.com/office/drawing/2014/main" pred="{F60C2306-AA7E-4FAF-BED7-B109DAF185F0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6E77FA8B-85ED-440C-9872-E745D32FEC9C}"/>
            </a:ext>
            <a:ext uri="{147F2762-F138-4A5C-976F-8EAC2B608ADB}">
              <a16:predDERef xmlns:a16="http://schemas.microsoft.com/office/drawing/2014/main" pred="{E36952A7-A046-4CDD-BA1D-ACAFB598A25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B5F2A2ED-4C4E-4320-87D2-46DE2D1AA99A}"/>
            </a:ext>
            <a:ext uri="{147F2762-F138-4A5C-976F-8EAC2B608ADB}">
              <a16:predDERef xmlns:a16="http://schemas.microsoft.com/office/drawing/2014/main" pred="{6E77FA8B-85ED-440C-9872-E745D32FEC9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7E36E97B-041B-44C7-A29B-DBBA28525BFD}"/>
            </a:ext>
            <a:ext uri="{147F2762-F138-4A5C-976F-8EAC2B608ADB}">
              <a16:predDERef xmlns:a16="http://schemas.microsoft.com/office/drawing/2014/main" pred="{B5F2A2ED-4C4E-4320-87D2-46DE2D1AA99A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9977746B-7E71-4420-988E-F726A874DA7F}"/>
            </a:ext>
            <a:ext uri="{147F2762-F138-4A5C-976F-8EAC2B608ADB}">
              <a16:predDERef xmlns:a16="http://schemas.microsoft.com/office/drawing/2014/main" pred="{7E36E97B-041B-44C7-A29B-DBBA28525BFD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A7F73078-4241-4EA4-B6E5-33409ECE42D1}"/>
            </a:ext>
            <a:ext uri="{147F2762-F138-4A5C-976F-8EAC2B608ADB}">
              <a16:predDERef xmlns:a16="http://schemas.microsoft.com/office/drawing/2014/main" pred="{9977746B-7E71-4420-988E-F726A874DA7F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D63FC382-58DF-46EA-BB1F-3F43104D8DB7}"/>
            </a:ext>
            <a:ext uri="{147F2762-F138-4A5C-976F-8EAC2B608ADB}">
              <a16:predDERef xmlns:a16="http://schemas.microsoft.com/office/drawing/2014/main" pred="{A7F73078-4241-4EA4-B6E5-33409ECE42D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A42F7A25-DF53-41BD-A579-985846FA61EC}"/>
            </a:ext>
            <a:ext uri="{147F2762-F138-4A5C-976F-8EAC2B608ADB}">
              <a16:predDERef xmlns:a16="http://schemas.microsoft.com/office/drawing/2014/main" pred="{D63FC382-58DF-46EA-BB1F-3F43104D8DB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83A819DE-6A27-4991-B8F3-2397A797CD7C}"/>
            </a:ext>
            <a:ext uri="{147F2762-F138-4A5C-976F-8EAC2B608ADB}">
              <a16:predDERef xmlns:a16="http://schemas.microsoft.com/office/drawing/2014/main" pred="{A42F7A25-DF53-41BD-A579-985846FA61E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9F5E1547-0E7B-446C-B4AD-1638DC96328D}"/>
            </a:ext>
            <a:ext uri="{147F2762-F138-4A5C-976F-8EAC2B608ADB}">
              <a16:predDERef xmlns:a16="http://schemas.microsoft.com/office/drawing/2014/main" pred="{83A819DE-6A27-4991-B8F3-2397A797CD7C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id="{1DDCE3CA-DF7A-4CB4-9567-FAC8192BA94A}"/>
            </a:ext>
            <a:ext uri="{147F2762-F138-4A5C-976F-8EAC2B608ADB}">
              <a16:predDERef xmlns:a16="http://schemas.microsoft.com/office/drawing/2014/main" pred="{9F5E1547-0E7B-446C-B4AD-1638DC96328D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48" name="AutoShape 1">
          <a:extLst>
            <a:ext uri="{FF2B5EF4-FFF2-40B4-BE49-F238E27FC236}">
              <a16:creationId xmlns:a16="http://schemas.microsoft.com/office/drawing/2014/main" id="{1C7A8382-3700-454A-A396-3DA103B10C4F}"/>
            </a:ext>
            <a:ext uri="{147F2762-F138-4A5C-976F-8EAC2B608ADB}">
              <a16:predDERef xmlns:a16="http://schemas.microsoft.com/office/drawing/2014/main" pred="{1DDCE3CA-DF7A-4CB4-9567-FAC8192BA94A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6FB46DCD-12B8-423B-80D6-4BDB39170296}"/>
            </a:ext>
            <a:ext uri="{147F2762-F138-4A5C-976F-8EAC2B608ADB}">
              <a16:predDERef xmlns:a16="http://schemas.microsoft.com/office/drawing/2014/main" pred="{1C7A8382-3700-454A-A396-3DA103B10C4F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6284373B-6139-4F27-B388-7F589E5C5361}"/>
            </a:ext>
            <a:ext uri="{147F2762-F138-4A5C-976F-8EAC2B608ADB}">
              <a16:predDERef xmlns:a16="http://schemas.microsoft.com/office/drawing/2014/main" pred="{6FB46DCD-12B8-423B-80D6-4BDB39170296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51" name="AutoShape 1">
          <a:extLst>
            <a:ext uri="{FF2B5EF4-FFF2-40B4-BE49-F238E27FC236}">
              <a16:creationId xmlns:a16="http://schemas.microsoft.com/office/drawing/2014/main" id="{A3A7952F-A2E6-45C0-94CA-A873A0A44E24}"/>
            </a:ext>
            <a:ext uri="{147F2762-F138-4A5C-976F-8EAC2B608ADB}">
              <a16:predDERef xmlns:a16="http://schemas.microsoft.com/office/drawing/2014/main" pred="{6284373B-6139-4F27-B388-7F589E5C536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52" name="AutoShape 1">
          <a:extLst>
            <a:ext uri="{FF2B5EF4-FFF2-40B4-BE49-F238E27FC236}">
              <a16:creationId xmlns:a16="http://schemas.microsoft.com/office/drawing/2014/main" id="{1A9F8973-26DE-4304-99DF-D359B4F62D9D}"/>
            </a:ext>
            <a:ext uri="{147F2762-F138-4A5C-976F-8EAC2B608ADB}">
              <a16:predDERef xmlns:a16="http://schemas.microsoft.com/office/drawing/2014/main" pred="{A3A7952F-A2E6-45C0-94CA-A873A0A44E24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42F30A9E-9E05-4D5E-8E38-86C44A1CE832}"/>
            </a:ext>
            <a:ext uri="{147F2762-F138-4A5C-976F-8EAC2B608ADB}">
              <a16:predDERef xmlns:a16="http://schemas.microsoft.com/office/drawing/2014/main" pred="{1A9F8973-26DE-4304-99DF-D359B4F62D9D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id="{C1B4D1BD-1EC1-4E8B-B00B-AB9FD5F911C0}"/>
            </a:ext>
            <a:ext uri="{147F2762-F138-4A5C-976F-8EAC2B608ADB}">
              <a16:predDERef xmlns:a16="http://schemas.microsoft.com/office/drawing/2014/main" pred="{42F30A9E-9E05-4D5E-8E38-86C44A1CE832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55" name="AutoShape 1">
          <a:extLst>
            <a:ext uri="{FF2B5EF4-FFF2-40B4-BE49-F238E27FC236}">
              <a16:creationId xmlns:a16="http://schemas.microsoft.com/office/drawing/2014/main" id="{B24EB7C1-C17F-45BA-B4EC-102FD552A611}"/>
            </a:ext>
            <a:ext uri="{147F2762-F138-4A5C-976F-8EAC2B608ADB}">
              <a16:predDERef xmlns:a16="http://schemas.microsoft.com/office/drawing/2014/main" pred="{C1B4D1BD-1EC1-4E8B-B00B-AB9FD5F911C0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82E944B7-AEF7-45E9-9CCD-FE46A5ECB56C}"/>
            </a:ext>
            <a:ext uri="{147F2762-F138-4A5C-976F-8EAC2B608ADB}">
              <a16:predDERef xmlns:a16="http://schemas.microsoft.com/office/drawing/2014/main" pred="{B24EB7C1-C17F-45BA-B4EC-102FD552A61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57" name="AutoShape 1">
          <a:extLst>
            <a:ext uri="{FF2B5EF4-FFF2-40B4-BE49-F238E27FC236}">
              <a16:creationId xmlns:a16="http://schemas.microsoft.com/office/drawing/2014/main" id="{EBC0A83C-B2BC-4ABB-B191-396B44987921}"/>
            </a:ext>
            <a:ext uri="{147F2762-F138-4A5C-976F-8EAC2B608ADB}">
              <a16:predDERef xmlns:a16="http://schemas.microsoft.com/office/drawing/2014/main" pred="{82E944B7-AEF7-45E9-9CCD-FE46A5ECB56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58" name="AutoShape 1">
          <a:extLst>
            <a:ext uri="{FF2B5EF4-FFF2-40B4-BE49-F238E27FC236}">
              <a16:creationId xmlns:a16="http://schemas.microsoft.com/office/drawing/2014/main" id="{4C3C2774-97BD-4418-96F2-1419F6177477}"/>
            </a:ext>
            <a:ext uri="{147F2762-F138-4A5C-976F-8EAC2B608ADB}">
              <a16:predDERef xmlns:a16="http://schemas.microsoft.com/office/drawing/2014/main" pred="{EBC0A83C-B2BC-4ABB-B191-396B4498792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id="{1DCD7606-989A-4E9F-BD76-FCBBAB3E577F}"/>
            </a:ext>
            <a:ext uri="{147F2762-F138-4A5C-976F-8EAC2B608ADB}">
              <a16:predDERef xmlns:a16="http://schemas.microsoft.com/office/drawing/2014/main" pred="{4C3C2774-97BD-4418-96F2-1419F617747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60" name="AutoShape 1">
          <a:extLst>
            <a:ext uri="{FF2B5EF4-FFF2-40B4-BE49-F238E27FC236}">
              <a16:creationId xmlns:a16="http://schemas.microsoft.com/office/drawing/2014/main" id="{7B9285A8-27C5-46B2-83C8-253EAE3BFCE9}"/>
            </a:ext>
            <a:ext uri="{147F2762-F138-4A5C-976F-8EAC2B608ADB}">
              <a16:predDERef xmlns:a16="http://schemas.microsoft.com/office/drawing/2014/main" pred="{1DCD7606-989A-4E9F-BD76-FCBBAB3E577F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id="{FE063886-7AB7-44F2-BF55-A59E2F4F242A}"/>
            </a:ext>
            <a:ext uri="{147F2762-F138-4A5C-976F-8EAC2B608ADB}">
              <a16:predDERef xmlns:a16="http://schemas.microsoft.com/office/drawing/2014/main" pred="{7B9285A8-27C5-46B2-83C8-253EAE3BFCE9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id="{3025F765-C459-41DB-9D78-712EFABF10D5}"/>
            </a:ext>
            <a:ext uri="{147F2762-F138-4A5C-976F-8EAC2B608ADB}">
              <a16:predDERef xmlns:a16="http://schemas.microsoft.com/office/drawing/2014/main" pred="{FE063886-7AB7-44F2-BF55-A59E2F4F242A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63" name="AutoShape 1">
          <a:extLst>
            <a:ext uri="{FF2B5EF4-FFF2-40B4-BE49-F238E27FC236}">
              <a16:creationId xmlns:a16="http://schemas.microsoft.com/office/drawing/2014/main" id="{EC42ECC2-5833-4A97-B50D-2ECE0A86A1EB}"/>
            </a:ext>
            <a:ext uri="{147F2762-F138-4A5C-976F-8EAC2B608ADB}">
              <a16:predDERef xmlns:a16="http://schemas.microsoft.com/office/drawing/2014/main" pred="{3025F765-C459-41DB-9D78-712EFABF10D5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64" name="AutoShape 1">
          <a:extLst>
            <a:ext uri="{FF2B5EF4-FFF2-40B4-BE49-F238E27FC236}">
              <a16:creationId xmlns:a16="http://schemas.microsoft.com/office/drawing/2014/main" id="{95D1A541-A835-499D-8DFB-D6CC6772BE14}"/>
            </a:ext>
            <a:ext uri="{147F2762-F138-4A5C-976F-8EAC2B608ADB}">
              <a16:predDERef xmlns:a16="http://schemas.microsoft.com/office/drawing/2014/main" pred="{EC42ECC2-5833-4A97-B50D-2ECE0A86A1EB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65" name="AutoShape 1">
          <a:extLst>
            <a:ext uri="{FF2B5EF4-FFF2-40B4-BE49-F238E27FC236}">
              <a16:creationId xmlns:a16="http://schemas.microsoft.com/office/drawing/2014/main" id="{90B5F096-C5C9-4CFB-A4D2-B1FAB7009D00}"/>
            </a:ext>
            <a:ext uri="{147F2762-F138-4A5C-976F-8EAC2B608ADB}">
              <a16:predDERef xmlns:a16="http://schemas.microsoft.com/office/drawing/2014/main" pred="{95D1A541-A835-499D-8DFB-D6CC6772BE14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66" name="AutoShape 1">
          <a:extLst>
            <a:ext uri="{FF2B5EF4-FFF2-40B4-BE49-F238E27FC236}">
              <a16:creationId xmlns:a16="http://schemas.microsoft.com/office/drawing/2014/main" id="{25D87B42-C86D-49DC-BF5E-DA1BF88CB230}"/>
            </a:ext>
            <a:ext uri="{147F2762-F138-4A5C-976F-8EAC2B608ADB}">
              <a16:predDERef xmlns:a16="http://schemas.microsoft.com/office/drawing/2014/main" pred="{90B5F096-C5C9-4CFB-A4D2-B1FAB7009D00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67" name="AutoShape 1">
          <a:extLst>
            <a:ext uri="{FF2B5EF4-FFF2-40B4-BE49-F238E27FC236}">
              <a16:creationId xmlns:a16="http://schemas.microsoft.com/office/drawing/2014/main" id="{EA31426D-F03B-41BD-9263-F88457A03FE6}"/>
            </a:ext>
            <a:ext uri="{147F2762-F138-4A5C-976F-8EAC2B608ADB}">
              <a16:predDERef xmlns:a16="http://schemas.microsoft.com/office/drawing/2014/main" pred="{25D87B42-C86D-49DC-BF5E-DA1BF88CB230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68" name="AutoShape 1">
          <a:extLst>
            <a:ext uri="{FF2B5EF4-FFF2-40B4-BE49-F238E27FC236}">
              <a16:creationId xmlns:a16="http://schemas.microsoft.com/office/drawing/2014/main" id="{D43F3B51-5C73-4EA2-92CF-84A39B58DA30}"/>
            </a:ext>
            <a:ext uri="{147F2762-F138-4A5C-976F-8EAC2B608ADB}">
              <a16:predDERef xmlns:a16="http://schemas.microsoft.com/office/drawing/2014/main" pred="{EA31426D-F03B-41BD-9263-F88457A03FE6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69" name="AutoShape 1">
          <a:extLst>
            <a:ext uri="{FF2B5EF4-FFF2-40B4-BE49-F238E27FC236}">
              <a16:creationId xmlns:a16="http://schemas.microsoft.com/office/drawing/2014/main" id="{F9765817-5D1C-4B96-A72D-B6A8F21DA9D7}"/>
            </a:ext>
            <a:ext uri="{147F2762-F138-4A5C-976F-8EAC2B608ADB}">
              <a16:predDERef xmlns:a16="http://schemas.microsoft.com/office/drawing/2014/main" pred="{D43F3B51-5C73-4EA2-92CF-84A39B58DA30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70" name="AutoShape 1">
          <a:extLst>
            <a:ext uri="{FF2B5EF4-FFF2-40B4-BE49-F238E27FC236}">
              <a16:creationId xmlns:a16="http://schemas.microsoft.com/office/drawing/2014/main" id="{4365046C-76E5-40FA-8811-236F6018B75B}"/>
            </a:ext>
            <a:ext uri="{147F2762-F138-4A5C-976F-8EAC2B608ADB}">
              <a16:predDERef xmlns:a16="http://schemas.microsoft.com/office/drawing/2014/main" pred="{F9765817-5D1C-4B96-A72D-B6A8F21DA9D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71" name="AutoShape 1">
          <a:extLst>
            <a:ext uri="{FF2B5EF4-FFF2-40B4-BE49-F238E27FC236}">
              <a16:creationId xmlns:a16="http://schemas.microsoft.com/office/drawing/2014/main" id="{E7B01DE5-44A9-4851-974F-0C3CF2ED8959}"/>
            </a:ext>
            <a:ext uri="{147F2762-F138-4A5C-976F-8EAC2B608ADB}">
              <a16:predDERef xmlns:a16="http://schemas.microsoft.com/office/drawing/2014/main" pred="{4365046C-76E5-40FA-8811-236F6018B75B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72" name="AutoShape 1">
          <a:extLst>
            <a:ext uri="{FF2B5EF4-FFF2-40B4-BE49-F238E27FC236}">
              <a16:creationId xmlns:a16="http://schemas.microsoft.com/office/drawing/2014/main" id="{7FEAD329-E9AE-4388-8C37-4D03168E0969}"/>
            </a:ext>
            <a:ext uri="{147F2762-F138-4A5C-976F-8EAC2B608ADB}">
              <a16:predDERef xmlns:a16="http://schemas.microsoft.com/office/drawing/2014/main" pred="{E7B01DE5-44A9-4851-974F-0C3CF2ED8959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73" name="AutoShape 1">
          <a:extLst>
            <a:ext uri="{FF2B5EF4-FFF2-40B4-BE49-F238E27FC236}">
              <a16:creationId xmlns:a16="http://schemas.microsoft.com/office/drawing/2014/main" id="{EFD3B0B6-7707-4DC4-B6B6-4E26FC24F8D5}"/>
            </a:ext>
            <a:ext uri="{147F2762-F138-4A5C-976F-8EAC2B608ADB}">
              <a16:predDERef xmlns:a16="http://schemas.microsoft.com/office/drawing/2014/main" pred="{7FEAD329-E9AE-4388-8C37-4D03168E0969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74" name="AutoShape 1">
          <a:extLst>
            <a:ext uri="{FF2B5EF4-FFF2-40B4-BE49-F238E27FC236}">
              <a16:creationId xmlns:a16="http://schemas.microsoft.com/office/drawing/2014/main" id="{F234CC3A-8A7E-4C92-AD9B-8C7D3C061EA5}"/>
            </a:ext>
            <a:ext uri="{147F2762-F138-4A5C-976F-8EAC2B608ADB}">
              <a16:predDERef xmlns:a16="http://schemas.microsoft.com/office/drawing/2014/main" pred="{EFD3B0B6-7707-4DC4-B6B6-4E26FC24F8D5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75" name="AutoShape 1">
          <a:extLst>
            <a:ext uri="{FF2B5EF4-FFF2-40B4-BE49-F238E27FC236}">
              <a16:creationId xmlns:a16="http://schemas.microsoft.com/office/drawing/2014/main" id="{0B9D0309-F0D9-4ECA-A70C-0445CE3AE822}"/>
            </a:ext>
            <a:ext uri="{147F2762-F138-4A5C-976F-8EAC2B608ADB}">
              <a16:predDERef xmlns:a16="http://schemas.microsoft.com/office/drawing/2014/main" pred="{F234CC3A-8A7E-4C92-AD9B-8C7D3C061EA5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76" name="AutoShape 1">
          <a:extLst>
            <a:ext uri="{FF2B5EF4-FFF2-40B4-BE49-F238E27FC236}">
              <a16:creationId xmlns:a16="http://schemas.microsoft.com/office/drawing/2014/main" id="{024F0AB1-F33B-45CF-9DAF-739D6130E124}"/>
            </a:ext>
            <a:ext uri="{147F2762-F138-4A5C-976F-8EAC2B608ADB}">
              <a16:predDERef xmlns:a16="http://schemas.microsoft.com/office/drawing/2014/main" pred="{0B9D0309-F0D9-4ECA-A70C-0445CE3AE822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77" name="AutoShape 1">
          <a:extLst>
            <a:ext uri="{FF2B5EF4-FFF2-40B4-BE49-F238E27FC236}">
              <a16:creationId xmlns:a16="http://schemas.microsoft.com/office/drawing/2014/main" id="{E547344C-49E3-446C-BB33-5C8B9F8828CC}"/>
            </a:ext>
            <a:ext uri="{147F2762-F138-4A5C-976F-8EAC2B608ADB}">
              <a16:predDERef xmlns:a16="http://schemas.microsoft.com/office/drawing/2014/main" pred="{024F0AB1-F33B-45CF-9DAF-739D6130E124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78" name="AutoShape 1">
          <a:extLst>
            <a:ext uri="{FF2B5EF4-FFF2-40B4-BE49-F238E27FC236}">
              <a16:creationId xmlns:a16="http://schemas.microsoft.com/office/drawing/2014/main" id="{628577E0-7374-4CAC-8BCD-988459C9B8CE}"/>
            </a:ext>
            <a:ext uri="{147F2762-F138-4A5C-976F-8EAC2B608ADB}">
              <a16:predDERef xmlns:a16="http://schemas.microsoft.com/office/drawing/2014/main" pred="{E547344C-49E3-446C-BB33-5C8B9F8828C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79" name="AutoShape 1">
          <a:extLst>
            <a:ext uri="{FF2B5EF4-FFF2-40B4-BE49-F238E27FC236}">
              <a16:creationId xmlns:a16="http://schemas.microsoft.com/office/drawing/2014/main" id="{C3F6E6E8-824D-40DF-847B-70332C33E6C3}"/>
            </a:ext>
            <a:ext uri="{147F2762-F138-4A5C-976F-8EAC2B608ADB}">
              <a16:predDERef xmlns:a16="http://schemas.microsoft.com/office/drawing/2014/main" pred="{628577E0-7374-4CAC-8BCD-988459C9B8CE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80" name="AutoShape 1">
          <a:extLst>
            <a:ext uri="{FF2B5EF4-FFF2-40B4-BE49-F238E27FC236}">
              <a16:creationId xmlns:a16="http://schemas.microsoft.com/office/drawing/2014/main" id="{A7AC6A82-71D1-4C96-B3BB-EE528321AB48}"/>
            </a:ext>
            <a:ext uri="{147F2762-F138-4A5C-976F-8EAC2B608ADB}">
              <a16:predDERef xmlns:a16="http://schemas.microsoft.com/office/drawing/2014/main" pred="{C3F6E6E8-824D-40DF-847B-70332C33E6C3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81" name="AutoShape 1">
          <a:extLst>
            <a:ext uri="{FF2B5EF4-FFF2-40B4-BE49-F238E27FC236}">
              <a16:creationId xmlns:a16="http://schemas.microsoft.com/office/drawing/2014/main" id="{470D08A1-1B7B-43EA-9323-C69DFEA4B49E}"/>
            </a:ext>
            <a:ext uri="{147F2762-F138-4A5C-976F-8EAC2B608ADB}">
              <a16:predDERef xmlns:a16="http://schemas.microsoft.com/office/drawing/2014/main" pred="{A7AC6A82-71D1-4C96-B3BB-EE528321AB48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82" name="AutoShape 1">
          <a:extLst>
            <a:ext uri="{FF2B5EF4-FFF2-40B4-BE49-F238E27FC236}">
              <a16:creationId xmlns:a16="http://schemas.microsoft.com/office/drawing/2014/main" id="{E06D2C2B-16E7-41EC-ABA4-9FAA345AD483}"/>
            </a:ext>
            <a:ext uri="{147F2762-F138-4A5C-976F-8EAC2B608ADB}">
              <a16:predDERef xmlns:a16="http://schemas.microsoft.com/office/drawing/2014/main" pred="{470D08A1-1B7B-43EA-9323-C69DFEA4B49E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83" name="AutoShape 1">
          <a:extLst>
            <a:ext uri="{FF2B5EF4-FFF2-40B4-BE49-F238E27FC236}">
              <a16:creationId xmlns:a16="http://schemas.microsoft.com/office/drawing/2014/main" id="{A949A589-4C18-4EE2-8DE6-DFD147878065}"/>
            </a:ext>
            <a:ext uri="{147F2762-F138-4A5C-976F-8EAC2B608ADB}">
              <a16:predDERef xmlns:a16="http://schemas.microsoft.com/office/drawing/2014/main" pred="{E06D2C2B-16E7-41EC-ABA4-9FAA345AD483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84" name="AutoShape 1">
          <a:extLst>
            <a:ext uri="{FF2B5EF4-FFF2-40B4-BE49-F238E27FC236}">
              <a16:creationId xmlns:a16="http://schemas.microsoft.com/office/drawing/2014/main" id="{7374F0E6-B240-4614-8E49-254555BF020B}"/>
            </a:ext>
            <a:ext uri="{147F2762-F138-4A5C-976F-8EAC2B608ADB}">
              <a16:predDERef xmlns:a16="http://schemas.microsoft.com/office/drawing/2014/main" pred="{A949A589-4C18-4EE2-8DE6-DFD147878065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85" name="AutoShape 1">
          <a:extLst>
            <a:ext uri="{FF2B5EF4-FFF2-40B4-BE49-F238E27FC236}">
              <a16:creationId xmlns:a16="http://schemas.microsoft.com/office/drawing/2014/main" id="{F21DE72A-9D98-400D-ACFB-197068D67FE7}"/>
            </a:ext>
            <a:ext uri="{147F2762-F138-4A5C-976F-8EAC2B608ADB}">
              <a16:predDERef xmlns:a16="http://schemas.microsoft.com/office/drawing/2014/main" pred="{7374F0E6-B240-4614-8E49-254555BF020B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86" name="AutoShape 1">
          <a:extLst>
            <a:ext uri="{FF2B5EF4-FFF2-40B4-BE49-F238E27FC236}">
              <a16:creationId xmlns:a16="http://schemas.microsoft.com/office/drawing/2014/main" id="{2C68EF5C-E9EA-4AE4-BB42-B687D3B1AFC5}"/>
            </a:ext>
            <a:ext uri="{147F2762-F138-4A5C-976F-8EAC2B608ADB}">
              <a16:predDERef xmlns:a16="http://schemas.microsoft.com/office/drawing/2014/main" pred="{F21DE72A-9D98-400D-ACFB-197068D67FE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87" name="AutoShape 1">
          <a:extLst>
            <a:ext uri="{FF2B5EF4-FFF2-40B4-BE49-F238E27FC236}">
              <a16:creationId xmlns:a16="http://schemas.microsoft.com/office/drawing/2014/main" id="{BF54F95F-FE3A-47B8-9F0D-D6DBF949D6D1}"/>
            </a:ext>
            <a:ext uri="{147F2762-F138-4A5C-976F-8EAC2B608ADB}">
              <a16:predDERef xmlns:a16="http://schemas.microsoft.com/office/drawing/2014/main" pred="{2C68EF5C-E9EA-4AE4-BB42-B687D3B1AFC5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88" name="AutoShape 1">
          <a:extLst>
            <a:ext uri="{FF2B5EF4-FFF2-40B4-BE49-F238E27FC236}">
              <a16:creationId xmlns:a16="http://schemas.microsoft.com/office/drawing/2014/main" id="{B2B2C690-DE7B-49D3-B38E-990D68F96FED}"/>
            </a:ext>
            <a:ext uri="{147F2762-F138-4A5C-976F-8EAC2B608ADB}">
              <a16:predDERef xmlns:a16="http://schemas.microsoft.com/office/drawing/2014/main" pred="{BF54F95F-FE3A-47B8-9F0D-D6DBF949D6D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08A70415-9DEC-40CC-A5BF-A647240CE75B}"/>
            </a:ext>
            <a:ext uri="{147F2762-F138-4A5C-976F-8EAC2B608ADB}">
              <a16:predDERef xmlns:a16="http://schemas.microsoft.com/office/drawing/2014/main" pred="{B2B2C690-DE7B-49D3-B38E-990D68F96FED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90" name="AutoShape 1">
          <a:extLst>
            <a:ext uri="{FF2B5EF4-FFF2-40B4-BE49-F238E27FC236}">
              <a16:creationId xmlns:a16="http://schemas.microsoft.com/office/drawing/2014/main" id="{409D6D9B-8D85-45F2-A698-876A06BEA6B8}"/>
            </a:ext>
            <a:ext uri="{147F2762-F138-4A5C-976F-8EAC2B608ADB}">
              <a16:predDERef xmlns:a16="http://schemas.microsoft.com/office/drawing/2014/main" pred="{08A70415-9DEC-40CC-A5BF-A647240CE75B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91" name="AutoShape 1">
          <a:extLst>
            <a:ext uri="{FF2B5EF4-FFF2-40B4-BE49-F238E27FC236}">
              <a16:creationId xmlns:a16="http://schemas.microsoft.com/office/drawing/2014/main" id="{C7068A16-C076-443C-9056-A80DBCA4C66E}"/>
            </a:ext>
            <a:ext uri="{147F2762-F138-4A5C-976F-8EAC2B608ADB}">
              <a16:predDERef xmlns:a16="http://schemas.microsoft.com/office/drawing/2014/main" pred="{409D6D9B-8D85-45F2-A698-876A06BEA6B8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92" name="AutoShape 1">
          <a:extLst>
            <a:ext uri="{FF2B5EF4-FFF2-40B4-BE49-F238E27FC236}">
              <a16:creationId xmlns:a16="http://schemas.microsoft.com/office/drawing/2014/main" id="{C687BD23-CE8C-4AAA-ACAF-18229DE3B26C}"/>
            </a:ext>
            <a:ext uri="{147F2762-F138-4A5C-976F-8EAC2B608ADB}">
              <a16:predDERef xmlns:a16="http://schemas.microsoft.com/office/drawing/2014/main" pred="{C7068A16-C076-443C-9056-A80DBCA4C66E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93" name="AutoShape 1">
          <a:extLst>
            <a:ext uri="{FF2B5EF4-FFF2-40B4-BE49-F238E27FC236}">
              <a16:creationId xmlns:a16="http://schemas.microsoft.com/office/drawing/2014/main" id="{1941852C-8817-4DD5-8294-2EAF631EBC47}"/>
            </a:ext>
            <a:ext uri="{147F2762-F138-4A5C-976F-8EAC2B608ADB}">
              <a16:predDERef xmlns:a16="http://schemas.microsoft.com/office/drawing/2014/main" pred="{C687BD23-CE8C-4AAA-ACAF-18229DE3B26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94" name="AutoShape 1">
          <a:extLst>
            <a:ext uri="{FF2B5EF4-FFF2-40B4-BE49-F238E27FC236}">
              <a16:creationId xmlns:a16="http://schemas.microsoft.com/office/drawing/2014/main" id="{033C3DCE-598A-4AD4-B9B5-0D0A907C140F}"/>
            </a:ext>
            <a:ext uri="{147F2762-F138-4A5C-976F-8EAC2B608ADB}">
              <a16:predDERef xmlns:a16="http://schemas.microsoft.com/office/drawing/2014/main" pred="{1941852C-8817-4DD5-8294-2EAF631EBC4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95" name="AutoShape 1">
          <a:extLst>
            <a:ext uri="{FF2B5EF4-FFF2-40B4-BE49-F238E27FC236}">
              <a16:creationId xmlns:a16="http://schemas.microsoft.com/office/drawing/2014/main" id="{0B5CA2E6-0CF7-4322-8A32-29B35D6BAFBB}"/>
            </a:ext>
            <a:ext uri="{147F2762-F138-4A5C-976F-8EAC2B608ADB}">
              <a16:predDERef xmlns:a16="http://schemas.microsoft.com/office/drawing/2014/main" pred="{033C3DCE-598A-4AD4-B9B5-0D0A907C140F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96" name="AutoShape 1">
          <a:extLst>
            <a:ext uri="{FF2B5EF4-FFF2-40B4-BE49-F238E27FC236}">
              <a16:creationId xmlns:a16="http://schemas.microsoft.com/office/drawing/2014/main" id="{18EC4B1F-B786-4B80-96EE-76F78A82B069}"/>
            </a:ext>
            <a:ext uri="{147F2762-F138-4A5C-976F-8EAC2B608ADB}">
              <a16:predDERef xmlns:a16="http://schemas.microsoft.com/office/drawing/2014/main" pred="{0B5CA2E6-0CF7-4322-8A32-29B35D6BAFBB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97" name="AutoShape 1">
          <a:extLst>
            <a:ext uri="{FF2B5EF4-FFF2-40B4-BE49-F238E27FC236}">
              <a16:creationId xmlns:a16="http://schemas.microsoft.com/office/drawing/2014/main" id="{8A0F93E9-9CF0-4B64-B644-453F6476812A}"/>
            </a:ext>
            <a:ext uri="{147F2762-F138-4A5C-976F-8EAC2B608ADB}">
              <a16:predDERef xmlns:a16="http://schemas.microsoft.com/office/drawing/2014/main" pred="{18EC4B1F-B786-4B80-96EE-76F78A82B069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98" name="AutoShape 1">
          <a:extLst>
            <a:ext uri="{FF2B5EF4-FFF2-40B4-BE49-F238E27FC236}">
              <a16:creationId xmlns:a16="http://schemas.microsoft.com/office/drawing/2014/main" id="{4325459A-46BB-44B0-B58F-FE82C1320A47}"/>
            </a:ext>
            <a:ext uri="{147F2762-F138-4A5C-976F-8EAC2B608ADB}">
              <a16:predDERef xmlns:a16="http://schemas.microsoft.com/office/drawing/2014/main" pred="{8A0F93E9-9CF0-4B64-B644-453F6476812A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99" name="AutoShape 1">
          <a:extLst>
            <a:ext uri="{FF2B5EF4-FFF2-40B4-BE49-F238E27FC236}">
              <a16:creationId xmlns:a16="http://schemas.microsoft.com/office/drawing/2014/main" id="{09462C30-92EC-40AF-B7A5-9F7F651D1877}"/>
            </a:ext>
            <a:ext uri="{147F2762-F138-4A5C-976F-8EAC2B608ADB}">
              <a16:predDERef xmlns:a16="http://schemas.microsoft.com/office/drawing/2014/main" pred="{4325459A-46BB-44B0-B58F-FE82C1320A4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00" name="AutoShape 1">
          <a:extLst>
            <a:ext uri="{FF2B5EF4-FFF2-40B4-BE49-F238E27FC236}">
              <a16:creationId xmlns:a16="http://schemas.microsoft.com/office/drawing/2014/main" id="{65154993-D2D1-4D80-AABB-C5A11B7BFD00}"/>
            </a:ext>
            <a:ext uri="{147F2762-F138-4A5C-976F-8EAC2B608ADB}">
              <a16:predDERef xmlns:a16="http://schemas.microsoft.com/office/drawing/2014/main" pred="{09462C30-92EC-40AF-B7A5-9F7F651D187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01" name="AutoShape 1">
          <a:extLst>
            <a:ext uri="{FF2B5EF4-FFF2-40B4-BE49-F238E27FC236}">
              <a16:creationId xmlns:a16="http://schemas.microsoft.com/office/drawing/2014/main" id="{CAFF211A-BE3C-4072-BE04-71558971F076}"/>
            </a:ext>
            <a:ext uri="{147F2762-F138-4A5C-976F-8EAC2B608ADB}">
              <a16:predDERef xmlns:a16="http://schemas.microsoft.com/office/drawing/2014/main" pred="{65154993-D2D1-4D80-AABB-C5A11B7BFD00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02" name="AutoShape 1">
          <a:extLst>
            <a:ext uri="{FF2B5EF4-FFF2-40B4-BE49-F238E27FC236}">
              <a16:creationId xmlns:a16="http://schemas.microsoft.com/office/drawing/2014/main" id="{38950B82-3C83-4B49-A3BA-8AD6067A5FD0}"/>
            </a:ext>
            <a:ext uri="{147F2762-F138-4A5C-976F-8EAC2B608ADB}">
              <a16:predDERef xmlns:a16="http://schemas.microsoft.com/office/drawing/2014/main" pred="{CAFF211A-BE3C-4072-BE04-71558971F076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03" name="AutoShape 1">
          <a:extLst>
            <a:ext uri="{FF2B5EF4-FFF2-40B4-BE49-F238E27FC236}">
              <a16:creationId xmlns:a16="http://schemas.microsoft.com/office/drawing/2014/main" id="{23525766-B603-4D19-B5A7-A2D3A6A8E95B}"/>
            </a:ext>
            <a:ext uri="{147F2762-F138-4A5C-976F-8EAC2B608ADB}">
              <a16:predDERef xmlns:a16="http://schemas.microsoft.com/office/drawing/2014/main" pred="{38950B82-3C83-4B49-A3BA-8AD6067A5FD0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04" name="AutoShape 1">
          <a:extLst>
            <a:ext uri="{FF2B5EF4-FFF2-40B4-BE49-F238E27FC236}">
              <a16:creationId xmlns:a16="http://schemas.microsoft.com/office/drawing/2014/main" id="{63223193-42AF-474F-9181-B6DBAD7A254D}"/>
            </a:ext>
            <a:ext uri="{147F2762-F138-4A5C-976F-8EAC2B608ADB}">
              <a16:predDERef xmlns:a16="http://schemas.microsoft.com/office/drawing/2014/main" pred="{23525766-B603-4D19-B5A7-A2D3A6A8E95B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05" name="AutoShape 1">
          <a:extLst>
            <a:ext uri="{FF2B5EF4-FFF2-40B4-BE49-F238E27FC236}">
              <a16:creationId xmlns:a16="http://schemas.microsoft.com/office/drawing/2014/main" id="{4F89627C-1D8E-4435-9FCD-775309E84BE1}"/>
            </a:ext>
            <a:ext uri="{147F2762-F138-4A5C-976F-8EAC2B608ADB}">
              <a16:predDERef xmlns:a16="http://schemas.microsoft.com/office/drawing/2014/main" pred="{63223193-42AF-474F-9181-B6DBAD7A254D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106" name="AutoShape 1">
          <a:extLst>
            <a:ext uri="{FF2B5EF4-FFF2-40B4-BE49-F238E27FC236}">
              <a16:creationId xmlns:a16="http://schemas.microsoft.com/office/drawing/2014/main" id="{848077B7-AF45-4645-B683-940CF6BBC3F7}"/>
            </a:ext>
            <a:ext uri="{147F2762-F138-4A5C-976F-8EAC2B608ADB}">
              <a16:predDERef xmlns:a16="http://schemas.microsoft.com/office/drawing/2014/main" pred="{4F89627C-1D8E-4435-9FCD-775309E84BE1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07" name="AutoShape 1">
          <a:extLst>
            <a:ext uri="{FF2B5EF4-FFF2-40B4-BE49-F238E27FC236}">
              <a16:creationId xmlns:a16="http://schemas.microsoft.com/office/drawing/2014/main" id="{590FF23C-0E29-4933-909E-D7653EADF264}"/>
            </a:ext>
            <a:ext uri="{147F2762-F138-4A5C-976F-8EAC2B608ADB}">
              <a16:predDERef xmlns:a16="http://schemas.microsoft.com/office/drawing/2014/main" pred="{848077B7-AF45-4645-B683-940CF6BBC3F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08" name="AutoShape 1">
          <a:extLst>
            <a:ext uri="{FF2B5EF4-FFF2-40B4-BE49-F238E27FC236}">
              <a16:creationId xmlns:a16="http://schemas.microsoft.com/office/drawing/2014/main" id="{40F9EDE0-A332-4D82-80D5-609BF3841E7A}"/>
            </a:ext>
            <a:ext uri="{147F2762-F138-4A5C-976F-8EAC2B608ADB}">
              <a16:predDERef xmlns:a16="http://schemas.microsoft.com/office/drawing/2014/main" pred="{590FF23C-0E29-4933-909E-D7653EADF264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09" name="AutoShape 1">
          <a:extLst>
            <a:ext uri="{FF2B5EF4-FFF2-40B4-BE49-F238E27FC236}">
              <a16:creationId xmlns:a16="http://schemas.microsoft.com/office/drawing/2014/main" id="{528495D3-FC7E-4F14-A0F5-D4C3BE7A4F72}"/>
            </a:ext>
            <a:ext uri="{147F2762-F138-4A5C-976F-8EAC2B608ADB}">
              <a16:predDERef xmlns:a16="http://schemas.microsoft.com/office/drawing/2014/main" pred="{40F9EDE0-A332-4D82-80D5-609BF3841E7A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10" name="AutoShape 1">
          <a:extLst>
            <a:ext uri="{FF2B5EF4-FFF2-40B4-BE49-F238E27FC236}">
              <a16:creationId xmlns:a16="http://schemas.microsoft.com/office/drawing/2014/main" id="{CE472D6B-8580-4245-B508-07CD4125ADAD}"/>
            </a:ext>
            <a:ext uri="{147F2762-F138-4A5C-976F-8EAC2B608ADB}">
              <a16:predDERef xmlns:a16="http://schemas.microsoft.com/office/drawing/2014/main" pred="{528495D3-FC7E-4F14-A0F5-D4C3BE7A4F7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11" name="AutoShape 1">
          <a:extLst>
            <a:ext uri="{FF2B5EF4-FFF2-40B4-BE49-F238E27FC236}">
              <a16:creationId xmlns:a16="http://schemas.microsoft.com/office/drawing/2014/main" id="{A7C55B88-71E0-4BF2-B464-4AFE76AE5694}"/>
            </a:ext>
            <a:ext uri="{147F2762-F138-4A5C-976F-8EAC2B608ADB}">
              <a16:predDERef xmlns:a16="http://schemas.microsoft.com/office/drawing/2014/main" pred="{CE472D6B-8580-4245-B508-07CD4125ADAD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112" name="AutoShape 1">
          <a:extLst>
            <a:ext uri="{FF2B5EF4-FFF2-40B4-BE49-F238E27FC236}">
              <a16:creationId xmlns:a16="http://schemas.microsoft.com/office/drawing/2014/main" id="{CB68172C-426B-4E9F-9368-532BC20F7724}"/>
            </a:ext>
            <a:ext uri="{147F2762-F138-4A5C-976F-8EAC2B608ADB}">
              <a16:predDERef xmlns:a16="http://schemas.microsoft.com/office/drawing/2014/main" pred="{A7C55B88-71E0-4BF2-B464-4AFE76AE5694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13" name="AutoShape 1">
          <a:extLst>
            <a:ext uri="{FF2B5EF4-FFF2-40B4-BE49-F238E27FC236}">
              <a16:creationId xmlns:a16="http://schemas.microsoft.com/office/drawing/2014/main" id="{6833CA3E-70AA-4077-91CA-4EA901EFDE02}"/>
            </a:ext>
            <a:ext uri="{147F2762-F138-4A5C-976F-8EAC2B608ADB}">
              <a16:predDERef xmlns:a16="http://schemas.microsoft.com/office/drawing/2014/main" pred="{CB68172C-426B-4E9F-9368-532BC20F7724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A269D4F5-928D-4DBC-82CF-33C6DB8C3490}"/>
            </a:ext>
            <a:ext uri="{147F2762-F138-4A5C-976F-8EAC2B608ADB}">
              <a16:predDERef xmlns:a16="http://schemas.microsoft.com/office/drawing/2014/main" pred="{6833CA3E-70AA-4077-91CA-4EA901EFDE0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15" name="AutoShape 1">
          <a:extLst>
            <a:ext uri="{FF2B5EF4-FFF2-40B4-BE49-F238E27FC236}">
              <a16:creationId xmlns:a16="http://schemas.microsoft.com/office/drawing/2014/main" id="{CC25420B-5246-408C-8A04-A3B004BA047E}"/>
            </a:ext>
            <a:ext uri="{147F2762-F138-4A5C-976F-8EAC2B608ADB}">
              <a16:predDERef xmlns:a16="http://schemas.microsoft.com/office/drawing/2014/main" pred="{A269D4F5-928D-4DBC-82CF-33C6DB8C3490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16" name="AutoShape 1">
          <a:extLst>
            <a:ext uri="{FF2B5EF4-FFF2-40B4-BE49-F238E27FC236}">
              <a16:creationId xmlns:a16="http://schemas.microsoft.com/office/drawing/2014/main" id="{CAAE1FCF-04CA-431F-9A25-1CD0288DE166}"/>
            </a:ext>
            <a:ext uri="{147F2762-F138-4A5C-976F-8EAC2B608ADB}">
              <a16:predDERef xmlns:a16="http://schemas.microsoft.com/office/drawing/2014/main" pred="{CC25420B-5246-408C-8A04-A3B004BA047E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17" name="AutoShape 1">
          <a:extLst>
            <a:ext uri="{FF2B5EF4-FFF2-40B4-BE49-F238E27FC236}">
              <a16:creationId xmlns:a16="http://schemas.microsoft.com/office/drawing/2014/main" id="{3FC4E1B7-20A9-4CB5-9A0D-3220048D20DC}"/>
            </a:ext>
            <a:ext uri="{147F2762-F138-4A5C-976F-8EAC2B608ADB}">
              <a16:predDERef xmlns:a16="http://schemas.microsoft.com/office/drawing/2014/main" pred="{CAAE1FCF-04CA-431F-9A25-1CD0288DE166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18" name="AutoShape 1">
          <a:extLst>
            <a:ext uri="{FF2B5EF4-FFF2-40B4-BE49-F238E27FC236}">
              <a16:creationId xmlns:a16="http://schemas.microsoft.com/office/drawing/2014/main" id="{ED43CF00-AE9A-40C2-9B69-FCEF25D47E75}"/>
            </a:ext>
            <a:ext uri="{147F2762-F138-4A5C-976F-8EAC2B608ADB}">
              <a16:predDERef xmlns:a16="http://schemas.microsoft.com/office/drawing/2014/main" pred="{3FC4E1B7-20A9-4CB5-9A0D-3220048D20D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19" name="AutoShape 1">
          <a:extLst>
            <a:ext uri="{FF2B5EF4-FFF2-40B4-BE49-F238E27FC236}">
              <a16:creationId xmlns:a16="http://schemas.microsoft.com/office/drawing/2014/main" id="{235C5C36-ABA8-4436-B690-36AC39029930}"/>
            </a:ext>
            <a:ext uri="{147F2762-F138-4A5C-976F-8EAC2B608ADB}">
              <a16:predDERef xmlns:a16="http://schemas.microsoft.com/office/drawing/2014/main" pred="{ED43CF00-AE9A-40C2-9B69-FCEF25D47E75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120" name="AutoShape 1">
          <a:extLst>
            <a:ext uri="{FF2B5EF4-FFF2-40B4-BE49-F238E27FC236}">
              <a16:creationId xmlns:a16="http://schemas.microsoft.com/office/drawing/2014/main" id="{86AC42AF-1E95-4E55-8CE3-8D2CEB790B69}"/>
            </a:ext>
            <a:ext uri="{147F2762-F138-4A5C-976F-8EAC2B608ADB}">
              <a16:predDERef xmlns:a16="http://schemas.microsoft.com/office/drawing/2014/main" pred="{235C5C36-ABA8-4436-B690-36AC39029930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21" name="AutoShape 1">
          <a:extLst>
            <a:ext uri="{FF2B5EF4-FFF2-40B4-BE49-F238E27FC236}">
              <a16:creationId xmlns:a16="http://schemas.microsoft.com/office/drawing/2014/main" id="{227919E9-07AB-4E58-8494-A1E0E6DC106D}"/>
            </a:ext>
            <a:ext uri="{147F2762-F138-4A5C-976F-8EAC2B608ADB}">
              <a16:predDERef xmlns:a16="http://schemas.microsoft.com/office/drawing/2014/main" pred="{86AC42AF-1E95-4E55-8CE3-8D2CEB790B69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22" name="AutoShape 1">
          <a:extLst>
            <a:ext uri="{FF2B5EF4-FFF2-40B4-BE49-F238E27FC236}">
              <a16:creationId xmlns:a16="http://schemas.microsoft.com/office/drawing/2014/main" id="{89AD47A3-F103-4A5C-97B1-8124B453C76B}"/>
            </a:ext>
            <a:ext uri="{147F2762-F138-4A5C-976F-8EAC2B608ADB}">
              <a16:predDERef xmlns:a16="http://schemas.microsoft.com/office/drawing/2014/main" pred="{227919E9-07AB-4E58-8494-A1E0E6DC106D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23" name="AutoShape 1">
          <a:extLst>
            <a:ext uri="{FF2B5EF4-FFF2-40B4-BE49-F238E27FC236}">
              <a16:creationId xmlns:a16="http://schemas.microsoft.com/office/drawing/2014/main" id="{95A2D496-F6C4-4870-998C-CDC37B4BBAD6}"/>
            </a:ext>
            <a:ext uri="{147F2762-F138-4A5C-976F-8EAC2B608ADB}">
              <a16:predDERef xmlns:a16="http://schemas.microsoft.com/office/drawing/2014/main" pred="{89AD47A3-F103-4A5C-97B1-8124B453C76B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24" name="AutoShape 1">
          <a:extLst>
            <a:ext uri="{FF2B5EF4-FFF2-40B4-BE49-F238E27FC236}">
              <a16:creationId xmlns:a16="http://schemas.microsoft.com/office/drawing/2014/main" id="{5A959510-16F7-4EF0-9115-7A0BDDCD9701}"/>
            </a:ext>
            <a:ext uri="{147F2762-F138-4A5C-976F-8EAC2B608ADB}">
              <a16:predDERef xmlns:a16="http://schemas.microsoft.com/office/drawing/2014/main" pred="{95A2D496-F6C4-4870-998C-CDC37B4BBAD6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25" name="AutoShape 1">
          <a:extLst>
            <a:ext uri="{FF2B5EF4-FFF2-40B4-BE49-F238E27FC236}">
              <a16:creationId xmlns:a16="http://schemas.microsoft.com/office/drawing/2014/main" id="{FB1FADF1-29ED-4757-9D3D-F65480AA18E4}"/>
            </a:ext>
            <a:ext uri="{147F2762-F138-4A5C-976F-8EAC2B608ADB}">
              <a16:predDERef xmlns:a16="http://schemas.microsoft.com/office/drawing/2014/main" pred="{5A959510-16F7-4EF0-9115-7A0BDDCD970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26" name="AutoShape 1">
          <a:extLst>
            <a:ext uri="{FF2B5EF4-FFF2-40B4-BE49-F238E27FC236}">
              <a16:creationId xmlns:a16="http://schemas.microsoft.com/office/drawing/2014/main" id="{8F4E4F2F-2B54-426E-B59A-DE4359676565}"/>
            </a:ext>
            <a:ext uri="{147F2762-F138-4A5C-976F-8EAC2B608ADB}">
              <a16:predDERef xmlns:a16="http://schemas.microsoft.com/office/drawing/2014/main" pred="{FB1FADF1-29ED-4757-9D3D-F65480AA18E4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27" name="AutoShape 1">
          <a:extLst>
            <a:ext uri="{FF2B5EF4-FFF2-40B4-BE49-F238E27FC236}">
              <a16:creationId xmlns:a16="http://schemas.microsoft.com/office/drawing/2014/main" id="{CBBD8DD5-1E54-4A8E-9CE3-866FB9F9464D}"/>
            </a:ext>
            <a:ext uri="{147F2762-F138-4A5C-976F-8EAC2B608ADB}">
              <a16:predDERef xmlns:a16="http://schemas.microsoft.com/office/drawing/2014/main" pred="{8F4E4F2F-2B54-426E-B59A-DE4359676565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128" name="AutoShape 1">
          <a:extLst>
            <a:ext uri="{FF2B5EF4-FFF2-40B4-BE49-F238E27FC236}">
              <a16:creationId xmlns:a16="http://schemas.microsoft.com/office/drawing/2014/main" id="{83C40A5A-D9DF-4BC9-B894-9D144CA60B22}"/>
            </a:ext>
            <a:ext uri="{147F2762-F138-4A5C-976F-8EAC2B608ADB}">
              <a16:predDERef xmlns:a16="http://schemas.microsoft.com/office/drawing/2014/main" pred="{CBBD8DD5-1E54-4A8E-9CE3-866FB9F9464D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29" name="AutoShape 1">
          <a:extLst>
            <a:ext uri="{FF2B5EF4-FFF2-40B4-BE49-F238E27FC236}">
              <a16:creationId xmlns:a16="http://schemas.microsoft.com/office/drawing/2014/main" id="{E131F943-9863-4E91-B490-040130B2EE12}"/>
            </a:ext>
            <a:ext uri="{147F2762-F138-4A5C-976F-8EAC2B608ADB}">
              <a16:predDERef xmlns:a16="http://schemas.microsoft.com/office/drawing/2014/main" pred="{83C40A5A-D9DF-4BC9-B894-9D144CA60B2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30" name="AutoShape 1">
          <a:extLst>
            <a:ext uri="{FF2B5EF4-FFF2-40B4-BE49-F238E27FC236}">
              <a16:creationId xmlns:a16="http://schemas.microsoft.com/office/drawing/2014/main" id="{2AAB1023-DF77-45C4-8A3B-86979042AF46}"/>
            </a:ext>
            <a:ext uri="{147F2762-F138-4A5C-976F-8EAC2B608ADB}">
              <a16:predDERef xmlns:a16="http://schemas.microsoft.com/office/drawing/2014/main" pred="{E131F943-9863-4E91-B490-040130B2EE1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31" name="AutoShape 1">
          <a:extLst>
            <a:ext uri="{FF2B5EF4-FFF2-40B4-BE49-F238E27FC236}">
              <a16:creationId xmlns:a16="http://schemas.microsoft.com/office/drawing/2014/main" id="{A2EAA74D-1C60-4A32-A9F2-7FF4308B8809}"/>
            </a:ext>
            <a:ext uri="{147F2762-F138-4A5C-976F-8EAC2B608ADB}">
              <a16:predDERef xmlns:a16="http://schemas.microsoft.com/office/drawing/2014/main" pred="{2AAB1023-DF77-45C4-8A3B-86979042AF46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32" name="AutoShape 1">
          <a:extLst>
            <a:ext uri="{FF2B5EF4-FFF2-40B4-BE49-F238E27FC236}">
              <a16:creationId xmlns:a16="http://schemas.microsoft.com/office/drawing/2014/main" id="{8201B548-CDD1-4A6F-B1AF-3334A6EFF491}"/>
            </a:ext>
            <a:ext uri="{147F2762-F138-4A5C-976F-8EAC2B608ADB}">
              <a16:predDERef xmlns:a16="http://schemas.microsoft.com/office/drawing/2014/main" pred="{A2EAA74D-1C60-4A32-A9F2-7FF4308B8809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33" name="AutoShape 1">
          <a:extLst>
            <a:ext uri="{FF2B5EF4-FFF2-40B4-BE49-F238E27FC236}">
              <a16:creationId xmlns:a16="http://schemas.microsoft.com/office/drawing/2014/main" id="{70A6960E-AF31-4FCF-86E0-E005F6742292}"/>
            </a:ext>
            <a:ext uri="{147F2762-F138-4A5C-976F-8EAC2B608ADB}">
              <a16:predDERef xmlns:a16="http://schemas.microsoft.com/office/drawing/2014/main" pred="{8201B548-CDD1-4A6F-B1AF-3334A6EFF49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134" name="AutoShape 1">
          <a:extLst>
            <a:ext uri="{FF2B5EF4-FFF2-40B4-BE49-F238E27FC236}">
              <a16:creationId xmlns:a16="http://schemas.microsoft.com/office/drawing/2014/main" id="{9E61D797-8371-4DD7-8A8D-CD45657FC6B8}"/>
            </a:ext>
            <a:ext uri="{147F2762-F138-4A5C-976F-8EAC2B608ADB}">
              <a16:predDERef xmlns:a16="http://schemas.microsoft.com/office/drawing/2014/main" pred="{70A6960E-AF31-4FCF-86E0-E005F6742292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35" name="AutoShape 1">
          <a:extLst>
            <a:ext uri="{FF2B5EF4-FFF2-40B4-BE49-F238E27FC236}">
              <a16:creationId xmlns:a16="http://schemas.microsoft.com/office/drawing/2014/main" id="{8F6A3003-40A2-4FA2-9732-59E376F870A1}"/>
            </a:ext>
            <a:ext uri="{147F2762-F138-4A5C-976F-8EAC2B608ADB}">
              <a16:predDERef xmlns:a16="http://schemas.microsoft.com/office/drawing/2014/main" pred="{9E61D797-8371-4DD7-8A8D-CD45657FC6B8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36" name="AutoShape 1">
          <a:extLst>
            <a:ext uri="{FF2B5EF4-FFF2-40B4-BE49-F238E27FC236}">
              <a16:creationId xmlns:a16="http://schemas.microsoft.com/office/drawing/2014/main" id="{C3636CEF-FA8A-424E-A109-25542B149768}"/>
            </a:ext>
            <a:ext uri="{147F2762-F138-4A5C-976F-8EAC2B608ADB}">
              <a16:predDERef xmlns:a16="http://schemas.microsoft.com/office/drawing/2014/main" pred="{8F6A3003-40A2-4FA2-9732-59E376F870A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37" name="AutoShape 1">
          <a:extLst>
            <a:ext uri="{FF2B5EF4-FFF2-40B4-BE49-F238E27FC236}">
              <a16:creationId xmlns:a16="http://schemas.microsoft.com/office/drawing/2014/main" id="{05057E4D-974F-4307-8D69-14E7E535FCE4}"/>
            </a:ext>
            <a:ext uri="{147F2762-F138-4A5C-976F-8EAC2B608ADB}">
              <a16:predDERef xmlns:a16="http://schemas.microsoft.com/office/drawing/2014/main" pred="{C3636CEF-FA8A-424E-A109-25542B149768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38" name="AutoShape 1">
          <a:extLst>
            <a:ext uri="{FF2B5EF4-FFF2-40B4-BE49-F238E27FC236}">
              <a16:creationId xmlns:a16="http://schemas.microsoft.com/office/drawing/2014/main" id="{2F179629-C147-4444-9BA6-99A9A3CCC977}"/>
            </a:ext>
            <a:ext uri="{147F2762-F138-4A5C-976F-8EAC2B608ADB}">
              <a16:predDERef xmlns:a16="http://schemas.microsoft.com/office/drawing/2014/main" pred="{05057E4D-974F-4307-8D69-14E7E535FCE4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39" name="AutoShape 1">
          <a:extLst>
            <a:ext uri="{FF2B5EF4-FFF2-40B4-BE49-F238E27FC236}">
              <a16:creationId xmlns:a16="http://schemas.microsoft.com/office/drawing/2014/main" id="{6A91281C-7B48-43CA-81F5-97C1D6AE1A8B}"/>
            </a:ext>
            <a:ext uri="{147F2762-F138-4A5C-976F-8EAC2B608ADB}">
              <a16:predDERef xmlns:a16="http://schemas.microsoft.com/office/drawing/2014/main" pred="{2F179629-C147-4444-9BA6-99A9A3CCC97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40" name="AutoShape 1">
          <a:extLst>
            <a:ext uri="{FF2B5EF4-FFF2-40B4-BE49-F238E27FC236}">
              <a16:creationId xmlns:a16="http://schemas.microsoft.com/office/drawing/2014/main" id="{72037F8C-CDF2-44B4-BC3C-281DD170F400}"/>
            </a:ext>
            <a:ext uri="{147F2762-F138-4A5C-976F-8EAC2B608ADB}">
              <a16:predDERef xmlns:a16="http://schemas.microsoft.com/office/drawing/2014/main" pred="{6A91281C-7B48-43CA-81F5-97C1D6AE1A8B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41" name="AutoShape 1">
          <a:extLst>
            <a:ext uri="{FF2B5EF4-FFF2-40B4-BE49-F238E27FC236}">
              <a16:creationId xmlns:a16="http://schemas.microsoft.com/office/drawing/2014/main" id="{F877B691-B871-4CB6-BDAF-726D6276CBCA}"/>
            </a:ext>
            <a:ext uri="{147F2762-F138-4A5C-976F-8EAC2B608ADB}">
              <a16:predDERef xmlns:a16="http://schemas.microsoft.com/office/drawing/2014/main" pred="{72037F8C-CDF2-44B4-BC3C-281DD170F400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142" name="AutoShape 1">
          <a:extLst>
            <a:ext uri="{FF2B5EF4-FFF2-40B4-BE49-F238E27FC236}">
              <a16:creationId xmlns:a16="http://schemas.microsoft.com/office/drawing/2014/main" id="{17CF328F-6ECD-4F3A-BC8F-028BC0B9F7A1}"/>
            </a:ext>
            <a:ext uri="{147F2762-F138-4A5C-976F-8EAC2B608ADB}">
              <a16:predDERef xmlns:a16="http://schemas.microsoft.com/office/drawing/2014/main" pred="{F877B691-B871-4CB6-BDAF-726D6276CBCA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43" name="AutoShape 1">
          <a:extLst>
            <a:ext uri="{FF2B5EF4-FFF2-40B4-BE49-F238E27FC236}">
              <a16:creationId xmlns:a16="http://schemas.microsoft.com/office/drawing/2014/main" id="{B39E9C50-2B11-4607-BBBA-27B6063081A5}"/>
            </a:ext>
            <a:ext uri="{147F2762-F138-4A5C-976F-8EAC2B608ADB}">
              <a16:predDERef xmlns:a16="http://schemas.microsoft.com/office/drawing/2014/main" pred="{17CF328F-6ECD-4F3A-BC8F-028BC0B9F7A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44" name="AutoShape 1">
          <a:extLst>
            <a:ext uri="{FF2B5EF4-FFF2-40B4-BE49-F238E27FC236}">
              <a16:creationId xmlns:a16="http://schemas.microsoft.com/office/drawing/2014/main" id="{FE6C3A8F-626F-43DF-8F52-10EB20247273}"/>
            </a:ext>
            <a:ext uri="{147F2762-F138-4A5C-976F-8EAC2B608ADB}">
              <a16:predDERef xmlns:a16="http://schemas.microsoft.com/office/drawing/2014/main" pred="{B39E9C50-2B11-4607-BBBA-27B6063081A5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45" name="AutoShape 1">
          <a:extLst>
            <a:ext uri="{FF2B5EF4-FFF2-40B4-BE49-F238E27FC236}">
              <a16:creationId xmlns:a16="http://schemas.microsoft.com/office/drawing/2014/main" id="{55D7F9CB-2F46-4999-BA20-791CE2419F4A}"/>
            </a:ext>
            <a:ext uri="{147F2762-F138-4A5C-976F-8EAC2B608ADB}">
              <a16:predDERef xmlns:a16="http://schemas.microsoft.com/office/drawing/2014/main" pred="{FE6C3A8F-626F-43DF-8F52-10EB20247273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46" name="AutoShape 1">
          <a:extLst>
            <a:ext uri="{FF2B5EF4-FFF2-40B4-BE49-F238E27FC236}">
              <a16:creationId xmlns:a16="http://schemas.microsoft.com/office/drawing/2014/main" id="{9D6EA087-D0DD-4EC9-AAAF-6D3A2CFC3A5A}"/>
            </a:ext>
            <a:ext uri="{147F2762-F138-4A5C-976F-8EAC2B608ADB}">
              <a16:predDERef xmlns:a16="http://schemas.microsoft.com/office/drawing/2014/main" pred="{55D7F9CB-2F46-4999-BA20-791CE2419F4A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47" name="AutoShape 1">
          <a:extLst>
            <a:ext uri="{FF2B5EF4-FFF2-40B4-BE49-F238E27FC236}">
              <a16:creationId xmlns:a16="http://schemas.microsoft.com/office/drawing/2014/main" id="{63366B0B-7FE2-45C1-864C-B1B6D2C22802}"/>
            </a:ext>
            <a:ext uri="{147F2762-F138-4A5C-976F-8EAC2B608ADB}">
              <a16:predDERef xmlns:a16="http://schemas.microsoft.com/office/drawing/2014/main" pred="{9D6EA087-D0DD-4EC9-AAAF-6D3A2CFC3A5A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48" name="AutoShape 1">
          <a:extLst>
            <a:ext uri="{FF2B5EF4-FFF2-40B4-BE49-F238E27FC236}">
              <a16:creationId xmlns:a16="http://schemas.microsoft.com/office/drawing/2014/main" id="{D0AC3078-85FA-4807-AA00-A679A6D5EB31}"/>
            </a:ext>
            <a:ext uri="{147F2762-F138-4A5C-976F-8EAC2B608ADB}">
              <a16:predDERef xmlns:a16="http://schemas.microsoft.com/office/drawing/2014/main" pred="{63366B0B-7FE2-45C1-864C-B1B6D2C2280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49" name="AutoShape 1">
          <a:extLst>
            <a:ext uri="{FF2B5EF4-FFF2-40B4-BE49-F238E27FC236}">
              <a16:creationId xmlns:a16="http://schemas.microsoft.com/office/drawing/2014/main" id="{C5E7BCD6-B359-47BB-B0FB-13974485002F}"/>
            </a:ext>
            <a:ext uri="{147F2762-F138-4A5C-976F-8EAC2B608ADB}">
              <a16:predDERef xmlns:a16="http://schemas.microsoft.com/office/drawing/2014/main" pred="{D0AC3078-85FA-4807-AA00-A679A6D5EB3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150" name="AutoShape 1">
          <a:extLst>
            <a:ext uri="{FF2B5EF4-FFF2-40B4-BE49-F238E27FC236}">
              <a16:creationId xmlns:a16="http://schemas.microsoft.com/office/drawing/2014/main" id="{8AA9DDAA-E640-4A57-B0F1-0A03412A9464}"/>
            </a:ext>
            <a:ext uri="{147F2762-F138-4A5C-976F-8EAC2B608ADB}">
              <a16:predDERef xmlns:a16="http://schemas.microsoft.com/office/drawing/2014/main" pred="{C5E7BCD6-B359-47BB-B0FB-13974485002F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51" name="AutoShape 1">
          <a:extLst>
            <a:ext uri="{FF2B5EF4-FFF2-40B4-BE49-F238E27FC236}">
              <a16:creationId xmlns:a16="http://schemas.microsoft.com/office/drawing/2014/main" id="{BC238931-148E-4458-861A-9447429B2A3A}"/>
            </a:ext>
            <a:ext uri="{147F2762-F138-4A5C-976F-8EAC2B608ADB}">
              <a16:predDERef xmlns:a16="http://schemas.microsoft.com/office/drawing/2014/main" pred="{8AA9DDAA-E640-4A57-B0F1-0A03412A9464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52" name="AutoShape 1">
          <a:extLst>
            <a:ext uri="{FF2B5EF4-FFF2-40B4-BE49-F238E27FC236}">
              <a16:creationId xmlns:a16="http://schemas.microsoft.com/office/drawing/2014/main" id="{DB126DAF-ECEB-489B-8280-48FA403DCBA8}"/>
            </a:ext>
            <a:ext uri="{147F2762-F138-4A5C-976F-8EAC2B608ADB}">
              <a16:predDERef xmlns:a16="http://schemas.microsoft.com/office/drawing/2014/main" pred="{BC238931-148E-4458-861A-9447429B2A3A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53" name="AutoShape 1">
          <a:extLst>
            <a:ext uri="{FF2B5EF4-FFF2-40B4-BE49-F238E27FC236}">
              <a16:creationId xmlns:a16="http://schemas.microsoft.com/office/drawing/2014/main" id="{33B98646-D361-4095-8C8A-4064C994DDB4}"/>
            </a:ext>
            <a:ext uri="{147F2762-F138-4A5C-976F-8EAC2B608ADB}">
              <a16:predDERef xmlns:a16="http://schemas.microsoft.com/office/drawing/2014/main" pred="{DB126DAF-ECEB-489B-8280-48FA403DCBA8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54" name="AutoShape 1">
          <a:extLst>
            <a:ext uri="{FF2B5EF4-FFF2-40B4-BE49-F238E27FC236}">
              <a16:creationId xmlns:a16="http://schemas.microsoft.com/office/drawing/2014/main" id="{009B89E9-F4A1-4F8E-96C3-1E19646B09B1}"/>
            </a:ext>
            <a:ext uri="{147F2762-F138-4A5C-976F-8EAC2B608ADB}">
              <a16:predDERef xmlns:a16="http://schemas.microsoft.com/office/drawing/2014/main" pred="{33B98646-D361-4095-8C8A-4064C994DDB4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55" name="AutoShape 1">
          <a:extLst>
            <a:ext uri="{FF2B5EF4-FFF2-40B4-BE49-F238E27FC236}">
              <a16:creationId xmlns:a16="http://schemas.microsoft.com/office/drawing/2014/main" id="{1FE8D7FF-A9DA-435C-960C-ADBACD365F7A}"/>
            </a:ext>
            <a:ext uri="{147F2762-F138-4A5C-976F-8EAC2B608ADB}">
              <a16:predDERef xmlns:a16="http://schemas.microsoft.com/office/drawing/2014/main" pred="{009B89E9-F4A1-4F8E-96C3-1E19646B09B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156" name="AutoShape 1">
          <a:extLst>
            <a:ext uri="{FF2B5EF4-FFF2-40B4-BE49-F238E27FC236}">
              <a16:creationId xmlns:a16="http://schemas.microsoft.com/office/drawing/2014/main" id="{D0BE03DB-5807-4598-8FEA-7D0E8E27EA23}"/>
            </a:ext>
            <a:ext uri="{147F2762-F138-4A5C-976F-8EAC2B608ADB}">
              <a16:predDERef xmlns:a16="http://schemas.microsoft.com/office/drawing/2014/main" pred="{1FE8D7FF-A9DA-435C-960C-ADBACD365F7A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57" name="AutoShape 1">
          <a:extLst>
            <a:ext uri="{FF2B5EF4-FFF2-40B4-BE49-F238E27FC236}">
              <a16:creationId xmlns:a16="http://schemas.microsoft.com/office/drawing/2014/main" id="{8FB5FE4F-DCA3-4EF1-894E-6CF78806E683}"/>
            </a:ext>
            <a:ext uri="{147F2762-F138-4A5C-976F-8EAC2B608ADB}">
              <a16:predDERef xmlns:a16="http://schemas.microsoft.com/office/drawing/2014/main" pred="{D0BE03DB-5807-4598-8FEA-7D0E8E27EA23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58" name="AutoShape 1">
          <a:extLst>
            <a:ext uri="{FF2B5EF4-FFF2-40B4-BE49-F238E27FC236}">
              <a16:creationId xmlns:a16="http://schemas.microsoft.com/office/drawing/2014/main" id="{DB08DD3D-2847-4922-B8FB-EC62601F12FC}"/>
            </a:ext>
            <a:ext uri="{147F2762-F138-4A5C-976F-8EAC2B608ADB}">
              <a16:predDERef xmlns:a16="http://schemas.microsoft.com/office/drawing/2014/main" pred="{8FB5FE4F-DCA3-4EF1-894E-6CF78806E683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59" name="AutoShape 1">
          <a:extLst>
            <a:ext uri="{FF2B5EF4-FFF2-40B4-BE49-F238E27FC236}">
              <a16:creationId xmlns:a16="http://schemas.microsoft.com/office/drawing/2014/main" id="{04852087-8AA5-4BC2-BE9D-844D5ACEB8F7}"/>
            </a:ext>
            <a:ext uri="{147F2762-F138-4A5C-976F-8EAC2B608ADB}">
              <a16:predDERef xmlns:a16="http://schemas.microsoft.com/office/drawing/2014/main" pred="{DB08DD3D-2847-4922-B8FB-EC62601F12F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60" name="AutoShape 1">
          <a:extLst>
            <a:ext uri="{FF2B5EF4-FFF2-40B4-BE49-F238E27FC236}">
              <a16:creationId xmlns:a16="http://schemas.microsoft.com/office/drawing/2014/main" id="{06C14D3A-F7DD-498B-AE23-A775B3A85F61}"/>
            </a:ext>
            <a:ext uri="{147F2762-F138-4A5C-976F-8EAC2B608ADB}">
              <a16:predDERef xmlns:a16="http://schemas.microsoft.com/office/drawing/2014/main" pred="{04852087-8AA5-4BC2-BE9D-844D5ACEB8F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61" name="AutoShape 1">
          <a:extLst>
            <a:ext uri="{FF2B5EF4-FFF2-40B4-BE49-F238E27FC236}">
              <a16:creationId xmlns:a16="http://schemas.microsoft.com/office/drawing/2014/main" id="{74533EE9-7368-4BF9-9ABB-C8221CA79DDA}"/>
            </a:ext>
            <a:ext uri="{147F2762-F138-4A5C-976F-8EAC2B608ADB}">
              <a16:predDERef xmlns:a16="http://schemas.microsoft.com/office/drawing/2014/main" pred="{06C14D3A-F7DD-498B-AE23-A775B3A85F6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62" name="AutoShape 1">
          <a:extLst>
            <a:ext uri="{FF2B5EF4-FFF2-40B4-BE49-F238E27FC236}">
              <a16:creationId xmlns:a16="http://schemas.microsoft.com/office/drawing/2014/main" id="{403FC6E0-6822-491E-A73C-F63B4937712A}"/>
            </a:ext>
            <a:ext uri="{147F2762-F138-4A5C-976F-8EAC2B608ADB}">
              <a16:predDERef xmlns:a16="http://schemas.microsoft.com/office/drawing/2014/main" pred="{74533EE9-7368-4BF9-9ABB-C8221CA79DDA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63" name="AutoShape 1">
          <a:extLst>
            <a:ext uri="{FF2B5EF4-FFF2-40B4-BE49-F238E27FC236}">
              <a16:creationId xmlns:a16="http://schemas.microsoft.com/office/drawing/2014/main" id="{F215FA99-0026-4076-ACC9-ECEEE34D9751}"/>
            </a:ext>
            <a:ext uri="{147F2762-F138-4A5C-976F-8EAC2B608ADB}">
              <a16:predDERef xmlns:a16="http://schemas.microsoft.com/office/drawing/2014/main" pred="{403FC6E0-6822-491E-A73C-F63B4937712A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164" name="AutoShape 1">
          <a:extLst>
            <a:ext uri="{FF2B5EF4-FFF2-40B4-BE49-F238E27FC236}">
              <a16:creationId xmlns:a16="http://schemas.microsoft.com/office/drawing/2014/main" id="{90A0A84A-813D-42D6-9C01-3F4E18B4B3B5}"/>
            </a:ext>
            <a:ext uri="{147F2762-F138-4A5C-976F-8EAC2B608ADB}">
              <a16:predDERef xmlns:a16="http://schemas.microsoft.com/office/drawing/2014/main" pred="{F215FA99-0026-4076-ACC9-ECEEE34D9751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65" name="AutoShape 1">
          <a:extLst>
            <a:ext uri="{FF2B5EF4-FFF2-40B4-BE49-F238E27FC236}">
              <a16:creationId xmlns:a16="http://schemas.microsoft.com/office/drawing/2014/main" id="{4D5D4B35-A0EA-4402-8C1F-C4812DE1812A}"/>
            </a:ext>
            <a:ext uri="{147F2762-F138-4A5C-976F-8EAC2B608ADB}">
              <a16:predDERef xmlns:a16="http://schemas.microsoft.com/office/drawing/2014/main" pred="{90A0A84A-813D-42D6-9C01-3F4E18B4B3B5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66" name="AutoShape 1">
          <a:extLst>
            <a:ext uri="{FF2B5EF4-FFF2-40B4-BE49-F238E27FC236}">
              <a16:creationId xmlns:a16="http://schemas.microsoft.com/office/drawing/2014/main" id="{7FD50A36-83C0-4924-8BC1-092E34C8E663}"/>
            </a:ext>
            <a:ext uri="{147F2762-F138-4A5C-976F-8EAC2B608ADB}">
              <a16:predDERef xmlns:a16="http://schemas.microsoft.com/office/drawing/2014/main" pred="{4D5D4B35-A0EA-4402-8C1F-C4812DE1812A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67" name="AutoShape 1">
          <a:extLst>
            <a:ext uri="{FF2B5EF4-FFF2-40B4-BE49-F238E27FC236}">
              <a16:creationId xmlns:a16="http://schemas.microsoft.com/office/drawing/2014/main" id="{D7651D28-DCFC-411E-B44C-405238E07256}"/>
            </a:ext>
            <a:ext uri="{147F2762-F138-4A5C-976F-8EAC2B608ADB}">
              <a16:predDERef xmlns:a16="http://schemas.microsoft.com/office/drawing/2014/main" pred="{7FD50A36-83C0-4924-8BC1-092E34C8E663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68" name="AutoShape 1">
          <a:extLst>
            <a:ext uri="{FF2B5EF4-FFF2-40B4-BE49-F238E27FC236}">
              <a16:creationId xmlns:a16="http://schemas.microsoft.com/office/drawing/2014/main" id="{C38F702B-C4BB-4908-9280-C48EC41A6305}"/>
            </a:ext>
            <a:ext uri="{147F2762-F138-4A5C-976F-8EAC2B608ADB}">
              <a16:predDERef xmlns:a16="http://schemas.microsoft.com/office/drawing/2014/main" pred="{D7651D28-DCFC-411E-B44C-405238E07256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69" name="AutoShape 1">
          <a:extLst>
            <a:ext uri="{FF2B5EF4-FFF2-40B4-BE49-F238E27FC236}">
              <a16:creationId xmlns:a16="http://schemas.microsoft.com/office/drawing/2014/main" id="{3E470ED8-ABB1-416C-A02D-0C45CE2D0C59}"/>
            </a:ext>
            <a:ext uri="{147F2762-F138-4A5C-976F-8EAC2B608ADB}">
              <a16:predDERef xmlns:a16="http://schemas.microsoft.com/office/drawing/2014/main" pred="{C38F702B-C4BB-4908-9280-C48EC41A6305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70" name="AutoShape 1">
          <a:extLst>
            <a:ext uri="{FF2B5EF4-FFF2-40B4-BE49-F238E27FC236}">
              <a16:creationId xmlns:a16="http://schemas.microsoft.com/office/drawing/2014/main" id="{035248E1-F2C7-437E-A54B-3E3614F4F17A}"/>
            </a:ext>
            <a:ext uri="{147F2762-F138-4A5C-976F-8EAC2B608ADB}">
              <a16:predDERef xmlns:a16="http://schemas.microsoft.com/office/drawing/2014/main" pred="{3E470ED8-ABB1-416C-A02D-0C45CE2D0C59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71" name="AutoShape 1">
          <a:extLst>
            <a:ext uri="{FF2B5EF4-FFF2-40B4-BE49-F238E27FC236}">
              <a16:creationId xmlns:a16="http://schemas.microsoft.com/office/drawing/2014/main" id="{6842C542-7044-42FC-8184-51DEECE5478D}"/>
            </a:ext>
            <a:ext uri="{147F2762-F138-4A5C-976F-8EAC2B608ADB}">
              <a16:predDERef xmlns:a16="http://schemas.microsoft.com/office/drawing/2014/main" pred="{035248E1-F2C7-437E-A54B-3E3614F4F17A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172" name="AutoShape 1">
          <a:extLst>
            <a:ext uri="{FF2B5EF4-FFF2-40B4-BE49-F238E27FC236}">
              <a16:creationId xmlns:a16="http://schemas.microsoft.com/office/drawing/2014/main" id="{CDA4479B-7D15-488E-84F7-A655AB3AFA62}"/>
            </a:ext>
            <a:ext uri="{147F2762-F138-4A5C-976F-8EAC2B608ADB}">
              <a16:predDERef xmlns:a16="http://schemas.microsoft.com/office/drawing/2014/main" pred="{6842C542-7044-42FC-8184-51DEECE5478D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73" name="AutoShape 1">
          <a:extLst>
            <a:ext uri="{FF2B5EF4-FFF2-40B4-BE49-F238E27FC236}">
              <a16:creationId xmlns:a16="http://schemas.microsoft.com/office/drawing/2014/main" id="{DB4C9C04-7C7C-43A7-BB79-F9EC55B33E65}"/>
            </a:ext>
            <a:ext uri="{147F2762-F138-4A5C-976F-8EAC2B608ADB}">
              <a16:predDERef xmlns:a16="http://schemas.microsoft.com/office/drawing/2014/main" pred="{CDA4479B-7D15-488E-84F7-A655AB3AFA6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74" name="AutoShape 1">
          <a:extLst>
            <a:ext uri="{FF2B5EF4-FFF2-40B4-BE49-F238E27FC236}">
              <a16:creationId xmlns:a16="http://schemas.microsoft.com/office/drawing/2014/main" id="{29669536-2CEE-4D1B-B7A5-364C99DEDBE2}"/>
            </a:ext>
            <a:ext uri="{147F2762-F138-4A5C-976F-8EAC2B608ADB}">
              <a16:predDERef xmlns:a16="http://schemas.microsoft.com/office/drawing/2014/main" pred="{DB4C9C04-7C7C-43A7-BB79-F9EC55B33E65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75" name="AutoShape 1">
          <a:extLst>
            <a:ext uri="{FF2B5EF4-FFF2-40B4-BE49-F238E27FC236}">
              <a16:creationId xmlns:a16="http://schemas.microsoft.com/office/drawing/2014/main" id="{DD975731-2239-42E4-8469-50AE404E802C}"/>
            </a:ext>
            <a:ext uri="{147F2762-F138-4A5C-976F-8EAC2B608ADB}">
              <a16:predDERef xmlns:a16="http://schemas.microsoft.com/office/drawing/2014/main" pred="{29669536-2CEE-4D1B-B7A5-364C99DEDBE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76" name="AutoShape 1">
          <a:extLst>
            <a:ext uri="{FF2B5EF4-FFF2-40B4-BE49-F238E27FC236}">
              <a16:creationId xmlns:a16="http://schemas.microsoft.com/office/drawing/2014/main" id="{17962946-C92A-44CF-BC4A-B3D015531F25}"/>
            </a:ext>
            <a:ext uri="{147F2762-F138-4A5C-976F-8EAC2B608ADB}">
              <a16:predDERef xmlns:a16="http://schemas.microsoft.com/office/drawing/2014/main" pred="{DD975731-2239-42E4-8469-50AE404E802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77" name="AutoShape 1">
          <a:extLst>
            <a:ext uri="{FF2B5EF4-FFF2-40B4-BE49-F238E27FC236}">
              <a16:creationId xmlns:a16="http://schemas.microsoft.com/office/drawing/2014/main" id="{CC6A5669-4ABB-4FB7-BDDD-9529EB4CEFB3}"/>
            </a:ext>
            <a:ext uri="{147F2762-F138-4A5C-976F-8EAC2B608ADB}">
              <a16:predDERef xmlns:a16="http://schemas.microsoft.com/office/drawing/2014/main" pred="{17962946-C92A-44CF-BC4A-B3D015531F25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178" name="AutoShape 1">
          <a:extLst>
            <a:ext uri="{FF2B5EF4-FFF2-40B4-BE49-F238E27FC236}">
              <a16:creationId xmlns:a16="http://schemas.microsoft.com/office/drawing/2014/main" id="{F3F22BE1-4254-4CF3-A315-2EE242427AA1}"/>
            </a:ext>
            <a:ext uri="{147F2762-F138-4A5C-976F-8EAC2B608ADB}">
              <a16:predDERef xmlns:a16="http://schemas.microsoft.com/office/drawing/2014/main" pred="{CC6A5669-4ABB-4FB7-BDDD-9529EB4CEFB3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79" name="AutoShape 1">
          <a:extLst>
            <a:ext uri="{FF2B5EF4-FFF2-40B4-BE49-F238E27FC236}">
              <a16:creationId xmlns:a16="http://schemas.microsoft.com/office/drawing/2014/main" id="{5C5CEB0B-23CA-4894-9DF6-32C093C42617}"/>
            </a:ext>
            <a:ext uri="{147F2762-F138-4A5C-976F-8EAC2B608ADB}">
              <a16:predDERef xmlns:a16="http://schemas.microsoft.com/office/drawing/2014/main" pred="{F3F22BE1-4254-4CF3-A315-2EE242427AA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80" name="AutoShape 1">
          <a:extLst>
            <a:ext uri="{FF2B5EF4-FFF2-40B4-BE49-F238E27FC236}">
              <a16:creationId xmlns:a16="http://schemas.microsoft.com/office/drawing/2014/main" id="{C4F6F57F-4DE8-4FE5-A506-3C58582C46F2}"/>
            </a:ext>
            <a:ext uri="{147F2762-F138-4A5C-976F-8EAC2B608ADB}">
              <a16:predDERef xmlns:a16="http://schemas.microsoft.com/office/drawing/2014/main" pred="{5C5CEB0B-23CA-4894-9DF6-32C093C4261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81" name="AutoShape 1">
          <a:extLst>
            <a:ext uri="{FF2B5EF4-FFF2-40B4-BE49-F238E27FC236}">
              <a16:creationId xmlns:a16="http://schemas.microsoft.com/office/drawing/2014/main" id="{53900780-1166-4B4D-B662-E407EC3E93D9}"/>
            </a:ext>
            <a:ext uri="{147F2762-F138-4A5C-976F-8EAC2B608ADB}">
              <a16:predDERef xmlns:a16="http://schemas.microsoft.com/office/drawing/2014/main" pred="{C4F6F57F-4DE8-4FE5-A506-3C58582C46F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82" name="AutoShape 1">
          <a:extLst>
            <a:ext uri="{FF2B5EF4-FFF2-40B4-BE49-F238E27FC236}">
              <a16:creationId xmlns:a16="http://schemas.microsoft.com/office/drawing/2014/main" id="{88A98530-FAE3-46A2-916D-DDBC01C6E777}"/>
            </a:ext>
            <a:ext uri="{147F2762-F138-4A5C-976F-8EAC2B608ADB}">
              <a16:predDERef xmlns:a16="http://schemas.microsoft.com/office/drawing/2014/main" pred="{53900780-1166-4B4D-B662-E407EC3E93D9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83" name="AutoShape 1">
          <a:extLst>
            <a:ext uri="{FF2B5EF4-FFF2-40B4-BE49-F238E27FC236}">
              <a16:creationId xmlns:a16="http://schemas.microsoft.com/office/drawing/2014/main" id="{30FEB9EF-99D6-4CCE-B232-4C8DD3C1D96A}"/>
            </a:ext>
            <a:ext uri="{147F2762-F138-4A5C-976F-8EAC2B608ADB}">
              <a16:predDERef xmlns:a16="http://schemas.microsoft.com/office/drawing/2014/main" pred="{88A98530-FAE3-46A2-916D-DDBC01C6E77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84" name="AutoShape 1">
          <a:extLst>
            <a:ext uri="{FF2B5EF4-FFF2-40B4-BE49-F238E27FC236}">
              <a16:creationId xmlns:a16="http://schemas.microsoft.com/office/drawing/2014/main" id="{93DEF9B3-2F33-4E71-87EA-BB99B07091E5}"/>
            </a:ext>
            <a:ext uri="{147F2762-F138-4A5C-976F-8EAC2B608ADB}">
              <a16:predDERef xmlns:a16="http://schemas.microsoft.com/office/drawing/2014/main" pred="{30FEB9EF-99D6-4CCE-B232-4C8DD3C1D96A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85" name="AutoShape 1">
          <a:extLst>
            <a:ext uri="{FF2B5EF4-FFF2-40B4-BE49-F238E27FC236}">
              <a16:creationId xmlns:a16="http://schemas.microsoft.com/office/drawing/2014/main" id="{D0B810AE-2CBF-4A73-A4F9-AAD18A593306}"/>
            </a:ext>
            <a:ext uri="{147F2762-F138-4A5C-976F-8EAC2B608ADB}">
              <a16:predDERef xmlns:a16="http://schemas.microsoft.com/office/drawing/2014/main" pred="{93DEF9B3-2F33-4E71-87EA-BB99B07091E5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186" name="AutoShape 1">
          <a:extLst>
            <a:ext uri="{FF2B5EF4-FFF2-40B4-BE49-F238E27FC236}">
              <a16:creationId xmlns:a16="http://schemas.microsoft.com/office/drawing/2014/main" id="{E02C9675-5251-41EF-963B-5D64BF651B60}"/>
            </a:ext>
            <a:ext uri="{147F2762-F138-4A5C-976F-8EAC2B608ADB}">
              <a16:predDERef xmlns:a16="http://schemas.microsoft.com/office/drawing/2014/main" pred="{D0B810AE-2CBF-4A73-A4F9-AAD18A593306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87" name="AutoShape 1">
          <a:extLst>
            <a:ext uri="{FF2B5EF4-FFF2-40B4-BE49-F238E27FC236}">
              <a16:creationId xmlns:a16="http://schemas.microsoft.com/office/drawing/2014/main" id="{6F3D88FB-B9C4-43E0-8661-37030C20D601}"/>
            </a:ext>
            <a:ext uri="{147F2762-F138-4A5C-976F-8EAC2B608ADB}">
              <a16:predDERef xmlns:a16="http://schemas.microsoft.com/office/drawing/2014/main" pred="{E02C9675-5251-41EF-963B-5D64BF651B60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88" name="AutoShape 1">
          <a:extLst>
            <a:ext uri="{FF2B5EF4-FFF2-40B4-BE49-F238E27FC236}">
              <a16:creationId xmlns:a16="http://schemas.microsoft.com/office/drawing/2014/main" id="{BA1B287F-9979-4AEF-A19E-0C38F836FB2C}"/>
            </a:ext>
            <a:ext uri="{147F2762-F138-4A5C-976F-8EAC2B608ADB}">
              <a16:predDERef xmlns:a16="http://schemas.microsoft.com/office/drawing/2014/main" pred="{6F3D88FB-B9C4-43E0-8661-37030C20D60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89" name="AutoShape 1">
          <a:extLst>
            <a:ext uri="{FF2B5EF4-FFF2-40B4-BE49-F238E27FC236}">
              <a16:creationId xmlns:a16="http://schemas.microsoft.com/office/drawing/2014/main" id="{4BABC0EA-5D7B-444E-9C55-1F19FB3DB213}"/>
            </a:ext>
            <a:ext uri="{147F2762-F138-4A5C-976F-8EAC2B608ADB}">
              <a16:predDERef xmlns:a16="http://schemas.microsoft.com/office/drawing/2014/main" pred="{BA1B287F-9979-4AEF-A19E-0C38F836FB2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90" name="AutoShape 1">
          <a:extLst>
            <a:ext uri="{FF2B5EF4-FFF2-40B4-BE49-F238E27FC236}">
              <a16:creationId xmlns:a16="http://schemas.microsoft.com/office/drawing/2014/main" id="{F5C65946-9A75-49A0-8D95-3421F24A0A3A}"/>
            </a:ext>
            <a:ext uri="{147F2762-F138-4A5C-976F-8EAC2B608ADB}">
              <a16:predDERef xmlns:a16="http://schemas.microsoft.com/office/drawing/2014/main" pred="{4BABC0EA-5D7B-444E-9C55-1F19FB3DB213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91" name="AutoShape 1">
          <a:extLst>
            <a:ext uri="{FF2B5EF4-FFF2-40B4-BE49-F238E27FC236}">
              <a16:creationId xmlns:a16="http://schemas.microsoft.com/office/drawing/2014/main" id="{4F2A2BE9-7AB3-41C9-BB76-B85BF3703AE7}"/>
            </a:ext>
            <a:ext uri="{147F2762-F138-4A5C-976F-8EAC2B608ADB}">
              <a16:predDERef xmlns:a16="http://schemas.microsoft.com/office/drawing/2014/main" pred="{F5C65946-9A75-49A0-8D95-3421F24A0A3A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92" name="AutoShape 1">
          <a:extLst>
            <a:ext uri="{FF2B5EF4-FFF2-40B4-BE49-F238E27FC236}">
              <a16:creationId xmlns:a16="http://schemas.microsoft.com/office/drawing/2014/main" id="{0D880400-366B-417C-ADBA-EF05FC4BBA62}"/>
            </a:ext>
            <a:ext uri="{147F2762-F138-4A5C-976F-8EAC2B608ADB}">
              <a16:predDERef xmlns:a16="http://schemas.microsoft.com/office/drawing/2014/main" pred="{4F2A2BE9-7AB3-41C9-BB76-B85BF3703AE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93" name="AutoShape 1">
          <a:extLst>
            <a:ext uri="{FF2B5EF4-FFF2-40B4-BE49-F238E27FC236}">
              <a16:creationId xmlns:a16="http://schemas.microsoft.com/office/drawing/2014/main" id="{45081970-175C-4DBB-9ED7-777656D47223}"/>
            </a:ext>
            <a:ext uri="{147F2762-F138-4A5C-976F-8EAC2B608ADB}">
              <a16:predDERef xmlns:a16="http://schemas.microsoft.com/office/drawing/2014/main" pred="{0D880400-366B-417C-ADBA-EF05FC4BBA6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194" name="AutoShape 1">
          <a:extLst>
            <a:ext uri="{FF2B5EF4-FFF2-40B4-BE49-F238E27FC236}">
              <a16:creationId xmlns:a16="http://schemas.microsoft.com/office/drawing/2014/main" id="{CD754FB9-8912-47BE-817E-73FF2D1ABFBF}"/>
            </a:ext>
            <a:ext uri="{147F2762-F138-4A5C-976F-8EAC2B608ADB}">
              <a16:predDERef xmlns:a16="http://schemas.microsoft.com/office/drawing/2014/main" pred="{45081970-175C-4DBB-9ED7-777656D47223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95" name="AutoShape 1">
          <a:extLst>
            <a:ext uri="{FF2B5EF4-FFF2-40B4-BE49-F238E27FC236}">
              <a16:creationId xmlns:a16="http://schemas.microsoft.com/office/drawing/2014/main" id="{EDF47AAE-78D0-464F-8CD5-3679F1530F24}"/>
            </a:ext>
            <a:ext uri="{147F2762-F138-4A5C-976F-8EAC2B608ADB}">
              <a16:predDERef xmlns:a16="http://schemas.microsoft.com/office/drawing/2014/main" pred="{CD754FB9-8912-47BE-817E-73FF2D1ABFBF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96" name="AutoShape 1">
          <a:extLst>
            <a:ext uri="{FF2B5EF4-FFF2-40B4-BE49-F238E27FC236}">
              <a16:creationId xmlns:a16="http://schemas.microsoft.com/office/drawing/2014/main" id="{A8B63FDC-FF0D-4D47-8CDC-61D25E38D5EE}"/>
            </a:ext>
            <a:ext uri="{147F2762-F138-4A5C-976F-8EAC2B608ADB}">
              <a16:predDERef xmlns:a16="http://schemas.microsoft.com/office/drawing/2014/main" pred="{EDF47AAE-78D0-464F-8CD5-3679F1530F24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97" name="AutoShape 1">
          <a:extLst>
            <a:ext uri="{FF2B5EF4-FFF2-40B4-BE49-F238E27FC236}">
              <a16:creationId xmlns:a16="http://schemas.microsoft.com/office/drawing/2014/main" id="{7C41DA80-2773-46F0-AEAA-BF1DC8891A63}"/>
            </a:ext>
            <a:ext uri="{147F2762-F138-4A5C-976F-8EAC2B608ADB}">
              <a16:predDERef xmlns:a16="http://schemas.microsoft.com/office/drawing/2014/main" pred="{A8B63FDC-FF0D-4D47-8CDC-61D25E38D5EE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98" name="AutoShape 1">
          <a:extLst>
            <a:ext uri="{FF2B5EF4-FFF2-40B4-BE49-F238E27FC236}">
              <a16:creationId xmlns:a16="http://schemas.microsoft.com/office/drawing/2014/main" id="{CD8E9529-B119-4F07-95E5-B6FAD133282C}"/>
            </a:ext>
            <a:ext uri="{147F2762-F138-4A5C-976F-8EAC2B608ADB}">
              <a16:predDERef xmlns:a16="http://schemas.microsoft.com/office/drawing/2014/main" pred="{7C41DA80-2773-46F0-AEAA-BF1DC8891A63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199" name="AutoShape 1">
          <a:extLst>
            <a:ext uri="{FF2B5EF4-FFF2-40B4-BE49-F238E27FC236}">
              <a16:creationId xmlns:a16="http://schemas.microsoft.com/office/drawing/2014/main" id="{E453089D-A029-4A85-8D25-682F3174DD8F}"/>
            </a:ext>
            <a:ext uri="{147F2762-F138-4A5C-976F-8EAC2B608ADB}">
              <a16:predDERef xmlns:a16="http://schemas.microsoft.com/office/drawing/2014/main" pred="{CD8E9529-B119-4F07-95E5-B6FAD133282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200" name="AutoShape 1">
          <a:extLst>
            <a:ext uri="{FF2B5EF4-FFF2-40B4-BE49-F238E27FC236}">
              <a16:creationId xmlns:a16="http://schemas.microsoft.com/office/drawing/2014/main" id="{4C8EF8AA-E775-4180-978A-FB8C712E8AC4}"/>
            </a:ext>
            <a:ext uri="{147F2762-F138-4A5C-976F-8EAC2B608ADB}">
              <a16:predDERef xmlns:a16="http://schemas.microsoft.com/office/drawing/2014/main" pred="{E453089D-A029-4A85-8D25-682F3174DD8F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01" name="AutoShape 1">
          <a:extLst>
            <a:ext uri="{FF2B5EF4-FFF2-40B4-BE49-F238E27FC236}">
              <a16:creationId xmlns:a16="http://schemas.microsoft.com/office/drawing/2014/main" id="{61BBC5A3-92C3-497B-81A5-6E79FF7A4B63}"/>
            </a:ext>
            <a:ext uri="{147F2762-F138-4A5C-976F-8EAC2B608ADB}">
              <a16:predDERef xmlns:a16="http://schemas.microsoft.com/office/drawing/2014/main" pred="{4C8EF8AA-E775-4180-978A-FB8C712E8AC4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02" name="AutoShape 1">
          <a:extLst>
            <a:ext uri="{FF2B5EF4-FFF2-40B4-BE49-F238E27FC236}">
              <a16:creationId xmlns:a16="http://schemas.microsoft.com/office/drawing/2014/main" id="{E77DBF9E-E80A-4614-BA05-DF940A5A66F9}"/>
            </a:ext>
            <a:ext uri="{147F2762-F138-4A5C-976F-8EAC2B608ADB}">
              <a16:predDERef xmlns:a16="http://schemas.microsoft.com/office/drawing/2014/main" pred="{61BBC5A3-92C3-497B-81A5-6E79FF7A4B63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03" name="AutoShape 1">
          <a:extLst>
            <a:ext uri="{FF2B5EF4-FFF2-40B4-BE49-F238E27FC236}">
              <a16:creationId xmlns:a16="http://schemas.microsoft.com/office/drawing/2014/main" id="{6D0D4E89-57A5-4800-BF00-E2BF0A27E5C6}"/>
            </a:ext>
            <a:ext uri="{147F2762-F138-4A5C-976F-8EAC2B608ADB}">
              <a16:predDERef xmlns:a16="http://schemas.microsoft.com/office/drawing/2014/main" pred="{E77DBF9E-E80A-4614-BA05-DF940A5A66F9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04" name="AutoShape 1">
          <a:extLst>
            <a:ext uri="{FF2B5EF4-FFF2-40B4-BE49-F238E27FC236}">
              <a16:creationId xmlns:a16="http://schemas.microsoft.com/office/drawing/2014/main" id="{D4E7E4AB-3AB4-4E6F-AAC5-B78A3A924F4F}"/>
            </a:ext>
            <a:ext uri="{147F2762-F138-4A5C-976F-8EAC2B608ADB}">
              <a16:predDERef xmlns:a16="http://schemas.microsoft.com/office/drawing/2014/main" pred="{6D0D4E89-57A5-4800-BF00-E2BF0A27E5C6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05" name="AutoShape 1">
          <a:extLst>
            <a:ext uri="{FF2B5EF4-FFF2-40B4-BE49-F238E27FC236}">
              <a16:creationId xmlns:a16="http://schemas.microsoft.com/office/drawing/2014/main" id="{092BAD35-2682-4375-A33E-0E53089FD6FD}"/>
            </a:ext>
            <a:ext uri="{147F2762-F138-4A5C-976F-8EAC2B608ADB}">
              <a16:predDERef xmlns:a16="http://schemas.microsoft.com/office/drawing/2014/main" pred="{D4E7E4AB-3AB4-4E6F-AAC5-B78A3A924F4F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06" name="AutoShape 1">
          <a:extLst>
            <a:ext uri="{FF2B5EF4-FFF2-40B4-BE49-F238E27FC236}">
              <a16:creationId xmlns:a16="http://schemas.microsoft.com/office/drawing/2014/main" id="{E5087B76-70F0-4F9D-B9B6-5BDC74042CF5}"/>
            </a:ext>
            <a:ext uri="{147F2762-F138-4A5C-976F-8EAC2B608ADB}">
              <a16:predDERef xmlns:a16="http://schemas.microsoft.com/office/drawing/2014/main" pred="{092BAD35-2682-4375-A33E-0E53089FD6FD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07" name="AutoShape 1">
          <a:extLst>
            <a:ext uri="{FF2B5EF4-FFF2-40B4-BE49-F238E27FC236}">
              <a16:creationId xmlns:a16="http://schemas.microsoft.com/office/drawing/2014/main" id="{3DD40CAA-CE84-4CCB-A6A2-E221E6B21FEB}"/>
            </a:ext>
            <a:ext uri="{147F2762-F138-4A5C-976F-8EAC2B608ADB}">
              <a16:predDERef xmlns:a16="http://schemas.microsoft.com/office/drawing/2014/main" pred="{E5087B76-70F0-4F9D-B9B6-5BDC74042CF5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208" name="AutoShape 1">
          <a:extLst>
            <a:ext uri="{FF2B5EF4-FFF2-40B4-BE49-F238E27FC236}">
              <a16:creationId xmlns:a16="http://schemas.microsoft.com/office/drawing/2014/main" id="{DC7D5A25-9B03-455E-ACFD-C97B4871D971}"/>
            </a:ext>
            <a:ext uri="{147F2762-F138-4A5C-976F-8EAC2B608ADB}">
              <a16:predDERef xmlns:a16="http://schemas.microsoft.com/office/drawing/2014/main" pred="{3DD40CAA-CE84-4CCB-A6A2-E221E6B21FEB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09" name="AutoShape 1">
          <a:extLst>
            <a:ext uri="{FF2B5EF4-FFF2-40B4-BE49-F238E27FC236}">
              <a16:creationId xmlns:a16="http://schemas.microsoft.com/office/drawing/2014/main" id="{3B1A4921-C58D-4A37-9145-51D3CCEB1393}"/>
            </a:ext>
            <a:ext uri="{147F2762-F138-4A5C-976F-8EAC2B608ADB}">
              <a16:predDERef xmlns:a16="http://schemas.microsoft.com/office/drawing/2014/main" pred="{DC7D5A25-9B03-455E-ACFD-C97B4871D97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10" name="AutoShape 1">
          <a:extLst>
            <a:ext uri="{FF2B5EF4-FFF2-40B4-BE49-F238E27FC236}">
              <a16:creationId xmlns:a16="http://schemas.microsoft.com/office/drawing/2014/main" id="{5EAD1EE9-A79E-4C1A-B4E2-749328830A42}"/>
            </a:ext>
            <a:ext uri="{147F2762-F138-4A5C-976F-8EAC2B608ADB}">
              <a16:predDERef xmlns:a16="http://schemas.microsoft.com/office/drawing/2014/main" pred="{3B1A4921-C58D-4A37-9145-51D3CCEB1393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11" name="AutoShape 1">
          <a:extLst>
            <a:ext uri="{FF2B5EF4-FFF2-40B4-BE49-F238E27FC236}">
              <a16:creationId xmlns:a16="http://schemas.microsoft.com/office/drawing/2014/main" id="{19A7564B-D7F1-42A8-9BA3-2B24928F4555}"/>
            </a:ext>
            <a:ext uri="{147F2762-F138-4A5C-976F-8EAC2B608ADB}">
              <a16:predDERef xmlns:a16="http://schemas.microsoft.com/office/drawing/2014/main" pred="{5EAD1EE9-A79E-4C1A-B4E2-749328830A4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12" name="AutoShape 1">
          <a:extLst>
            <a:ext uri="{FF2B5EF4-FFF2-40B4-BE49-F238E27FC236}">
              <a16:creationId xmlns:a16="http://schemas.microsoft.com/office/drawing/2014/main" id="{42E42220-0E73-4A38-8CAE-8DE18A70B673}"/>
            </a:ext>
            <a:ext uri="{147F2762-F138-4A5C-976F-8EAC2B608ADB}">
              <a16:predDERef xmlns:a16="http://schemas.microsoft.com/office/drawing/2014/main" pred="{19A7564B-D7F1-42A8-9BA3-2B24928F4555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13" name="AutoShape 1">
          <a:extLst>
            <a:ext uri="{FF2B5EF4-FFF2-40B4-BE49-F238E27FC236}">
              <a16:creationId xmlns:a16="http://schemas.microsoft.com/office/drawing/2014/main" id="{312A34AF-350D-40D2-A00F-D7F14699BD6B}"/>
            </a:ext>
            <a:ext uri="{147F2762-F138-4A5C-976F-8EAC2B608ADB}">
              <a16:predDERef xmlns:a16="http://schemas.microsoft.com/office/drawing/2014/main" pred="{42E42220-0E73-4A38-8CAE-8DE18A70B673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14" name="AutoShape 1">
          <a:extLst>
            <a:ext uri="{FF2B5EF4-FFF2-40B4-BE49-F238E27FC236}">
              <a16:creationId xmlns:a16="http://schemas.microsoft.com/office/drawing/2014/main" id="{C938AD9A-1542-4B2A-B094-A629D32D25D9}"/>
            </a:ext>
            <a:ext uri="{147F2762-F138-4A5C-976F-8EAC2B608ADB}">
              <a16:predDERef xmlns:a16="http://schemas.microsoft.com/office/drawing/2014/main" pred="{312A34AF-350D-40D2-A00F-D7F14699BD6B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15" name="AutoShape 1">
          <a:extLst>
            <a:ext uri="{FF2B5EF4-FFF2-40B4-BE49-F238E27FC236}">
              <a16:creationId xmlns:a16="http://schemas.microsoft.com/office/drawing/2014/main" id="{4E1B678A-5B28-4873-9F9E-8CB0A28A7BAC}"/>
            </a:ext>
            <a:ext uri="{147F2762-F138-4A5C-976F-8EAC2B608ADB}">
              <a16:predDERef xmlns:a16="http://schemas.microsoft.com/office/drawing/2014/main" pred="{C938AD9A-1542-4B2A-B094-A629D32D25D9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216" name="AutoShape 1">
          <a:extLst>
            <a:ext uri="{FF2B5EF4-FFF2-40B4-BE49-F238E27FC236}">
              <a16:creationId xmlns:a16="http://schemas.microsoft.com/office/drawing/2014/main" id="{66AB2107-FE71-4B16-9590-76E46644A02A}"/>
            </a:ext>
            <a:ext uri="{147F2762-F138-4A5C-976F-8EAC2B608ADB}">
              <a16:predDERef xmlns:a16="http://schemas.microsoft.com/office/drawing/2014/main" pred="{4E1B678A-5B28-4873-9F9E-8CB0A28A7BAC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17" name="AutoShape 1">
          <a:extLst>
            <a:ext uri="{FF2B5EF4-FFF2-40B4-BE49-F238E27FC236}">
              <a16:creationId xmlns:a16="http://schemas.microsoft.com/office/drawing/2014/main" id="{5F03543C-0BA4-4C55-9CD9-815A03E57AA1}"/>
            </a:ext>
            <a:ext uri="{147F2762-F138-4A5C-976F-8EAC2B608ADB}">
              <a16:predDERef xmlns:a16="http://schemas.microsoft.com/office/drawing/2014/main" pred="{66AB2107-FE71-4B16-9590-76E46644A02A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18" name="AutoShape 1">
          <a:extLst>
            <a:ext uri="{FF2B5EF4-FFF2-40B4-BE49-F238E27FC236}">
              <a16:creationId xmlns:a16="http://schemas.microsoft.com/office/drawing/2014/main" id="{F8BCC20D-7C80-4DC9-917C-43B92580E974}"/>
            </a:ext>
            <a:ext uri="{147F2762-F138-4A5C-976F-8EAC2B608ADB}">
              <a16:predDERef xmlns:a16="http://schemas.microsoft.com/office/drawing/2014/main" pred="{5F03543C-0BA4-4C55-9CD9-815A03E57AA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19" name="AutoShape 1">
          <a:extLst>
            <a:ext uri="{FF2B5EF4-FFF2-40B4-BE49-F238E27FC236}">
              <a16:creationId xmlns:a16="http://schemas.microsoft.com/office/drawing/2014/main" id="{D6DDF2A0-5BC6-437E-9259-99DE2BB0639A}"/>
            </a:ext>
            <a:ext uri="{147F2762-F138-4A5C-976F-8EAC2B608ADB}">
              <a16:predDERef xmlns:a16="http://schemas.microsoft.com/office/drawing/2014/main" pred="{F8BCC20D-7C80-4DC9-917C-43B92580E974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20" name="AutoShape 1">
          <a:extLst>
            <a:ext uri="{FF2B5EF4-FFF2-40B4-BE49-F238E27FC236}">
              <a16:creationId xmlns:a16="http://schemas.microsoft.com/office/drawing/2014/main" id="{5B721E88-F973-481E-935B-5EF12E35BF21}"/>
            </a:ext>
            <a:ext uri="{147F2762-F138-4A5C-976F-8EAC2B608ADB}">
              <a16:predDERef xmlns:a16="http://schemas.microsoft.com/office/drawing/2014/main" pred="{D6DDF2A0-5BC6-437E-9259-99DE2BB0639A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21" name="AutoShape 1">
          <a:extLst>
            <a:ext uri="{FF2B5EF4-FFF2-40B4-BE49-F238E27FC236}">
              <a16:creationId xmlns:a16="http://schemas.microsoft.com/office/drawing/2014/main" id="{02774A58-1BA6-495C-A942-9DD35C66F13E}"/>
            </a:ext>
            <a:ext uri="{147F2762-F138-4A5C-976F-8EAC2B608ADB}">
              <a16:predDERef xmlns:a16="http://schemas.microsoft.com/office/drawing/2014/main" pred="{5B721E88-F973-481E-935B-5EF12E35BF2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222" name="AutoShape 1">
          <a:extLst>
            <a:ext uri="{FF2B5EF4-FFF2-40B4-BE49-F238E27FC236}">
              <a16:creationId xmlns:a16="http://schemas.microsoft.com/office/drawing/2014/main" id="{BDACCACB-72C9-4110-B00D-AB28E0D6FD3F}"/>
            </a:ext>
            <a:ext uri="{147F2762-F138-4A5C-976F-8EAC2B608ADB}">
              <a16:predDERef xmlns:a16="http://schemas.microsoft.com/office/drawing/2014/main" pred="{02774A58-1BA6-495C-A942-9DD35C66F13E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23" name="AutoShape 1">
          <a:extLst>
            <a:ext uri="{FF2B5EF4-FFF2-40B4-BE49-F238E27FC236}">
              <a16:creationId xmlns:a16="http://schemas.microsoft.com/office/drawing/2014/main" id="{F121FCFA-3030-47A4-8E14-64B54A98FE9B}"/>
            </a:ext>
            <a:ext uri="{147F2762-F138-4A5C-976F-8EAC2B608ADB}">
              <a16:predDERef xmlns:a16="http://schemas.microsoft.com/office/drawing/2014/main" pred="{BDACCACB-72C9-4110-B00D-AB28E0D6FD3F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24" name="AutoShape 1">
          <a:extLst>
            <a:ext uri="{FF2B5EF4-FFF2-40B4-BE49-F238E27FC236}">
              <a16:creationId xmlns:a16="http://schemas.microsoft.com/office/drawing/2014/main" id="{69FD2FF0-A778-4BC6-B161-F536B1A4CB66}"/>
            </a:ext>
            <a:ext uri="{147F2762-F138-4A5C-976F-8EAC2B608ADB}">
              <a16:predDERef xmlns:a16="http://schemas.microsoft.com/office/drawing/2014/main" pred="{F121FCFA-3030-47A4-8E14-64B54A98FE9B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25" name="AutoShape 1">
          <a:extLst>
            <a:ext uri="{FF2B5EF4-FFF2-40B4-BE49-F238E27FC236}">
              <a16:creationId xmlns:a16="http://schemas.microsoft.com/office/drawing/2014/main" id="{1B789B83-4FD4-44A9-B75A-32ECD2F2B0A8}"/>
            </a:ext>
            <a:ext uri="{147F2762-F138-4A5C-976F-8EAC2B608ADB}">
              <a16:predDERef xmlns:a16="http://schemas.microsoft.com/office/drawing/2014/main" pred="{69FD2FF0-A778-4BC6-B161-F536B1A4CB66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26" name="AutoShape 1">
          <a:extLst>
            <a:ext uri="{FF2B5EF4-FFF2-40B4-BE49-F238E27FC236}">
              <a16:creationId xmlns:a16="http://schemas.microsoft.com/office/drawing/2014/main" id="{7D8B16D0-270B-4573-B4B9-A18BA7964ABC}"/>
            </a:ext>
            <a:ext uri="{147F2762-F138-4A5C-976F-8EAC2B608ADB}">
              <a16:predDERef xmlns:a16="http://schemas.microsoft.com/office/drawing/2014/main" pred="{1B789B83-4FD4-44A9-B75A-32ECD2F2B0A8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27" name="AutoShape 1">
          <a:extLst>
            <a:ext uri="{FF2B5EF4-FFF2-40B4-BE49-F238E27FC236}">
              <a16:creationId xmlns:a16="http://schemas.microsoft.com/office/drawing/2014/main" id="{8A23B4CE-DC14-4939-A70D-EB7D42A61F09}"/>
            </a:ext>
            <a:ext uri="{147F2762-F138-4A5C-976F-8EAC2B608ADB}">
              <a16:predDERef xmlns:a16="http://schemas.microsoft.com/office/drawing/2014/main" pred="{7D8B16D0-270B-4573-B4B9-A18BA7964AB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28" name="AutoShape 1">
          <a:extLst>
            <a:ext uri="{FF2B5EF4-FFF2-40B4-BE49-F238E27FC236}">
              <a16:creationId xmlns:a16="http://schemas.microsoft.com/office/drawing/2014/main" id="{009E479D-C8A5-4742-9BF9-173E77F4AF3D}"/>
            </a:ext>
            <a:ext uri="{147F2762-F138-4A5C-976F-8EAC2B608ADB}">
              <a16:predDERef xmlns:a16="http://schemas.microsoft.com/office/drawing/2014/main" pred="{8A23B4CE-DC14-4939-A70D-EB7D42A61F09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29" name="AutoShape 1">
          <a:extLst>
            <a:ext uri="{FF2B5EF4-FFF2-40B4-BE49-F238E27FC236}">
              <a16:creationId xmlns:a16="http://schemas.microsoft.com/office/drawing/2014/main" id="{3B71CFAE-4E1C-4C3E-B8AD-DD1530336112}"/>
            </a:ext>
            <a:ext uri="{147F2762-F138-4A5C-976F-8EAC2B608ADB}">
              <a16:predDERef xmlns:a16="http://schemas.microsoft.com/office/drawing/2014/main" pred="{009E479D-C8A5-4742-9BF9-173E77F4AF3D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230" name="AutoShape 1">
          <a:extLst>
            <a:ext uri="{FF2B5EF4-FFF2-40B4-BE49-F238E27FC236}">
              <a16:creationId xmlns:a16="http://schemas.microsoft.com/office/drawing/2014/main" id="{C6339275-9429-4BA8-B94D-68C4FF4ED926}"/>
            </a:ext>
            <a:ext uri="{147F2762-F138-4A5C-976F-8EAC2B608ADB}">
              <a16:predDERef xmlns:a16="http://schemas.microsoft.com/office/drawing/2014/main" pred="{3B71CFAE-4E1C-4C3E-B8AD-DD1530336112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31" name="AutoShape 1">
          <a:extLst>
            <a:ext uri="{FF2B5EF4-FFF2-40B4-BE49-F238E27FC236}">
              <a16:creationId xmlns:a16="http://schemas.microsoft.com/office/drawing/2014/main" id="{D9531C37-FD76-4E4B-A024-CCC49B4F48F2}"/>
            </a:ext>
            <a:ext uri="{147F2762-F138-4A5C-976F-8EAC2B608ADB}">
              <a16:predDERef xmlns:a16="http://schemas.microsoft.com/office/drawing/2014/main" pred="{C6339275-9429-4BA8-B94D-68C4FF4ED926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32" name="AutoShape 1">
          <a:extLst>
            <a:ext uri="{FF2B5EF4-FFF2-40B4-BE49-F238E27FC236}">
              <a16:creationId xmlns:a16="http://schemas.microsoft.com/office/drawing/2014/main" id="{263A370E-7F49-440D-8625-240B50C094D1}"/>
            </a:ext>
            <a:ext uri="{147F2762-F138-4A5C-976F-8EAC2B608ADB}">
              <a16:predDERef xmlns:a16="http://schemas.microsoft.com/office/drawing/2014/main" pred="{D9531C37-FD76-4E4B-A024-CCC49B4F48F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33" name="AutoShape 1">
          <a:extLst>
            <a:ext uri="{FF2B5EF4-FFF2-40B4-BE49-F238E27FC236}">
              <a16:creationId xmlns:a16="http://schemas.microsoft.com/office/drawing/2014/main" id="{E81E2487-820F-4ED7-A8FC-103B009280E2}"/>
            </a:ext>
            <a:ext uri="{147F2762-F138-4A5C-976F-8EAC2B608ADB}">
              <a16:predDERef xmlns:a16="http://schemas.microsoft.com/office/drawing/2014/main" pred="{263A370E-7F49-440D-8625-240B50C094D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34" name="AutoShape 1">
          <a:extLst>
            <a:ext uri="{FF2B5EF4-FFF2-40B4-BE49-F238E27FC236}">
              <a16:creationId xmlns:a16="http://schemas.microsoft.com/office/drawing/2014/main" id="{975F3922-04D1-4D27-87F9-3358EDCBC8D1}"/>
            </a:ext>
            <a:ext uri="{147F2762-F138-4A5C-976F-8EAC2B608ADB}">
              <a16:predDERef xmlns:a16="http://schemas.microsoft.com/office/drawing/2014/main" pred="{E81E2487-820F-4ED7-A8FC-103B009280E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35" name="AutoShape 1">
          <a:extLst>
            <a:ext uri="{FF2B5EF4-FFF2-40B4-BE49-F238E27FC236}">
              <a16:creationId xmlns:a16="http://schemas.microsoft.com/office/drawing/2014/main" id="{2CEF8659-0690-4401-8A8E-ABED83EC0E7E}"/>
            </a:ext>
            <a:ext uri="{147F2762-F138-4A5C-976F-8EAC2B608ADB}">
              <a16:predDERef xmlns:a16="http://schemas.microsoft.com/office/drawing/2014/main" pred="{975F3922-04D1-4D27-87F9-3358EDCBC8D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36" name="AutoShape 1">
          <a:extLst>
            <a:ext uri="{FF2B5EF4-FFF2-40B4-BE49-F238E27FC236}">
              <a16:creationId xmlns:a16="http://schemas.microsoft.com/office/drawing/2014/main" id="{DA51C6B3-7628-4168-AF36-5AD1ACED33CD}"/>
            </a:ext>
            <a:ext uri="{147F2762-F138-4A5C-976F-8EAC2B608ADB}">
              <a16:predDERef xmlns:a16="http://schemas.microsoft.com/office/drawing/2014/main" pred="{2CEF8659-0690-4401-8A8E-ABED83EC0E7E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37" name="AutoShape 1">
          <a:extLst>
            <a:ext uri="{FF2B5EF4-FFF2-40B4-BE49-F238E27FC236}">
              <a16:creationId xmlns:a16="http://schemas.microsoft.com/office/drawing/2014/main" id="{019D28C3-D52B-4612-946C-24D61EE19FA7}"/>
            </a:ext>
            <a:ext uri="{147F2762-F138-4A5C-976F-8EAC2B608ADB}">
              <a16:predDERef xmlns:a16="http://schemas.microsoft.com/office/drawing/2014/main" pred="{DA51C6B3-7628-4168-AF36-5AD1ACED33CD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238" name="AutoShape 1">
          <a:extLst>
            <a:ext uri="{FF2B5EF4-FFF2-40B4-BE49-F238E27FC236}">
              <a16:creationId xmlns:a16="http://schemas.microsoft.com/office/drawing/2014/main" id="{E901EF11-0607-405E-BC77-B9B37949D0D4}"/>
            </a:ext>
            <a:ext uri="{147F2762-F138-4A5C-976F-8EAC2B608ADB}">
              <a16:predDERef xmlns:a16="http://schemas.microsoft.com/office/drawing/2014/main" pred="{019D28C3-D52B-4612-946C-24D61EE19FA7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39" name="AutoShape 1">
          <a:extLst>
            <a:ext uri="{FF2B5EF4-FFF2-40B4-BE49-F238E27FC236}">
              <a16:creationId xmlns:a16="http://schemas.microsoft.com/office/drawing/2014/main" id="{ED94D745-2D25-40B0-9B5D-B5D4E21145F1}"/>
            </a:ext>
            <a:ext uri="{147F2762-F138-4A5C-976F-8EAC2B608ADB}">
              <a16:predDERef xmlns:a16="http://schemas.microsoft.com/office/drawing/2014/main" pred="{E901EF11-0607-405E-BC77-B9B37949D0D4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40" name="AutoShape 1">
          <a:extLst>
            <a:ext uri="{FF2B5EF4-FFF2-40B4-BE49-F238E27FC236}">
              <a16:creationId xmlns:a16="http://schemas.microsoft.com/office/drawing/2014/main" id="{A6337DDB-AEE2-4BBB-8001-8FB2FAD93752}"/>
            </a:ext>
            <a:ext uri="{147F2762-F138-4A5C-976F-8EAC2B608ADB}">
              <a16:predDERef xmlns:a16="http://schemas.microsoft.com/office/drawing/2014/main" pred="{ED94D745-2D25-40B0-9B5D-B5D4E21145F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41" name="AutoShape 1">
          <a:extLst>
            <a:ext uri="{FF2B5EF4-FFF2-40B4-BE49-F238E27FC236}">
              <a16:creationId xmlns:a16="http://schemas.microsoft.com/office/drawing/2014/main" id="{8E14AD5F-DADB-4610-BE29-9F6FA2ED8982}"/>
            </a:ext>
            <a:ext uri="{147F2762-F138-4A5C-976F-8EAC2B608ADB}">
              <a16:predDERef xmlns:a16="http://schemas.microsoft.com/office/drawing/2014/main" pred="{A6337DDB-AEE2-4BBB-8001-8FB2FAD9375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42" name="AutoShape 1">
          <a:extLst>
            <a:ext uri="{FF2B5EF4-FFF2-40B4-BE49-F238E27FC236}">
              <a16:creationId xmlns:a16="http://schemas.microsoft.com/office/drawing/2014/main" id="{3FC0396F-AE37-4FB3-A32D-64FD4961CFD6}"/>
            </a:ext>
            <a:ext uri="{147F2762-F138-4A5C-976F-8EAC2B608ADB}">
              <a16:predDERef xmlns:a16="http://schemas.microsoft.com/office/drawing/2014/main" pred="{8E14AD5F-DADB-4610-BE29-9F6FA2ED898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43" name="AutoShape 1">
          <a:extLst>
            <a:ext uri="{FF2B5EF4-FFF2-40B4-BE49-F238E27FC236}">
              <a16:creationId xmlns:a16="http://schemas.microsoft.com/office/drawing/2014/main" id="{7CD9F97F-997F-48D9-9E85-49D72E1D3AB8}"/>
            </a:ext>
            <a:ext uri="{147F2762-F138-4A5C-976F-8EAC2B608ADB}">
              <a16:predDERef xmlns:a16="http://schemas.microsoft.com/office/drawing/2014/main" pred="{3FC0396F-AE37-4FB3-A32D-64FD4961CFD6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244" name="AutoShape 1">
          <a:extLst>
            <a:ext uri="{FF2B5EF4-FFF2-40B4-BE49-F238E27FC236}">
              <a16:creationId xmlns:a16="http://schemas.microsoft.com/office/drawing/2014/main" id="{2C81C2AA-7F73-4EC8-8F86-F0DAEA4AA563}"/>
            </a:ext>
            <a:ext uri="{147F2762-F138-4A5C-976F-8EAC2B608ADB}">
              <a16:predDERef xmlns:a16="http://schemas.microsoft.com/office/drawing/2014/main" pred="{7CD9F97F-997F-48D9-9E85-49D72E1D3AB8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45" name="AutoShape 1">
          <a:extLst>
            <a:ext uri="{FF2B5EF4-FFF2-40B4-BE49-F238E27FC236}">
              <a16:creationId xmlns:a16="http://schemas.microsoft.com/office/drawing/2014/main" id="{DF0AA867-FD3A-4D68-AE5C-6F18BAB22E71}"/>
            </a:ext>
            <a:ext uri="{147F2762-F138-4A5C-976F-8EAC2B608ADB}">
              <a16:predDERef xmlns:a16="http://schemas.microsoft.com/office/drawing/2014/main" pred="{2C81C2AA-7F73-4EC8-8F86-F0DAEA4AA563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46" name="AutoShape 1">
          <a:extLst>
            <a:ext uri="{FF2B5EF4-FFF2-40B4-BE49-F238E27FC236}">
              <a16:creationId xmlns:a16="http://schemas.microsoft.com/office/drawing/2014/main" id="{52BD4A9E-4449-413D-81AE-8273ED37E352}"/>
            </a:ext>
            <a:ext uri="{147F2762-F138-4A5C-976F-8EAC2B608ADB}">
              <a16:predDERef xmlns:a16="http://schemas.microsoft.com/office/drawing/2014/main" pred="{DF0AA867-FD3A-4D68-AE5C-6F18BAB22E7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47" name="AutoShape 1">
          <a:extLst>
            <a:ext uri="{FF2B5EF4-FFF2-40B4-BE49-F238E27FC236}">
              <a16:creationId xmlns:a16="http://schemas.microsoft.com/office/drawing/2014/main" id="{82C91A68-BF85-41EF-A2E3-7C2718CC3F68}"/>
            </a:ext>
            <a:ext uri="{147F2762-F138-4A5C-976F-8EAC2B608ADB}">
              <a16:predDERef xmlns:a16="http://schemas.microsoft.com/office/drawing/2014/main" pred="{52BD4A9E-4449-413D-81AE-8273ED37E35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48" name="AutoShape 1">
          <a:extLst>
            <a:ext uri="{FF2B5EF4-FFF2-40B4-BE49-F238E27FC236}">
              <a16:creationId xmlns:a16="http://schemas.microsoft.com/office/drawing/2014/main" id="{1C1EC6DC-BF2A-4061-821F-0D4AF3A2D81C}"/>
            </a:ext>
            <a:ext uri="{147F2762-F138-4A5C-976F-8EAC2B608ADB}">
              <a16:predDERef xmlns:a16="http://schemas.microsoft.com/office/drawing/2014/main" pred="{82C91A68-BF85-41EF-A2E3-7C2718CC3F68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49" name="AutoShape 1">
          <a:extLst>
            <a:ext uri="{FF2B5EF4-FFF2-40B4-BE49-F238E27FC236}">
              <a16:creationId xmlns:a16="http://schemas.microsoft.com/office/drawing/2014/main" id="{DBF16339-836B-4EB5-B4A5-8B9A32710823}"/>
            </a:ext>
            <a:ext uri="{147F2762-F138-4A5C-976F-8EAC2B608ADB}">
              <a16:predDERef xmlns:a16="http://schemas.microsoft.com/office/drawing/2014/main" pred="{1C1EC6DC-BF2A-4061-821F-0D4AF3A2D81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50" name="AutoShape 1">
          <a:extLst>
            <a:ext uri="{FF2B5EF4-FFF2-40B4-BE49-F238E27FC236}">
              <a16:creationId xmlns:a16="http://schemas.microsoft.com/office/drawing/2014/main" id="{7C9A7A73-8934-450C-9029-4239EE64E61E}"/>
            </a:ext>
            <a:ext uri="{147F2762-F138-4A5C-976F-8EAC2B608ADB}">
              <a16:predDERef xmlns:a16="http://schemas.microsoft.com/office/drawing/2014/main" pred="{DBF16339-836B-4EB5-B4A5-8B9A32710823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51" name="AutoShape 1">
          <a:extLst>
            <a:ext uri="{FF2B5EF4-FFF2-40B4-BE49-F238E27FC236}">
              <a16:creationId xmlns:a16="http://schemas.microsoft.com/office/drawing/2014/main" id="{1823B87D-0082-4F55-B636-E9802EA93D01}"/>
            </a:ext>
            <a:ext uri="{147F2762-F138-4A5C-976F-8EAC2B608ADB}">
              <a16:predDERef xmlns:a16="http://schemas.microsoft.com/office/drawing/2014/main" pred="{7C9A7A73-8934-450C-9029-4239EE64E61E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252" name="AutoShape 1">
          <a:extLst>
            <a:ext uri="{FF2B5EF4-FFF2-40B4-BE49-F238E27FC236}">
              <a16:creationId xmlns:a16="http://schemas.microsoft.com/office/drawing/2014/main" id="{D8BCD80C-3ADC-49D1-9A7B-86E6B6C434A9}"/>
            </a:ext>
            <a:ext uri="{147F2762-F138-4A5C-976F-8EAC2B608ADB}">
              <a16:predDERef xmlns:a16="http://schemas.microsoft.com/office/drawing/2014/main" pred="{1823B87D-0082-4F55-B636-E9802EA93D01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53" name="AutoShape 1">
          <a:extLst>
            <a:ext uri="{FF2B5EF4-FFF2-40B4-BE49-F238E27FC236}">
              <a16:creationId xmlns:a16="http://schemas.microsoft.com/office/drawing/2014/main" id="{61DE062D-FB19-461D-A943-E63173476D8E}"/>
            </a:ext>
            <a:ext uri="{147F2762-F138-4A5C-976F-8EAC2B608ADB}">
              <a16:predDERef xmlns:a16="http://schemas.microsoft.com/office/drawing/2014/main" pred="{D8BCD80C-3ADC-49D1-9A7B-86E6B6C434A9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54" name="AutoShape 1">
          <a:extLst>
            <a:ext uri="{FF2B5EF4-FFF2-40B4-BE49-F238E27FC236}">
              <a16:creationId xmlns:a16="http://schemas.microsoft.com/office/drawing/2014/main" id="{737F70FD-B2E2-49B9-81CF-8FA866370CB6}"/>
            </a:ext>
            <a:ext uri="{147F2762-F138-4A5C-976F-8EAC2B608ADB}">
              <a16:predDERef xmlns:a16="http://schemas.microsoft.com/office/drawing/2014/main" pred="{61DE062D-FB19-461D-A943-E63173476D8E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55" name="AutoShape 1">
          <a:extLst>
            <a:ext uri="{FF2B5EF4-FFF2-40B4-BE49-F238E27FC236}">
              <a16:creationId xmlns:a16="http://schemas.microsoft.com/office/drawing/2014/main" id="{509156E4-CF91-4D9A-8915-CF809D50469A}"/>
            </a:ext>
            <a:ext uri="{147F2762-F138-4A5C-976F-8EAC2B608ADB}">
              <a16:predDERef xmlns:a16="http://schemas.microsoft.com/office/drawing/2014/main" pred="{737F70FD-B2E2-49B9-81CF-8FA866370CB6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56" name="AutoShape 1">
          <a:extLst>
            <a:ext uri="{FF2B5EF4-FFF2-40B4-BE49-F238E27FC236}">
              <a16:creationId xmlns:a16="http://schemas.microsoft.com/office/drawing/2014/main" id="{B81B74EF-A446-482B-8411-8F4FF75011A7}"/>
            </a:ext>
            <a:ext uri="{147F2762-F138-4A5C-976F-8EAC2B608ADB}">
              <a16:predDERef xmlns:a16="http://schemas.microsoft.com/office/drawing/2014/main" pred="{509156E4-CF91-4D9A-8915-CF809D50469A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57" name="AutoShape 1">
          <a:extLst>
            <a:ext uri="{FF2B5EF4-FFF2-40B4-BE49-F238E27FC236}">
              <a16:creationId xmlns:a16="http://schemas.microsoft.com/office/drawing/2014/main" id="{CDD70D2A-4A5F-4D49-BFFF-70C7F20DB46B}"/>
            </a:ext>
            <a:ext uri="{147F2762-F138-4A5C-976F-8EAC2B608ADB}">
              <a16:predDERef xmlns:a16="http://schemas.microsoft.com/office/drawing/2014/main" pred="{B81B74EF-A446-482B-8411-8F4FF75011A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58" name="AutoShape 1">
          <a:extLst>
            <a:ext uri="{FF2B5EF4-FFF2-40B4-BE49-F238E27FC236}">
              <a16:creationId xmlns:a16="http://schemas.microsoft.com/office/drawing/2014/main" id="{2B6BF6D4-3083-4515-BAE6-5E9F7AF10276}"/>
            </a:ext>
            <a:ext uri="{147F2762-F138-4A5C-976F-8EAC2B608ADB}">
              <a16:predDERef xmlns:a16="http://schemas.microsoft.com/office/drawing/2014/main" pred="{CDD70D2A-4A5F-4D49-BFFF-70C7F20DB46B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59" name="AutoShape 1">
          <a:extLst>
            <a:ext uri="{FF2B5EF4-FFF2-40B4-BE49-F238E27FC236}">
              <a16:creationId xmlns:a16="http://schemas.microsoft.com/office/drawing/2014/main" id="{C59B5B47-0202-4DC5-8662-C68F7B88E54E}"/>
            </a:ext>
            <a:ext uri="{147F2762-F138-4A5C-976F-8EAC2B608ADB}">
              <a16:predDERef xmlns:a16="http://schemas.microsoft.com/office/drawing/2014/main" pred="{2B6BF6D4-3083-4515-BAE6-5E9F7AF10276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260" name="AutoShape 1">
          <a:extLst>
            <a:ext uri="{FF2B5EF4-FFF2-40B4-BE49-F238E27FC236}">
              <a16:creationId xmlns:a16="http://schemas.microsoft.com/office/drawing/2014/main" id="{E3AF25B8-7ACB-46D4-AAD5-194D645DF8DE}"/>
            </a:ext>
            <a:ext uri="{147F2762-F138-4A5C-976F-8EAC2B608ADB}">
              <a16:predDERef xmlns:a16="http://schemas.microsoft.com/office/drawing/2014/main" pred="{C59B5B47-0202-4DC5-8662-C68F7B88E54E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61" name="AutoShape 1">
          <a:extLst>
            <a:ext uri="{FF2B5EF4-FFF2-40B4-BE49-F238E27FC236}">
              <a16:creationId xmlns:a16="http://schemas.microsoft.com/office/drawing/2014/main" id="{55728A4B-529A-418B-8924-0820ECDFAECD}"/>
            </a:ext>
            <a:ext uri="{147F2762-F138-4A5C-976F-8EAC2B608ADB}">
              <a16:predDERef xmlns:a16="http://schemas.microsoft.com/office/drawing/2014/main" pred="{E3AF25B8-7ACB-46D4-AAD5-194D645DF8DE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62" name="AutoShape 1">
          <a:extLst>
            <a:ext uri="{FF2B5EF4-FFF2-40B4-BE49-F238E27FC236}">
              <a16:creationId xmlns:a16="http://schemas.microsoft.com/office/drawing/2014/main" id="{0741EE80-339F-47E8-8D3F-861E81E65A33}"/>
            </a:ext>
            <a:ext uri="{147F2762-F138-4A5C-976F-8EAC2B608ADB}">
              <a16:predDERef xmlns:a16="http://schemas.microsoft.com/office/drawing/2014/main" pred="{55728A4B-529A-418B-8924-0820ECDFAECD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63" name="AutoShape 1">
          <a:extLst>
            <a:ext uri="{FF2B5EF4-FFF2-40B4-BE49-F238E27FC236}">
              <a16:creationId xmlns:a16="http://schemas.microsoft.com/office/drawing/2014/main" id="{52427DBD-6B3C-4C4B-A71F-522F630430B9}"/>
            </a:ext>
            <a:ext uri="{147F2762-F138-4A5C-976F-8EAC2B608ADB}">
              <a16:predDERef xmlns:a16="http://schemas.microsoft.com/office/drawing/2014/main" pred="{0741EE80-339F-47E8-8D3F-861E81E65A33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64" name="AutoShape 1">
          <a:extLst>
            <a:ext uri="{FF2B5EF4-FFF2-40B4-BE49-F238E27FC236}">
              <a16:creationId xmlns:a16="http://schemas.microsoft.com/office/drawing/2014/main" id="{CA7D68B4-E1FA-493F-9443-242183D161FE}"/>
            </a:ext>
            <a:ext uri="{147F2762-F138-4A5C-976F-8EAC2B608ADB}">
              <a16:predDERef xmlns:a16="http://schemas.microsoft.com/office/drawing/2014/main" pred="{52427DBD-6B3C-4C4B-A71F-522F630430B9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65" name="AutoShape 1">
          <a:extLst>
            <a:ext uri="{FF2B5EF4-FFF2-40B4-BE49-F238E27FC236}">
              <a16:creationId xmlns:a16="http://schemas.microsoft.com/office/drawing/2014/main" id="{AC48EF14-E5AD-4623-BF28-D5DF2F6530C3}"/>
            </a:ext>
            <a:ext uri="{147F2762-F138-4A5C-976F-8EAC2B608ADB}">
              <a16:predDERef xmlns:a16="http://schemas.microsoft.com/office/drawing/2014/main" pred="{CA7D68B4-E1FA-493F-9443-242183D161FE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266" name="AutoShape 1">
          <a:extLst>
            <a:ext uri="{FF2B5EF4-FFF2-40B4-BE49-F238E27FC236}">
              <a16:creationId xmlns:a16="http://schemas.microsoft.com/office/drawing/2014/main" id="{4792A1BD-B032-4F27-B602-7803B992BF52}"/>
            </a:ext>
            <a:ext uri="{147F2762-F138-4A5C-976F-8EAC2B608ADB}">
              <a16:predDERef xmlns:a16="http://schemas.microsoft.com/office/drawing/2014/main" pred="{AC48EF14-E5AD-4623-BF28-D5DF2F6530C3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67" name="AutoShape 1">
          <a:extLst>
            <a:ext uri="{FF2B5EF4-FFF2-40B4-BE49-F238E27FC236}">
              <a16:creationId xmlns:a16="http://schemas.microsoft.com/office/drawing/2014/main" id="{C02D0550-852F-4FBB-8377-8D44AD326728}"/>
            </a:ext>
            <a:ext uri="{147F2762-F138-4A5C-976F-8EAC2B608ADB}">
              <a16:predDERef xmlns:a16="http://schemas.microsoft.com/office/drawing/2014/main" pred="{4792A1BD-B032-4F27-B602-7803B992BF5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68" name="AutoShape 1">
          <a:extLst>
            <a:ext uri="{FF2B5EF4-FFF2-40B4-BE49-F238E27FC236}">
              <a16:creationId xmlns:a16="http://schemas.microsoft.com/office/drawing/2014/main" id="{39972DE2-77E4-4BA3-9E99-396693C6B14A}"/>
            </a:ext>
            <a:ext uri="{147F2762-F138-4A5C-976F-8EAC2B608ADB}">
              <a16:predDERef xmlns:a16="http://schemas.microsoft.com/office/drawing/2014/main" pred="{C02D0550-852F-4FBB-8377-8D44AD326728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69" name="AutoShape 1">
          <a:extLst>
            <a:ext uri="{FF2B5EF4-FFF2-40B4-BE49-F238E27FC236}">
              <a16:creationId xmlns:a16="http://schemas.microsoft.com/office/drawing/2014/main" id="{4B69FCFC-333C-4648-8EE3-B0BFC5E0CB61}"/>
            </a:ext>
            <a:ext uri="{147F2762-F138-4A5C-976F-8EAC2B608ADB}">
              <a16:predDERef xmlns:a16="http://schemas.microsoft.com/office/drawing/2014/main" pred="{39972DE2-77E4-4BA3-9E99-396693C6B14A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70" name="AutoShape 1">
          <a:extLst>
            <a:ext uri="{FF2B5EF4-FFF2-40B4-BE49-F238E27FC236}">
              <a16:creationId xmlns:a16="http://schemas.microsoft.com/office/drawing/2014/main" id="{4C4C6861-47BB-45E0-95A8-C02C44D0C937}"/>
            </a:ext>
            <a:ext uri="{147F2762-F138-4A5C-976F-8EAC2B608ADB}">
              <a16:predDERef xmlns:a16="http://schemas.microsoft.com/office/drawing/2014/main" pred="{4B69FCFC-333C-4648-8EE3-B0BFC5E0CB6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71" name="AutoShape 1">
          <a:extLst>
            <a:ext uri="{FF2B5EF4-FFF2-40B4-BE49-F238E27FC236}">
              <a16:creationId xmlns:a16="http://schemas.microsoft.com/office/drawing/2014/main" id="{1C836476-EDF6-4D16-BA80-0ECF6712DD15}"/>
            </a:ext>
            <a:ext uri="{147F2762-F138-4A5C-976F-8EAC2B608ADB}">
              <a16:predDERef xmlns:a16="http://schemas.microsoft.com/office/drawing/2014/main" pred="{4C4C6861-47BB-45E0-95A8-C02C44D0C93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72" name="AutoShape 1">
          <a:extLst>
            <a:ext uri="{FF2B5EF4-FFF2-40B4-BE49-F238E27FC236}">
              <a16:creationId xmlns:a16="http://schemas.microsoft.com/office/drawing/2014/main" id="{435E5F1F-67C9-4A21-9AB9-AABD42FB2D72}"/>
            </a:ext>
            <a:ext uri="{147F2762-F138-4A5C-976F-8EAC2B608ADB}">
              <a16:predDERef xmlns:a16="http://schemas.microsoft.com/office/drawing/2014/main" pred="{1C836476-EDF6-4D16-BA80-0ECF6712DD15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73" name="AutoShape 1">
          <a:extLst>
            <a:ext uri="{FF2B5EF4-FFF2-40B4-BE49-F238E27FC236}">
              <a16:creationId xmlns:a16="http://schemas.microsoft.com/office/drawing/2014/main" id="{8C5A5034-F2B6-4B63-8BE5-657C6DCADAD8}"/>
            </a:ext>
            <a:ext uri="{147F2762-F138-4A5C-976F-8EAC2B608ADB}">
              <a16:predDERef xmlns:a16="http://schemas.microsoft.com/office/drawing/2014/main" pred="{435E5F1F-67C9-4A21-9AB9-AABD42FB2D7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274" name="AutoShape 1">
          <a:extLst>
            <a:ext uri="{FF2B5EF4-FFF2-40B4-BE49-F238E27FC236}">
              <a16:creationId xmlns:a16="http://schemas.microsoft.com/office/drawing/2014/main" id="{CA094489-66E7-4C34-A469-75739BAF1531}"/>
            </a:ext>
            <a:ext uri="{147F2762-F138-4A5C-976F-8EAC2B608ADB}">
              <a16:predDERef xmlns:a16="http://schemas.microsoft.com/office/drawing/2014/main" pred="{8C5A5034-F2B6-4B63-8BE5-657C6DCADAD8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75" name="AutoShape 1">
          <a:extLst>
            <a:ext uri="{FF2B5EF4-FFF2-40B4-BE49-F238E27FC236}">
              <a16:creationId xmlns:a16="http://schemas.microsoft.com/office/drawing/2014/main" id="{01B5225D-9011-4751-8533-CE28BDBEA314}"/>
            </a:ext>
            <a:ext uri="{147F2762-F138-4A5C-976F-8EAC2B608ADB}">
              <a16:predDERef xmlns:a16="http://schemas.microsoft.com/office/drawing/2014/main" pred="{CA094489-66E7-4C34-A469-75739BAF153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76" name="AutoShape 1">
          <a:extLst>
            <a:ext uri="{FF2B5EF4-FFF2-40B4-BE49-F238E27FC236}">
              <a16:creationId xmlns:a16="http://schemas.microsoft.com/office/drawing/2014/main" id="{0CD1F920-F592-400D-BE47-644BD98653E0}"/>
            </a:ext>
            <a:ext uri="{147F2762-F138-4A5C-976F-8EAC2B608ADB}">
              <a16:predDERef xmlns:a16="http://schemas.microsoft.com/office/drawing/2014/main" pred="{01B5225D-9011-4751-8533-CE28BDBEA314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77" name="AutoShape 1">
          <a:extLst>
            <a:ext uri="{FF2B5EF4-FFF2-40B4-BE49-F238E27FC236}">
              <a16:creationId xmlns:a16="http://schemas.microsoft.com/office/drawing/2014/main" id="{62789E8D-E4A4-4ED1-8F50-EAE1F4DC5CAC}"/>
            </a:ext>
            <a:ext uri="{147F2762-F138-4A5C-976F-8EAC2B608ADB}">
              <a16:predDERef xmlns:a16="http://schemas.microsoft.com/office/drawing/2014/main" pred="{0CD1F920-F592-400D-BE47-644BD98653E0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78" name="AutoShape 1">
          <a:extLst>
            <a:ext uri="{FF2B5EF4-FFF2-40B4-BE49-F238E27FC236}">
              <a16:creationId xmlns:a16="http://schemas.microsoft.com/office/drawing/2014/main" id="{7274F356-EA88-4084-AD27-66A6D87D5DDE}"/>
            </a:ext>
            <a:ext uri="{147F2762-F138-4A5C-976F-8EAC2B608ADB}">
              <a16:predDERef xmlns:a16="http://schemas.microsoft.com/office/drawing/2014/main" pred="{62789E8D-E4A4-4ED1-8F50-EAE1F4DC5CA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79" name="AutoShape 1">
          <a:extLst>
            <a:ext uri="{FF2B5EF4-FFF2-40B4-BE49-F238E27FC236}">
              <a16:creationId xmlns:a16="http://schemas.microsoft.com/office/drawing/2014/main" id="{9C03D5EB-359A-4AAD-8E2E-26F4198D3F34}"/>
            </a:ext>
            <a:ext uri="{147F2762-F138-4A5C-976F-8EAC2B608ADB}">
              <a16:predDERef xmlns:a16="http://schemas.microsoft.com/office/drawing/2014/main" pred="{7274F356-EA88-4084-AD27-66A6D87D5DDE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80" name="AutoShape 1">
          <a:extLst>
            <a:ext uri="{FF2B5EF4-FFF2-40B4-BE49-F238E27FC236}">
              <a16:creationId xmlns:a16="http://schemas.microsoft.com/office/drawing/2014/main" id="{EB399A34-48AE-4802-9C9A-C4601C73F1A2}"/>
            </a:ext>
            <a:ext uri="{147F2762-F138-4A5C-976F-8EAC2B608ADB}">
              <a16:predDERef xmlns:a16="http://schemas.microsoft.com/office/drawing/2014/main" pred="{9C03D5EB-359A-4AAD-8E2E-26F4198D3F34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81" name="AutoShape 1">
          <a:extLst>
            <a:ext uri="{FF2B5EF4-FFF2-40B4-BE49-F238E27FC236}">
              <a16:creationId xmlns:a16="http://schemas.microsoft.com/office/drawing/2014/main" id="{51B574EF-4270-4338-91E2-D105F723C6D7}"/>
            </a:ext>
            <a:ext uri="{147F2762-F138-4A5C-976F-8EAC2B608ADB}">
              <a16:predDERef xmlns:a16="http://schemas.microsoft.com/office/drawing/2014/main" pred="{EB399A34-48AE-4802-9C9A-C4601C73F1A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282" name="AutoShape 1">
          <a:extLst>
            <a:ext uri="{FF2B5EF4-FFF2-40B4-BE49-F238E27FC236}">
              <a16:creationId xmlns:a16="http://schemas.microsoft.com/office/drawing/2014/main" id="{2A455CDC-329E-4D37-89D1-A27C68E0FCBB}"/>
            </a:ext>
            <a:ext uri="{147F2762-F138-4A5C-976F-8EAC2B608ADB}">
              <a16:predDERef xmlns:a16="http://schemas.microsoft.com/office/drawing/2014/main" pred="{51B574EF-4270-4338-91E2-D105F723C6D7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83" name="AutoShape 1">
          <a:extLst>
            <a:ext uri="{FF2B5EF4-FFF2-40B4-BE49-F238E27FC236}">
              <a16:creationId xmlns:a16="http://schemas.microsoft.com/office/drawing/2014/main" id="{B087D7AB-AB98-4F23-B144-1347BC60CD27}"/>
            </a:ext>
            <a:ext uri="{147F2762-F138-4A5C-976F-8EAC2B608ADB}">
              <a16:predDERef xmlns:a16="http://schemas.microsoft.com/office/drawing/2014/main" pred="{2A455CDC-329E-4D37-89D1-A27C68E0FCBB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84" name="AutoShape 1">
          <a:extLst>
            <a:ext uri="{FF2B5EF4-FFF2-40B4-BE49-F238E27FC236}">
              <a16:creationId xmlns:a16="http://schemas.microsoft.com/office/drawing/2014/main" id="{D83CA7C1-7E7C-416B-A78F-6D63B2950B82}"/>
            </a:ext>
            <a:ext uri="{147F2762-F138-4A5C-976F-8EAC2B608ADB}">
              <a16:predDERef xmlns:a16="http://schemas.microsoft.com/office/drawing/2014/main" pred="{B087D7AB-AB98-4F23-B144-1347BC60CD2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85" name="AutoShape 1">
          <a:extLst>
            <a:ext uri="{FF2B5EF4-FFF2-40B4-BE49-F238E27FC236}">
              <a16:creationId xmlns:a16="http://schemas.microsoft.com/office/drawing/2014/main" id="{63768F74-75C4-4ADB-9B4B-CA00B4E16EED}"/>
            </a:ext>
            <a:ext uri="{147F2762-F138-4A5C-976F-8EAC2B608ADB}">
              <a16:predDERef xmlns:a16="http://schemas.microsoft.com/office/drawing/2014/main" pred="{D83CA7C1-7E7C-416B-A78F-6D63B2950B8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86" name="AutoShape 1">
          <a:extLst>
            <a:ext uri="{FF2B5EF4-FFF2-40B4-BE49-F238E27FC236}">
              <a16:creationId xmlns:a16="http://schemas.microsoft.com/office/drawing/2014/main" id="{AD1FA4D6-B574-4336-8610-B58C0ECB71F0}"/>
            </a:ext>
            <a:ext uri="{147F2762-F138-4A5C-976F-8EAC2B608ADB}">
              <a16:predDERef xmlns:a16="http://schemas.microsoft.com/office/drawing/2014/main" pred="{63768F74-75C4-4ADB-9B4B-CA00B4E16EED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87" name="AutoShape 1">
          <a:extLst>
            <a:ext uri="{FF2B5EF4-FFF2-40B4-BE49-F238E27FC236}">
              <a16:creationId xmlns:a16="http://schemas.microsoft.com/office/drawing/2014/main" id="{5D44482E-E264-44AB-9A4A-21BF279AECA5}"/>
            </a:ext>
            <a:ext uri="{147F2762-F138-4A5C-976F-8EAC2B608ADB}">
              <a16:predDERef xmlns:a16="http://schemas.microsoft.com/office/drawing/2014/main" pred="{AD1FA4D6-B574-4336-8610-B58C0ECB71F0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288" name="AutoShape 1">
          <a:extLst>
            <a:ext uri="{FF2B5EF4-FFF2-40B4-BE49-F238E27FC236}">
              <a16:creationId xmlns:a16="http://schemas.microsoft.com/office/drawing/2014/main" id="{4F2A2615-CD7C-41E5-ADC5-DE3BE9C825A1}"/>
            </a:ext>
            <a:ext uri="{147F2762-F138-4A5C-976F-8EAC2B608ADB}">
              <a16:predDERef xmlns:a16="http://schemas.microsoft.com/office/drawing/2014/main" pred="{5D44482E-E264-44AB-9A4A-21BF279AECA5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89" name="AutoShape 1">
          <a:extLst>
            <a:ext uri="{FF2B5EF4-FFF2-40B4-BE49-F238E27FC236}">
              <a16:creationId xmlns:a16="http://schemas.microsoft.com/office/drawing/2014/main" id="{594C2BBB-DEBA-4C8F-AA2F-702BDFAE3AD9}"/>
            </a:ext>
            <a:ext uri="{147F2762-F138-4A5C-976F-8EAC2B608ADB}">
              <a16:predDERef xmlns:a16="http://schemas.microsoft.com/office/drawing/2014/main" pred="{4F2A2615-CD7C-41E5-ADC5-DE3BE9C825A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90" name="AutoShape 1">
          <a:extLst>
            <a:ext uri="{FF2B5EF4-FFF2-40B4-BE49-F238E27FC236}">
              <a16:creationId xmlns:a16="http://schemas.microsoft.com/office/drawing/2014/main" id="{FC7BA09E-AB2F-4C3A-B2B1-A12BE448784E}"/>
            </a:ext>
            <a:ext uri="{147F2762-F138-4A5C-976F-8EAC2B608ADB}">
              <a16:predDERef xmlns:a16="http://schemas.microsoft.com/office/drawing/2014/main" pred="{594C2BBB-DEBA-4C8F-AA2F-702BDFAE3AD9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91" name="AutoShape 1">
          <a:extLst>
            <a:ext uri="{FF2B5EF4-FFF2-40B4-BE49-F238E27FC236}">
              <a16:creationId xmlns:a16="http://schemas.microsoft.com/office/drawing/2014/main" id="{153DC469-D301-4A1F-8C03-1C68EA14E62D}"/>
            </a:ext>
            <a:ext uri="{147F2762-F138-4A5C-976F-8EAC2B608ADB}">
              <a16:predDERef xmlns:a16="http://schemas.microsoft.com/office/drawing/2014/main" pred="{FC7BA09E-AB2F-4C3A-B2B1-A12BE448784E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92" name="AutoShape 1">
          <a:extLst>
            <a:ext uri="{FF2B5EF4-FFF2-40B4-BE49-F238E27FC236}">
              <a16:creationId xmlns:a16="http://schemas.microsoft.com/office/drawing/2014/main" id="{6775B6BC-6AE8-40DF-8116-31D229A7B5E5}"/>
            </a:ext>
            <a:ext uri="{147F2762-F138-4A5C-976F-8EAC2B608ADB}">
              <a16:predDERef xmlns:a16="http://schemas.microsoft.com/office/drawing/2014/main" pred="{153DC469-D301-4A1F-8C03-1C68EA14E62D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93" name="AutoShape 1">
          <a:extLst>
            <a:ext uri="{FF2B5EF4-FFF2-40B4-BE49-F238E27FC236}">
              <a16:creationId xmlns:a16="http://schemas.microsoft.com/office/drawing/2014/main" id="{4A0F80FE-60A1-4F1E-B950-40542A4B8F79}"/>
            </a:ext>
            <a:ext uri="{147F2762-F138-4A5C-976F-8EAC2B608ADB}">
              <a16:predDERef xmlns:a16="http://schemas.microsoft.com/office/drawing/2014/main" pred="{6775B6BC-6AE8-40DF-8116-31D229A7B5E5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94" name="AutoShape 1">
          <a:extLst>
            <a:ext uri="{FF2B5EF4-FFF2-40B4-BE49-F238E27FC236}">
              <a16:creationId xmlns:a16="http://schemas.microsoft.com/office/drawing/2014/main" id="{9DEF1C4A-07FA-4AF5-BF61-116224966A24}"/>
            </a:ext>
            <a:ext uri="{147F2762-F138-4A5C-976F-8EAC2B608ADB}">
              <a16:predDERef xmlns:a16="http://schemas.microsoft.com/office/drawing/2014/main" pred="{4A0F80FE-60A1-4F1E-B950-40542A4B8F79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95" name="AutoShape 1">
          <a:extLst>
            <a:ext uri="{FF2B5EF4-FFF2-40B4-BE49-F238E27FC236}">
              <a16:creationId xmlns:a16="http://schemas.microsoft.com/office/drawing/2014/main" id="{E341A31F-046A-44CE-88FD-F188F74FC77B}"/>
            </a:ext>
            <a:ext uri="{147F2762-F138-4A5C-976F-8EAC2B608ADB}">
              <a16:predDERef xmlns:a16="http://schemas.microsoft.com/office/drawing/2014/main" pred="{9DEF1C4A-07FA-4AF5-BF61-116224966A24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296" name="AutoShape 1">
          <a:extLst>
            <a:ext uri="{FF2B5EF4-FFF2-40B4-BE49-F238E27FC236}">
              <a16:creationId xmlns:a16="http://schemas.microsoft.com/office/drawing/2014/main" id="{79B2CC65-60B1-480A-85B5-7DFDCE8AD22F}"/>
            </a:ext>
            <a:ext uri="{147F2762-F138-4A5C-976F-8EAC2B608ADB}">
              <a16:predDERef xmlns:a16="http://schemas.microsoft.com/office/drawing/2014/main" pred="{E341A31F-046A-44CE-88FD-F188F74FC77B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97" name="AutoShape 1">
          <a:extLst>
            <a:ext uri="{FF2B5EF4-FFF2-40B4-BE49-F238E27FC236}">
              <a16:creationId xmlns:a16="http://schemas.microsoft.com/office/drawing/2014/main" id="{04F008B5-2560-4CC9-96C8-8FACCFCA1A42}"/>
            </a:ext>
            <a:ext uri="{147F2762-F138-4A5C-976F-8EAC2B608ADB}">
              <a16:predDERef xmlns:a16="http://schemas.microsoft.com/office/drawing/2014/main" pred="{79B2CC65-60B1-480A-85B5-7DFDCE8AD22F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98" name="AutoShape 1">
          <a:extLst>
            <a:ext uri="{FF2B5EF4-FFF2-40B4-BE49-F238E27FC236}">
              <a16:creationId xmlns:a16="http://schemas.microsoft.com/office/drawing/2014/main" id="{CEFEDEFC-BE9F-4ED4-9F93-96A2BBB0AE20}"/>
            </a:ext>
            <a:ext uri="{147F2762-F138-4A5C-976F-8EAC2B608ADB}">
              <a16:predDERef xmlns:a16="http://schemas.microsoft.com/office/drawing/2014/main" pred="{04F008B5-2560-4CC9-96C8-8FACCFCA1A4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299" name="AutoShape 1">
          <a:extLst>
            <a:ext uri="{FF2B5EF4-FFF2-40B4-BE49-F238E27FC236}">
              <a16:creationId xmlns:a16="http://schemas.microsoft.com/office/drawing/2014/main" id="{7B5BA34C-0489-400C-AECE-E2DEDBCAC2BF}"/>
            </a:ext>
            <a:ext uri="{147F2762-F138-4A5C-976F-8EAC2B608ADB}">
              <a16:predDERef xmlns:a16="http://schemas.microsoft.com/office/drawing/2014/main" pred="{CEFEDEFC-BE9F-4ED4-9F93-96A2BBB0AE20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00" name="AutoShape 1">
          <a:extLst>
            <a:ext uri="{FF2B5EF4-FFF2-40B4-BE49-F238E27FC236}">
              <a16:creationId xmlns:a16="http://schemas.microsoft.com/office/drawing/2014/main" id="{496566B6-59D4-41C7-958B-7D01DB33D4B9}"/>
            </a:ext>
            <a:ext uri="{147F2762-F138-4A5C-976F-8EAC2B608ADB}">
              <a16:predDERef xmlns:a16="http://schemas.microsoft.com/office/drawing/2014/main" pred="{7B5BA34C-0489-400C-AECE-E2DEDBCAC2BF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01" name="AutoShape 1">
          <a:extLst>
            <a:ext uri="{FF2B5EF4-FFF2-40B4-BE49-F238E27FC236}">
              <a16:creationId xmlns:a16="http://schemas.microsoft.com/office/drawing/2014/main" id="{A0B073B0-C584-43BA-A125-307D4E4D65B7}"/>
            </a:ext>
            <a:ext uri="{147F2762-F138-4A5C-976F-8EAC2B608ADB}">
              <a16:predDERef xmlns:a16="http://schemas.microsoft.com/office/drawing/2014/main" pred="{496566B6-59D4-41C7-958B-7D01DB33D4B9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02" name="AutoShape 1">
          <a:extLst>
            <a:ext uri="{FF2B5EF4-FFF2-40B4-BE49-F238E27FC236}">
              <a16:creationId xmlns:a16="http://schemas.microsoft.com/office/drawing/2014/main" id="{357C9F08-341D-480D-8D00-1C6D04583BB0}"/>
            </a:ext>
            <a:ext uri="{147F2762-F138-4A5C-976F-8EAC2B608ADB}">
              <a16:predDERef xmlns:a16="http://schemas.microsoft.com/office/drawing/2014/main" pred="{A0B073B0-C584-43BA-A125-307D4E4D65B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03" name="AutoShape 1">
          <a:extLst>
            <a:ext uri="{FF2B5EF4-FFF2-40B4-BE49-F238E27FC236}">
              <a16:creationId xmlns:a16="http://schemas.microsoft.com/office/drawing/2014/main" id="{2851600E-B713-4EDD-933B-6AB4192AE6F2}"/>
            </a:ext>
            <a:ext uri="{147F2762-F138-4A5C-976F-8EAC2B608ADB}">
              <a16:predDERef xmlns:a16="http://schemas.microsoft.com/office/drawing/2014/main" pred="{357C9F08-341D-480D-8D00-1C6D04583BB0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304" name="AutoShape 1">
          <a:extLst>
            <a:ext uri="{FF2B5EF4-FFF2-40B4-BE49-F238E27FC236}">
              <a16:creationId xmlns:a16="http://schemas.microsoft.com/office/drawing/2014/main" id="{57A76AB1-B812-4380-A6E2-2B68F743BFB6}"/>
            </a:ext>
            <a:ext uri="{147F2762-F138-4A5C-976F-8EAC2B608ADB}">
              <a16:predDERef xmlns:a16="http://schemas.microsoft.com/office/drawing/2014/main" pred="{2851600E-B713-4EDD-933B-6AB4192AE6F2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05" name="AutoShape 1">
          <a:extLst>
            <a:ext uri="{FF2B5EF4-FFF2-40B4-BE49-F238E27FC236}">
              <a16:creationId xmlns:a16="http://schemas.microsoft.com/office/drawing/2014/main" id="{8F48FA03-15D3-44F6-863A-4219D52CAC2C}"/>
            </a:ext>
            <a:ext uri="{147F2762-F138-4A5C-976F-8EAC2B608ADB}">
              <a16:predDERef xmlns:a16="http://schemas.microsoft.com/office/drawing/2014/main" pred="{57A76AB1-B812-4380-A6E2-2B68F743BFB6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06" name="AutoShape 1">
          <a:extLst>
            <a:ext uri="{FF2B5EF4-FFF2-40B4-BE49-F238E27FC236}">
              <a16:creationId xmlns:a16="http://schemas.microsoft.com/office/drawing/2014/main" id="{3F320D78-8D3F-440F-94F9-1FB682543B81}"/>
            </a:ext>
            <a:ext uri="{147F2762-F138-4A5C-976F-8EAC2B608ADB}">
              <a16:predDERef xmlns:a16="http://schemas.microsoft.com/office/drawing/2014/main" pred="{8F48FA03-15D3-44F6-863A-4219D52CAC2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07" name="AutoShape 1">
          <a:extLst>
            <a:ext uri="{FF2B5EF4-FFF2-40B4-BE49-F238E27FC236}">
              <a16:creationId xmlns:a16="http://schemas.microsoft.com/office/drawing/2014/main" id="{1AC53D8F-2AEE-44A3-BEF2-ED0B80FE344F}"/>
            </a:ext>
            <a:ext uri="{147F2762-F138-4A5C-976F-8EAC2B608ADB}">
              <a16:predDERef xmlns:a16="http://schemas.microsoft.com/office/drawing/2014/main" pred="{3F320D78-8D3F-440F-94F9-1FB682543B8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08" name="AutoShape 1">
          <a:extLst>
            <a:ext uri="{FF2B5EF4-FFF2-40B4-BE49-F238E27FC236}">
              <a16:creationId xmlns:a16="http://schemas.microsoft.com/office/drawing/2014/main" id="{34889BE0-5E00-4527-8C90-44AB253BF6CE}"/>
            </a:ext>
            <a:ext uri="{147F2762-F138-4A5C-976F-8EAC2B608ADB}">
              <a16:predDERef xmlns:a16="http://schemas.microsoft.com/office/drawing/2014/main" pred="{1AC53D8F-2AEE-44A3-BEF2-ED0B80FE344F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09" name="AutoShape 1">
          <a:extLst>
            <a:ext uri="{FF2B5EF4-FFF2-40B4-BE49-F238E27FC236}">
              <a16:creationId xmlns:a16="http://schemas.microsoft.com/office/drawing/2014/main" id="{1FE6CD85-4CE0-447F-8327-280D60FD1907}"/>
            </a:ext>
            <a:ext uri="{147F2762-F138-4A5C-976F-8EAC2B608ADB}">
              <a16:predDERef xmlns:a16="http://schemas.microsoft.com/office/drawing/2014/main" pred="{34889BE0-5E00-4527-8C90-44AB253BF6CE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310" name="AutoShape 1">
          <a:extLst>
            <a:ext uri="{FF2B5EF4-FFF2-40B4-BE49-F238E27FC236}">
              <a16:creationId xmlns:a16="http://schemas.microsoft.com/office/drawing/2014/main" id="{EBAAAD12-A9E3-4FE5-8B66-5F3D961DA446}"/>
            </a:ext>
            <a:ext uri="{147F2762-F138-4A5C-976F-8EAC2B608ADB}">
              <a16:predDERef xmlns:a16="http://schemas.microsoft.com/office/drawing/2014/main" pred="{1FE6CD85-4CE0-447F-8327-280D60FD1907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11" name="AutoShape 1">
          <a:extLst>
            <a:ext uri="{FF2B5EF4-FFF2-40B4-BE49-F238E27FC236}">
              <a16:creationId xmlns:a16="http://schemas.microsoft.com/office/drawing/2014/main" id="{B02E8A61-AD73-4227-8411-DEC900D61D12}"/>
            </a:ext>
            <a:ext uri="{147F2762-F138-4A5C-976F-8EAC2B608ADB}">
              <a16:predDERef xmlns:a16="http://schemas.microsoft.com/office/drawing/2014/main" pred="{EBAAAD12-A9E3-4FE5-8B66-5F3D961DA446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12" name="AutoShape 1">
          <a:extLst>
            <a:ext uri="{FF2B5EF4-FFF2-40B4-BE49-F238E27FC236}">
              <a16:creationId xmlns:a16="http://schemas.microsoft.com/office/drawing/2014/main" id="{50E5D291-DCE2-41A3-8447-40A460D2C331}"/>
            </a:ext>
            <a:ext uri="{147F2762-F138-4A5C-976F-8EAC2B608ADB}">
              <a16:predDERef xmlns:a16="http://schemas.microsoft.com/office/drawing/2014/main" pred="{B02E8A61-AD73-4227-8411-DEC900D61D1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13" name="AutoShape 1">
          <a:extLst>
            <a:ext uri="{FF2B5EF4-FFF2-40B4-BE49-F238E27FC236}">
              <a16:creationId xmlns:a16="http://schemas.microsoft.com/office/drawing/2014/main" id="{067D7C96-2143-4999-8F0B-72EB1C6ED7CC}"/>
            </a:ext>
            <a:ext uri="{147F2762-F138-4A5C-976F-8EAC2B608ADB}">
              <a16:predDERef xmlns:a16="http://schemas.microsoft.com/office/drawing/2014/main" pred="{50E5D291-DCE2-41A3-8447-40A460D2C33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14" name="AutoShape 1">
          <a:extLst>
            <a:ext uri="{FF2B5EF4-FFF2-40B4-BE49-F238E27FC236}">
              <a16:creationId xmlns:a16="http://schemas.microsoft.com/office/drawing/2014/main" id="{FA807A0A-C8BC-4DE1-A9DA-FE88DCA0A5BD}"/>
            </a:ext>
            <a:ext uri="{147F2762-F138-4A5C-976F-8EAC2B608ADB}">
              <a16:predDERef xmlns:a16="http://schemas.microsoft.com/office/drawing/2014/main" pred="{067D7C96-2143-4999-8F0B-72EB1C6ED7C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15" name="AutoShape 1">
          <a:extLst>
            <a:ext uri="{FF2B5EF4-FFF2-40B4-BE49-F238E27FC236}">
              <a16:creationId xmlns:a16="http://schemas.microsoft.com/office/drawing/2014/main" id="{B287F115-44CB-4390-B4B3-AB89ADBD41CD}"/>
            </a:ext>
            <a:ext uri="{147F2762-F138-4A5C-976F-8EAC2B608ADB}">
              <a16:predDERef xmlns:a16="http://schemas.microsoft.com/office/drawing/2014/main" pred="{FA807A0A-C8BC-4DE1-A9DA-FE88DCA0A5BD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16" name="AutoShape 1">
          <a:extLst>
            <a:ext uri="{FF2B5EF4-FFF2-40B4-BE49-F238E27FC236}">
              <a16:creationId xmlns:a16="http://schemas.microsoft.com/office/drawing/2014/main" id="{276A87B0-77B3-4BCF-A9C2-0C76A08388FC}"/>
            </a:ext>
            <a:ext uri="{147F2762-F138-4A5C-976F-8EAC2B608ADB}">
              <a16:predDERef xmlns:a16="http://schemas.microsoft.com/office/drawing/2014/main" pred="{B287F115-44CB-4390-B4B3-AB89ADBD41CD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17" name="AutoShape 1">
          <a:extLst>
            <a:ext uri="{FF2B5EF4-FFF2-40B4-BE49-F238E27FC236}">
              <a16:creationId xmlns:a16="http://schemas.microsoft.com/office/drawing/2014/main" id="{4FE38B80-D4B8-4DB7-9E91-60E6BBAC7005}"/>
            </a:ext>
            <a:ext uri="{147F2762-F138-4A5C-976F-8EAC2B608ADB}">
              <a16:predDERef xmlns:a16="http://schemas.microsoft.com/office/drawing/2014/main" pred="{276A87B0-77B3-4BCF-A9C2-0C76A08388F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318" name="AutoShape 1">
          <a:extLst>
            <a:ext uri="{FF2B5EF4-FFF2-40B4-BE49-F238E27FC236}">
              <a16:creationId xmlns:a16="http://schemas.microsoft.com/office/drawing/2014/main" id="{67D3163F-67A8-4BAD-8C14-84AC0C123DEA}"/>
            </a:ext>
            <a:ext uri="{147F2762-F138-4A5C-976F-8EAC2B608ADB}">
              <a16:predDERef xmlns:a16="http://schemas.microsoft.com/office/drawing/2014/main" pred="{4FE38B80-D4B8-4DB7-9E91-60E6BBAC7005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19" name="AutoShape 1">
          <a:extLst>
            <a:ext uri="{FF2B5EF4-FFF2-40B4-BE49-F238E27FC236}">
              <a16:creationId xmlns:a16="http://schemas.microsoft.com/office/drawing/2014/main" id="{505B917D-8AC5-443F-A304-58A37592DCF8}"/>
            </a:ext>
            <a:ext uri="{147F2762-F138-4A5C-976F-8EAC2B608ADB}">
              <a16:predDERef xmlns:a16="http://schemas.microsoft.com/office/drawing/2014/main" pred="{67D3163F-67A8-4BAD-8C14-84AC0C123DEA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20" name="AutoShape 1">
          <a:extLst>
            <a:ext uri="{FF2B5EF4-FFF2-40B4-BE49-F238E27FC236}">
              <a16:creationId xmlns:a16="http://schemas.microsoft.com/office/drawing/2014/main" id="{2613811D-DAE8-486D-8046-20A483CC873C}"/>
            </a:ext>
            <a:ext uri="{147F2762-F138-4A5C-976F-8EAC2B608ADB}">
              <a16:predDERef xmlns:a16="http://schemas.microsoft.com/office/drawing/2014/main" pred="{505B917D-8AC5-443F-A304-58A37592DCF8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21" name="AutoShape 1">
          <a:extLst>
            <a:ext uri="{FF2B5EF4-FFF2-40B4-BE49-F238E27FC236}">
              <a16:creationId xmlns:a16="http://schemas.microsoft.com/office/drawing/2014/main" id="{19CD83F3-B763-40FE-84D2-19495A723EAF}"/>
            </a:ext>
            <a:ext uri="{147F2762-F138-4A5C-976F-8EAC2B608ADB}">
              <a16:predDERef xmlns:a16="http://schemas.microsoft.com/office/drawing/2014/main" pred="{2613811D-DAE8-486D-8046-20A483CC873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22" name="AutoShape 1">
          <a:extLst>
            <a:ext uri="{FF2B5EF4-FFF2-40B4-BE49-F238E27FC236}">
              <a16:creationId xmlns:a16="http://schemas.microsoft.com/office/drawing/2014/main" id="{B73A99FC-78C3-4504-BB85-8A71061FCB8A}"/>
            </a:ext>
            <a:ext uri="{147F2762-F138-4A5C-976F-8EAC2B608ADB}">
              <a16:predDERef xmlns:a16="http://schemas.microsoft.com/office/drawing/2014/main" pred="{19CD83F3-B763-40FE-84D2-19495A723EAF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23" name="AutoShape 1">
          <a:extLst>
            <a:ext uri="{FF2B5EF4-FFF2-40B4-BE49-F238E27FC236}">
              <a16:creationId xmlns:a16="http://schemas.microsoft.com/office/drawing/2014/main" id="{7B50A928-BB23-4027-A252-D6F40024D4C8}"/>
            </a:ext>
            <a:ext uri="{147F2762-F138-4A5C-976F-8EAC2B608ADB}">
              <a16:predDERef xmlns:a16="http://schemas.microsoft.com/office/drawing/2014/main" pred="{B73A99FC-78C3-4504-BB85-8A71061FCB8A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24" name="AutoShape 1">
          <a:extLst>
            <a:ext uri="{FF2B5EF4-FFF2-40B4-BE49-F238E27FC236}">
              <a16:creationId xmlns:a16="http://schemas.microsoft.com/office/drawing/2014/main" id="{3F3BB77B-E222-48BF-A9DA-D64441FD0480}"/>
            </a:ext>
            <a:ext uri="{147F2762-F138-4A5C-976F-8EAC2B608ADB}">
              <a16:predDERef xmlns:a16="http://schemas.microsoft.com/office/drawing/2014/main" pred="{7B50A928-BB23-4027-A252-D6F40024D4C8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25" name="AutoShape 1">
          <a:extLst>
            <a:ext uri="{FF2B5EF4-FFF2-40B4-BE49-F238E27FC236}">
              <a16:creationId xmlns:a16="http://schemas.microsoft.com/office/drawing/2014/main" id="{152E03DF-FB71-474D-BF7B-69E4407FA02B}"/>
            </a:ext>
            <a:ext uri="{147F2762-F138-4A5C-976F-8EAC2B608ADB}">
              <a16:predDERef xmlns:a16="http://schemas.microsoft.com/office/drawing/2014/main" pred="{3F3BB77B-E222-48BF-A9DA-D64441FD0480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326" name="AutoShape 1">
          <a:extLst>
            <a:ext uri="{FF2B5EF4-FFF2-40B4-BE49-F238E27FC236}">
              <a16:creationId xmlns:a16="http://schemas.microsoft.com/office/drawing/2014/main" id="{5A9ABB9E-313A-4ED6-B401-CE1172B98740}"/>
            </a:ext>
            <a:ext uri="{147F2762-F138-4A5C-976F-8EAC2B608ADB}">
              <a16:predDERef xmlns:a16="http://schemas.microsoft.com/office/drawing/2014/main" pred="{152E03DF-FB71-474D-BF7B-69E4407FA02B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27" name="AutoShape 1">
          <a:extLst>
            <a:ext uri="{FF2B5EF4-FFF2-40B4-BE49-F238E27FC236}">
              <a16:creationId xmlns:a16="http://schemas.microsoft.com/office/drawing/2014/main" id="{8853CE3D-2BFF-4119-9402-23E5EBB78186}"/>
            </a:ext>
            <a:ext uri="{147F2762-F138-4A5C-976F-8EAC2B608ADB}">
              <a16:predDERef xmlns:a16="http://schemas.microsoft.com/office/drawing/2014/main" pred="{5A9ABB9E-313A-4ED6-B401-CE1172B98740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28" name="AutoShape 1">
          <a:extLst>
            <a:ext uri="{FF2B5EF4-FFF2-40B4-BE49-F238E27FC236}">
              <a16:creationId xmlns:a16="http://schemas.microsoft.com/office/drawing/2014/main" id="{03EA5899-F27F-45E6-BEE6-867D945BB291}"/>
            </a:ext>
            <a:ext uri="{147F2762-F138-4A5C-976F-8EAC2B608ADB}">
              <a16:predDERef xmlns:a16="http://schemas.microsoft.com/office/drawing/2014/main" pred="{8853CE3D-2BFF-4119-9402-23E5EBB78186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29" name="AutoShape 1">
          <a:extLst>
            <a:ext uri="{FF2B5EF4-FFF2-40B4-BE49-F238E27FC236}">
              <a16:creationId xmlns:a16="http://schemas.microsoft.com/office/drawing/2014/main" id="{353147F6-B930-4AFC-B082-FAD5E45FB164}"/>
            </a:ext>
            <a:ext uri="{147F2762-F138-4A5C-976F-8EAC2B608ADB}">
              <a16:predDERef xmlns:a16="http://schemas.microsoft.com/office/drawing/2014/main" pred="{03EA5899-F27F-45E6-BEE6-867D945BB29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30" name="AutoShape 1">
          <a:extLst>
            <a:ext uri="{FF2B5EF4-FFF2-40B4-BE49-F238E27FC236}">
              <a16:creationId xmlns:a16="http://schemas.microsoft.com/office/drawing/2014/main" id="{1CDC45F3-71D0-4EC9-BA64-1C054B7D4A2C}"/>
            </a:ext>
            <a:ext uri="{147F2762-F138-4A5C-976F-8EAC2B608ADB}">
              <a16:predDERef xmlns:a16="http://schemas.microsoft.com/office/drawing/2014/main" pred="{353147F6-B930-4AFC-B082-FAD5E45FB164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31" name="AutoShape 1">
          <a:extLst>
            <a:ext uri="{FF2B5EF4-FFF2-40B4-BE49-F238E27FC236}">
              <a16:creationId xmlns:a16="http://schemas.microsoft.com/office/drawing/2014/main" id="{CACFAC30-B157-4E74-A597-3D0F7B74A706}"/>
            </a:ext>
            <a:ext uri="{147F2762-F138-4A5C-976F-8EAC2B608ADB}">
              <a16:predDERef xmlns:a16="http://schemas.microsoft.com/office/drawing/2014/main" pred="{1CDC45F3-71D0-4EC9-BA64-1C054B7D4A2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332" name="AutoShape 1">
          <a:extLst>
            <a:ext uri="{FF2B5EF4-FFF2-40B4-BE49-F238E27FC236}">
              <a16:creationId xmlns:a16="http://schemas.microsoft.com/office/drawing/2014/main" id="{F7E0F875-F5D1-4F94-8FDB-8E1BCF39EB87}"/>
            </a:ext>
            <a:ext uri="{147F2762-F138-4A5C-976F-8EAC2B608ADB}">
              <a16:predDERef xmlns:a16="http://schemas.microsoft.com/office/drawing/2014/main" pred="{CACFAC30-B157-4E74-A597-3D0F7B74A706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33" name="AutoShape 1">
          <a:extLst>
            <a:ext uri="{FF2B5EF4-FFF2-40B4-BE49-F238E27FC236}">
              <a16:creationId xmlns:a16="http://schemas.microsoft.com/office/drawing/2014/main" id="{4D5A5A8A-6196-45C2-B31B-9718A0AE435A}"/>
            </a:ext>
            <a:ext uri="{147F2762-F138-4A5C-976F-8EAC2B608ADB}">
              <a16:predDERef xmlns:a16="http://schemas.microsoft.com/office/drawing/2014/main" pred="{F7E0F875-F5D1-4F94-8FDB-8E1BCF39EB8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34" name="AutoShape 1">
          <a:extLst>
            <a:ext uri="{FF2B5EF4-FFF2-40B4-BE49-F238E27FC236}">
              <a16:creationId xmlns:a16="http://schemas.microsoft.com/office/drawing/2014/main" id="{A0B8023E-57C4-4257-B1FF-D317F52C8497}"/>
            </a:ext>
            <a:ext uri="{147F2762-F138-4A5C-976F-8EAC2B608ADB}">
              <a16:predDERef xmlns:a16="http://schemas.microsoft.com/office/drawing/2014/main" pred="{4D5A5A8A-6196-45C2-B31B-9718A0AE435A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35" name="AutoShape 1">
          <a:extLst>
            <a:ext uri="{FF2B5EF4-FFF2-40B4-BE49-F238E27FC236}">
              <a16:creationId xmlns:a16="http://schemas.microsoft.com/office/drawing/2014/main" id="{92000BCE-934A-4838-A7C8-C30515C9AFD8}"/>
            </a:ext>
            <a:ext uri="{147F2762-F138-4A5C-976F-8EAC2B608ADB}">
              <a16:predDERef xmlns:a16="http://schemas.microsoft.com/office/drawing/2014/main" pred="{A0B8023E-57C4-4257-B1FF-D317F52C849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36" name="AutoShape 1">
          <a:extLst>
            <a:ext uri="{FF2B5EF4-FFF2-40B4-BE49-F238E27FC236}">
              <a16:creationId xmlns:a16="http://schemas.microsoft.com/office/drawing/2014/main" id="{3BC756B1-2403-439C-B79B-3D7F53949BD2}"/>
            </a:ext>
            <a:ext uri="{147F2762-F138-4A5C-976F-8EAC2B608ADB}">
              <a16:predDERef xmlns:a16="http://schemas.microsoft.com/office/drawing/2014/main" pred="{92000BCE-934A-4838-A7C8-C30515C9AFD8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37" name="AutoShape 1">
          <a:extLst>
            <a:ext uri="{FF2B5EF4-FFF2-40B4-BE49-F238E27FC236}">
              <a16:creationId xmlns:a16="http://schemas.microsoft.com/office/drawing/2014/main" id="{AA781F4B-F2DB-404B-AC1E-80FA17EAA578}"/>
            </a:ext>
            <a:ext uri="{147F2762-F138-4A5C-976F-8EAC2B608ADB}">
              <a16:predDERef xmlns:a16="http://schemas.microsoft.com/office/drawing/2014/main" pred="{3BC756B1-2403-439C-B79B-3D7F53949BD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38" name="AutoShape 1">
          <a:extLst>
            <a:ext uri="{FF2B5EF4-FFF2-40B4-BE49-F238E27FC236}">
              <a16:creationId xmlns:a16="http://schemas.microsoft.com/office/drawing/2014/main" id="{9CE40B04-EDC3-49A7-BD57-6C34524DC89E}"/>
            </a:ext>
            <a:ext uri="{147F2762-F138-4A5C-976F-8EAC2B608ADB}">
              <a16:predDERef xmlns:a16="http://schemas.microsoft.com/office/drawing/2014/main" pred="{AA781F4B-F2DB-404B-AC1E-80FA17EAA578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39" name="AutoShape 1">
          <a:extLst>
            <a:ext uri="{FF2B5EF4-FFF2-40B4-BE49-F238E27FC236}">
              <a16:creationId xmlns:a16="http://schemas.microsoft.com/office/drawing/2014/main" id="{BC8E5F46-8DCA-4D99-9606-92BA79BA5786}"/>
            </a:ext>
            <a:ext uri="{147F2762-F138-4A5C-976F-8EAC2B608ADB}">
              <a16:predDERef xmlns:a16="http://schemas.microsoft.com/office/drawing/2014/main" pred="{9CE40B04-EDC3-49A7-BD57-6C34524DC89E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340" name="AutoShape 1">
          <a:extLst>
            <a:ext uri="{FF2B5EF4-FFF2-40B4-BE49-F238E27FC236}">
              <a16:creationId xmlns:a16="http://schemas.microsoft.com/office/drawing/2014/main" id="{F7C83439-AFD0-4334-B0E0-48F40E8BA221}"/>
            </a:ext>
            <a:ext uri="{147F2762-F138-4A5C-976F-8EAC2B608ADB}">
              <a16:predDERef xmlns:a16="http://schemas.microsoft.com/office/drawing/2014/main" pred="{BC8E5F46-8DCA-4D99-9606-92BA79BA5786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41" name="AutoShape 1">
          <a:extLst>
            <a:ext uri="{FF2B5EF4-FFF2-40B4-BE49-F238E27FC236}">
              <a16:creationId xmlns:a16="http://schemas.microsoft.com/office/drawing/2014/main" id="{523D3B61-B206-460C-98DC-F839D3B48195}"/>
            </a:ext>
            <a:ext uri="{147F2762-F138-4A5C-976F-8EAC2B608ADB}">
              <a16:predDERef xmlns:a16="http://schemas.microsoft.com/office/drawing/2014/main" pred="{F7C83439-AFD0-4334-B0E0-48F40E8BA22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42" name="AutoShape 1">
          <a:extLst>
            <a:ext uri="{FF2B5EF4-FFF2-40B4-BE49-F238E27FC236}">
              <a16:creationId xmlns:a16="http://schemas.microsoft.com/office/drawing/2014/main" id="{A77B222D-D031-4209-BF6D-422BEEC71F63}"/>
            </a:ext>
            <a:ext uri="{147F2762-F138-4A5C-976F-8EAC2B608ADB}">
              <a16:predDERef xmlns:a16="http://schemas.microsoft.com/office/drawing/2014/main" pred="{523D3B61-B206-460C-98DC-F839D3B48195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43" name="AutoShape 1">
          <a:extLst>
            <a:ext uri="{FF2B5EF4-FFF2-40B4-BE49-F238E27FC236}">
              <a16:creationId xmlns:a16="http://schemas.microsoft.com/office/drawing/2014/main" id="{4C656D2A-3C34-430F-96B8-C1021BEB4BFF}"/>
            </a:ext>
            <a:ext uri="{147F2762-F138-4A5C-976F-8EAC2B608ADB}">
              <a16:predDERef xmlns:a16="http://schemas.microsoft.com/office/drawing/2014/main" pred="{A77B222D-D031-4209-BF6D-422BEEC71F63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44" name="AutoShape 1">
          <a:extLst>
            <a:ext uri="{FF2B5EF4-FFF2-40B4-BE49-F238E27FC236}">
              <a16:creationId xmlns:a16="http://schemas.microsoft.com/office/drawing/2014/main" id="{46BDA81D-810A-405D-8174-59B936CEA8C1}"/>
            </a:ext>
            <a:ext uri="{147F2762-F138-4A5C-976F-8EAC2B608ADB}">
              <a16:predDERef xmlns:a16="http://schemas.microsoft.com/office/drawing/2014/main" pred="{4C656D2A-3C34-430F-96B8-C1021BEB4BFF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45" name="AutoShape 1">
          <a:extLst>
            <a:ext uri="{FF2B5EF4-FFF2-40B4-BE49-F238E27FC236}">
              <a16:creationId xmlns:a16="http://schemas.microsoft.com/office/drawing/2014/main" id="{913A8DAD-F608-444D-BFE8-602E07FD6197}"/>
            </a:ext>
            <a:ext uri="{147F2762-F138-4A5C-976F-8EAC2B608ADB}">
              <a16:predDERef xmlns:a16="http://schemas.microsoft.com/office/drawing/2014/main" pred="{46BDA81D-810A-405D-8174-59B936CEA8C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46" name="AutoShape 1">
          <a:extLst>
            <a:ext uri="{FF2B5EF4-FFF2-40B4-BE49-F238E27FC236}">
              <a16:creationId xmlns:a16="http://schemas.microsoft.com/office/drawing/2014/main" id="{374B787E-D6FB-457D-82F2-8AC12A590012}"/>
            </a:ext>
            <a:ext uri="{147F2762-F138-4A5C-976F-8EAC2B608ADB}">
              <a16:predDERef xmlns:a16="http://schemas.microsoft.com/office/drawing/2014/main" pred="{913A8DAD-F608-444D-BFE8-602E07FD619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47" name="AutoShape 1">
          <a:extLst>
            <a:ext uri="{FF2B5EF4-FFF2-40B4-BE49-F238E27FC236}">
              <a16:creationId xmlns:a16="http://schemas.microsoft.com/office/drawing/2014/main" id="{2A4BED06-BEC1-4959-9871-8F7348E1D680}"/>
            </a:ext>
            <a:ext uri="{147F2762-F138-4A5C-976F-8EAC2B608ADB}">
              <a16:predDERef xmlns:a16="http://schemas.microsoft.com/office/drawing/2014/main" pred="{374B787E-D6FB-457D-82F2-8AC12A59001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348" name="AutoShape 1">
          <a:extLst>
            <a:ext uri="{FF2B5EF4-FFF2-40B4-BE49-F238E27FC236}">
              <a16:creationId xmlns:a16="http://schemas.microsoft.com/office/drawing/2014/main" id="{BAB118E4-A622-43CF-9992-142B283F06F5}"/>
            </a:ext>
            <a:ext uri="{147F2762-F138-4A5C-976F-8EAC2B608ADB}">
              <a16:predDERef xmlns:a16="http://schemas.microsoft.com/office/drawing/2014/main" pred="{2A4BED06-BEC1-4959-9871-8F7348E1D680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49" name="AutoShape 1">
          <a:extLst>
            <a:ext uri="{FF2B5EF4-FFF2-40B4-BE49-F238E27FC236}">
              <a16:creationId xmlns:a16="http://schemas.microsoft.com/office/drawing/2014/main" id="{31D40B4D-6549-404E-9093-62EB2DDC41BB}"/>
            </a:ext>
            <a:ext uri="{147F2762-F138-4A5C-976F-8EAC2B608ADB}">
              <a16:predDERef xmlns:a16="http://schemas.microsoft.com/office/drawing/2014/main" pred="{BAB118E4-A622-43CF-9992-142B283F06F5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50" name="AutoShape 1">
          <a:extLst>
            <a:ext uri="{FF2B5EF4-FFF2-40B4-BE49-F238E27FC236}">
              <a16:creationId xmlns:a16="http://schemas.microsoft.com/office/drawing/2014/main" id="{506855A9-BD82-4502-8F01-7C96F2754FD1}"/>
            </a:ext>
            <a:ext uri="{147F2762-F138-4A5C-976F-8EAC2B608ADB}">
              <a16:predDERef xmlns:a16="http://schemas.microsoft.com/office/drawing/2014/main" pred="{31D40B4D-6549-404E-9093-62EB2DDC41BB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51" name="AutoShape 1">
          <a:extLst>
            <a:ext uri="{FF2B5EF4-FFF2-40B4-BE49-F238E27FC236}">
              <a16:creationId xmlns:a16="http://schemas.microsoft.com/office/drawing/2014/main" id="{97AD7704-EBF3-410A-B595-109951180982}"/>
            </a:ext>
            <a:ext uri="{147F2762-F138-4A5C-976F-8EAC2B608ADB}">
              <a16:predDERef xmlns:a16="http://schemas.microsoft.com/office/drawing/2014/main" pred="{506855A9-BD82-4502-8F01-7C96F2754FD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52" name="AutoShape 1">
          <a:extLst>
            <a:ext uri="{FF2B5EF4-FFF2-40B4-BE49-F238E27FC236}">
              <a16:creationId xmlns:a16="http://schemas.microsoft.com/office/drawing/2014/main" id="{2DF47CBD-3CA6-4E3C-A348-DE6CA4F3E305}"/>
            </a:ext>
            <a:ext uri="{147F2762-F138-4A5C-976F-8EAC2B608ADB}">
              <a16:predDERef xmlns:a16="http://schemas.microsoft.com/office/drawing/2014/main" pred="{97AD7704-EBF3-410A-B595-10995118098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53" name="AutoShape 1">
          <a:extLst>
            <a:ext uri="{FF2B5EF4-FFF2-40B4-BE49-F238E27FC236}">
              <a16:creationId xmlns:a16="http://schemas.microsoft.com/office/drawing/2014/main" id="{388011FC-FB55-47E6-A579-674F27998CF7}"/>
            </a:ext>
            <a:ext uri="{147F2762-F138-4A5C-976F-8EAC2B608ADB}">
              <a16:predDERef xmlns:a16="http://schemas.microsoft.com/office/drawing/2014/main" pred="{2DF47CBD-3CA6-4E3C-A348-DE6CA4F3E305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354" name="AutoShape 1">
          <a:extLst>
            <a:ext uri="{FF2B5EF4-FFF2-40B4-BE49-F238E27FC236}">
              <a16:creationId xmlns:a16="http://schemas.microsoft.com/office/drawing/2014/main" id="{9DE2DD91-2F8D-4231-A60F-B58585AEDBE2}"/>
            </a:ext>
            <a:ext uri="{147F2762-F138-4A5C-976F-8EAC2B608ADB}">
              <a16:predDERef xmlns:a16="http://schemas.microsoft.com/office/drawing/2014/main" pred="{388011FC-FB55-47E6-A579-674F27998CF7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55" name="AutoShape 1">
          <a:extLst>
            <a:ext uri="{FF2B5EF4-FFF2-40B4-BE49-F238E27FC236}">
              <a16:creationId xmlns:a16="http://schemas.microsoft.com/office/drawing/2014/main" id="{FCCB06A9-E94F-4490-AC45-5FBC1D18ADFE}"/>
            </a:ext>
            <a:ext uri="{147F2762-F138-4A5C-976F-8EAC2B608ADB}">
              <a16:predDERef xmlns:a16="http://schemas.microsoft.com/office/drawing/2014/main" pred="{9DE2DD91-2F8D-4231-A60F-B58585AEDBE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56" name="AutoShape 1">
          <a:extLst>
            <a:ext uri="{FF2B5EF4-FFF2-40B4-BE49-F238E27FC236}">
              <a16:creationId xmlns:a16="http://schemas.microsoft.com/office/drawing/2014/main" id="{846AAA33-8482-48B1-BC57-36F5D9874DA6}"/>
            </a:ext>
            <a:ext uri="{147F2762-F138-4A5C-976F-8EAC2B608ADB}">
              <a16:predDERef xmlns:a16="http://schemas.microsoft.com/office/drawing/2014/main" pred="{FCCB06A9-E94F-4490-AC45-5FBC1D18ADFE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57" name="AutoShape 1">
          <a:extLst>
            <a:ext uri="{FF2B5EF4-FFF2-40B4-BE49-F238E27FC236}">
              <a16:creationId xmlns:a16="http://schemas.microsoft.com/office/drawing/2014/main" id="{4DF6277D-FE23-4F75-8BEB-AEDB2DD3AA1F}"/>
            </a:ext>
            <a:ext uri="{147F2762-F138-4A5C-976F-8EAC2B608ADB}">
              <a16:predDERef xmlns:a16="http://schemas.microsoft.com/office/drawing/2014/main" pred="{846AAA33-8482-48B1-BC57-36F5D9874DA6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58" name="AutoShape 1">
          <a:extLst>
            <a:ext uri="{FF2B5EF4-FFF2-40B4-BE49-F238E27FC236}">
              <a16:creationId xmlns:a16="http://schemas.microsoft.com/office/drawing/2014/main" id="{64CCA18D-885F-4EDB-BBED-EC5D92D7153C}"/>
            </a:ext>
            <a:ext uri="{147F2762-F138-4A5C-976F-8EAC2B608ADB}">
              <a16:predDERef xmlns:a16="http://schemas.microsoft.com/office/drawing/2014/main" pred="{4DF6277D-FE23-4F75-8BEB-AEDB2DD3AA1F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59" name="AutoShape 1">
          <a:extLst>
            <a:ext uri="{FF2B5EF4-FFF2-40B4-BE49-F238E27FC236}">
              <a16:creationId xmlns:a16="http://schemas.microsoft.com/office/drawing/2014/main" id="{BF9E731B-788C-4D92-B7AB-8E2F623BE3AD}"/>
            </a:ext>
            <a:ext uri="{147F2762-F138-4A5C-976F-8EAC2B608ADB}">
              <a16:predDERef xmlns:a16="http://schemas.microsoft.com/office/drawing/2014/main" pred="{64CCA18D-885F-4EDB-BBED-EC5D92D7153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60" name="AutoShape 1">
          <a:extLst>
            <a:ext uri="{FF2B5EF4-FFF2-40B4-BE49-F238E27FC236}">
              <a16:creationId xmlns:a16="http://schemas.microsoft.com/office/drawing/2014/main" id="{2262A160-64D6-40F1-8D99-EC7B04BBBE02}"/>
            </a:ext>
            <a:ext uri="{147F2762-F138-4A5C-976F-8EAC2B608ADB}">
              <a16:predDERef xmlns:a16="http://schemas.microsoft.com/office/drawing/2014/main" pred="{BF9E731B-788C-4D92-B7AB-8E2F623BE3AD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61" name="AutoShape 1">
          <a:extLst>
            <a:ext uri="{FF2B5EF4-FFF2-40B4-BE49-F238E27FC236}">
              <a16:creationId xmlns:a16="http://schemas.microsoft.com/office/drawing/2014/main" id="{E99EAB2F-3996-4BCE-B81D-971758B012BC}"/>
            </a:ext>
            <a:ext uri="{147F2762-F138-4A5C-976F-8EAC2B608ADB}">
              <a16:predDERef xmlns:a16="http://schemas.microsoft.com/office/drawing/2014/main" pred="{2262A160-64D6-40F1-8D99-EC7B04BBBE02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362" name="AutoShape 1">
          <a:extLst>
            <a:ext uri="{FF2B5EF4-FFF2-40B4-BE49-F238E27FC236}">
              <a16:creationId xmlns:a16="http://schemas.microsoft.com/office/drawing/2014/main" id="{7F29AF10-73C4-489B-9CF0-470987E425C8}"/>
            </a:ext>
            <a:ext uri="{147F2762-F138-4A5C-976F-8EAC2B608ADB}">
              <a16:predDERef xmlns:a16="http://schemas.microsoft.com/office/drawing/2014/main" pred="{E99EAB2F-3996-4BCE-B81D-971758B012BC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63" name="AutoShape 1">
          <a:extLst>
            <a:ext uri="{FF2B5EF4-FFF2-40B4-BE49-F238E27FC236}">
              <a16:creationId xmlns:a16="http://schemas.microsoft.com/office/drawing/2014/main" id="{035BA56C-34E5-4532-8812-629863A8EC5D}"/>
            </a:ext>
            <a:ext uri="{147F2762-F138-4A5C-976F-8EAC2B608ADB}">
              <a16:predDERef xmlns:a16="http://schemas.microsoft.com/office/drawing/2014/main" pred="{7F29AF10-73C4-489B-9CF0-470987E425C8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64" name="AutoShape 1">
          <a:extLst>
            <a:ext uri="{FF2B5EF4-FFF2-40B4-BE49-F238E27FC236}">
              <a16:creationId xmlns:a16="http://schemas.microsoft.com/office/drawing/2014/main" id="{7E75E2C6-56CB-4A9F-A099-4E8F606AF880}"/>
            </a:ext>
            <a:ext uri="{147F2762-F138-4A5C-976F-8EAC2B608ADB}">
              <a16:predDERef xmlns:a16="http://schemas.microsoft.com/office/drawing/2014/main" pred="{035BA56C-34E5-4532-8812-629863A8EC5D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65" name="AutoShape 1">
          <a:extLst>
            <a:ext uri="{FF2B5EF4-FFF2-40B4-BE49-F238E27FC236}">
              <a16:creationId xmlns:a16="http://schemas.microsoft.com/office/drawing/2014/main" id="{F918916C-EBC5-4E50-A3FD-4AC7A7D9C7B5}"/>
            </a:ext>
            <a:ext uri="{147F2762-F138-4A5C-976F-8EAC2B608ADB}">
              <a16:predDERef xmlns:a16="http://schemas.microsoft.com/office/drawing/2014/main" pred="{7E75E2C6-56CB-4A9F-A099-4E8F606AF880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66" name="AutoShape 1">
          <a:extLst>
            <a:ext uri="{FF2B5EF4-FFF2-40B4-BE49-F238E27FC236}">
              <a16:creationId xmlns:a16="http://schemas.microsoft.com/office/drawing/2014/main" id="{E7E7BCE2-CF49-45FB-A201-A59207D58B08}"/>
            </a:ext>
            <a:ext uri="{147F2762-F138-4A5C-976F-8EAC2B608ADB}">
              <a16:predDERef xmlns:a16="http://schemas.microsoft.com/office/drawing/2014/main" pred="{F918916C-EBC5-4E50-A3FD-4AC7A7D9C7B5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67" name="AutoShape 1">
          <a:extLst>
            <a:ext uri="{FF2B5EF4-FFF2-40B4-BE49-F238E27FC236}">
              <a16:creationId xmlns:a16="http://schemas.microsoft.com/office/drawing/2014/main" id="{9733212B-F10D-47AD-A591-B0CBC1620DA0}"/>
            </a:ext>
            <a:ext uri="{147F2762-F138-4A5C-976F-8EAC2B608ADB}">
              <a16:predDERef xmlns:a16="http://schemas.microsoft.com/office/drawing/2014/main" pred="{E7E7BCE2-CF49-45FB-A201-A59207D58B08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68" name="AutoShape 1">
          <a:extLst>
            <a:ext uri="{FF2B5EF4-FFF2-40B4-BE49-F238E27FC236}">
              <a16:creationId xmlns:a16="http://schemas.microsoft.com/office/drawing/2014/main" id="{E9A4D65A-37B8-4228-BE17-B32F2DF6EBAC}"/>
            </a:ext>
            <a:ext uri="{147F2762-F138-4A5C-976F-8EAC2B608ADB}">
              <a16:predDERef xmlns:a16="http://schemas.microsoft.com/office/drawing/2014/main" pred="{9733212B-F10D-47AD-A591-B0CBC1620DA0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69" name="AutoShape 1">
          <a:extLst>
            <a:ext uri="{FF2B5EF4-FFF2-40B4-BE49-F238E27FC236}">
              <a16:creationId xmlns:a16="http://schemas.microsoft.com/office/drawing/2014/main" id="{73C10AE1-570B-48B9-B75B-B7AB1B2FFBC6}"/>
            </a:ext>
            <a:ext uri="{147F2762-F138-4A5C-976F-8EAC2B608ADB}">
              <a16:predDERef xmlns:a16="http://schemas.microsoft.com/office/drawing/2014/main" pred="{E9A4D65A-37B8-4228-BE17-B32F2DF6EBA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370" name="AutoShape 1">
          <a:extLst>
            <a:ext uri="{FF2B5EF4-FFF2-40B4-BE49-F238E27FC236}">
              <a16:creationId xmlns:a16="http://schemas.microsoft.com/office/drawing/2014/main" id="{D4848DF1-33CA-4A35-B21B-84A28F5BFF48}"/>
            </a:ext>
            <a:ext uri="{147F2762-F138-4A5C-976F-8EAC2B608ADB}">
              <a16:predDERef xmlns:a16="http://schemas.microsoft.com/office/drawing/2014/main" pred="{73C10AE1-570B-48B9-B75B-B7AB1B2FFBC6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71" name="AutoShape 1">
          <a:extLst>
            <a:ext uri="{FF2B5EF4-FFF2-40B4-BE49-F238E27FC236}">
              <a16:creationId xmlns:a16="http://schemas.microsoft.com/office/drawing/2014/main" id="{5B838FD6-36BC-42C9-9E48-13D510C15C3A}"/>
            </a:ext>
            <a:ext uri="{147F2762-F138-4A5C-976F-8EAC2B608ADB}">
              <a16:predDERef xmlns:a16="http://schemas.microsoft.com/office/drawing/2014/main" pred="{D4848DF1-33CA-4A35-B21B-84A28F5BFF48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72" name="AutoShape 1">
          <a:extLst>
            <a:ext uri="{FF2B5EF4-FFF2-40B4-BE49-F238E27FC236}">
              <a16:creationId xmlns:a16="http://schemas.microsoft.com/office/drawing/2014/main" id="{9E7A00D8-2534-42A4-A987-1DCFDC40B871}"/>
            </a:ext>
            <a:ext uri="{147F2762-F138-4A5C-976F-8EAC2B608ADB}">
              <a16:predDERef xmlns:a16="http://schemas.microsoft.com/office/drawing/2014/main" pred="{5B838FD6-36BC-42C9-9E48-13D510C15C3A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73" name="AutoShape 1">
          <a:extLst>
            <a:ext uri="{FF2B5EF4-FFF2-40B4-BE49-F238E27FC236}">
              <a16:creationId xmlns:a16="http://schemas.microsoft.com/office/drawing/2014/main" id="{47CD53D1-C5B0-4060-9E8B-E1941CE1FEC4}"/>
            </a:ext>
            <a:ext uri="{147F2762-F138-4A5C-976F-8EAC2B608ADB}">
              <a16:predDERef xmlns:a16="http://schemas.microsoft.com/office/drawing/2014/main" pred="{9E7A00D8-2534-42A4-A987-1DCFDC40B87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74" name="AutoShape 1">
          <a:extLst>
            <a:ext uri="{FF2B5EF4-FFF2-40B4-BE49-F238E27FC236}">
              <a16:creationId xmlns:a16="http://schemas.microsoft.com/office/drawing/2014/main" id="{BF2A61B0-1279-4B92-9620-6C0FF6C7144C}"/>
            </a:ext>
            <a:ext uri="{147F2762-F138-4A5C-976F-8EAC2B608ADB}">
              <a16:predDERef xmlns:a16="http://schemas.microsoft.com/office/drawing/2014/main" pred="{47CD53D1-C5B0-4060-9E8B-E1941CE1FEC4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75" name="AutoShape 1">
          <a:extLst>
            <a:ext uri="{FF2B5EF4-FFF2-40B4-BE49-F238E27FC236}">
              <a16:creationId xmlns:a16="http://schemas.microsoft.com/office/drawing/2014/main" id="{0EE3567D-011E-4B50-A378-B97F43965CBF}"/>
            </a:ext>
            <a:ext uri="{147F2762-F138-4A5C-976F-8EAC2B608ADB}">
              <a16:predDERef xmlns:a16="http://schemas.microsoft.com/office/drawing/2014/main" pred="{BF2A61B0-1279-4B92-9620-6C0FF6C7144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376" name="AutoShape 1">
          <a:extLst>
            <a:ext uri="{FF2B5EF4-FFF2-40B4-BE49-F238E27FC236}">
              <a16:creationId xmlns:a16="http://schemas.microsoft.com/office/drawing/2014/main" id="{4918D11E-AA28-4CFF-B050-563C69016CAE}"/>
            </a:ext>
            <a:ext uri="{147F2762-F138-4A5C-976F-8EAC2B608ADB}">
              <a16:predDERef xmlns:a16="http://schemas.microsoft.com/office/drawing/2014/main" pred="{0EE3567D-011E-4B50-A378-B97F43965CBF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77" name="AutoShape 1">
          <a:extLst>
            <a:ext uri="{FF2B5EF4-FFF2-40B4-BE49-F238E27FC236}">
              <a16:creationId xmlns:a16="http://schemas.microsoft.com/office/drawing/2014/main" id="{554BBAD4-3ACD-470F-801E-6B69972CEFDB}"/>
            </a:ext>
            <a:ext uri="{147F2762-F138-4A5C-976F-8EAC2B608ADB}">
              <a16:predDERef xmlns:a16="http://schemas.microsoft.com/office/drawing/2014/main" pred="{4918D11E-AA28-4CFF-B050-563C69016CAE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78" name="AutoShape 1">
          <a:extLst>
            <a:ext uri="{FF2B5EF4-FFF2-40B4-BE49-F238E27FC236}">
              <a16:creationId xmlns:a16="http://schemas.microsoft.com/office/drawing/2014/main" id="{79439CBF-E8E4-41EE-AF20-0EC9F65C28A1}"/>
            </a:ext>
            <a:ext uri="{147F2762-F138-4A5C-976F-8EAC2B608ADB}">
              <a16:predDERef xmlns:a16="http://schemas.microsoft.com/office/drawing/2014/main" pred="{554BBAD4-3ACD-470F-801E-6B69972CEFDB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79" name="AutoShape 1">
          <a:extLst>
            <a:ext uri="{FF2B5EF4-FFF2-40B4-BE49-F238E27FC236}">
              <a16:creationId xmlns:a16="http://schemas.microsoft.com/office/drawing/2014/main" id="{C94CF910-4FBC-4154-82C3-EFCDA7642A07}"/>
            </a:ext>
            <a:ext uri="{147F2762-F138-4A5C-976F-8EAC2B608ADB}">
              <a16:predDERef xmlns:a16="http://schemas.microsoft.com/office/drawing/2014/main" pred="{79439CBF-E8E4-41EE-AF20-0EC9F65C28A1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80" name="AutoShape 1">
          <a:extLst>
            <a:ext uri="{FF2B5EF4-FFF2-40B4-BE49-F238E27FC236}">
              <a16:creationId xmlns:a16="http://schemas.microsoft.com/office/drawing/2014/main" id="{193889E3-F35B-4311-97FB-D427367B869D}"/>
            </a:ext>
            <a:ext uri="{147F2762-F138-4A5C-976F-8EAC2B608ADB}">
              <a16:predDERef xmlns:a16="http://schemas.microsoft.com/office/drawing/2014/main" pred="{C94CF910-4FBC-4154-82C3-EFCDA7642A07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81" name="AutoShape 1">
          <a:extLst>
            <a:ext uri="{FF2B5EF4-FFF2-40B4-BE49-F238E27FC236}">
              <a16:creationId xmlns:a16="http://schemas.microsoft.com/office/drawing/2014/main" id="{A07D7184-E459-48BE-815C-195AE7A27F9B}"/>
            </a:ext>
            <a:ext uri="{147F2762-F138-4A5C-976F-8EAC2B608ADB}">
              <a16:predDERef xmlns:a16="http://schemas.microsoft.com/office/drawing/2014/main" pred="{193889E3-F35B-4311-97FB-D427367B869D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82" name="AutoShape 1">
          <a:extLst>
            <a:ext uri="{FF2B5EF4-FFF2-40B4-BE49-F238E27FC236}">
              <a16:creationId xmlns:a16="http://schemas.microsoft.com/office/drawing/2014/main" id="{BD8316E8-4FD1-4310-8510-E4073A3F6188}"/>
            </a:ext>
            <a:ext uri="{147F2762-F138-4A5C-976F-8EAC2B608ADB}">
              <a16:predDERef xmlns:a16="http://schemas.microsoft.com/office/drawing/2014/main" pred="{A07D7184-E459-48BE-815C-195AE7A27F9B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83" name="AutoShape 1">
          <a:extLst>
            <a:ext uri="{FF2B5EF4-FFF2-40B4-BE49-F238E27FC236}">
              <a16:creationId xmlns:a16="http://schemas.microsoft.com/office/drawing/2014/main" id="{A451D8C0-B2EB-4805-A927-E3BCF770E617}"/>
            </a:ext>
            <a:ext uri="{147F2762-F138-4A5C-976F-8EAC2B608ADB}">
              <a16:predDERef xmlns:a16="http://schemas.microsoft.com/office/drawing/2014/main" pred="{BD8316E8-4FD1-4310-8510-E4073A3F6188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384" name="AutoShape 1">
          <a:extLst>
            <a:ext uri="{FF2B5EF4-FFF2-40B4-BE49-F238E27FC236}">
              <a16:creationId xmlns:a16="http://schemas.microsoft.com/office/drawing/2014/main" id="{E342CB56-8111-4DBD-B9E4-E18F5550366F}"/>
            </a:ext>
            <a:ext uri="{147F2762-F138-4A5C-976F-8EAC2B608ADB}">
              <a16:predDERef xmlns:a16="http://schemas.microsoft.com/office/drawing/2014/main" pred="{A451D8C0-B2EB-4805-A927-E3BCF770E617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85" name="AutoShape 1">
          <a:extLst>
            <a:ext uri="{FF2B5EF4-FFF2-40B4-BE49-F238E27FC236}">
              <a16:creationId xmlns:a16="http://schemas.microsoft.com/office/drawing/2014/main" id="{AD14FCF1-1B44-4EC1-9DC9-5A2CAC2A639D}"/>
            </a:ext>
            <a:ext uri="{147F2762-F138-4A5C-976F-8EAC2B608ADB}">
              <a16:predDERef xmlns:a16="http://schemas.microsoft.com/office/drawing/2014/main" pred="{E342CB56-8111-4DBD-B9E4-E18F5550366F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86" name="AutoShape 1">
          <a:extLst>
            <a:ext uri="{FF2B5EF4-FFF2-40B4-BE49-F238E27FC236}">
              <a16:creationId xmlns:a16="http://schemas.microsoft.com/office/drawing/2014/main" id="{245E37CF-BB6E-445D-A376-94606B571218}"/>
            </a:ext>
            <a:ext uri="{147F2762-F138-4A5C-976F-8EAC2B608ADB}">
              <a16:predDERef xmlns:a16="http://schemas.microsoft.com/office/drawing/2014/main" pred="{AD14FCF1-1B44-4EC1-9DC9-5A2CAC2A639D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87" name="AutoShape 1">
          <a:extLst>
            <a:ext uri="{FF2B5EF4-FFF2-40B4-BE49-F238E27FC236}">
              <a16:creationId xmlns:a16="http://schemas.microsoft.com/office/drawing/2014/main" id="{A2DDE274-7904-48D0-B12C-5FFCB40C7B3F}"/>
            </a:ext>
            <a:ext uri="{147F2762-F138-4A5C-976F-8EAC2B608ADB}">
              <a16:predDERef xmlns:a16="http://schemas.microsoft.com/office/drawing/2014/main" pred="{245E37CF-BB6E-445D-A376-94606B571218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88" name="AutoShape 1">
          <a:extLst>
            <a:ext uri="{FF2B5EF4-FFF2-40B4-BE49-F238E27FC236}">
              <a16:creationId xmlns:a16="http://schemas.microsoft.com/office/drawing/2014/main" id="{7C9A8CA6-886A-4579-A47E-A1218C82966F}"/>
            </a:ext>
            <a:ext uri="{147F2762-F138-4A5C-976F-8EAC2B608ADB}">
              <a16:predDERef xmlns:a16="http://schemas.microsoft.com/office/drawing/2014/main" pred="{A2DDE274-7904-48D0-B12C-5FFCB40C7B3F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89" name="AutoShape 1">
          <a:extLst>
            <a:ext uri="{FF2B5EF4-FFF2-40B4-BE49-F238E27FC236}">
              <a16:creationId xmlns:a16="http://schemas.microsoft.com/office/drawing/2014/main" id="{5D2D02C1-95BB-4A71-8B61-3EA0826EB69C}"/>
            </a:ext>
            <a:ext uri="{147F2762-F138-4A5C-976F-8EAC2B608ADB}">
              <a16:predDERef xmlns:a16="http://schemas.microsoft.com/office/drawing/2014/main" pred="{7C9A8CA6-886A-4579-A47E-A1218C82966F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90" name="AutoShape 1">
          <a:extLst>
            <a:ext uri="{FF2B5EF4-FFF2-40B4-BE49-F238E27FC236}">
              <a16:creationId xmlns:a16="http://schemas.microsoft.com/office/drawing/2014/main" id="{10758097-3960-41F8-985C-41ECC9B8648F}"/>
            </a:ext>
            <a:ext uri="{147F2762-F138-4A5C-976F-8EAC2B608ADB}">
              <a16:predDERef xmlns:a16="http://schemas.microsoft.com/office/drawing/2014/main" pred="{5D2D02C1-95BB-4A71-8B61-3EA0826EB69C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91" name="AutoShape 1">
          <a:extLst>
            <a:ext uri="{FF2B5EF4-FFF2-40B4-BE49-F238E27FC236}">
              <a16:creationId xmlns:a16="http://schemas.microsoft.com/office/drawing/2014/main" id="{40A3E82D-8AB4-4E82-8DBA-8C270B498ABD}"/>
            </a:ext>
            <a:ext uri="{147F2762-F138-4A5C-976F-8EAC2B608ADB}">
              <a16:predDERef xmlns:a16="http://schemas.microsoft.com/office/drawing/2014/main" pred="{10758097-3960-41F8-985C-41ECC9B8648F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304796"/>
    <xdr:sp macro="" textlink="">
      <xdr:nvSpPr>
        <xdr:cNvPr id="392" name="AutoShape 1">
          <a:extLst>
            <a:ext uri="{FF2B5EF4-FFF2-40B4-BE49-F238E27FC236}">
              <a16:creationId xmlns:a16="http://schemas.microsoft.com/office/drawing/2014/main" id="{1386BE8A-1C90-41E2-8BA5-0E041366DAF6}"/>
            </a:ext>
            <a:ext uri="{147F2762-F138-4A5C-976F-8EAC2B608ADB}">
              <a16:predDERef xmlns:a16="http://schemas.microsoft.com/office/drawing/2014/main" pred="{40A3E82D-8AB4-4E82-8DBA-8C270B498ABD}"/>
            </a:ext>
          </a:extLst>
        </xdr:cNvPr>
        <xdr:cNvSpPr/>
      </xdr:nvSpPr>
      <xdr:spPr>
        <a:xfrm>
          <a:off x="847725" y="60674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93" name="AutoShape 1">
          <a:extLst>
            <a:ext uri="{FF2B5EF4-FFF2-40B4-BE49-F238E27FC236}">
              <a16:creationId xmlns:a16="http://schemas.microsoft.com/office/drawing/2014/main" id="{9887205A-794A-4099-9DEE-E92D4B8A06D3}"/>
            </a:ext>
            <a:ext uri="{147F2762-F138-4A5C-976F-8EAC2B608ADB}">
              <a16:predDERef xmlns:a16="http://schemas.microsoft.com/office/drawing/2014/main" pred="{1386BE8A-1C90-41E2-8BA5-0E041366DAF6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94" name="AutoShape 1">
          <a:extLst>
            <a:ext uri="{FF2B5EF4-FFF2-40B4-BE49-F238E27FC236}">
              <a16:creationId xmlns:a16="http://schemas.microsoft.com/office/drawing/2014/main" id="{11F889A4-A414-468F-8860-6E93BB71A215}"/>
            </a:ext>
            <a:ext uri="{147F2762-F138-4A5C-976F-8EAC2B608ADB}">
              <a16:predDERef xmlns:a16="http://schemas.microsoft.com/office/drawing/2014/main" pred="{9887205A-794A-4099-9DEE-E92D4B8A06D3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95" name="AutoShape 1">
          <a:extLst>
            <a:ext uri="{FF2B5EF4-FFF2-40B4-BE49-F238E27FC236}">
              <a16:creationId xmlns:a16="http://schemas.microsoft.com/office/drawing/2014/main" id="{67180B7F-4B0A-4D84-B5F5-18DCAD221C9F}"/>
            </a:ext>
            <a:ext uri="{147F2762-F138-4A5C-976F-8EAC2B608ADB}">
              <a16:predDERef xmlns:a16="http://schemas.microsoft.com/office/drawing/2014/main" pred="{11F889A4-A414-468F-8860-6E93BB71A215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96" name="AutoShape 1">
          <a:extLst>
            <a:ext uri="{FF2B5EF4-FFF2-40B4-BE49-F238E27FC236}">
              <a16:creationId xmlns:a16="http://schemas.microsoft.com/office/drawing/2014/main" id="{ECA3F951-5DEB-40B8-BE36-DF7E6D102FC4}"/>
            </a:ext>
            <a:ext uri="{147F2762-F138-4A5C-976F-8EAC2B608ADB}">
              <a16:predDERef xmlns:a16="http://schemas.microsoft.com/office/drawing/2014/main" pred="{67180B7F-4B0A-4D84-B5F5-18DCAD221C9F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304796" cy="295278"/>
    <xdr:sp macro="" textlink="">
      <xdr:nvSpPr>
        <xdr:cNvPr id="397" name="AutoShape 1">
          <a:extLst>
            <a:ext uri="{FF2B5EF4-FFF2-40B4-BE49-F238E27FC236}">
              <a16:creationId xmlns:a16="http://schemas.microsoft.com/office/drawing/2014/main" id="{3545AF49-4F1F-4C38-BB15-6075C49E77F2}"/>
            </a:ext>
            <a:ext uri="{147F2762-F138-4A5C-976F-8EAC2B608ADB}">
              <a16:predDERef xmlns:a16="http://schemas.microsoft.com/office/drawing/2014/main" pred="{ECA3F951-5DEB-40B8-BE36-DF7E6D102FC4}"/>
            </a:ext>
          </a:extLst>
        </xdr:cNvPr>
        <xdr:cNvSpPr/>
      </xdr:nvSpPr>
      <xdr:spPr>
        <a:xfrm>
          <a:off x="847725" y="6067425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98220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E1BD44A-82DC-44E3-A99F-98B5677E3391}"/>
            </a:ext>
          </a:extLst>
        </xdr:cNvPr>
        <xdr:cNvSpPr>
          <a:spLocks noChangeAspect="1" noChangeArrowheads="1"/>
        </xdr:cNvSpPr>
      </xdr:nvSpPr>
      <xdr:spPr bwMode="auto">
        <a:xfrm>
          <a:off x="2657475" y="84963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98220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FDA40CD-166C-4381-BB01-284DCBC76F53}"/>
            </a:ext>
            <a:ext uri="{147F2762-F138-4A5C-976F-8EAC2B608ADB}">
              <a16:predDERef xmlns:a16="http://schemas.microsoft.com/office/drawing/2014/main" pred="{8106CF12-DD6D-454E-93CA-723AC8E82FB6}"/>
            </a:ext>
          </a:extLst>
        </xdr:cNvPr>
        <xdr:cNvSpPr>
          <a:spLocks noChangeAspect="1" noChangeArrowheads="1"/>
        </xdr:cNvSpPr>
      </xdr:nvSpPr>
      <xdr:spPr bwMode="auto">
        <a:xfrm>
          <a:off x="2657475" y="84963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69645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D05B76D4-6F40-4014-9F49-60F4CF880FF5}"/>
            </a:ext>
            <a:ext uri="{147F2762-F138-4A5C-976F-8EAC2B608ADB}">
              <a16:predDERef xmlns:a16="http://schemas.microsoft.com/office/drawing/2014/main" pred="{5D3BCDA3-66AC-4BC3-A94A-516F031B87B0}"/>
            </a:ext>
          </a:extLst>
        </xdr:cNvPr>
        <xdr:cNvSpPr>
          <a:spLocks noChangeAspect="1" noChangeArrowheads="1"/>
        </xdr:cNvSpPr>
      </xdr:nvSpPr>
      <xdr:spPr bwMode="auto">
        <a:xfrm>
          <a:off x="2657475" y="8496300"/>
          <a:ext cx="304800" cy="276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69645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CB5DB0F1-97FF-4064-9BA4-FB3E4A65CBF4}"/>
            </a:ext>
            <a:ext uri="{147F2762-F138-4A5C-976F-8EAC2B608ADB}">
              <a16:predDERef xmlns:a16="http://schemas.microsoft.com/office/drawing/2014/main" pred="{8A750E44-F89F-4882-86E2-B7FB06AE7E13}"/>
            </a:ext>
          </a:extLst>
        </xdr:cNvPr>
        <xdr:cNvSpPr>
          <a:spLocks noChangeAspect="1" noChangeArrowheads="1"/>
        </xdr:cNvSpPr>
      </xdr:nvSpPr>
      <xdr:spPr bwMode="auto">
        <a:xfrm>
          <a:off x="2657475" y="8496300"/>
          <a:ext cx="304800" cy="276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99918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9B9F33B4-5CC4-431F-9696-4EA197EB55BC}"/>
            </a:ext>
            <a:ext uri="{147F2762-F138-4A5C-976F-8EAC2B608ADB}">
              <a16:predDERef xmlns:a16="http://schemas.microsoft.com/office/drawing/2014/main" pred="{1596F65C-A139-4032-8D7C-F8B6C7D1AF0F}"/>
            </a:ext>
          </a:extLst>
        </xdr:cNvPr>
        <xdr:cNvSpPr>
          <a:spLocks noChangeAspect="1" noChangeArrowheads="1"/>
        </xdr:cNvSpPr>
      </xdr:nvSpPr>
      <xdr:spPr bwMode="auto">
        <a:xfrm>
          <a:off x="2657475" y="9105900"/>
          <a:ext cx="304800" cy="292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99918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E54B74AF-F86F-429C-8767-D7B7A490FCBD}"/>
            </a:ext>
            <a:ext uri="{147F2762-F138-4A5C-976F-8EAC2B608ADB}">
              <a16:predDERef xmlns:a16="http://schemas.microsoft.com/office/drawing/2014/main" pred="{9166C4A8-C6C4-46DB-B928-6959E73B3810}"/>
            </a:ext>
          </a:extLst>
        </xdr:cNvPr>
        <xdr:cNvSpPr>
          <a:spLocks noChangeAspect="1" noChangeArrowheads="1"/>
        </xdr:cNvSpPr>
      </xdr:nvSpPr>
      <xdr:spPr bwMode="auto">
        <a:xfrm>
          <a:off x="2657475" y="9105900"/>
          <a:ext cx="304800" cy="292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19049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3DC59C2-474C-41FD-9379-4A22E5CDDF4A}"/>
            </a:ext>
          </a:extLst>
        </xdr:cNvPr>
        <xdr:cNvSpPr>
          <a:spLocks noChangeAspect="1" noChangeArrowheads="1"/>
        </xdr:cNvSpPr>
      </xdr:nvSpPr>
      <xdr:spPr bwMode="auto">
        <a:xfrm>
          <a:off x="2657475" y="86391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19049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1A2BF5B8-6850-4BBA-940F-BC31720F288E}"/>
            </a:ext>
            <a:ext uri="{147F2762-F138-4A5C-976F-8EAC2B608ADB}">
              <a16:predDERef xmlns:a16="http://schemas.microsoft.com/office/drawing/2014/main" pred="{8106CF12-DD6D-454E-93CA-723AC8E82FB6}"/>
            </a:ext>
          </a:extLst>
        </xdr:cNvPr>
        <xdr:cNvSpPr>
          <a:spLocks noChangeAspect="1" noChangeArrowheads="1"/>
        </xdr:cNvSpPr>
      </xdr:nvSpPr>
      <xdr:spPr bwMode="auto">
        <a:xfrm>
          <a:off x="2657475" y="86391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276224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AC27567B-0C0A-4CF3-AF00-2F670D1C067C}"/>
            </a:ext>
            <a:ext uri="{147F2762-F138-4A5C-976F-8EAC2B608ADB}">
              <a16:predDERef xmlns:a16="http://schemas.microsoft.com/office/drawing/2014/main" pred="{5D3BCDA3-66AC-4BC3-A94A-516F031B87B0}"/>
            </a:ext>
          </a:extLst>
        </xdr:cNvPr>
        <xdr:cNvSpPr>
          <a:spLocks noChangeAspect="1" noChangeArrowheads="1"/>
        </xdr:cNvSpPr>
      </xdr:nvSpPr>
      <xdr:spPr bwMode="auto">
        <a:xfrm>
          <a:off x="2657475" y="8639175"/>
          <a:ext cx="304800" cy="276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276224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C38F85DC-2D73-4DC0-AF85-949C4E44FC81}"/>
            </a:ext>
            <a:ext uri="{147F2762-F138-4A5C-976F-8EAC2B608ADB}">
              <a16:predDERef xmlns:a16="http://schemas.microsoft.com/office/drawing/2014/main" pred="{8A750E44-F89F-4882-86E2-B7FB06AE7E13}"/>
            </a:ext>
          </a:extLst>
        </xdr:cNvPr>
        <xdr:cNvSpPr>
          <a:spLocks noChangeAspect="1" noChangeArrowheads="1"/>
        </xdr:cNvSpPr>
      </xdr:nvSpPr>
      <xdr:spPr bwMode="auto">
        <a:xfrm>
          <a:off x="2657475" y="8639175"/>
          <a:ext cx="304800" cy="276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111125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2A24FF3E-1736-4134-99E2-A992265CB8E3}"/>
            </a:ext>
            <a:ext uri="{147F2762-F138-4A5C-976F-8EAC2B608ADB}">
              <a16:predDERef xmlns:a16="http://schemas.microsoft.com/office/drawing/2014/main" pred="{1596F65C-A139-4032-8D7C-F8B6C7D1AF0F}"/>
            </a:ext>
          </a:extLst>
        </xdr:cNvPr>
        <xdr:cNvSpPr>
          <a:spLocks noChangeAspect="1" noChangeArrowheads="1"/>
        </xdr:cNvSpPr>
      </xdr:nvSpPr>
      <xdr:spPr bwMode="auto">
        <a:xfrm>
          <a:off x="2657475" y="9248775"/>
          <a:ext cx="30480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111125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D7845D72-19A3-4CDB-BAE8-EADD81DCDF17}"/>
            </a:ext>
            <a:ext uri="{147F2762-F138-4A5C-976F-8EAC2B608ADB}">
              <a16:predDERef xmlns:a16="http://schemas.microsoft.com/office/drawing/2014/main" pred="{9166C4A8-C6C4-46DB-B928-6959E73B3810}"/>
            </a:ext>
          </a:extLst>
        </xdr:cNvPr>
        <xdr:cNvSpPr>
          <a:spLocks noChangeAspect="1" noChangeArrowheads="1"/>
        </xdr:cNvSpPr>
      </xdr:nvSpPr>
      <xdr:spPr bwMode="auto">
        <a:xfrm>
          <a:off x="2657475" y="9248775"/>
          <a:ext cx="30480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64603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16F082D-61E0-46C2-9CAC-417208BDBADF}"/>
            </a:ext>
          </a:extLst>
        </xdr:cNvPr>
        <xdr:cNvSpPr>
          <a:spLocks noChangeAspect="1" noChangeArrowheads="1"/>
        </xdr:cNvSpPr>
      </xdr:nvSpPr>
      <xdr:spPr bwMode="auto">
        <a:xfrm>
          <a:off x="2657475" y="7639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64603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15645F08-B021-4D4A-979D-830E60B6CAC8}"/>
            </a:ext>
            <a:ext uri="{147F2762-F138-4A5C-976F-8EAC2B608ADB}">
              <a16:predDERef xmlns:a16="http://schemas.microsoft.com/office/drawing/2014/main" pred="{8106CF12-DD6D-454E-93CA-723AC8E82FB6}"/>
            </a:ext>
          </a:extLst>
        </xdr:cNvPr>
        <xdr:cNvSpPr>
          <a:spLocks noChangeAspect="1" noChangeArrowheads="1"/>
        </xdr:cNvSpPr>
      </xdr:nvSpPr>
      <xdr:spPr bwMode="auto">
        <a:xfrm>
          <a:off x="2657475" y="7639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36028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BB0A492F-B7A0-424B-A02C-48BFA7DA474A}"/>
            </a:ext>
            <a:ext uri="{147F2762-F138-4A5C-976F-8EAC2B608ADB}">
              <a16:predDERef xmlns:a16="http://schemas.microsoft.com/office/drawing/2014/main" pred="{5D3BCDA3-66AC-4BC3-A94A-516F031B87B0}"/>
            </a:ext>
          </a:extLst>
        </xdr:cNvPr>
        <xdr:cNvSpPr>
          <a:spLocks noChangeAspect="1" noChangeArrowheads="1"/>
        </xdr:cNvSpPr>
      </xdr:nvSpPr>
      <xdr:spPr bwMode="auto">
        <a:xfrm>
          <a:off x="2657475" y="7639050"/>
          <a:ext cx="304800" cy="276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36028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7F471FD1-7E99-4A06-BDEA-0D3F851D88A7}"/>
            </a:ext>
            <a:ext uri="{147F2762-F138-4A5C-976F-8EAC2B608ADB}">
              <a16:predDERef xmlns:a16="http://schemas.microsoft.com/office/drawing/2014/main" pred="{8A750E44-F89F-4882-86E2-B7FB06AE7E13}"/>
            </a:ext>
          </a:extLst>
        </xdr:cNvPr>
        <xdr:cNvSpPr>
          <a:spLocks noChangeAspect="1" noChangeArrowheads="1"/>
        </xdr:cNvSpPr>
      </xdr:nvSpPr>
      <xdr:spPr bwMode="auto">
        <a:xfrm>
          <a:off x="2657475" y="7639050"/>
          <a:ext cx="304800" cy="276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102842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3A46C012-587B-4A29-96FA-143453F8D9F8}"/>
            </a:ext>
            <a:ext uri="{147F2762-F138-4A5C-976F-8EAC2B608ADB}">
              <a16:predDERef xmlns:a16="http://schemas.microsoft.com/office/drawing/2014/main" pred="{1596F65C-A139-4032-8D7C-F8B6C7D1AF0F}"/>
            </a:ext>
          </a:extLst>
        </xdr:cNvPr>
        <xdr:cNvSpPr>
          <a:spLocks noChangeAspect="1" noChangeArrowheads="1"/>
        </xdr:cNvSpPr>
      </xdr:nvSpPr>
      <xdr:spPr bwMode="auto">
        <a:xfrm>
          <a:off x="2657475" y="8248650"/>
          <a:ext cx="30480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102842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239C7B59-59F4-4254-B0B1-E8423CCC8D81}"/>
            </a:ext>
            <a:ext uri="{147F2762-F138-4A5C-976F-8EAC2B608ADB}">
              <a16:predDERef xmlns:a16="http://schemas.microsoft.com/office/drawing/2014/main" pred="{9166C4A8-C6C4-46DB-B928-6959E73B3810}"/>
            </a:ext>
          </a:extLst>
        </xdr:cNvPr>
        <xdr:cNvSpPr>
          <a:spLocks noChangeAspect="1" noChangeArrowheads="1"/>
        </xdr:cNvSpPr>
      </xdr:nvSpPr>
      <xdr:spPr bwMode="auto">
        <a:xfrm>
          <a:off x="2657475" y="8248650"/>
          <a:ext cx="30480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122671</xdr:colOff>
      <xdr:row>69</xdr:row>
      <xdr:rowOff>71438</xdr:rowOff>
    </xdr:from>
    <xdr:to>
      <xdr:col>13</xdr:col>
      <xdr:colOff>627784</xdr:colOff>
      <xdr:row>69</xdr:row>
      <xdr:rowOff>367290</xdr:rowOff>
    </xdr:to>
    <xdr:sp macro="" textlink="">
      <xdr:nvSpPr>
        <xdr:cNvPr id="2" name="Seta para a Esquerda e para a Direita 1">
          <a:extLst>
            <a:ext uri="{FF2B5EF4-FFF2-40B4-BE49-F238E27FC236}">
              <a16:creationId xmlns:a16="http://schemas.microsoft.com/office/drawing/2014/main" id="{F5A750D7-40C1-44E6-B1EE-FE0A9AC54463}"/>
            </a:ext>
          </a:extLst>
        </xdr:cNvPr>
        <xdr:cNvSpPr/>
      </xdr:nvSpPr>
      <xdr:spPr>
        <a:xfrm>
          <a:off x="9133321" y="19011900"/>
          <a:ext cx="1209963" cy="0"/>
        </a:xfrm>
        <a:prstGeom prst="leftRightArrow">
          <a:avLst/>
        </a:prstGeom>
        <a:solidFill>
          <a:schemeClr val="bg1">
            <a:lumMod val="95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449007</xdr:colOff>
      <xdr:row>59</xdr:row>
      <xdr:rowOff>7743</xdr:rowOff>
    </xdr:from>
    <xdr:to>
      <xdr:col>9</xdr:col>
      <xdr:colOff>637156</xdr:colOff>
      <xdr:row>61</xdr:row>
      <xdr:rowOff>277814</xdr:rowOff>
    </xdr:to>
    <xdr:sp macro="" textlink="">
      <xdr:nvSpPr>
        <xdr:cNvPr id="3" name="Chave Esquerda 2">
          <a:extLst>
            <a:ext uri="{FF2B5EF4-FFF2-40B4-BE49-F238E27FC236}">
              <a16:creationId xmlns:a16="http://schemas.microsoft.com/office/drawing/2014/main" id="{D985AE18-38E3-4097-9499-D7FB783D0915}"/>
            </a:ext>
          </a:extLst>
        </xdr:cNvPr>
        <xdr:cNvSpPr/>
      </xdr:nvSpPr>
      <xdr:spPr>
        <a:xfrm>
          <a:off x="6525957" y="17114643"/>
          <a:ext cx="188149" cy="841571"/>
        </a:xfrm>
        <a:prstGeom prst="lef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436387</xdr:colOff>
      <xdr:row>53</xdr:row>
      <xdr:rowOff>31553</xdr:rowOff>
    </xdr:from>
    <xdr:to>
      <xdr:col>9</xdr:col>
      <xdr:colOff>589729</xdr:colOff>
      <xdr:row>54</xdr:row>
      <xdr:rowOff>274578</xdr:rowOff>
    </xdr:to>
    <xdr:sp macro="" textlink="">
      <xdr:nvSpPr>
        <xdr:cNvPr id="4" name="Chave Esquerda 3">
          <a:extLst>
            <a:ext uri="{FF2B5EF4-FFF2-40B4-BE49-F238E27FC236}">
              <a16:creationId xmlns:a16="http://schemas.microsoft.com/office/drawing/2014/main" id="{D4D9AB05-5E61-45B3-AD8C-525B02B9FB1C}"/>
            </a:ext>
          </a:extLst>
        </xdr:cNvPr>
        <xdr:cNvSpPr/>
      </xdr:nvSpPr>
      <xdr:spPr>
        <a:xfrm>
          <a:off x="6513337" y="15709703"/>
          <a:ext cx="153342" cy="528775"/>
        </a:xfrm>
        <a:prstGeom prst="leftBrace">
          <a:avLst/>
        </a:prstGeom>
        <a:ln>
          <a:solidFill>
            <a:srgbClr val="00206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86B6477-73D7-4FF8-AA1B-32333B75571F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BD5D390B-0DCE-4A74-B84D-635E5CCCF35E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D568C063-F6B4-455D-AB86-63314524D43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C4B0FCAB-E879-4CD4-B08F-0680CC9E490E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5EB3139B-F51A-4634-94D3-BC4782C98EAB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2753E06-811A-41D9-A15E-608518496830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4F6983F2-19D3-4AFA-908E-73F245B1FF9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660E6C1E-D723-4934-AC04-6E4B5E0AAEB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24CC8EEC-B56E-41B5-B0CA-18C21703FFC5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9F601B1C-0F09-4A4B-B9D2-D38713AC3A1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8691CF4F-3363-45BC-81F5-97DF904F3D94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A5BF4998-4DC8-45A2-A70C-B498629D63E1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EA9B287A-7F88-4B27-8453-C68BA1D085A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DD39F490-F3E0-4D98-B0F6-B7F1800FFC32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57E3E00E-F2C5-4E11-8E02-2858E3B81549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88BCA8C8-CDEA-4093-A355-7C97700C8EE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CA410CC2-BA61-4CFD-AD85-EBB579966E90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64D715C7-D0AB-4954-83D8-E1AB500DD08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4AAA5BE3-FC55-4597-8B51-FBB808AE9D9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B381B550-F442-48D1-9937-3613ECDBEDE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F7E00C67-348E-4871-B433-E0BF481AF46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CDC6B2B2-31EE-4EC7-833B-173DB61E77EB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9A10D101-E6D3-4D06-A0BC-D0D6218CDC8F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AF833D91-7EC8-4C3F-8D80-58A954A523F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CD5C3AFA-45EC-4144-AC4F-C5753A2F908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EAE3BB6C-34AD-4CD1-8067-9A691EA9A58F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6FC5D5CF-FCA0-4CE7-A45C-A7232DB80BA2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00EF8043-D753-420F-B3E1-D6ADFF084BE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8319FD9A-8694-4BA2-8093-729B528AB5D1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621DEE04-4A7D-421C-92BE-A39A8BBBB3D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369D320D-FC3E-425C-873F-5EF906C9E05A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4D5104DB-567D-48FC-BEC3-F208B042287E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E0E8711D-64A5-4DFF-8FB8-C4A8C425C83F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A126854E-6FBF-41C8-ABDC-C54BEA6DA0F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DFA6AD5E-20DD-4F84-BDF9-43924DA44CE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1BB0E88E-4184-441A-9E81-B8BF84D2D822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6E91E0CB-6E04-4D2B-BC65-D8A0CF28ACC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E3211080-E082-4DD7-9E44-E15D1FA0DCF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4955718E-AE02-40DC-8665-57E85DCCC5B1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F8EAE852-B701-416C-835F-035961DDA5F0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ACC9E625-5AAA-4E8C-86D0-36CB969A2CE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81D2A4A4-1E46-4428-9BE8-EA3B81524091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864B0FB2-0662-4B59-9E18-8399EACEBFE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2F080CF3-3763-488C-8F2A-ACAEAC740B4F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1B7B1457-A4CB-450A-ADC0-5512AFEC4BE8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id="{2F7F8AE1-FADE-4735-B858-9B95BA22209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48" name="AutoShape 1">
          <a:extLst>
            <a:ext uri="{FF2B5EF4-FFF2-40B4-BE49-F238E27FC236}">
              <a16:creationId xmlns:a16="http://schemas.microsoft.com/office/drawing/2014/main" id="{CCAC95A1-88D4-49CE-90EC-5A8439D7384E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33D952E5-D445-4F82-BE66-9C17C3933F81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1011EE34-B2A2-4E9D-851B-4FE92E6FE1E9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51" name="AutoShape 1">
          <a:extLst>
            <a:ext uri="{FF2B5EF4-FFF2-40B4-BE49-F238E27FC236}">
              <a16:creationId xmlns:a16="http://schemas.microsoft.com/office/drawing/2014/main" id="{0D6CDCDE-4C1F-46FC-A9D6-ECB7C3F2FA9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52" name="AutoShape 1">
          <a:extLst>
            <a:ext uri="{FF2B5EF4-FFF2-40B4-BE49-F238E27FC236}">
              <a16:creationId xmlns:a16="http://schemas.microsoft.com/office/drawing/2014/main" id="{813F3AF0-AAF9-4C8D-A39C-E1341F59E09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9A7C2596-7092-4756-8193-8DE2FD9B9C2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id="{488EE4BB-1A0C-4D22-9C86-D27A0F67A345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55" name="AutoShape 1">
          <a:extLst>
            <a:ext uri="{FF2B5EF4-FFF2-40B4-BE49-F238E27FC236}">
              <a16:creationId xmlns:a16="http://schemas.microsoft.com/office/drawing/2014/main" id="{6C9D09FC-593F-41AA-B0C0-0E7316252951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048BF5CF-7D2A-4A27-9AF1-9BABBBC7F64F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57" name="AutoShape 1">
          <a:extLst>
            <a:ext uri="{FF2B5EF4-FFF2-40B4-BE49-F238E27FC236}">
              <a16:creationId xmlns:a16="http://schemas.microsoft.com/office/drawing/2014/main" id="{2F6D053F-95E3-44DA-99EC-2EF8180108B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58" name="AutoShape 1">
          <a:extLst>
            <a:ext uri="{FF2B5EF4-FFF2-40B4-BE49-F238E27FC236}">
              <a16:creationId xmlns:a16="http://schemas.microsoft.com/office/drawing/2014/main" id="{1ECC2D4D-047C-4AA8-80F2-6B2E00FD2390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id="{DD387E78-CD23-4C47-B788-236F1536A91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60" name="AutoShape 1">
          <a:extLst>
            <a:ext uri="{FF2B5EF4-FFF2-40B4-BE49-F238E27FC236}">
              <a16:creationId xmlns:a16="http://schemas.microsoft.com/office/drawing/2014/main" id="{665A0B22-7DEA-41DD-84A7-2A95DF8F008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id="{CAEB54D5-FCA1-4DF3-A53A-A50DE823E540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id="{115FB167-7AFF-4A5E-86C1-FF89A5C1DADC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63" name="AutoShape 1">
          <a:extLst>
            <a:ext uri="{FF2B5EF4-FFF2-40B4-BE49-F238E27FC236}">
              <a16:creationId xmlns:a16="http://schemas.microsoft.com/office/drawing/2014/main" id="{FBF18E17-E8BE-47EF-877B-A9605EBC408B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64" name="AutoShape 1">
          <a:extLst>
            <a:ext uri="{FF2B5EF4-FFF2-40B4-BE49-F238E27FC236}">
              <a16:creationId xmlns:a16="http://schemas.microsoft.com/office/drawing/2014/main" id="{095518B7-BD78-48C0-BE21-00A52B270061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65" name="AutoShape 1">
          <a:extLst>
            <a:ext uri="{FF2B5EF4-FFF2-40B4-BE49-F238E27FC236}">
              <a16:creationId xmlns:a16="http://schemas.microsoft.com/office/drawing/2014/main" id="{80ED64CB-DC2F-455A-9F89-F37FDF156D24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66" name="AutoShape 1">
          <a:extLst>
            <a:ext uri="{FF2B5EF4-FFF2-40B4-BE49-F238E27FC236}">
              <a16:creationId xmlns:a16="http://schemas.microsoft.com/office/drawing/2014/main" id="{269CFC37-662D-44DF-8539-21FFEF2D4D9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67" name="AutoShape 1">
          <a:extLst>
            <a:ext uri="{FF2B5EF4-FFF2-40B4-BE49-F238E27FC236}">
              <a16:creationId xmlns:a16="http://schemas.microsoft.com/office/drawing/2014/main" id="{B7B8B439-6B58-4E21-A6D0-2D839C13446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68" name="AutoShape 1">
          <a:extLst>
            <a:ext uri="{FF2B5EF4-FFF2-40B4-BE49-F238E27FC236}">
              <a16:creationId xmlns:a16="http://schemas.microsoft.com/office/drawing/2014/main" id="{0838EB8C-E3C8-430A-A423-B865D4117359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69" name="AutoShape 1">
          <a:extLst>
            <a:ext uri="{FF2B5EF4-FFF2-40B4-BE49-F238E27FC236}">
              <a16:creationId xmlns:a16="http://schemas.microsoft.com/office/drawing/2014/main" id="{901C1DB9-97D5-49F7-8826-1AE6796747C4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70" name="AutoShape 1">
          <a:extLst>
            <a:ext uri="{FF2B5EF4-FFF2-40B4-BE49-F238E27FC236}">
              <a16:creationId xmlns:a16="http://schemas.microsoft.com/office/drawing/2014/main" id="{4BA88C66-98AA-4A12-B123-E2AE698CBC3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71" name="AutoShape 1">
          <a:extLst>
            <a:ext uri="{FF2B5EF4-FFF2-40B4-BE49-F238E27FC236}">
              <a16:creationId xmlns:a16="http://schemas.microsoft.com/office/drawing/2014/main" id="{201144AD-3520-4098-8752-57870EDB3E31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72" name="AutoShape 1">
          <a:extLst>
            <a:ext uri="{FF2B5EF4-FFF2-40B4-BE49-F238E27FC236}">
              <a16:creationId xmlns:a16="http://schemas.microsoft.com/office/drawing/2014/main" id="{57B894DC-AEBF-43CC-9500-559B4AB80C1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73" name="AutoShape 1">
          <a:extLst>
            <a:ext uri="{FF2B5EF4-FFF2-40B4-BE49-F238E27FC236}">
              <a16:creationId xmlns:a16="http://schemas.microsoft.com/office/drawing/2014/main" id="{2B43DF0A-240F-400E-AA7C-2347EC5041F0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74" name="AutoShape 1">
          <a:extLst>
            <a:ext uri="{FF2B5EF4-FFF2-40B4-BE49-F238E27FC236}">
              <a16:creationId xmlns:a16="http://schemas.microsoft.com/office/drawing/2014/main" id="{DDA85522-2793-4F7F-B4F0-CA757E65143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75" name="AutoShape 1">
          <a:extLst>
            <a:ext uri="{FF2B5EF4-FFF2-40B4-BE49-F238E27FC236}">
              <a16:creationId xmlns:a16="http://schemas.microsoft.com/office/drawing/2014/main" id="{595D4BC2-BAB7-464A-9923-16A7E875DA1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76" name="AutoShape 1">
          <a:extLst>
            <a:ext uri="{FF2B5EF4-FFF2-40B4-BE49-F238E27FC236}">
              <a16:creationId xmlns:a16="http://schemas.microsoft.com/office/drawing/2014/main" id="{461D7CFC-0185-46D4-8B42-DFE3D48B0F9C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77" name="AutoShape 1">
          <a:extLst>
            <a:ext uri="{FF2B5EF4-FFF2-40B4-BE49-F238E27FC236}">
              <a16:creationId xmlns:a16="http://schemas.microsoft.com/office/drawing/2014/main" id="{3C3C93DE-7C87-435D-82B5-581346DFF71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78" name="AutoShape 1">
          <a:extLst>
            <a:ext uri="{FF2B5EF4-FFF2-40B4-BE49-F238E27FC236}">
              <a16:creationId xmlns:a16="http://schemas.microsoft.com/office/drawing/2014/main" id="{A36468D2-8986-4DA7-B885-20FB4B94DB5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79" name="AutoShape 1">
          <a:extLst>
            <a:ext uri="{FF2B5EF4-FFF2-40B4-BE49-F238E27FC236}">
              <a16:creationId xmlns:a16="http://schemas.microsoft.com/office/drawing/2014/main" id="{18AD354B-A8CD-4EE7-9CBB-38CE5307893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80" name="AutoShape 1">
          <a:extLst>
            <a:ext uri="{FF2B5EF4-FFF2-40B4-BE49-F238E27FC236}">
              <a16:creationId xmlns:a16="http://schemas.microsoft.com/office/drawing/2014/main" id="{1DA47AFD-46B5-4186-886D-01F19152918F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81" name="AutoShape 1">
          <a:extLst>
            <a:ext uri="{FF2B5EF4-FFF2-40B4-BE49-F238E27FC236}">
              <a16:creationId xmlns:a16="http://schemas.microsoft.com/office/drawing/2014/main" id="{2D1E4309-6256-42B1-8913-008099B47B91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82" name="AutoShape 1">
          <a:extLst>
            <a:ext uri="{FF2B5EF4-FFF2-40B4-BE49-F238E27FC236}">
              <a16:creationId xmlns:a16="http://schemas.microsoft.com/office/drawing/2014/main" id="{182C7EF9-AFED-4279-90E6-89D9F8891DE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83" name="AutoShape 1">
          <a:extLst>
            <a:ext uri="{FF2B5EF4-FFF2-40B4-BE49-F238E27FC236}">
              <a16:creationId xmlns:a16="http://schemas.microsoft.com/office/drawing/2014/main" id="{B064F4CF-BD7B-4346-B58B-5135AEA7D8F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84" name="AutoShape 1">
          <a:extLst>
            <a:ext uri="{FF2B5EF4-FFF2-40B4-BE49-F238E27FC236}">
              <a16:creationId xmlns:a16="http://schemas.microsoft.com/office/drawing/2014/main" id="{8AEA45F8-3352-4FE8-9E3E-2091E3A6C7EB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85" name="AutoShape 1">
          <a:extLst>
            <a:ext uri="{FF2B5EF4-FFF2-40B4-BE49-F238E27FC236}">
              <a16:creationId xmlns:a16="http://schemas.microsoft.com/office/drawing/2014/main" id="{62DC3466-CC37-41B7-94BD-C54A855611B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86" name="AutoShape 1">
          <a:extLst>
            <a:ext uri="{FF2B5EF4-FFF2-40B4-BE49-F238E27FC236}">
              <a16:creationId xmlns:a16="http://schemas.microsoft.com/office/drawing/2014/main" id="{76A3DCB0-7FE1-4460-B310-F7061828A94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87" name="AutoShape 1">
          <a:extLst>
            <a:ext uri="{FF2B5EF4-FFF2-40B4-BE49-F238E27FC236}">
              <a16:creationId xmlns:a16="http://schemas.microsoft.com/office/drawing/2014/main" id="{1FE4BCA0-FB45-44B6-B7B7-4C0C22E8CE01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88" name="AutoShape 1">
          <a:extLst>
            <a:ext uri="{FF2B5EF4-FFF2-40B4-BE49-F238E27FC236}">
              <a16:creationId xmlns:a16="http://schemas.microsoft.com/office/drawing/2014/main" id="{2F757722-6390-4B1E-A133-39FF6C6F4CC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496A2704-81CD-45B1-85D8-58B02DECB6E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90" name="AutoShape 1">
          <a:extLst>
            <a:ext uri="{FF2B5EF4-FFF2-40B4-BE49-F238E27FC236}">
              <a16:creationId xmlns:a16="http://schemas.microsoft.com/office/drawing/2014/main" id="{8D0C49E5-7D5F-437A-8FF6-A984B9CD84C8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91" name="AutoShape 1">
          <a:extLst>
            <a:ext uri="{FF2B5EF4-FFF2-40B4-BE49-F238E27FC236}">
              <a16:creationId xmlns:a16="http://schemas.microsoft.com/office/drawing/2014/main" id="{2795741A-42AF-49C9-BB96-4FDCCA20DC6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92" name="AutoShape 1">
          <a:extLst>
            <a:ext uri="{FF2B5EF4-FFF2-40B4-BE49-F238E27FC236}">
              <a16:creationId xmlns:a16="http://schemas.microsoft.com/office/drawing/2014/main" id="{B64775A5-CE46-4DFB-909C-E40BC2AC476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93" name="AutoShape 1">
          <a:extLst>
            <a:ext uri="{FF2B5EF4-FFF2-40B4-BE49-F238E27FC236}">
              <a16:creationId xmlns:a16="http://schemas.microsoft.com/office/drawing/2014/main" id="{E71FD26F-9B6D-4EBD-8B24-B5E72B47AFB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94" name="AutoShape 1">
          <a:extLst>
            <a:ext uri="{FF2B5EF4-FFF2-40B4-BE49-F238E27FC236}">
              <a16:creationId xmlns:a16="http://schemas.microsoft.com/office/drawing/2014/main" id="{7CB34A5B-3B81-4F5A-9A4C-3328015692B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95" name="AutoShape 1">
          <a:extLst>
            <a:ext uri="{FF2B5EF4-FFF2-40B4-BE49-F238E27FC236}">
              <a16:creationId xmlns:a16="http://schemas.microsoft.com/office/drawing/2014/main" id="{D83A595C-4C9A-4CD2-BC52-6DC108500702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96" name="AutoShape 1">
          <a:extLst>
            <a:ext uri="{FF2B5EF4-FFF2-40B4-BE49-F238E27FC236}">
              <a16:creationId xmlns:a16="http://schemas.microsoft.com/office/drawing/2014/main" id="{0B0352A0-17E4-4ABA-8DBC-DDB0227C87A0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97" name="AutoShape 1">
          <a:extLst>
            <a:ext uri="{FF2B5EF4-FFF2-40B4-BE49-F238E27FC236}">
              <a16:creationId xmlns:a16="http://schemas.microsoft.com/office/drawing/2014/main" id="{843363DA-C4D9-4966-A482-7C880FEF57AB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98" name="AutoShape 1">
          <a:extLst>
            <a:ext uri="{FF2B5EF4-FFF2-40B4-BE49-F238E27FC236}">
              <a16:creationId xmlns:a16="http://schemas.microsoft.com/office/drawing/2014/main" id="{A9F8C276-1742-4E67-A425-43B6507B6BDE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99" name="AutoShape 1">
          <a:extLst>
            <a:ext uri="{FF2B5EF4-FFF2-40B4-BE49-F238E27FC236}">
              <a16:creationId xmlns:a16="http://schemas.microsoft.com/office/drawing/2014/main" id="{1992977B-714C-49B1-967B-2FCA83FA9FA2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00" name="AutoShape 1">
          <a:extLst>
            <a:ext uri="{FF2B5EF4-FFF2-40B4-BE49-F238E27FC236}">
              <a16:creationId xmlns:a16="http://schemas.microsoft.com/office/drawing/2014/main" id="{454BBD9E-10BD-4907-94A7-BA0AA6EF302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01" name="AutoShape 1">
          <a:extLst>
            <a:ext uri="{FF2B5EF4-FFF2-40B4-BE49-F238E27FC236}">
              <a16:creationId xmlns:a16="http://schemas.microsoft.com/office/drawing/2014/main" id="{E219DDFD-A03F-4860-B5CB-D90922D7BD3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02" name="AutoShape 1">
          <a:extLst>
            <a:ext uri="{FF2B5EF4-FFF2-40B4-BE49-F238E27FC236}">
              <a16:creationId xmlns:a16="http://schemas.microsoft.com/office/drawing/2014/main" id="{C199D270-2E9B-45C3-B371-CF916927645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03" name="AutoShape 1">
          <a:extLst>
            <a:ext uri="{FF2B5EF4-FFF2-40B4-BE49-F238E27FC236}">
              <a16:creationId xmlns:a16="http://schemas.microsoft.com/office/drawing/2014/main" id="{1DD4B767-4929-413C-B841-B2B34AB34170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04" name="AutoShape 1">
          <a:extLst>
            <a:ext uri="{FF2B5EF4-FFF2-40B4-BE49-F238E27FC236}">
              <a16:creationId xmlns:a16="http://schemas.microsoft.com/office/drawing/2014/main" id="{FDD86983-996A-475F-AA7C-D3AFE0744CF0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05" name="AutoShape 1">
          <a:extLst>
            <a:ext uri="{FF2B5EF4-FFF2-40B4-BE49-F238E27FC236}">
              <a16:creationId xmlns:a16="http://schemas.microsoft.com/office/drawing/2014/main" id="{23939069-8C67-466A-9F71-A08821F9568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106" name="AutoShape 1">
          <a:extLst>
            <a:ext uri="{FF2B5EF4-FFF2-40B4-BE49-F238E27FC236}">
              <a16:creationId xmlns:a16="http://schemas.microsoft.com/office/drawing/2014/main" id="{C4DCB206-AD0D-47EF-AEA2-5AFAC3474F7C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07" name="AutoShape 1">
          <a:extLst>
            <a:ext uri="{FF2B5EF4-FFF2-40B4-BE49-F238E27FC236}">
              <a16:creationId xmlns:a16="http://schemas.microsoft.com/office/drawing/2014/main" id="{899815A0-A5A8-45D5-8298-CFD62D169082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08" name="AutoShape 1">
          <a:extLst>
            <a:ext uri="{FF2B5EF4-FFF2-40B4-BE49-F238E27FC236}">
              <a16:creationId xmlns:a16="http://schemas.microsoft.com/office/drawing/2014/main" id="{DC97DCED-7FAE-484D-9A66-4138C023797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09" name="AutoShape 1">
          <a:extLst>
            <a:ext uri="{FF2B5EF4-FFF2-40B4-BE49-F238E27FC236}">
              <a16:creationId xmlns:a16="http://schemas.microsoft.com/office/drawing/2014/main" id="{728E82DD-9C4F-45D9-A2AD-8FAFB06C68B9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10" name="AutoShape 1">
          <a:extLst>
            <a:ext uri="{FF2B5EF4-FFF2-40B4-BE49-F238E27FC236}">
              <a16:creationId xmlns:a16="http://schemas.microsoft.com/office/drawing/2014/main" id="{FB80CFDD-DF4E-44C4-AF6E-11AB47DA69F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11" name="AutoShape 1">
          <a:extLst>
            <a:ext uri="{FF2B5EF4-FFF2-40B4-BE49-F238E27FC236}">
              <a16:creationId xmlns:a16="http://schemas.microsoft.com/office/drawing/2014/main" id="{EF3596CA-6A21-4ECB-A083-B7C3AF5504DF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112" name="AutoShape 1">
          <a:extLst>
            <a:ext uri="{FF2B5EF4-FFF2-40B4-BE49-F238E27FC236}">
              <a16:creationId xmlns:a16="http://schemas.microsoft.com/office/drawing/2014/main" id="{1A0B071D-F4A3-40C0-9535-CB0345CCCE9C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13" name="AutoShape 1">
          <a:extLst>
            <a:ext uri="{FF2B5EF4-FFF2-40B4-BE49-F238E27FC236}">
              <a16:creationId xmlns:a16="http://schemas.microsoft.com/office/drawing/2014/main" id="{19C3F7B4-099D-4206-8F14-0BF05630C76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272D71A2-9624-4E1A-AF2C-0A47EBE3A60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15" name="AutoShape 1">
          <a:extLst>
            <a:ext uri="{FF2B5EF4-FFF2-40B4-BE49-F238E27FC236}">
              <a16:creationId xmlns:a16="http://schemas.microsoft.com/office/drawing/2014/main" id="{15C205A6-DCBC-4E71-85E9-9791AAC44441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16" name="AutoShape 1">
          <a:extLst>
            <a:ext uri="{FF2B5EF4-FFF2-40B4-BE49-F238E27FC236}">
              <a16:creationId xmlns:a16="http://schemas.microsoft.com/office/drawing/2014/main" id="{880D5449-C332-402A-8724-CD85F871582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17" name="AutoShape 1">
          <a:extLst>
            <a:ext uri="{FF2B5EF4-FFF2-40B4-BE49-F238E27FC236}">
              <a16:creationId xmlns:a16="http://schemas.microsoft.com/office/drawing/2014/main" id="{5C4D050F-49AC-494E-A29C-8B4B0B7826E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18" name="AutoShape 1">
          <a:extLst>
            <a:ext uri="{FF2B5EF4-FFF2-40B4-BE49-F238E27FC236}">
              <a16:creationId xmlns:a16="http://schemas.microsoft.com/office/drawing/2014/main" id="{0A71CD62-D36F-4535-B970-E07344F70C8B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19" name="AutoShape 1">
          <a:extLst>
            <a:ext uri="{FF2B5EF4-FFF2-40B4-BE49-F238E27FC236}">
              <a16:creationId xmlns:a16="http://schemas.microsoft.com/office/drawing/2014/main" id="{1E20F389-513C-41C6-A131-E0346A2E1049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120" name="AutoShape 1">
          <a:extLst>
            <a:ext uri="{FF2B5EF4-FFF2-40B4-BE49-F238E27FC236}">
              <a16:creationId xmlns:a16="http://schemas.microsoft.com/office/drawing/2014/main" id="{A0163BB3-9224-4AE2-BA55-CED4096023A6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21" name="AutoShape 1">
          <a:extLst>
            <a:ext uri="{FF2B5EF4-FFF2-40B4-BE49-F238E27FC236}">
              <a16:creationId xmlns:a16="http://schemas.microsoft.com/office/drawing/2014/main" id="{1A64AC57-8DB5-4EC2-AC0E-56FD732961B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22" name="AutoShape 1">
          <a:extLst>
            <a:ext uri="{FF2B5EF4-FFF2-40B4-BE49-F238E27FC236}">
              <a16:creationId xmlns:a16="http://schemas.microsoft.com/office/drawing/2014/main" id="{060A583C-4033-4ECB-A5A7-113C94B5231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23" name="AutoShape 1">
          <a:extLst>
            <a:ext uri="{FF2B5EF4-FFF2-40B4-BE49-F238E27FC236}">
              <a16:creationId xmlns:a16="http://schemas.microsoft.com/office/drawing/2014/main" id="{63654B9A-8EB5-4B2B-814A-ECEFD65B5A6E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24" name="AutoShape 1">
          <a:extLst>
            <a:ext uri="{FF2B5EF4-FFF2-40B4-BE49-F238E27FC236}">
              <a16:creationId xmlns:a16="http://schemas.microsoft.com/office/drawing/2014/main" id="{035B749D-C8B1-4196-99A4-82EED8277D1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25" name="AutoShape 1">
          <a:extLst>
            <a:ext uri="{FF2B5EF4-FFF2-40B4-BE49-F238E27FC236}">
              <a16:creationId xmlns:a16="http://schemas.microsoft.com/office/drawing/2014/main" id="{54DB8433-6E88-49E0-8325-9C09572A7EE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26" name="AutoShape 1">
          <a:extLst>
            <a:ext uri="{FF2B5EF4-FFF2-40B4-BE49-F238E27FC236}">
              <a16:creationId xmlns:a16="http://schemas.microsoft.com/office/drawing/2014/main" id="{FB4CA245-AE7C-4816-9EB0-9092417D821F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27" name="AutoShape 1">
          <a:extLst>
            <a:ext uri="{FF2B5EF4-FFF2-40B4-BE49-F238E27FC236}">
              <a16:creationId xmlns:a16="http://schemas.microsoft.com/office/drawing/2014/main" id="{B80F5B79-376A-4348-8479-CD9AE3845CC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128" name="AutoShape 1">
          <a:extLst>
            <a:ext uri="{FF2B5EF4-FFF2-40B4-BE49-F238E27FC236}">
              <a16:creationId xmlns:a16="http://schemas.microsoft.com/office/drawing/2014/main" id="{4E7B2BBD-22B1-47DF-9562-27449036257B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29" name="AutoShape 1">
          <a:extLst>
            <a:ext uri="{FF2B5EF4-FFF2-40B4-BE49-F238E27FC236}">
              <a16:creationId xmlns:a16="http://schemas.microsoft.com/office/drawing/2014/main" id="{4E2D405F-1BCA-49AD-94BE-34297BCC523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30" name="AutoShape 1">
          <a:extLst>
            <a:ext uri="{FF2B5EF4-FFF2-40B4-BE49-F238E27FC236}">
              <a16:creationId xmlns:a16="http://schemas.microsoft.com/office/drawing/2014/main" id="{15505833-A537-49B5-87D7-B2742C5CEB10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31" name="AutoShape 1">
          <a:extLst>
            <a:ext uri="{FF2B5EF4-FFF2-40B4-BE49-F238E27FC236}">
              <a16:creationId xmlns:a16="http://schemas.microsoft.com/office/drawing/2014/main" id="{5CCF596C-D699-49DA-B4DC-5B28A9E68930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32" name="AutoShape 1">
          <a:extLst>
            <a:ext uri="{FF2B5EF4-FFF2-40B4-BE49-F238E27FC236}">
              <a16:creationId xmlns:a16="http://schemas.microsoft.com/office/drawing/2014/main" id="{EB0E3419-0F7F-4297-9A88-FCFAB5975ADE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33" name="AutoShape 1">
          <a:extLst>
            <a:ext uri="{FF2B5EF4-FFF2-40B4-BE49-F238E27FC236}">
              <a16:creationId xmlns:a16="http://schemas.microsoft.com/office/drawing/2014/main" id="{F97CAB76-E1BB-4D6D-B067-F77BAF91970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134" name="AutoShape 1">
          <a:extLst>
            <a:ext uri="{FF2B5EF4-FFF2-40B4-BE49-F238E27FC236}">
              <a16:creationId xmlns:a16="http://schemas.microsoft.com/office/drawing/2014/main" id="{6751375B-D5A3-4093-B70D-80238A4523FD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35" name="AutoShape 1">
          <a:extLst>
            <a:ext uri="{FF2B5EF4-FFF2-40B4-BE49-F238E27FC236}">
              <a16:creationId xmlns:a16="http://schemas.microsoft.com/office/drawing/2014/main" id="{B8EBC27A-426B-4519-B274-305984B9FDE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36" name="AutoShape 1">
          <a:extLst>
            <a:ext uri="{FF2B5EF4-FFF2-40B4-BE49-F238E27FC236}">
              <a16:creationId xmlns:a16="http://schemas.microsoft.com/office/drawing/2014/main" id="{9E5BE338-0441-4677-A373-7D6DC8DBD0B4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37" name="AutoShape 1">
          <a:extLst>
            <a:ext uri="{FF2B5EF4-FFF2-40B4-BE49-F238E27FC236}">
              <a16:creationId xmlns:a16="http://schemas.microsoft.com/office/drawing/2014/main" id="{9CB654A8-6170-4E8B-BC18-5907B887A14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38" name="AutoShape 1">
          <a:extLst>
            <a:ext uri="{FF2B5EF4-FFF2-40B4-BE49-F238E27FC236}">
              <a16:creationId xmlns:a16="http://schemas.microsoft.com/office/drawing/2014/main" id="{FB541E48-7CF8-4E82-BC41-9037A4467E00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39" name="AutoShape 1">
          <a:extLst>
            <a:ext uri="{FF2B5EF4-FFF2-40B4-BE49-F238E27FC236}">
              <a16:creationId xmlns:a16="http://schemas.microsoft.com/office/drawing/2014/main" id="{7689503C-33A9-4234-A9D1-C2AC7C989F9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40" name="AutoShape 1">
          <a:extLst>
            <a:ext uri="{FF2B5EF4-FFF2-40B4-BE49-F238E27FC236}">
              <a16:creationId xmlns:a16="http://schemas.microsoft.com/office/drawing/2014/main" id="{FD38BC5F-D69E-4A93-ADB6-18DE1AB4115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41" name="AutoShape 1">
          <a:extLst>
            <a:ext uri="{FF2B5EF4-FFF2-40B4-BE49-F238E27FC236}">
              <a16:creationId xmlns:a16="http://schemas.microsoft.com/office/drawing/2014/main" id="{4EB4A03D-09E2-4BE9-9436-F0EA7193059F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142" name="AutoShape 1">
          <a:extLst>
            <a:ext uri="{FF2B5EF4-FFF2-40B4-BE49-F238E27FC236}">
              <a16:creationId xmlns:a16="http://schemas.microsoft.com/office/drawing/2014/main" id="{5FFF9C00-318C-4C74-987A-8D68E77D0AAE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43" name="AutoShape 1">
          <a:extLst>
            <a:ext uri="{FF2B5EF4-FFF2-40B4-BE49-F238E27FC236}">
              <a16:creationId xmlns:a16="http://schemas.microsoft.com/office/drawing/2014/main" id="{0472BBB4-C54B-4FEC-87A0-69DF71CB0B8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44" name="AutoShape 1">
          <a:extLst>
            <a:ext uri="{FF2B5EF4-FFF2-40B4-BE49-F238E27FC236}">
              <a16:creationId xmlns:a16="http://schemas.microsoft.com/office/drawing/2014/main" id="{9CAA106C-E6B2-41A2-A954-E132A1502F71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45" name="AutoShape 1">
          <a:extLst>
            <a:ext uri="{FF2B5EF4-FFF2-40B4-BE49-F238E27FC236}">
              <a16:creationId xmlns:a16="http://schemas.microsoft.com/office/drawing/2014/main" id="{E2947D8D-7C6E-4C39-80A2-C179309AD7CF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46" name="AutoShape 1">
          <a:extLst>
            <a:ext uri="{FF2B5EF4-FFF2-40B4-BE49-F238E27FC236}">
              <a16:creationId xmlns:a16="http://schemas.microsoft.com/office/drawing/2014/main" id="{8ED48036-8734-447E-ACAE-3822AAB9C33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47" name="AutoShape 1">
          <a:extLst>
            <a:ext uri="{FF2B5EF4-FFF2-40B4-BE49-F238E27FC236}">
              <a16:creationId xmlns:a16="http://schemas.microsoft.com/office/drawing/2014/main" id="{50907A35-9C01-4A34-A7AB-6F57F6DC13F4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48" name="AutoShape 1">
          <a:extLst>
            <a:ext uri="{FF2B5EF4-FFF2-40B4-BE49-F238E27FC236}">
              <a16:creationId xmlns:a16="http://schemas.microsoft.com/office/drawing/2014/main" id="{111EAB7E-EBF5-4EFE-8B82-DD5DE5B5467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49" name="AutoShape 1">
          <a:extLst>
            <a:ext uri="{FF2B5EF4-FFF2-40B4-BE49-F238E27FC236}">
              <a16:creationId xmlns:a16="http://schemas.microsoft.com/office/drawing/2014/main" id="{87CE6C0F-BA8A-43F2-B6EB-F1E8ECFBD6AF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150" name="AutoShape 1">
          <a:extLst>
            <a:ext uri="{FF2B5EF4-FFF2-40B4-BE49-F238E27FC236}">
              <a16:creationId xmlns:a16="http://schemas.microsoft.com/office/drawing/2014/main" id="{4A8223B5-1F9C-494F-BA26-2B67CCB13C2D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51" name="AutoShape 1">
          <a:extLst>
            <a:ext uri="{FF2B5EF4-FFF2-40B4-BE49-F238E27FC236}">
              <a16:creationId xmlns:a16="http://schemas.microsoft.com/office/drawing/2014/main" id="{D2B1C77C-5F52-4FA5-A8E0-51E7BA5EA43E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52" name="AutoShape 1">
          <a:extLst>
            <a:ext uri="{FF2B5EF4-FFF2-40B4-BE49-F238E27FC236}">
              <a16:creationId xmlns:a16="http://schemas.microsoft.com/office/drawing/2014/main" id="{116F41B1-8215-46B2-AE77-D0CFA2D5A3D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53" name="AutoShape 1">
          <a:extLst>
            <a:ext uri="{FF2B5EF4-FFF2-40B4-BE49-F238E27FC236}">
              <a16:creationId xmlns:a16="http://schemas.microsoft.com/office/drawing/2014/main" id="{1701D7BC-6D83-4768-9BC7-91029516CAE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54" name="AutoShape 1">
          <a:extLst>
            <a:ext uri="{FF2B5EF4-FFF2-40B4-BE49-F238E27FC236}">
              <a16:creationId xmlns:a16="http://schemas.microsoft.com/office/drawing/2014/main" id="{84B014F6-2268-4D62-9809-A22D59E4B23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55" name="AutoShape 1">
          <a:extLst>
            <a:ext uri="{FF2B5EF4-FFF2-40B4-BE49-F238E27FC236}">
              <a16:creationId xmlns:a16="http://schemas.microsoft.com/office/drawing/2014/main" id="{71375F51-5BB7-4B44-9EDE-707C17D548E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156" name="AutoShape 1">
          <a:extLst>
            <a:ext uri="{FF2B5EF4-FFF2-40B4-BE49-F238E27FC236}">
              <a16:creationId xmlns:a16="http://schemas.microsoft.com/office/drawing/2014/main" id="{90021D8B-F654-4B59-815E-A90F1185FF08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57" name="AutoShape 1">
          <a:extLst>
            <a:ext uri="{FF2B5EF4-FFF2-40B4-BE49-F238E27FC236}">
              <a16:creationId xmlns:a16="http://schemas.microsoft.com/office/drawing/2014/main" id="{E35E3318-2E2B-4EED-A51F-0D89ECA427D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58" name="AutoShape 1">
          <a:extLst>
            <a:ext uri="{FF2B5EF4-FFF2-40B4-BE49-F238E27FC236}">
              <a16:creationId xmlns:a16="http://schemas.microsoft.com/office/drawing/2014/main" id="{CAC59A1B-C032-4062-8647-1BE43B12C99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59" name="AutoShape 1">
          <a:extLst>
            <a:ext uri="{FF2B5EF4-FFF2-40B4-BE49-F238E27FC236}">
              <a16:creationId xmlns:a16="http://schemas.microsoft.com/office/drawing/2014/main" id="{6512204F-CB25-4955-B737-7AA03B7A6ED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60" name="AutoShape 1">
          <a:extLst>
            <a:ext uri="{FF2B5EF4-FFF2-40B4-BE49-F238E27FC236}">
              <a16:creationId xmlns:a16="http://schemas.microsoft.com/office/drawing/2014/main" id="{2411F36F-A50C-4DF5-AD27-108BC05F530F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61" name="AutoShape 1">
          <a:extLst>
            <a:ext uri="{FF2B5EF4-FFF2-40B4-BE49-F238E27FC236}">
              <a16:creationId xmlns:a16="http://schemas.microsoft.com/office/drawing/2014/main" id="{36D5A18D-4B28-45DD-B00D-333CF315AC4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62" name="AutoShape 1">
          <a:extLst>
            <a:ext uri="{FF2B5EF4-FFF2-40B4-BE49-F238E27FC236}">
              <a16:creationId xmlns:a16="http://schemas.microsoft.com/office/drawing/2014/main" id="{118FB21D-EBF8-4E0E-BA0A-8901A983E8F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63" name="AutoShape 1">
          <a:extLst>
            <a:ext uri="{FF2B5EF4-FFF2-40B4-BE49-F238E27FC236}">
              <a16:creationId xmlns:a16="http://schemas.microsoft.com/office/drawing/2014/main" id="{33C69302-2730-4675-BD32-E439DE32B9B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164" name="AutoShape 1">
          <a:extLst>
            <a:ext uri="{FF2B5EF4-FFF2-40B4-BE49-F238E27FC236}">
              <a16:creationId xmlns:a16="http://schemas.microsoft.com/office/drawing/2014/main" id="{97DECAEA-5BEC-49BB-A794-C9FFEBBC4385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65" name="AutoShape 1">
          <a:extLst>
            <a:ext uri="{FF2B5EF4-FFF2-40B4-BE49-F238E27FC236}">
              <a16:creationId xmlns:a16="http://schemas.microsoft.com/office/drawing/2014/main" id="{CE3359C2-74A8-4A09-A6CA-668C8B80BFC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66" name="AutoShape 1">
          <a:extLst>
            <a:ext uri="{FF2B5EF4-FFF2-40B4-BE49-F238E27FC236}">
              <a16:creationId xmlns:a16="http://schemas.microsoft.com/office/drawing/2014/main" id="{F77036DC-F23C-4206-B19B-BE550F95F110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67" name="AutoShape 1">
          <a:extLst>
            <a:ext uri="{FF2B5EF4-FFF2-40B4-BE49-F238E27FC236}">
              <a16:creationId xmlns:a16="http://schemas.microsoft.com/office/drawing/2014/main" id="{D694CD8D-434C-4855-9EA8-387A692421B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68" name="AutoShape 1">
          <a:extLst>
            <a:ext uri="{FF2B5EF4-FFF2-40B4-BE49-F238E27FC236}">
              <a16:creationId xmlns:a16="http://schemas.microsoft.com/office/drawing/2014/main" id="{C9FA6B38-09DB-4127-8D77-F33FE61202AE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69" name="AutoShape 1">
          <a:extLst>
            <a:ext uri="{FF2B5EF4-FFF2-40B4-BE49-F238E27FC236}">
              <a16:creationId xmlns:a16="http://schemas.microsoft.com/office/drawing/2014/main" id="{5389CDAF-8921-4F7A-A6D9-05B54C81D12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70" name="AutoShape 1">
          <a:extLst>
            <a:ext uri="{FF2B5EF4-FFF2-40B4-BE49-F238E27FC236}">
              <a16:creationId xmlns:a16="http://schemas.microsoft.com/office/drawing/2014/main" id="{E11FBFF9-0191-4303-98F2-694188D9B214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71" name="AutoShape 1">
          <a:extLst>
            <a:ext uri="{FF2B5EF4-FFF2-40B4-BE49-F238E27FC236}">
              <a16:creationId xmlns:a16="http://schemas.microsoft.com/office/drawing/2014/main" id="{7FC5000A-577A-423F-BB86-C107BA35129F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172" name="AutoShape 1">
          <a:extLst>
            <a:ext uri="{FF2B5EF4-FFF2-40B4-BE49-F238E27FC236}">
              <a16:creationId xmlns:a16="http://schemas.microsoft.com/office/drawing/2014/main" id="{04678078-24E7-4DA3-8E65-D440243C2E70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73" name="AutoShape 1">
          <a:extLst>
            <a:ext uri="{FF2B5EF4-FFF2-40B4-BE49-F238E27FC236}">
              <a16:creationId xmlns:a16="http://schemas.microsoft.com/office/drawing/2014/main" id="{7D935D92-9523-4287-8E7B-29B3C31529B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74" name="AutoShape 1">
          <a:extLst>
            <a:ext uri="{FF2B5EF4-FFF2-40B4-BE49-F238E27FC236}">
              <a16:creationId xmlns:a16="http://schemas.microsoft.com/office/drawing/2014/main" id="{259B48C7-6D12-403B-84F8-D1EFADC3FAB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75" name="AutoShape 1">
          <a:extLst>
            <a:ext uri="{FF2B5EF4-FFF2-40B4-BE49-F238E27FC236}">
              <a16:creationId xmlns:a16="http://schemas.microsoft.com/office/drawing/2014/main" id="{01642425-FCA0-4235-959A-11006C9ED98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76" name="AutoShape 1">
          <a:extLst>
            <a:ext uri="{FF2B5EF4-FFF2-40B4-BE49-F238E27FC236}">
              <a16:creationId xmlns:a16="http://schemas.microsoft.com/office/drawing/2014/main" id="{FDC37D2C-C94A-4BA7-BC44-9B5B510EEAFB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77" name="AutoShape 1">
          <a:extLst>
            <a:ext uri="{FF2B5EF4-FFF2-40B4-BE49-F238E27FC236}">
              <a16:creationId xmlns:a16="http://schemas.microsoft.com/office/drawing/2014/main" id="{DCA916AD-3FA6-4E8C-9124-014905010042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178" name="AutoShape 1">
          <a:extLst>
            <a:ext uri="{FF2B5EF4-FFF2-40B4-BE49-F238E27FC236}">
              <a16:creationId xmlns:a16="http://schemas.microsoft.com/office/drawing/2014/main" id="{F5DEBC1D-7116-4CD8-B837-7C708CD876B3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79" name="AutoShape 1">
          <a:extLst>
            <a:ext uri="{FF2B5EF4-FFF2-40B4-BE49-F238E27FC236}">
              <a16:creationId xmlns:a16="http://schemas.microsoft.com/office/drawing/2014/main" id="{06D26CAA-3931-4818-BA1E-DF17FAA85560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80" name="AutoShape 1">
          <a:extLst>
            <a:ext uri="{FF2B5EF4-FFF2-40B4-BE49-F238E27FC236}">
              <a16:creationId xmlns:a16="http://schemas.microsoft.com/office/drawing/2014/main" id="{41934E84-1B14-4B97-A332-E034FD8BCBDF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81" name="AutoShape 1">
          <a:extLst>
            <a:ext uri="{FF2B5EF4-FFF2-40B4-BE49-F238E27FC236}">
              <a16:creationId xmlns:a16="http://schemas.microsoft.com/office/drawing/2014/main" id="{DC2404C5-D8A7-463F-ACC4-A9E149E9606E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82" name="AutoShape 1">
          <a:extLst>
            <a:ext uri="{FF2B5EF4-FFF2-40B4-BE49-F238E27FC236}">
              <a16:creationId xmlns:a16="http://schemas.microsoft.com/office/drawing/2014/main" id="{597FD3C0-9450-4962-B664-8C64D3D76FF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83" name="AutoShape 1">
          <a:extLst>
            <a:ext uri="{FF2B5EF4-FFF2-40B4-BE49-F238E27FC236}">
              <a16:creationId xmlns:a16="http://schemas.microsoft.com/office/drawing/2014/main" id="{0DC37C74-8661-4DC5-B61B-B5AA2A57C9D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84" name="AutoShape 1">
          <a:extLst>
            <a:ext uri="{FF2B5EF4-FFF2-40B4-BE49-F238E27FC236}">
              <a16:creationId xmlns:a16="http://schemas.microsoft.com/office/drawing/2014/main" id="{F668B48B-6670-4021-A3E0-2FEB3005696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85" name="AutoShape 1">
          <a:extLst>
            <a:ext uri="{FF2B5EF4-FFF2-40B4-BE49-F238E27FC236}">
              <a16:creationId xmlns:a16="http://schemas.microsoft.com/office/drawing/2014/main" id="{D2EC325D-64EE-4AAF-A8CB-5C6B0706D4F2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186" name="AutoShape 1">
          <a:extLst>
            <a:ext uri="{FF2B5EF4-FFF2-40B4-BE49-F238E27FC236}">
              <a16:creationId xmlns:a16="http://schemas.microsoft.com/office/drawing/2014/main" id="{5220E591-FEBF-4093-99A1-205ECC662F60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87" name="AutoShape 1">
          <a:extLst>
            <a:ext uri="{FF2B5EF4-FFF2-40B4-BE49-F238E27FC236}">
              <a16:creationId xmlns:a16="http://schemas.microsoft.com/office/drawing/2014/main" id="{82175ED9-6F10-4620-8C64-A7C23C63C041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88" name="AutoShape 1">
          <a:extLst>
            <a:ext uri="{FF2B5EF4-FFF2-40B4-BE49-F238E27FC236}">
              <a16:creationId xmlns:a16="http://schemas.microsoft.com/office/drawing/2014/main" id="{E9AC4A15-9684-45A0-A206-A08B79F512D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89" name="AutoShape 1">
          <a:extLst>
            <a:ext uri="{FF2B5EF4-FFF2-40B4-BE49-F238E27FC236}">
              <a16:creationId xmlns:a16="http://schemas.microsoft.com/office/drawing/2014/main" id="{FF447356-9240-449E-A9EB-EAF33B92E9BE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90" name="AutoShape 1">
          <a:extLst>
            <a:ext uri="{FF2B5EF4-FFF2-40B4-BE49-F238E27FC236}">
              <a16:creationId xmlns:a16="http://schemas.microsoft.com/office/drawing/2014/main" id="{4549136C-908D-4759-BF37-F4E43131157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91" name="AutoShape 1">
          <a:extLst>
            <a:ext uri="{FF2B5EF4-FFF2-40B4-BE49-F238E27FC236}">
              <a16:creationId xmlns:a16="http://schemas.microsoft.com/office/drawing/2014/main" id="{70AD3FF9-BF48-469C-938C-6F89B61D927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92" name="AutoShape 1">
          <a:extLst>
            <a:ext uri="{FF2B5EF4-FFF2-40B4-BE49-F238E27FC236}">
              <a16:creationId xmlns:a16="http://schemas.microsoft.com/office/drawing/2014/main" id="{54F0AD9A-44A2-474C-A79E-F8464DC617E0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93" name="AutoShape 1">
          <a:extLst>
            <a:ext uri="{FF2B5EF4-FFF2-40B4-BE49-F238E27FC236}">
              <a16:creationId xmlns:a16="http://schemas.microsoft.com/office/drawing/2014/main" id="{416B83E4-1D0D-47C1-9126-36BBE1CC931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194" name="AutoShape 1">
          <a:extLst>
            <a:ext uri="{FF2B5EF4-FFF2-40B4-BE49-F238E27FC236}">
              <a16:creationId xmlns:a16="http://schemas.microsoft.com/office/drawing/2014/main" id="{772E9439-FE0E-40B5-B621-37A1ED6D8545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95" name="AutoShape 1">
          <a:extLst>
            <a:ext uri="{FF2B5EF4-FFF2-40B4-BE49-F238E27FC236}">
              <a16:creationId xmlns:a16="http://schemas.microsoft.com/office/drawing/2014/main" id="{D1D3BE69-7990-4174-B52D-2C047D01C84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96" name="AutoShape 1">
          <a:extLst>
            <a:ext uri="{FF2B5EF4-FFF2-40B4-BE49-F238E27FC236}">
              <a16:creationId xmlns:a16="http://schemas.microsoft.com/office/drawing/2014/main" id="{8A1E8F25-4D1C-4699-AA5F-029DB85C3DDE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97" name="AutoShape 1">
          <a:extLst>
            <a:ext uri="{FF2B5EF4-FFF2-40B4-BE49-F238E27FC236}">
              <a16:creationId xmlns:a16="http://schemas.microsoft.com/office/drawing/2014/main" id="{CA6781BC-0377-4F77-B226-FE2C790B018B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98" name="AutoShape 1">
          <a:extLst>
            <a:ext uri="{FF2B5EF4-FFF2-40B4-BE49-F238E27FC236}">
              <a16:creationId xmlns:a16="http://schemas.microsoft.com/office/drawing/2014/main" id="{E76BB456-D25B-4BA5-A3A4-C10A29D841D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199" name="AutoShape 1">
          <a:extLst>
            <a:ext uri="{FF2B5EF4-FFF2-40B4-BE49-F238E27FC236}">
              <a16:creationId xmlns:a16="http://schemas.microsoft.com/office/drawing/2014/main" id="{B159CA49-E3F8-445F-AEAD-C1D9E2C0E82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200" name="AutoShape 1">
          <a:extLst>
            <a:ext uri="{FF2B5EF4-FFF2-40B4-BE49-F238E27FC236}">
              <a16:creationId xmlns:a16="http://schemas.microsoft.com/office/drawing/2014/main" id="{D75D63A2-AD43-40C1-ACFF-4B3BF22332E6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01" name="AutoShape 1">
          <a:extLst>
            <a:ext uri="{FF2B5EF4-FFF2-40B4-BE49-F238E27FC236}">
              <a16:creationId xmlns:a16="http://schemas.microsoft.com/office/drawing/2014/main" id="{92BBEE56-AB97-43E4-ACA0-A00F9B4AFEE2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02" name="AutoShape 1">
          <a:extLst>
            <a:ext uri="{FF2B5EF4-FFF2-40B4-BE49-F238E27FC236}">
              <a16:creationId xmlns:a16="http://schemas.microsoft.com/office/drawing/2014/main" id="{7D914B96-652B-4E3B-9ED9-E123BFED471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03" name="AutoShape 1">
          <a:extLst>
            <a:ext uri="{FF2B5EF4-FFF2-40B4-BE49-F238E27FC236}">
              <a16:creationId xmlns:a16="http://schemas.microsoft.com/office/drawing/2014/main" id="{90F1DFCC-A158-4740-B9E7-A72D3630254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04" name="AutoShape 1">
          <a:extLst>
            <a:ext uri="{FF2B5EF4-FFF2-40B4-BE49-F238E27FC236}">
              <a16:creationId xmlns:a16="http://schemas.microsoft.com/office/drawing/2014/main" id="{FA71A71A-BA0D-4A60-97B3-85AC92383C1B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05" name="AutoShape 1">
          <a:extLst>
            <a:ext uri="{FF2B5EF4-FFF2-40B4-BE49-F238E27FC236}">
              <a16:creationId xmlns:a16="http://schemas.microsoft.com/office/drawing/2014/main" id="{2E31E25D-DFEE-4D21-9990-E70EC08AD372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06" name="AutoShape 1">
          <a:extLst>
            <a:ext uri="{FF2B5EF4-FFF2-40B4-BE49-F238E27FC236}">
              <a16:creationId xmlns:a16="http://schemas.microsoft.com/office/drawing/2014/main" id="{571AABAA-1999-48EC-8614-6BEF30AFF09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07" name="AutoShape 1">
          <a:extLst>
            <a:ext uri="{FF2B5EF4-FFF2-40B4-BE49-F238E27FC236}">
              <a16:creationId xmlns:a16="http://schemas.microsoft.com/office/drawing/2014/main" id="{EBED7BAC-8176-4086-9CB8-8A368B87EB6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208" name="AutoShape 1">
          <a:extLst>
            <a:ext uri="{FF2B5EF4-FFF2-40B4-BE49-F238E27FC236}">
              <a16:creationId xmlns:a16="http://schemas.microsoft.com/office/drawing/2014/main" id="{01A22CFE-7CCD-4D58-858A-7CF7464893A9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09" name="AutoShape 1">
          <a:extLst>
            <a:ext uri="{FF2B5EF4-FFF2-40B4-BE49-F238E27FC236}">
              <a16:creationId xmlns:a16="http://schemas.microsoft.com/office/drawing/2014/main" id="{BEEB534F-CB65-4FA8-96E6-2CBA1E76EDE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10" name="AutoShape 1">
          <a:extLst>
            <a:ext uri="{FF2B5EF4-FFF2-40B4-BE49-F238E27FC236}">
              <a16:creationId xmlns:a16="http://schemas.microsoft.com/office/drawing/2014/main" id="{9955ADBD-4CB2-4978-8EB2-892114C64104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11" name="AutoShape 1">
          <a:extLst>
            <a:ext uri="{FF2B5EF4-FFF2-40B4-BE49-F238E27FC236}">
              <a16:creationId xmlns:a16="http://schemas.microsoft.com/office/drawing/2014/main" id="{715CBF6E-00AF-4B78-9F8E-A8C1244E8D9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12" name="AutoShape 1">
          <a:extLst>
            <a:ext uri="{FF2B5EF4-FFF2-40B4-BE49-F238E27FC236}">
              <a16:creationId xmlns:a16="http://schemas.microsoft.com/office/drawing/2014/main" id="{C356EC97-1780-4970-9443-6003BA575A19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13" name="AutoShape 1">
          <a:extLst>
            <a:ext uri="{FF2B5EF4-FFF2-40B4-BE49-F238E27FC236}">
              <a16:creationId xmlns:a16="http://schemas.microsoft.com/office/drawing/2014/main" id="{DC13960B-53D5-4FA7-9E77-B016A4D4633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14" name="AutoShape 1">
          <a:extLst>
            <a:ext uri="{FF2B5EF4-FFF2-40B4-BE49-F238E27FC236}">
              <a16:creationId xmlns:a16="http://schemas.microsoft.com/office/drawing/2014/main" id="{0237D084-6685-474C-AE6C-D7A257282DE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15" name="AutoShape 1">
          <a:extLst>
            <a:ext uri="{FF2B5EF4-FFF2-40B4-BE49-F238E27FC236}">
              <a16:creationId xmlns:a16="http://schemas.microsoft.com/office/drawing/2014/main" id="{3A56544A-6F49-40AA-9940-12A1E9717C5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216" name="AutoShape 1">
          <a:extLst>
            <a:ext uri="{FF2B5EF4-FFF2-40B4-BE49-F238E27FC236}">
              <a16:creationId xmlns:a16="http://schemas.microsoft.com/office/drawing/2014/main" id="{D74B1B7D-7720-4CF8-BBF7-98407F92639B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17" name="AutoShape 1">
          <a:extLst>
            <a:ext uri="{FF2B5EF4-FFF2-40B4-BE49-F238E27FC236}">
              <a16:creationId xmlns:a16="http://schemas.microsoft.com/office/drawing/2014/main" id="{C7B4BAAE-286C-4CB3-B2D6-F8F3C688FBA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18" name="AutoShape 1">
          <a:extLst>
            <a:ext uri="{FF2B5EF4-FFF2-40B4-BE49-F238E27FC236}">
              <a16:creationId xmlns:a16="http://schemas.microsoft.com/office/drawing/2014/main" id="{C97A3355-C349-410E-9445-59059907BA5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19" name="AutoShape 1">
          <a:extLst>
            <a:ext uri="{FF2B5EF4-FFF2-40B4-BE49-F238E27FC236}">
              <a16:creationId xmlns:a16="http://schemas.microsoft.com/office/drawing/2014/main" id="{98C07E1E-CF40-45C6-9163-59B26A0B4D24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20" name="AutoShape 1">
          <a:extLst>
            <a:ext uri="{FF2B5EF4-FFF2-40B4-BE49-F238E27FC236}">
              <a16:creationId xmlns:a16="http://schemas.microsoft.com/office/drawing/2014/main" id="{D77977CC-5077-407A-8D92-BBF4C86BEA2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21" name="AutoShape 1">
          <a:extLst>
            <a:ext uri="{FF2B5EF4-FFF2-40B4-BE49-F238E27FC236}">
              <a16:creationId xmlns:a16="http://schemas.microsoft.com/office/drawing/2014/main" id="{4DB862E8-0D33-4885-A4E8-EA89DE9BBF6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222" name="AutoShape 1">
          <a:extLst>
            <a:ext uri="{FF2B5EF4-FFF2-40B4-BE49-F238E27FC236}">
              <a16:creationId xmlns:a16="http://schemas.microsoft.com/office/drawing/2014/main" id="{7BE070D7-95C0-451B-ADAF-EA7046A520D0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23" name="AutoShape 1">
          <a:extLst>
            <a:ext uri="{FF2B5EF4-FFF2-40B4-BE49-F238E27FC236}">
              <a16:creationId xmlns:a16="http://schemas.microsoft.com/office/drawing/2014/main" id="{64841CDD-AB9B-49C4-9BA1-FA325D6547F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24" name="AutoShape 1">
          <a:extLst>
            <a:ext uri="{FF2B5EF4-FFF2-40B4-BE49-F238E27FC236}">
              <a16:creationId xmlns:a16="http://schemas.microsoft.com/office/drawing/2014/main" id="{04CDF81E-B373-41CD-9ADC-A025CC890E7E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25" name="AutoShape 1">
          <a:extLst>
            <a:ext uri="{FF2B5EF4-FFF2-40B4-BE49-F238E27FC236}">
              <a16:creationId xmlns:a16="http://schemas.microsoft.com/office/drawing/2014/main" id="{33B60D2C-A0C1-477A-8FE4-03B65A60E4B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26" name="AutoShape 1">
          <a:extLst>
            <a:ext uri="{FF2B5EF4-FFF2-40B4-BE49-F238E27FC236}">
              <a16:creationId xmlns:a16="http://schemas.microsoft.com/office/drawing/2014/main" id="{2A687E5A-C6CB-471A-A58A-90133E3137F1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27" name="AutoShape 1">
          <a:extLst>
            <a:ext uri="{FF2B5EF4-FFF2-40B4-BE49-F238E27FC236}">
              <a16:creationId xmlns:a16="http://schemas.microsoft.com/office/drawing/2014/main" id="{CD2A50A8-3BB7-4C7B-9BEC-02BE94F4648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28" name="AutoShape 1">
          <a:extLst>
            <a:ext uri="{FF2B5EF4-FFF2-40B4-BE49-F238E27FC236}">
              <a16:creationId xmlns:a16="http://schemas.microsoft.com/office/drawing/2014/main" id="{868896C4-9B20-4A29-B796-8DAF3B9AB57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29" name="AutoShape 1">
          <a:extLst>
            <a:ext uri="{FF2B5EF4-FFF2-40B4-BE49-F238E27FC236}">
              <a16:creationId xmlns:a16="http://schemas.microsoft.com/office/drawing/2014/main" id="{3559D825-A2B6-42B4-9BA9-F6389B68EFC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230" name="AutoShape 1">
          <a:extLst>
            <a:ext uri="{FF2B5EF4-FFF2-40B4-BE49-F238E27FC236}">
              <a16:creationId xmlns:a16="http://schemas.microsoft.com/office/drawing/2014/main" id="{12B7B077-7655-4DC0-9633-4E6D3C2B0E0A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31" name="AutoShape 1">
          <a:extLst>
            <a:ext uri="{FF2B5EF4-FFF2-40B4-BE49-F238E27FC236}">
              <a16:creationId xmlns:a16="http://schemas.microsoft.com/office/drawing/2014/main" id="{0D010D9C-B9C5-4CA3-835B-9A5CC3D3978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32" name="AutoShape 1">
          <a:extLst>
            <a:ext uri="{FF2B5EF4-FFF2-40B4-BE49-F238E27FC236}">
              <a16:creationId xmlns:a16="http://schemas.microsoft.com/office/drawing/2014/main" id="{0AFA53A7-0F03-41EA-9CCC-E737A932099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33" name="AutoShape 1">
          <a:extLst>
            <a:ext uri="{FF2B5EF4-FFF2-40B4-BE49-F238E27FC236}">
              <a16:creationId xmlns:a16="http://schemas.microsoft.com/office/drawing/2014/main" id="{833EEDD7-71BB-4E52-9D1B-ED59B2C7C2FE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34" name="AutoShape 1">
          <a:extLst>
            <a:ext uri="{FF2B5EF4-FFF2-40B4-BE49-F238E27FC236}">
              <a16:creationId xmlns:a16="http://schemas.microsoft.com/office/drawing/2014/main" id="{41DE783C-5EF6-4B48-971A-A437B1CEEA0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35" name="AutoShape 1">
          <a:extLst>
            <a:ext uri="{FF2B5EF4-FFF2-40B4-BE49-F238E27FC236}">
              <a16:creationId xmlns:a16="http://schemas.microsoft.com/office/drawing/2014/main" id="{E50753FE-315A-4120-92CA-D7CBC145E35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36" name="AutoShape 1">
          <a:extLst>
            <a:ext uri="{FF2B5EF4-FFF2-40B4-BE49-F238E27FC236}">
              <a16:creationId xmlns:a16="http://schemas.microsoft.com/office/drawing/2014/main" id="{C4F4C856-A23A-4FF8-AFF3-F9947F9BEA5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37" name="AutoShape 1">
          <a:extLst>
            <a:ext uri="{FF2B5EF4-FFF2-40B4-BE49-F238E27FC236}">
              <a16:creationId xmlns:a16="http://schemas.microsoft.com/office/drawing/2014/main" id="{A16A2E24-A9F7-4F3A-90F3-4283CB6D41A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238" name="AutoShape 1">
          <a:extLst>
            <a:ext uri="{FF2B5EF4-FFF2-40B4-BE49-F238E27FC236}">
              <a16:creationId xmlns:a16="http://schemas.microsoft.com/office/drawing/2014/main" id="{45824A61-2B8C-4D80-9B51-8CCA9F06C84B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39" name="AutoShape 1">
          <a:extLst>
            <a:ext uri="{FF2B5EF4-FFF2-40B4-BE49-F238E27FC236}">
              <a16:creationId xmlns:a16="http://schemas.microsoft.com/office/drawing/2014/main" id="{9BFB2F48-F72A-4C83-9D5B-77667F817E3F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40" name="AutoShape 1">
          <a:extLst>
            <a:ext uri="{FF2B5EF4-FFF2-40B4-BE49-F238E27FC236}">
              <a16:creationId xmlns:a16="http://schemas.microsoft.com/office/drawing/2014/main" id="{C5E87FFD-B4E9-47BE-BD6B-0A16D80769D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41" name="AutoShape 1">
          <a:extLst>
            <a:ext uri="{FF2B5EF4-FFF2-40B4-BE49-F238E27FC236}">
              <a16:creationId xmlns:a16="http://schemas.microsoft.com/office/drawing/2014/main" id="{EC1AA470-672C-46DB-BDF0-90B9428D78D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42" name="AutoShape 1">
          <a:extLst>
            <a:ext uri="{FF2B5EF4-FFF2-40B4-BE49-F238E27FC236}">
              <a16:creationId xmlns:a16="http://schemas.microsoft.com/office/drawing/2014/main" id="{90DDA2A0-39B7-423C-8198-A738C97B9D7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43" name="AutoShape 1">
          <a:extLst>
            <a:ext uri="{FF2B5EF4-FFF2-40B4-BE49-F238E27FC236}">
              <a16:creationId xmlns:a16="http://schemas.microsoft.com/office/drawing/2014/main" id="{076D4D68-8909-48B8-8B2A-706B599C8C11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244" name="AutoShape 1">
          <a:extLst>
            <a:ext uri="{FF2B5EF4-FFF2-40B4-BE49-F238E27FC236}">
              <a16:creationId xmlns:a16="http://schemas.microsoft.com/office/drawing/2014/main" id="{F98FD266-970D-4E37-8731-DA4CC609CB16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45" name="AutoShape 1">
          <a:extLst>
            <a:ext uri="{FF2B5EF4-FFF2-40B4-BE49-F238E27FC236}">
              <a16:creationId xmlns:a16="http://schemas.microsoft.com/office/drawing/2014/main" id="{288996B7-BBA2-448C-A9CF-4EF630D8321B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46" name="AutoShape 1">
          <a:extLst>
            <a:ext uri="{FF2B5EF4-FFF2-40B4-BE49-F238E27FC236}">
              <a16:creationId xmlns:a16="http://schemas.microsoft.com/office/drawing/2014/main" id="{1B07BC43-AC67-46AF-9B64-740DF247B0A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47" name="AutoShape 1">
          <a:extLst>
            <a:ext uri="{FF2B5EF4-FFF2-40B4-BE49-F238E27FC236}">
              <a16:creationId xmlns:a16="http://schemas.microsoft.com/office/drawing/2014/main" id="{109C43A4-9A01-4477-9DEA-FA8E5B104132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48" name="AutoShape 1">
          <a:extLst>
            <a:ext uri="{FF2B5EF4-FFF2-40B4-BE49-F238E27FC236}">
              <a16:creationId xmlns:a16="http://schemas.microsoft.com/office/drawing/2014/main" id="{25D807FB-4124-4972-8BFF-53066CD515D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49" name="AutoShape 1">
          <a:extLst>
            <a:ext uri="{FF2B5EF4-FFF2-40B4-BE49-F238E27FC236}">
              <a16:creationId xmlns:a16="http://schemas.microsoft.com/office/drawing/2014/main" id="{889616B1-733B-4E97-94A5-F9D87252790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50" name="AutoShape 1">
          <a:extLst>
            <a:ext uri="{FF2B5EF4-FFF2-40B4-BE49-F238E27FC236}">
              <a16:creationId xmlns:a16="http://schemas.microsoft.com/office/drawing/2014/main" id="{3A4BB25E-6846-4A19-92C0-2A849AB1EB8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51" name="AutoShape 1">
          <a:extLst>
            <a:ext uri="{FF2B5EF4-FFF2-40B4-BE49-F238E27FC236}">
              <a16:creationId xmlns:a16="http://schemas.microsoft.com/office/drawing/2014/main" id="{90358799-B10F-4706-A698-6C982706F7F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252" name="AutoShape 1">
          <a:extLst>
            <a:ext uri="{FF2B5EF4-FFF2-40B4-BE49-F238E27FC236}">
              <a16:creationId xmlns:a16="http://schemas.microsoft.com/office/drawing/2014/main" id="{8645A898-88E3-4157-8348-FE23183FAE3B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53" name="AutoShape 1">
          <a:extLst>
            <a:ext uri="{FF2B5EF4-FFF2-40B4-BE49-F238E27FC236}">
              <a16:creationId xmlns:a16="http://schemas.microsoft.com/office/drawing/2014/main" id="{B65AD71E-AE14-4F3F-BFAA-77481E73FE60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54" name="AutoShape 1">
          <a:extLst>
            <a:ext uri="{FF2B5EF4-FFF2-40B4-BE49-F238E27FC236}">
              <a16:creationId xmlns:a16="http://schemas.microsoft.com/office/drawing/2014/main" id="{B7FB7C83-FFA6-454E-A9DA-F8EF161BF27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55" name="AutoShape 1">
          <a:extLst>
            <a:ext uri="{FF2B5EF4-FFF2-40B4-BE49-F238E27FC236}">
              <a16:creationId xmlns:a16="http://schemas.microsoft.com/office/drawing/2014/main" id="{4C81EDCE-B245-448E-8EA6-517BC7AD8612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56" name="AutoShape 1">
          <a:extLst>
            <a:ext uri="{FF2B5EF4-FFF2-40B4-BE49-F238E27FC236}">
              <a16:creationId xmlns:a16="http://schemas.microsoft.com/office/drawing/2014/main" id="{7D66B8B4-0353-46AC-A247-83122B64699F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57" name="AutoShape 1">
          <a:extLst>
            <a:ext uri="{FF2B5EF4-FFF2-40B4-BE49-F238E27FC236}">
              <a16:creationId xmlns:a16="http://schemas.microsoft.com/office/drawing/2014/main" id="{AA1C7AEE-FE0D-4B5A-82CE-D45DB33C519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58" name="AutoShape 1">
          <a:extLst>
            <a:ext uri="{FF2B5EF4-FFF2-40B4-BE49-F238E27FC236}">
              <a16:creationId xmlns:a16="http://schemas.microsoft.com/office/drawing/2014/main" id="{6DD43236-8529-4FF0-830A-D8F6C75FA989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59" name="AutoShape 1">
          <a:extLst>
            <a:ext uri="{FF2B5EF4-FFF2-40B4-BE49-F238E27FC236}">
              <a16:creationId xmlns:a16="http://schemas.microsoft.com/office/drawing/2014/main" id="{22B456D8-A2C0-4BBA-A5B6-50AB5AD9CE7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260" name="AutoShape 1">
          <a:extLst>
            <a:ext uri="{FF2B5EF4-FFF2-40B4-BE49-F238E27FC236}">
              <a16:creationId xmlns:a16="http://schemas.microsoft.com/office/drawing/2014/main" id="{84C951E5-24E7-4F29-A47E-21E5502B2B0D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61" name="AutoShape 1">
          <a:extLst>
            <a:ext uri="{FF2B5EF4-FFF2-40B4-BE49-F238E27FC236}">
              <a16:creationId xmlns:a16="http://schemas.microsoft.com/office/drawing/2014/main" id="{F3F79D7A-1D83-4E23-B98B-8C1862DC7592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62" name="AutoShape 1">
          <a:extLst>
            <a:ext uri="{FF2B5EF4-FFF2-40B4-BE49-F238E27FC236}">
              <a16:creationId xmlns:a16="http://schemas.microsoft.com/office/drawing/2014/main" id="{6279EF10-956B-402E-B60A-0A49933E80DE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63" name="AutoShape 1">
          <a:extLst>
            <a:ext uri="{FF2B5EF4-FFF2-40B4-BE49-F238E27FC236}">
              <a16:creationId xmlns:a16="http://schemas.microsoft.com/office/drawing/2014/main" id="{9D83F513-FAA5-45E1-92E0-3D8FEC1A30B4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64" name="AutoShape 1">
          <a:extLst>
            <a:ext uri="{FF2B5EF4-FFF2-40B4-BE49-F238E27FC236}">
              <a16:creationId xmlns:a16="http://schemas.microsoft.com/office/drawing/2014/main" id="{66A1383E-9B56-48AB-946A-0540CBFB4214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65" name="AutoShape 1">
          <a:extLst>
            <a:ext uri="{FF2B5EF4-FFF2-40B4-BE49-F238E27FC236}">
              <a16:creationId xmlns:a16="http://schemas.microsoft.com/office/drawing/2014/main" id="{FD931EE6-B558-4FFA-843E-B2F913AD51E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266" name="AutoShape 1">
          <a:extLst>
            <a:ext uri="{FF2B5EF4-FFF2-40B4-BE49-F238E27FC236}">
              <a16:creationId xmlns:a16="http://schemas.microsoft.com/office/drawing/2014/main" id="{14F2DBB7-C179-4162-B5DA-87C3FC7AB3BA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67" name="AutoShape 1">
          <a:extLst>
            <a:ext uri="{FF2B5EF4-FFF2-40B4-BE49-F238E27FC236}">
              <a16:creationId xmlns:a16="http://schemas.microsoft.com/office/drawing/2014/main" id="{CC99ACE2-EEEE-4085-AAB8-96E03BDDAC34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68" name="AutoShape 1">
          <a:extLst>
            <a:ext uri="{FF2B5EF4-FFF2-40B4-BE49-F238E27FC236}">
              <a16:creationId xmlns:a16="http://schemas.microsoft.com/office/drawing/2014/main" id="{45562794-D49E-49DD-B74D-893C010990A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69" name="AutoShape 1">
          <a:extLst>
            <a:ext uri="{FF2B5EF4-FFF2-40B4-BE49-F238E27FC236}">
              <a16:creationId xmlns:a16="http://schemas.microsoft.com/office/drawing/2014/main" id="{8C7D6D35-462C-47CB-9729-E4A477C8F041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70" name="AutoShape 1">
          <a:extLst>
            <a:ext uri="{FF2B5EF4-FFF2-40B4-BE49-F238E27FC236}">
              <a16:creationId xmlns:a16="http://schemas.microsoft.com/office/drawing/2014/main" id="{B5B81C4B-4A6F-42B4-9444-36A7F689FA1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71" name="AutoShape 1">
          <a:extLst>
            <a:ext uri="{FF2B5EF4-FFF2-40B4-BE49-F238E27FC236}">
              <a16:creationId xmlns:a16="http://schemas.microsoft.com/office/drawing/2014/main" id="{E453B614-D306-4EA3-B068-D922BD5C660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72" name="AutoShape 1">
          <a:extLst>
            <a:ext uri="{FF2B5EF4-FFF2-40B4-BE49-F238E27FC236}">
              <a16:creationId xmlns:a16="http://schemas.microsoft.com/office/drawing/2014/main" id="{C0855358-175B-4BFC-8EE1-DB681A6FB06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73" name="AutoShape 1">
          <a:extLst>
            <a:ext uri="{FF2B5EF4-FFF2-40B4-BE49-F238E27FC236}">
              <a16:creationId xmlns:a16="http://schemas.microsoft.com/office/drawing/2014/main" id="{DE93315F-935C-47CC-A7E3-54E8F56633F9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274" name="AutoShape 1">
          <a:extLst>
            <a:ext uri="{FF2B5EF4-FFF2-40B4-BE49-F238E27FC236}">
              <a16:creationId xmlns:a16="http://schemas.microsoft.com/office/drawing/2014/main" id="{C529C959-E949-471D-8712-12B9DB0CE4A8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75" name="AutoShape 1">
          <a:extLst>
            <a:ext uri="{FF2B5EF4-FFF2-40B4-BE49-F238E27FC236}">
              <a16:creationId xmlns:a16="http://schemas.microsoft.com/office/drawing/2014/main" id="{EEC648D7-FCB4-4B53-A0B4-30F5EF035F8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76" name="AutoShape 1">
          <a:extLst>
            <a:ext uri="{FF2B5EF4-FFF2-40B4-BE49-F238E27FC236}">
              <a16:creationId xmlns:a16="http://schemas.microsoft.com/office/drawing/2014/main" id="{B2FC6112-1141-4EF4-8C97-6C56EB211102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77" name="AutoShape 1">
          <a:extLst>
            <a:ext uri="{FF2B5EF4-FFF2-40B4-BE49-F238E27FC236}">
              <a16:creationId xmlns:a16="http://schemas.microsoft.com/office/drawing/2014/main" id="{19706725-80A7-4901-BAE7-912F672FF49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78" name="AutoShape 1">
          <a:extLst>
            <a:ext uri="{FF2B5EF4-FFF2-40B4-BE49-F238E27FC236}">
              <a16:creationId xmlns:a16="http://schemas.microsoft.com/office/drawing/2014/main" id="{470FDEB6-703B-4AF7-8D5B-1674D0FA1C74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79" name="AutoShape 1">
          <a:extLst>
            <a:ext uri="{FF2B5EF4-FFF2-40B4-BE49-F238E27FC236}">
              <a16:creationId xmlns:a16="http://schemas.microsoft.com/office/drawing/2014/main" id="{0E2D072E-74A6-49ED-B552-32DDCF31991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80" name="AutoShape 1">
          <a:extLst>
            <a:ext uri="{FF2B5EF4-FFF2-40B4-BE49-F238E27FC236}">
              <a16:creationId xmlns:a16="http://schemas.microsoft.com/office/drawing/2014/main" id="{8DF4B56A-3AE6-4C2E-AE04-B5D6654E5AC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81" name="AutoShape 1">
          <a:extLst>
            <a:ext uri="{FF2B5EF4-FFF2-40B4-BE49-F238E27FC236}">
              <a16:creationId xmlns:a16="http://schemas.microsoft.com/office/drawing/2014/main" id="{B6CB94AE-0F5F-44B8-8A21-4B721B60BC54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282" name="AutoShape 1">
          <a:extLst>
            <a:ext uri="{FF2B5EF4-FFF2-40B4-BE49-F238E27FC236}">
              <a16:creationId xmlns:a16="http://schemas.microsoft.com/office/drawing/2014/main" id="{4AC9E0C1-59C9-4931-AFB9-35D87DEEFA43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83" name="AutoShape 1">
          <a:extLst>
            <a:ext uri="{FF2B5EF4-FFF2-40B4-BE49-F238E27FC236}">
              <a16:creationId xmlns:a16="http://schemas.microsoft.com/office/drawing/2014/main" id="{8F788D29-B9E0-44C1-A910-5A5A742D179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84" name="AutoShape 1">
          <a:extLst>
            <a:ext uri="{FF2B5EF4-FFF2-40B4-BE49-F238E27FC236}">
              <a16:creationId xmlns:a16="http://schemas.microsoft.com/office/drawing/2014/main" id="{E03E2DBF-E61F-4BDF-9C1A-3E713D8F7FD1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85" name="AutoShape 1">
          <a:extLst>
            <a:ext uri="{FF2B5EF4-FFF2-40B4-BE49-F238E27FC236}">
              <a16:creationId xmlns:a16="http://schemas.microsoft.com/office/drawing/2014/main" id="{0CF97322-0A10-4B15-B9A8-FA06C802406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86" name="AutoShape 1">
          <a:extLst>
            <a:ext uri="{FF2B5EF4-FFF2-40B4-BE49-F238E27FC236}">
              <a16:creationId xmlns:a16="http://schemas.microsoft.com/office/drawing/2014/main" id="{A21197DC-CE10-4AC5-BCF0-AD3E5273750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87" name="AutoShape 1">
          <a:extLst>
            <a:ext uri="{FF2B5EF4-FFF2-40B4-BE49-F238E27FC236}">
              <a16:creationId xmlns:a16="http://schemas.microsoft.com/office/drawing/2014/main" id="{ECB79E35-1C21-481F-988E-5B4ED8726A6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288" name="AutoShape 1">
          <a:extLst>
            <a:ext uri="{FF2B5EF4-FFF2-40B4-BE49-F238E27FC236}">
              <a16:creationId xmlns:a16="http://schemas.microsoft.com/office/drawing/2014/main" id="{7880FA96-6FF4-47C2-BF07-B782E04CF6D1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89" name="AutoShape 1">
          <a:extLst>
            <a:ext uri="{FF2B5EF4-FFF2-40B4-BE49-F238E27FC236}">
              <a16:creationId xmlns:a16="http://schemas.microsoft.com/office/drawing/2014/main" id="{0032B528-B0BC-4C59-BF86-5DD0CEAB3E84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90" name="AutoShape 1">
          <a:extLst>
            <a:ext uri="{FF2B5EF4-FFF2-40B4-BE49-F238E27FC236}">
              <a16:creationId xmlns:a16="http://schemas.microsoft.com/office/drawing/2014/main" id="{B5316F09-6C09-46FA-9B77-FADCB0F2FBA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91" name="AutoShape 1">
          <a:extLst>
            <a:ext uri="{FF2B5EF4-FFF2-40B4-BE49-F238E27FC236}">
              <a16:creationId xmlns:a16="http://schemas.microsoft.com/office/drawing/2014/main" id="{B640FDA3-E60A-4D47-A817-FB736441A8A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92" name="AutoShape 1">
          <a:extLst>
            <a:ext uri="{FF2B5EF4-FFF2-40B4-BE49-F238E27FC236}">
              <a16:creationId xmlns:a16="http://schemas.microsoft.com/office/drawing/2014/main" id="{FC00179B-87AC-48BB-93CB-0DD44A50C62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93" name="AutoShape 1">
          <a:extLst>
            <a:ext uri="{FF2B5EF4-FFF2-40B4-BE49-F238E27FC236}">
              <a16:creationId xmlns:a16="http://schemas.microsoft.com/office/drawing/2014/main" id="{68BFEF4A-0B6A-4FB1-8E54-9840078985C4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94" name="AutoShape 1">
          <a:extLst>
            <a:ext uri="{FF2B5EF4-FFF2-40B4-BE49-F238E27FC236}">
              <a16:creationId xmlns:a16="http://schemas.microsoft.com/office/drawing/2014/main" id="{2481D1F3-1BA2-4474-BCA1-000E5E6975F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95" name="AutoShape 1">
          <a:extLst>
            <a:ext uri="{FF2B5EF4-FFF2-40B4-BE49-F238E27FC236}">
              <a16:creationId xmlns:a16="http://schemas.microsoft.com/office/drawing/2014/main" id="{DFD8AE30-6661-4F70-8E21-0820A3A28C11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296" name="AutoShape 1">
          <a:extLst>
            <a:ext uri="{FF2B5EF4-FFF2-40B4-BE49-F238E27FC236}">
              <a16:creationId xmlns:a16="http://schemas.microsoft.com/office/drawing/2014/main" id="{A643161F-8E96-4B05-9C3E-D50E55256DA3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97" name="AutoShape 1">
          <a:extLst>
            <a:ext uri="{FF2B5EF4-FFF2-40B4-BE49-F238E27FC236}">
              <a16:creationId xmlns:a16="http://schemas.microsoft.com/office/drawing/2014/main" id="{73889349-3782-45AF-B868-F3F7DAAC95F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98" name="AutoShape 1">
          <a:extLst>
            <a:ext uri="{FF2B5EF4-FFF2-40B4-BE49-F238E27FC236}">
              <a16:creationId xmlns:a16="http://schemas.microsoft.com/office/drawing/2014/main" id="{D335056C-030A-4D47-963A-E43465A17100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299" name="AutoShape 1">
          <a:extLst>
            <a:ext uri="{FF2B5EF4-FFF2-40B4-BE49-F238E27FC236}">
              <a16:creationId xmlns:a16="http://schemas.microsoft.com/office/drawing/2014/main" id="{97ADF1C0-704A-45E5-8584-0598EC9AF43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00" name="AutoShape 1">
          <a:extLst>
            <a:ext uri="{FF2B5EF4-FFF2-40B4-BE49-F238E27FC236}">
              <a16:creationId xmlns:a16="http://schemas.microsoft.com/office/drawing/2014/main" id="{CC0FDA4D-397B-4C3E-B5D2-A6C984738AC0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01" name="AutoShape 1">
          <a:extLst>
            <a:ext uri="{FF2B5EF4-FFF2-40B4-BE49-F238E27FC236}">
              <a16:creationId xmlns:a16="http://schemas.microsoft.com/office/drawing/2014/main" id="{88BD1A32-C886-4764-B188-8769C994E4C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02" name="AutoShape 1">
          <a:extLst>
            <a:ext uri="{FF2B5EF4-FFF2-40B4-BE49-F238E27FC236}">
              <a16:creationId xmlns:a16="http://schemas.microsoft.com/office/drawing/2014/main" id="{34AA6B53-10F3-4D68-9C6E-BAA678F5FFC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03" name="AutoShape 1">
          <a:extLst>
            <a:ext uri="{FF2B5EF4-FFF2-40B4-BE49-F238E27FC236}">
              <a16:creationId xmlns:a16="http://schemas.microsoft.com/office/drawing/2014/main" id="{8C20B093-AF58-429A-9C22-C0CB85B40B44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304" name="AutoShape 1">
          <a:extLst>
            <a:ext uri="{FF2B5EF4-FFF2-40B4-BE49-F238E27FC236}">
              <a16:creationId xmlns:a16="http://schemas.microsoft.com/office/drawing/2014/main" id="{0AE2B162-3904-499A-B212-9013B62B3B12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05" name="AutoShape 1">
          <a:extLst>
            <a:ext uri="{FF2B5EF4-FFF2-40B4-BE49-F238E27FC236}">
              <a16:creationId xmlns:a16="http://schemas.microsoft.com/office/drawing/2014/main" id="{BEFC8D11-C222-4A13-9999-244C0E296F5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06" name="AutoShape 1">
          <a:extLst>
            <a:ext uri="{FF2B5EF4-FFF2-40B4-BE49-F238E27FC236}">
              <a16:creationId xmlns:a16="http://schemas.microsoft.com/office/drawing/2014/main" id="{285525A2-96BD-4256-A5FA-0E63F7F1A3B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07" name="AutoShape 1">
          <a:extLst>
            <a:ext uri="{FF2B5EF4-FFF2-40B4-BE49-F238E27FC236}">
              <a16:creationId xmlns:a16="http://schemas.microsoft.com/office/drawing/2014/main" id="{1A88CAE5-BE46-4AFA-A0DE-4F25E3AF678B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08" name="AutoShape 1">
          <a:extLst>
            <a:ext uri="{FF2B5EF4-FFF2-40B4-BE49-F238E27FC236}">
              <a16:creationId xmlns:a16="http://schemas.microsoft.com/office/drawing/2014/main" id="{CD29B09D-8B5D-4AB7-BFAD-39F218EAFD4B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09" name="AutoShape 1">
          <a:extLst>
            <a:ext uri="{FF2B5EF4-FFF2-40B4-BE49-F238E27FC236}">
              <a16:creationId xmlns:a16="http://schemas.microsoft.com/office/drawing/2014/main" id="{E3690BF4-A1B9-40B0-844B-49F5DFFF4AA2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310" name="AutoShape 1">
          <a:extLst>
            <a:ext uri="{FF2B5EF4-FFF2-40B4-BE49-F238E27FC236}">
              <a16:creationId xmlns:a16="http://schemas.microsoft.com/office/drawing/2014/main" id="{BF6669F5-F8A0-4A76-B34F-E41E1B67EB2D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11" name="AutoShape 1">
          <a:extLst>
            <a:ext uri="{FF2B5EF4-FFF2-40B4-BE49-F238E27FC236}">
              <a16:creationId xmlns:a16="http://schemas.microsoft.com/office/drawing/2014/main" id="{D31C5FAF-C136-4E90-BBCE-3956496E0A52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12" name="AutoShape 1">
          <a:extLst>
            <a:ext uri="{FF2B5EF4-FFF2-40B4-BE49-F238E27FC236}">
              <a16:creationId xmlns:a16="http://schemas.microsoft.com/office/drawing/2014/main" id="{EFAC8858-74D6-4B2E-ACD8-CEE491A43D9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13" name="AutoShape 1">
          <a:extLst>
            <a:ext uri="{FF2B5EF4-FFF2-40B4-BE49-F238E27FC236}">
              <a16:creationId xmlns:a16="http://schemas.microsoft.com/office/drawing/2014/main" id="{3EA63A92-8F6A-4187-B1E8-E199C1D865B9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14" name="AutoShape 1">
          <a:extLst>
            <a:ext uri="{FF2B5EF4-FFF2-40B4-BE49-F238E27FC236}">
              <a16:creationId xmlns:a16="http://schemas.microsoft.com/office/drawing/2014/main" id="{939EF9C9-1B97-4B5D-8B59-34F26706F6DB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15" name="AutoShape 1">
          <a:extLst>
            <a:ext uri="{FF2B5EF4-FFF2-40B4-BE49-F238E27FC236}">
              <a16:creationId xmlns:a16="http://schemas.microsoft.com/office/drawing/2014/main" id="{4D3F4302-1EB0-4033-A1F5-E64C3F94703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16" name="AutoShape 1">
          <a:extLst>
            <a:ext uri="{FF2B5EF4-FFF2-40B4-BE49-F238E27FC236}">
              <a16:creationId xmlns:a16="http://schemas.microsoft.com/office/drawing/2014/main" id="{B60501C5-6F25-4078-B65C-C1764B19CFE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17" name="AutoShape 1">
          <a:extLst>
            <a:ext uri="{FF2B5EF4-FFF2-40B4-BE49-F238E27FC236}">
              <a16:creationId xmlns:a16="http://schemas.microsoft.com/office/drawing/2014/main" id="{0C849313-BACA-4856-8D4D-B17D2FCDA0D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318" name="AutoShape 1">
          <a:extLst>
            <a:ext uri="{FF2B5EF4-FFF2-40B4-BE49-F238E27FC236}">
              <a16:creationId xmlns:a16="http://schemas.microsoft.com/office/drawing/2014/main" id="{9817C26E-2E16-4F94-9E22-C99685255FFE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19" name="AutoShape 1">
          <a:extLst>
            <a:ext uri="{FF2B5EF4-FFF2-40B4-BE49-F238E27FC236}">
              <a16:creationId xmlns:a16="http://schemas.microsoft.com/office/drawing/2014/main" id="{5A77D495-AD5F-45B8-B33E-842D0A127C0B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20" name="AutoShape 1">
          <a:extLst>
            <a:ext uri="{FF2B5EF4-FFF2-40B4-BE49-F238E27FC236}">
              <a16:creationId xmlns:a16="http://schemas.microsoft.com/office/drawing/2014/main" id="{03A57F84-76DD-4C3F-A245-84D873DFB14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21" name="AutoShape 1">
          <a:extLst>
            <a:ext uri="{FF2B5EF4-FFF2-40B4-BE49-F238E27FC236}">
              <a16:creationId xmlns:a16="http://schemas.microsoft.com/office/drawing/2014/main" id="{4B90EB17-2B93-4F72-8E0C-C583CEB84BD9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22" name="AutoShape 1">
          <a:extLst>
            <a:ext uri="{FF2B5EF4-FFF2-40B4-BE49-F238E27FC236}">
              <a16:creationId xmlns:a16="http://schemas.microsoft.com/office/drawing/2014/main" id="{FE7F3342-C569-416F-A3C6-1239C5DD83C1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23" name="AutoShape 1">
          <a:extLst>
            <a:ext uri="{FF2B5EF4-FFF2-40B4-BE49-F238E27FC236}">
              <a16:creationId xmlns:a16="http://schemas.microsoft.com/office/drawing/2014/main" id="{F877ECE3-169E-4D58-8E3E-7536B904A4F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24" name="AutoShape 1">
          <a:extLst>
            <a:ext uri="{FF2B5EF4-FFF2-40B4-BE49-F238E27FC236}">
              <a16:creationId xmlns:a16="http://schemas.microsoft.com/office/drawing/2014/main" id="{B9336BA2-4B5A-4500-B4BD-EE216A06CEB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25" name="AutoShape 1">
          <a:extLst>
            <a:ext uri="{FF2B5EF4-FFF2-40B4-BE49-F238E27FC236}">
              <a16:creationId xmlns:a16="http://schemas.microsoft.com/office/drawing/2014/main" id="{9C10F72B-E819-4292-B9F2-90270CFDD87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326" name="AutoShape 1">
          <a:extLst>
            <a:ext uri="{FF2B5EF4-FFF2-40B4-BE49-F238E27FC236}">
              <a16:creationId xmlns:a16="http://schemas.microsoft.com/office/drawing/2014/main" id="{49BB6C49-0938-49CB-A049-AC531387D2F5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27" name="AutoShape 1">
          <a:extLst>
            <a:ext uri="{FF2B5EF4-FFF2-40B4-BE49-F238E27FC236}">
              <a16:creationId xmlns:a16="http://schemas.microsoft.com/office/drawing/2014/main" id="{2F4FC131-F18A-45C5-814D-7217126D0C1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28" name="AutoShape 1">
          <a:extLst>
            <a:ext uri="{FF2B5EF4-FFF2-40B4-BE49-F238E27FC236}">
              <a16:creationId xmlns:a16="http://schemas.microsoft.com/office/drawing/2014/main" id="{78DD111C-4FA5-4F57-942D-46053BDA024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29" name="AutoShape 1">
          <a:extLst>
            <a:ext uri="{FF2B5EF4-FFF2-40B4-BE49-F238E27FC236}">
              <a16:creationId xmlns:a16="http://schemas.microsoft.com/office/drawing/2014/main" id="{3BB68155-42A9-48DF-BCF7-252F57309C8E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30" name="AutoShape 1">
          <a:extLst>
            <a:ext uri="{FF2B5EF4-FFF2-40B4-BE49-F238E27FC236}">
              <a16:creationId xmlns:a16="http://schemas.microsoft.com/office/drawing/2014/main" id="{C83AE2DE-F4D5-4B6F-92E5-04D351215462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31" name="AutoShape 1">
          <a:extLst>
            <a:ext uri="{FF2B5EF4-FFF2-40B4-BE49-F238E27FC236}">
              <a16:creationId xmlns:a16="http://schemas.microsoft.com/office/drawing/2014/main" id="{6F95AE86-DCF8-436D-8344-BF5AA1E7AD5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332" name="AutoShape 1">
          <a:extLst>
            <a:ext uri="{FF2B5EF4-FFF2-40B4-BE49-F238E27FC236}">
              <a16:creationId xmlns:a16="http://schemas.microsoft.com/office/drawing/2014/main" id="{83A94E94-E160-4DD6-990D-CA3263892509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33" name="AutoShape 1">
          <a:extLst>
            <a:ext uri="{FF2B5EF4-FFF2-40B4-BE49-F238E27FC236}">
              <a16:creationId xmlns:a16="http://schemas.microsoft.com/office/drawing/2014/main" id="{7381B31E-5A4D-4243-93EF-4C2B084B55B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34" name="AutoShape 1">
          <a:extLst>
            <a:ext uri="{FF2B5EF4-FFF2-40B4-BE49-F238E27FC236}">
              <a16:creationId xmlns:a16="http://schemas.microsoft.com/office/drawing/2014/main" id="{9DF64AC6-E983-47F7-9921-B6F7F2F67C94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35" name="AutoShape 1">
          <a:extLst>
            <a:ext uri="{FF2B5EF4-FFF2-40B4-BE49-F238E27FC236}">
              <a16:creationId xmlns:a16="http://schemas.microsoft.com/office/drawing/2014/main" id="{D27C3C3B-63F1-49F9-9F3B-90050BF1F951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36" name="AutoShape 1">
          <a:extLst>
            <a:ext uri="{FF2B5EF4-FFF2-40B4-BE49-F238E27FC236}">
              <a16:creationId xmlns:a16="http://schemas.microsoft.com/office/drawing/2014/main" id="{F1A8C9AA-DCDC-4F4A-8DE0-8398E1192CC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37" name="AutoShape 1">
          <a:extLst>
            <a:ext uri="{FF2B5EF4-FFF2-40B4-BE49-F238E27FC236}">
              <a16:creationId xmlns:a16="http://schemas.microsoft.com/office/drawing/2014/main" id="{AE03E4E5-1325-48D4-AB4D-E06E89EC1E1F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38" name="AutoShape 1">
          <a:extLst>
            <a:ext uri="{FF2B5EF4-FFF2-40B4-BE49-F238E27FC236}">
              <a16:creationId xmlns:a16="http://schemas.microsoft.com/office/drawing/2014/main" id="{077FD73E-D6FF-4691-9685-70C43AAFCC24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39" name="AutoShape 1">
          <a:extLst>
            <a:ext uri="{FF2B5EF4-FFF2-40B4-BE49-F238E27FC236}">
              <a16:creationId xmlns:a16="http://schemas.microsoft.com/office/drawing/2014/main" id="{0AB264FB-06B6-4907-ABA7-89C4CB58A49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340" name="AutoShape 1">
          <a:extLst>
            <a:ext uri="{FF2B5EF4-FFF2-40B4-BE49-F238E27FC236}">
              <a16:creationId xmlns:a16="http://schemas.microsoft.com/office/drawing/2014/main" id="{31A7A1A6-4A9E-435A-87BA-C68096552DB5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41" name="AutoShape 1">
          <a:extLst>
            <a:ext uri="{FF2B5EF4-FFF2-40B4-BE49-F238E27FC236}">
              <a16:creationId xmlns:a16="http://schemas.microsoft.com/office/drawing/2014/main" id="{785691C3-643F-44E0-BAA2-91575E12D801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42" name="AutoShape 1">
          <a:extLst>
            <a:ext uri="{FF2B5EF4-FFF2-40B4-BE49-F238E27FC236}">
              <a16:creationId xmlns:a16="http://schemas.microsoft.com/office/drawing/2014/main" id="{41FD59B4-0542-4BFC-92AA-24736B09BF4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43" name="AutoShape 1">
          <a:extLst>
            <a:ext uri="{FF2B5EF4-FFF2-40B4-BE49-F238E27FC236}">
              <a16:creationId xmlns:a16="http://schemas.microsoft.com/office/drawing/2014/main" id="{97E31218-281D-4F1B-9B72-EFA7803D4732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44" name="AutoShape 1">
          <a:extLst>
            <a:ext uri="{FF2B5EF4-FFF2-40B4-BE49-F238E27FC236}">
              <a16:creationId xmlns:a16="http://schemas.microsoft.com/office/drawing/2014/main" id="{EC986097-0B41-4A0B-915B-6C4177DBC5A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45" name="AutoShape 1">
          <a:extLst>
            <a:ext uri="{FF2B5EF4-FFF2-40B4-BE49-F238E27FC236}">
              <a16:creationId xmlns:a16="http://schemas.microsoft.com/office/drawing/2014/main" id="{C6AB2A46-17B4-4F3E-8FE4-E114D8A41C4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46" name="AutoShape 1">
          <a:extLst>
            <a:ext uri="{FF2B5EF4-FFF2-40B4-BE49-F238E27FC236}">
              <a16:creationId xmlns:a16="http://schemas.microsoft.com/office/drawing/2014/main" id="{3225AE64-2315-4BEB-B09B-D308BE65C98B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47" name="AutoShape 1">
          <a:extLst>
            <a:ext uri="{FF2B5EF4-FFF2-40B4-BE49-F238E27FC236}">
              <a16:creationId xmlns:a16="http://schemas.microsoft.com/office/drawing/2014/main" id="{DF486A3F-DA8F-4FCD-93BD-DA9F1323CD7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348" name="AutoShape 1">
          <a:extLst>
            <a:ext uri="{FF2B5EF4-FFF2-40B4-BE49-F238E27FC236}">
              <a16:creationId xmlns:a16="http://schemas.microsoft.com/office/drawing/2014/main" id="{01CC2F83-3E32-4007-9672-C30634CF3C11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49" name="AutoShape 1">
          <a:extLst>
            <a:ext uri="{FF2B5EF4-FFF2-40B4-BE49-F238E27FC236}">
              <a16:creationId xmlns:a16="http://schemas.microsoft.com/office/drawing/2014/main" id="{8AC51B47-3751-4341-AC7D-C681867D581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50" name="AutoShape 1">
          <a:extLst>
            <a:ext uri="{FF2B5EF4-FFF2-40B4-BE49-F238E27FC236}">
              <a16:creationId xmlns:a16="http://schemas.microsoft.com/office/drawing/2014/main" id="{212AA6E1-CF24-4B31-BB83-717FBC49585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51" name="AutoShape 1">
          <a:extLst>
            <a:ext uri="{FF2B5EF4-FFF2-40B4-BE49-F238E27FC236}">
              <a16:creationId xmlns:a16="http://schemas.microsoft.com/office/drawing/2014/main" id="{FDEB5FDA-384A-4A26-8600-FE6767D8875B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52" name="AutoShape 1">
          <a:extLst>
            <a:ext uri="{FF2B5EF4-FFF2-40B4-BE49-F238E27FC236}">
              <a16:creationId xmlns:a16="http://schemas.microsoft.com/office/drawing/2014/main" id="{240D91EB-7EBF-4073-9334-F345C83767F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53" name="AutoShape 1">
          <a:extLst>
            <a:ext uri="{FF2B5EF4-FFF2-40B4-BE49-F238E27FC236}">
              <a16:creationId xmlns:a16="http://schemas.microsoft.com/office/drawing/2014/main" id="{99E49D99-502F-4EEC-A79D-69920C43ABA2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354" name="AutoShape 1">
          <a:extLst>
            <a:ext uri="{FF2B5EF4-FFF2-40B4-BE49-F238E27FC236}">
              <a16:creationId xmlns:a16="http://schemas.microsoft.com/office/drawing/2014/main" id="{0CF2F159-63C7-493B-ACF6-E4A192F89354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55" name="AutoShape 1">
          <a:extLst>
            <a:ext uri="{FF2B5EF4-FFF2-40B4-BE49-F238E27FC236}">
              <a16:creationId xmlns:a16="http://schemas.microsoft.com/office/drawing/2014/main" id="{F34ABF47-302B-44BB-9622-9E232CB0796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56" name="AutoShape 1">
          <a:extLst>
            <a:ext uri="{FF2B5EF4-FFF2-40B4-BE49-F238E27FC236}">
              <a16:creationId xmlns:a16="http://schemas.microsoft.com/office/drawing/2014/main" id="{D8489E9E-04FC-4ECF-B626-0AEA319BCCEB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57" name="AutoShape 1">
          <a:extLst>
            <a:ext uri="{FF2B5EF4-FFF2-40B4-BE49-F238E27FC236}">
              <a16:creationId xmlns:a16="http://schemas.microsoft.com/office/drawing/2014/main" id="{5C87DFAB-0659-4EBE-A124-0B92D579B84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58" name="AutoShape 1">
          <a:extLst>
            <a:ext uri="{FF2B5EF4-FFF2-40B4-BE49-F238E27FC236}">
              <a16:creationId xmlns:a16="http://schemas.microsoft.com/office/drawing/2014/main" id="{21C4657F-54E0-44B9-B3D8-64E8D290F8E9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59" name="AutoShape 1">
          <a:extLst>
            <a:ext uri="{FF2B5EF4-FFF2-40B4-BE49-F238E27FC236}">
              <a16:creationId xmlns:a16="http://schemas.microsoft.com/office/drawing/2014/main" id="{FE2CE253-EC4D-4941-8577-9D9ED79932B4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60" name="AutoShape 1">
          <a:extLst>
            <a:ext uri="{FF2B5EF4-FFF2-40B4-BE49-F238E27FC236}">
              <a16:creationId xmlns:a16="http://schemas.microsoft.com/office/drawing/2014/main" id="{79C18AA1-3585-43E2-9A67-97D6892485E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61" name="AutoShape 1">
          <a:extLst>
            <a:ext uri="{FF2B5EF4-FFF2-40B4-BE49-F238E27FC236}">
              <a16:creationId xmlns:a16="http://schemas.microsoft.com/office/drawing/2014/main" id="{41BB6E38-74C6-4443-B256-EB362956ACA9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362" name="AutoShape 1">
          <a:extLst>
            <a:ext uri="{FF2B5EF4-FFF2-40B4-BE49-F238E27FC236}">
              <a16:creationId xmlns:a16="http://schemas.microsoft.com/office/drawing/2014/main" id="{D2696FC4-3429-4754-A02E-200407219BB8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63" name="AutoShape 1">
          <a:extLst>
            <a:ext uri="{FF2B5EF4-FFF2-40B4-BE49-F238E27FC236}">
              <a16:creationId xmlns:a16="http://schemas.microsoft.com/office/drawing/2014/main" id="{6B6751BA-E189-4DDA-9759-C662AFADBE7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64" name="AutoShape 1">
          <a:extLst>
            <a:ext uri="{FF2B5EF4-FFF2-40B4-BE49-F238E27FC236}">
              <a16:creationId xmlns:a16="http://schemas.microsoft.com/office/drawing/2014/main" id="{3FE97914-658D-4F52-8F75-9D628A2877DF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65" name="AutoShape 1">
          <a:extLst>
            <a:ext uri="{FF2B5EF4-FFF2-40B4-BE49-F238E27FC236}">
              <a16:creationId xmlns:a16="http://schemas.microsoft.com/office/drawing/2014/main" id="{C4CB72DF-23DC-4FD1-A9F1-7692B0823C7A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66" name="AutoShape 1">
          <a:extLst>
            <a:ext uri="{FF2B5EF4-FFF2-40B4-BE49-F238E27FC236}">
              <a16:creationId xmlns:a16="http://schemas.microsoft.com/office/drawing/2014/main" id="{44427F88-64BD-4AF8-A9B4-C0DCE46472C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67" name="AutoShape 1">
          <a:extLst>
            <a:ext uri="{FF2B5EF4-FFF2-40B4-BE49-F238E27FC236}">
              <a16:creationId xmlns:a16="http://schemas.microsoft.com/office/drawing/2014/main" id="{E53D833C-966D-4125-ADE7-CB203F4D5381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68" name="AutoShape 1">
          <a:extLst>
            <a:ext uri="{FF2B5EF4-FFF2-40B4-BE49-F238E27FC236}">
              <a16:creationId xmlns:a16="http://schemas.microsoft.com/office/drawing/2014/main" id="{106B075B-C579-4E8B-8EDC-0E4DB8D688E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69" name="AutoShape 1">
          <a:extLst>
            <a:ext uri="{FF2B5EF4-FFF2-40B4-BE49-F238E27FC236}">
              <a16:creationId xmlns:a16="http://schemas.microsoft.com/office/drawing/2014/main" id="{64A8DE7C-EB1F-4580-8DB0-319B843DAD3F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370" name="AutoShape 1">
          <a:extLst>
            <a:ext uri="{FF2B5EF4-FFF2-40B4-BE49-F238E27FC236}">
              <a16:creationId xmlns:a16="http://schemas.microsoft.com/office/drawing/2014/main" id="{BAF61277-35FE-4A2D-9196-65F49FF65668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71" name="AutoShape 1">
          <a:extLst>
            <a:ext uri="{FF2B5EF4-FFF2-40B4-BE49-F238E27FC236}">
              <a16:creationId xmlns:a16="http://schemas.microsoft.com/office/drawing/2014/main" id="{83CE2616-3CB0-44A3-AC6A-250AC22971C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72" name="AutoShape 1">
          <a:extLst>
            <a:ext uri="{FF2B5EF4-FFF2-40B4-BE49-F238E27FC236}">
              <a16:creationId xmlns:a16="http://schemas.microsoft.com/office/drawing/2014/main" id="{059FD296-B7B0-4862-ABBF-54F8F5E8AFDB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73" name="AutoShape 1">
          <a:extLst>
            <a:ext uri="{FF2B5EF4-FFF2-40B4-BE49-F238E27FC236}">
              <a16:creationId xmlns:a16="http://schemas.microsoft.com/office/drawing/2014/main" id="{7D0AD97C-88EE-43E7-8FAA-89CFC9C17FB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74" name="AutoShape 1">
          <a:extLst>
            <a:ext uri="{FF2B5EF4-FFF2-40B4-BE49-F238E27FC236}">
              <a16:creationId xmlns:a16="http://schemas.microsoft.com/office/drawing/2014/main" id="{968F3668-ECD5-490A-A1C5-9FD98E47C467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75" name="AutoShape 1">
          <a:extLst>
            <a:ext uri="{FF2B5EF4-FFF2-40B4-BE49-F238E27FC236}">
              <a16:creationId xmlns:a16="http://schemas.microsoft.com/office/drawing/2014/main" id="{DBCD11F6-0EB2-433A-8955-21E73E6FF4AE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376" name="AutoShape 1">
          <a:extLst>
            <a:ext uri="{FF2B5EF4-FFF2-40B4-BE49-F238E27FC236}">
              <a16:creationId xmlns:a16="http://schemas.microsoft.com/office/drawing/2014/main" id="{D2BB666A-AF85-4837-982C-8A135FA4AB86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77" name="AutoShape 1">
          <a:extLst>
            <a:ext uri="{FF2B5EF4-FFF2-40B4-BE49-F238E27FC236}">
              <a16:creationId xmlns:a16="http://schemas.microsoft.com/office/drawing/2014/main" id="{A708E54C-4667-40E9-893E-F19533D90992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78" name="AutoShape 1">
          <a:extLst>
            <a:ext uri="{FF2B5EF4-FFF2-40B4-BE49-F238E27FC236}">
              <a16:creationId xmlns:a16="http://schemas.microsoft.com/office/drawing/2014/main" id="{E0805F23-2BEA-4FEE-BA29-E9B341121C5B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79" name="AutoShape 1">
          <a:extLst>
            <a:ext uri="{FF2B5EF4-FFF2-40B4-BE49-F238E27FC236}">
              <a16:creationId xmlns:a16="http://schemas.microsoft.com/office/drawing/2014/main" id="{C35737BC-4C07-463C-87B9-7306445C494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80" name="AutoShape 1">
          <a:extLst>
            <a:ext uri="{FF2B5EF4-FFF2-40B4-BE49-F238E27FC236}">
              <a16:creationId xmlns:a16="http://schemas.microsoft.com/office/drawing/2014/main" id="{62D71151-7539-4B57-923C-EBC78043DE2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81" name="AutoShape 1">
          <a:extLst>
            <a:ext uri="{FF2B5EF4-FFF2-40B4-BE49-F238E27FC236}">
              <a16:creationId xmlns:a16="http://schemas.microsoft.com/office/drawing/2014/main" id="{9783209A-DD62-4FC4-B980-9715723E146F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82" name="AutoShape 1">
          <a:extLst>
            <a:ext uri="{FF2B5EF4-FFF2-40B4-BE49-F238E27FC236}">
              <a16:creationId xmlns:a16="http://schemas.microsoft.com/office/drawing/2014/main" id="{0F17C1C7-8353-4B06-AA7E-B489FF59009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83" name="AutoShape 1">
          <a:extLst>
            <a:ext uri="{FF2B5EF4-FFF2-40B4-BE49-F238E27FC236}">
              <a16:creationId xmlns:a16="http://schemas.microsoft.com/office/drawing/2014/main" id="{F27A52CF-E302-4E26-B62A-F2F2B0BB29C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384" name="AutoShape 1">
          <a:extLst>
            <a:ext uri="{FF2B5EF4-FFF2-40B4-BE49-F238E27FC236}">
              <a16:creationId xmlns:a16="http://schemas.microsoft.com/office/drawing/2014/main" id="{3EEEF60B-02DD-4D58-93DF-56BDDE46B122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85" name="AutoShape 1">
          <a:extLst>
            <a:ext uri="{FF2B5EF4-FFF2-40B4-BE49-F238E27FC236}">
              <a16:creationId xmlns:a16="http://schemas.microsoft.com/office/drawing/2014/main" id="{8D5FD94E-F168-4DD9-B55B-BF7ABF4CC79D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86" name="AutoShape 1">
          <a:extLst>
            <a:ext uri="{FF2B5EF4-FFF2-40B4-BE49-F238E27FC236}">
              <a16:creationId xmlns:a16="http://schemas.microsoft.com/office/drawing/2014/main" id="{B8C4FD02-BD8A-4864-88DF-8466FA34A1F5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87" name="AutoShape 1">
          <a:extLst>
            <a:ext uri="{FF2B5EF4-FFF2-40B4-BE49-F238E27FC236}">
              <a16:creationId xmlns:a16="http://schemas.microsoft.com/office/drawing/2014/main" id="{3FA6D91B-FB40-431E-BAB7-4BE534B50F1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88" name="AutoShape 1">
          <a:extLst>
            <a:ext uri="{FF2B5EF4-FFF2-40B4-BE49-F238E27FC236}">
              <a16:creationId xmlns:a16="http://schemas.microsoft.com/office/drawing/2014/main" id="{797E38F6-A59A-42EA-B7B0-A6F9ED23AE0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89" name="AutoShape 1">
          <a:extLst>
            <a:ext uri="{FF2B5EF4-FFF2-40B4-BE49-F238E27FC236}">
              <a16:creationId xmlns:a16="http://schemas.microsoft.com/office/drawing/2014/main" id="{D236B80F-69B8-4E19-8D6F-75FEF35547AF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90" name="AutoShape 1">
          <a:extLst>
            <a:ext uri="{FF2B5EF4-FFF2-40B4-BE49-F238E27FC236}">
              <a16:creationId xmlns:a16="http://schemas.microsoft.com/office/drawing/2014/main" id="{71A54FA4-B185-44DB-A29F-F44B7C4AD358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91" name="AutoShape 1">
          <a:extLst>
            <a:ext uri="{FF2B5EF4-FFF2-40B4-BE49-F238E27FC236}">
              <a16:creationId xmlns:a16="http://schemas.microsoft.com/office/drawing/2014/main" id="{95095AE4-B766-421C-B609-774F1A9AADEF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304796"/>
    <xdr:sp macro="" textlink="">
      <xdr:nvSpPr>
        <xdr:cNvPr id="392" name="AutoShape 1">
          <a:extLst>
            <a:ext uri="{FF2B5EF4-FFF2-40B4-BE49-F238E27FC236}">
              <a16:creationId xmlns:a16="http://schemas.microsoft.com/office/drawing/2014/main" id="{D362A06D-5015-4A56-B6A2-7E11C48DBD7D}"/>
            </a:ext>
          </a:extLst>
        </xdr:cNvPr>
        <xdr:cNvSpPr/>
      </xdr:nvSpPr>
      <xdr:spPr>
        <a:xfrm>
          <a:off x="847725" y="60960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93" name="AutoShape 1">
          <a:extLst>
            <a:ext uri="{FF2B5EF4-FFF2-40B4-BE49-F238E27FC236}">
              <a16:creationId xmlns:a16="http://schemas.microsoft.com/office/drawing/2014/main" id="{1AC527FD-38E3-4239-812A-BD3CAE4DCB3E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94" name="AutoShape 1">
          <a:extLst>
            <a:ext uri="{FF2B5EF4-FFF2-40B4-BE49-F238E27FC236}">
              <a16:creationId xmlns:a16="http://schemas.microsoft.com/office/drawing/2014/main" id="{1A1437BE-8059-4497-8C70-E9430841210C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95" name="AutoShape 1">
          <a:extLst>
            <a:ext uri="{FF2B5EF4-FFF2-40B4-BE49-F238E27FC236}">
              <a16:creationId xmlns:a16="http://schemas.microsoft.com/office/drawing/2014/main" id="{35ABE7CD-04EA-4D3C-8EF8-5A4678C27EC3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96" name="AutoShape 1">
          <a:extLst>
            <a:ext uri="{FF2B5EF4-FFF2-40B4-BE49-F238E27FC236}">
              <a16:creationId xmlns:a16="http://schemas.microsoft.com/office/drawing/2014/main" id="{020249FE-9B2B-4E65-9B91-1CE162019EDF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04796" cy="295278"/>
    <xdr:sp macro="" textlink="">
      <xdr:nvSpPr>
        <xdr:cNvPr id="397" name="AutoShape 1">
          <a:extLst>
            <a:ext uri="{FF2B5EF4-FFF2-40B4-BE49-F238E27FC236}">
              <a16:creationId xmlns:a16="http://schemas.microsoft.com/office/drawing/2014/main" id="{64F06D3C-9CD6-49F7-BDE9-2A7F7B36D9B6}"/>
            </a:ext>
          </a:extLst>
        </xdr:cNvPr>
        <xdr:cNvSpPr/>
      </xdr:nvSpPr>
      <xdr:spPr>
        <a:xfrm>
          <a:off x="847725" y="6096000"/>
          <a:ext cx="304796" cy="2952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Aptos Narrow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111124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6831BED-FD09-45E3-A512-98E206881DD6}"/>
            </a:ext>
          </a:extLst>
        </xdr:cNvPr>
        <xdr:cNvSpPr>
          <a:spLocks noChangeAspect="1" noChangeArrowheads="1"/>
        </xdr:cNvSpPr>
      </xdr:nvSpPr>
      <xdr:spPr bwMode="auto">
        <a:xfrm>
          <a:off x="0" y="5657850"/>
          <a:ext cx="30480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111124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7636FFFA-EB01-4C41-A963-9C80DFEA42DC}"/>
            </a:ext>
            <a:ext uri="{147F2762-F138-4A5C-976F-8EAC2B608ADB}">
              <a16:predDERef xmlns:a16="http://schemas.microsoft.com/office/drawing/2014/main" pred="{F6831BED-FD09-45E3-A512-98E206881DD6}"/>
            </a:ext>
          </a:extLst>
        </xdr:cNvPr>
        <xdr:cNvSpPr>
          <a:spLocks noChangeAspect="1" noChangeArrowheads="1"/>
        </xdr:cNvSpPr>
      </xdr:nvSpPr>
      <xdr:spPr bwMode="auto">
        <a:xfrm>
          <a:off x="0" y="5657850"/>
          <a:ext cx="30480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111125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1EB9B63-99FA-4F49-B6CB-538333CCC522}"/>
            </a:ext>
          </a:extLst>
        </xdr:cNvPr>
        <xdr:cNvSpPr>
          <a:spLocks noChangeAspect="1" noChangeArrowheads="1"/>
        </xdr:cNvSpPr>
      </xdr:nvSpPr>
      <xdr:spPr bwMode="auto">
        <a:xfrm>
          <a:off x="0" y="4127500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111125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A7239C2-99D2-F74A-9D55-2EC87770C737}"/>
            </a:ext>
            <a:ext uri="{147F2762-F138-4A5C-976F-8EAC2B608ADB}">
              <a16:predDERef xmlns:a16="http://schemas.microsoft.com/office/drawing/2014/main" pred="{1BA3C501-1759-456E-8B86-158750480E47}"/>
            </a:ext>
          </a:extLst>
        </xdr:cNvPr>
        <xdr:cNvSpPr>
          <a:spLocks noChangeAspect="1" noChangeArrowheads="1"/>
        </xdr:cNvSpPr>
      </xdr:nvSpPr>
      <xdr:spPr bwMode="auto">
        <a:xfrm>
          <a:off x="0" y="4127500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114299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3E11E23-FFE1-477D-99DC-88A283771F3D}"/>
            </a:ext>
          </a:extLst>
        </xdr:cNvPr>
        <xdr:cNvSpPr>
          <a:spLocks noChangeAspect="1" noChangeArrowheads="1"/>
        </xdr:cNvSpPr>
      </xdr:nvSpPr>
      <xdr:spPr bwMode="auto">
        <a:xfrm>
          <a:off x="561975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114299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3800105-5AEC-4D21-ACA5-CF5C21E418ED}"/>
            </a:ext>
            <a:ext uri="{147F2762-F138-4A5C-976F-8EAC2B608ADB}">
              <a16:predDERef xmlns:a16="http://schemas.microsoft.com/office/drawing/2014/main" pred="{1BA3C501-1759-456E-8B86-158750480E47}"/>
            </a:ext>
          </a:extLst>
        </xdr:cNvPr>
        <xdr:cNvSpPr>
          <a:spLocks noChangeAspect="1" noChangeArrowheads="1"/>
        </xdr:cNvSpPr>
      </xdr:nvSpPr>
      <xdr:spPr bwMode="auto">
        <a:xfrm>
          <a:off x="561975" y="280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85724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50DA65EB-F39E-844D-8DBC-A2DB1CEC7F61}"/>
            </a:ext>
          </a:extLst>
        </xdr:cNvPr>
        <xdr:cNvSpPr>
          <a:spLocks noChangeAspect="1" noChangeArrowheads="1"/>
        </xdr:cNvSpPr>
      </xdr:nvSpPr>
      <xdr:spPr bwMode="auto">
        <a:xfrm>
          <a:off x="0" y="4559300"/>
          <a:ext cx="304800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85724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ECEBA35F-9FF0-1F44-9F23-3907F3E79773}"/>
            </a:ext>
            <a:ext uri="{147F2762-F138-4A5C-976F-8EAC2B608ADB}">
              <a16:predDERef xmlns:a16="http://schemas.microsoft.com/office/drawing/2014/main" pred="{1BA3C501-1759-456E-8B86-158750480E47}"/>
            </a:ext>
          </a:extLst>
        </xdr:cNvPr>
        <xdr:cNvSpPr>
          <a:spLocks noChangeAspect="1" noChangeArrowheads="1"/>
        </xdr:cNvSpPr>
      </xdr:nvSpPr>
      <xdr:spPr bwMode="auto">
        <a:xfrm>
          <a:off x="0" y="4559300"/>
          <a:ext cx="304800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F2501-4362-48D3-84BB-2142FD8F27CA}">
  <dimension ref="A1:N23"/>
  <sheetViews>
    <sheetView showGridLines="0" tabSelected="1" topLeftCell="F1" zoomScale="115" zoomScaleNormal="115" workbookViewId="0">
      <selection activeCell="P14" sqref="P14"/>
    </sheetView>
  </sheetViews>
  <sheetFormatPr defaultColWidth="11.42578125" defaultRowHeight="12.75" x14ac:dyDescent="0.2"/>
  <cols>
    <col min="1" max="1" width="16.140625" style="430" hidden="1" customWidth="1"/>
    <col min="2" max="2" width="21.140625" style="430" hidden="1" customWidth="1"/>
    <col min="3" max="4" width="24.140625" style="430" hidden="1" customWidth="1"/>
    <col min="5" max="5" width="0" style="430" hidden="1" customWidth="1"/>
    <col min="6" max="6" width="27.28515625" style="430" customWidth="1"/>
    <col min="7" max="7" width="17" style="430" bestFit="1" customWidth="1"/>
    <col min="8" max="9" width="18.5703125" style="430" bestFit="1" customWidth="1"/>
    <col min="10" max="10" width="4.140625" style="430" customWidth="1"/>
    <col min="11" max="11" width="22.42578125" style="430" bestFit="1" customWidth="1"/>
    <col min="12" max="12" width="19.7109375" style="430" customWidth="1"/>
    <col min="13" max="13" width="18.5703125" style="430" bestFit="1" customWidth="1"/>
    <col min="14" max="14" width="19.5703125" style="430" bestFit="1" customWidth="1"/>
    <col min="15" max="16384" width="11.42578125" style="430"/>
  </cols>
  <sheetData>
    <row r="1" spans="1:14" x14ac:dyDescent="0.2">
      <c r="F1" s="992" t="s">
        <v>0</v>
      </c>
      <c r="K1" s="992" t="s">
        <v>1</v>
      </c>
    </row>
    <row r="2" spans="1:14" x14ac:dyDescent="0.2">
      <c r="B2" s="1007" t="s">
        <v>2</v>
      </c>
      <c r="C2" s="1007"/>
      <c r="D2" s="1007"/>
      <c r="F2" s="1008"/>
      <c r="G2" s="1010" t="s">
        <v>3</v>
      </c>
      <c r="H2" s="1011"/>
      <c r="I2" s="1012"/>
      <c r="K2" s="1008"/>
      <c r="L2" s="1010" t="s">
        <v>3</v>
      </c>
      <c r="M2" s="1011"/>
      <c r="N2" s="1012"/>
    </row>
    <row r="3" spans="1:14" x14ac:dyDescent="0.2">
      <c r="B3" s="431">
        <v>2025</v>
      </c>
      <c r="C3" s="432">
        <v>2026</v>
      </c>
      <c r="D3" s="432">
        <v>2027</v>
      </c>
      <c r="F3" s="1009"/>
      <c r="G3" s="438">
        <v>2025</v>
      </c>
      <c r="H3" s="437">
        <v>2026</v>
      </c>
      <c r="I3" s="437">
        <v>2027</v>
      </c>
      <c r="K3" s="1009"/>
      <c r="L3" s="437">
        <v>2026</v>
      </c>
      <c r="M3" s="437">
        <v>2027</v>
      </c>
      <c r="N3" s="437">
        <v>2028</v>
      </c>
    </row>
    <row r="4" spans="1:14" ht="21" customHeight="1" x14ac:dyDescent="0.25">
      <c r="F4" s="1015" t="s">
        <v>4</v>
      </c>
      <c r="G4" s="1013"/>
      <c r="H4" s="1013"/>
      <c r="I4" s="1014"/>
      <c r="K4" s="1013" t="s">
        <v>4</v>
      </c>
      <c r="L4" s="1013"/>
      <c r="M4" s="1014"/>
      <c r="N4" s="967"/>
    </row>
    <row r="5" spans="1:14" x14ac:dyDescent="0.2">
      <c r="F5" s="976" t="s">
        <v>5</v>
      </c>
      <c r="G5" s="978">
        <f>'Consolidado-CriaCargos'!AR6</f>
        <v>101541027.2957249</v>
      </c>
      <c r="H5" s="978">
        <f>'Consolidado-CriaCargos'!AS6</f>
        <v>2577270088.4832354</v>
      </c>
      <c r="I5" s="978">
        <f>'Consolidado-CriaCargos'!AT6</f>
        <v>4037588876.7134972</v>
      </c>
      <c r="K5" s="977" t="s">
        <v>6</v>
      </c>
      <c r="L5" s="981">
        <f>'Consolidado-CriaCargos'!AS5</f>
        <v>545658845</v>
      </c>
      <c r="M5" s="981">
        <f>'Consolidado-CriaCargos'!AT5</f>
        <v>1273203971.6666667</v>
      </c>
      <c r="N5" s="981">
        <f>M5</f>
        <v>1273203971.6666667</v>
      </c>
    </row>
    <row r="6" spans="1:14" x14ac:dyDescent="0.2">
      <c r="F6" s="977" t="s">
        <v>7</v>
      </c>
      <c r="G6" s="978">
        <f>'Consolidado-CriaCargos'!AR7</f>
        <v>2408065.8410239993</v>
      </c>
      <c r="H6" s="984">
        <f>'Consolidado-CriaCargos'!AS7</f>
        <v>16480700.810496006</v>
      </c>
      <c r="I6" s="984">
        <f>'Consolidado-CriaCargos'!AT7</f>
        <v>21592850.44019201</v>
      </c>
      <c r="K6" s="975"/>
      <c r="L6" s="975"/>
      <c r="M6" s="975"/>
      <c r="N6" s="975"/>
    </row>
    <row r="7" spans="1:14" x14ac:dyDescent="0.2">
      <c r="F7" s="975"/>
      <c r="G7" s="975"/>
      <c r="H7" s="975"/>
      <c r="I7" s="975"/>
      <c r="K7" s="975"/>
      <c r="L7" s="975"/>
      <c r="M7" s="975"/>
      <c r="N7" s="975"/>
    </row>
    <row r="8" spans="1:14" x14ac:dyDescent="0.2">
      <c r="F8" s="975"/>
      <c r="G8" s="975"/>
      <c r="H8" s="975"/>
      <c r="I8" s="975"/>
      <c r="K8" s="975"/>
      <c r="L8" s="975"/>
      <c r="M8" s="975"/>
      <c r="N8" s="975"/>
    </row>
    <row r="9" spans="1:14" ht="26.25" customHeight="1" x14ac:dyDescent="0.25">
      <c r="F9" s="1016" t="s">
        <v>8</v>
      </c>
      <c r="G9" s="1017"/>
      <c r="H9" s="1017"/>
      <c r="I9" s="1018"/>
      <c r="K9" s="1017" t="s">
        <v>8</v>
      </c>
      <c r="L9" s="1017"/>
      <c r="M9" s="1017"/>
      <c r="N9" s="1018"/>
    </row>
    <row r="10" spans="1:14" x14ac:dyDescent="0.2">
      <c r="A10" s="431"/>
      <c r="B10" s="433"/>
      <c r="C10" s="433"/>
      <c r="F10" s="979" t="s">
        <v>9</v>
      </c>
      <c r="G10" s="980">
        <f>'Item 19 - Transf.vagos'!S17+'Item 19 - Transf.vagos'!T17</f>
        <v>-10574685.204929205</v>
      </c>
      <c r="H10" s="980">
        <f>'Item 19 - Transf.vagos'!AJ17+'Item 19 - Transf.vagos'!AK17+'Item 19 - Transf.vagos'!X17+'Item 19 - Transf.vagos'!Y17</f>
        <v>-147764525.91779965</v>
      </c>
      <c r="I10" s="980">
        <f>H10</f>
        <v>-147764525.91779965</v>
      </c>
      <c r="K10" s="977" t="s">
        <v>10</v>
      </c>
      <c r="L10" s="981">
        <f>SUM('Consolidado-Reajuste'!AS5:AS6,'Consolidado-Reajuste'!AS7,'Consolidado-Reajuste'!AS9:AS16)</f>
        <v>3614038057.0826097</v>
      </c>
      <c r="M10" s="981">
        <f>SUM('Consolidado-Reajuste'!AT5:AT6,'Consolidado-Reajuste'!AT7,'Consolidado-Reajuste'!AT9:AT16)</f>
        <v>9752591510.1894913</v>
      </c>
      <c r="N10" s="981">
        <f>M10</f>
        <v>9752591510.1894913</v>
      </c>
    </row>
    <row r="11" spans="1:14" x14ac:dyDescent="0.2">
      <c r="F11" s="977" t="s">
        <v>11</v>
      </c>
      <c r="G11" s="981">
        <f>'Consolidado-Reajuste'!AR8</f>
        <v>23914.742007411671</v>
      </c>
      <c r="H11" s="981">
        <f>'Consolidado-Reajuste'!AS8</f>
        <v>100597.91107261187</v>
      </c>
      <c r="I11" s="981">
        <f>'Consolidado-Reajuste'!AT8</f>
        <v>0</v>
      </c>
      <c r="K11" s="975"/>
      <c r="L11" s="975"/>
      <c r="M11" s="975"/>
      <c r="N11" s="975"/>
    </row>
    <row r="12" spans="1:14" x14ac:dyDescent="0.2">
      <c r="F12" s="977" t="s">
        <v>12</v>
      </c>
      <c r="G12" s="978">
        <f>SUM('Consolidado-Reajuste'!AR19)</f>
        <v>34315473.174162604</v>
      </c>
      <c r="H12" s="978">
        <f>SUM('Consolidado-Reajuste'!AS19)</f>
        <v>506034458.44898635</v>
      </c>
      <c r="I12" s="978">
        <f>SUM('Consolidado-Reajuste'!AT19)</f>
        <v>565967765.63385892</v>
      </c>
      <c r="K12" s="975"/>
      <c r="L12" s="975"/>
      <c r="M12" s="975"/>
      <c r="N12" s="975"/>
    </row>
    <row r="13" spans="1:14" x14ac:dyDescent="0.2">
      <c r="A13" s="434"/>
      <c r="B13" s="433"/>
      <c r="C13" s="433"/>
      <c r="D13" s="433"/>
      <c r="F13" s="982" t="s">
        <v>13</v>
      </c>
      <c r="G13" s="983">
        <f>SUM(G10:G12)</f>
        <v>23764702.711240813</v>
      </c>
      <c r="H13" s="983">
        <f t="shared" ref="H13:I13" si="0">SUM(H10:H12)</f>
        <v>358370530.44225931</v>
      </c>
      <c r="I13" s="983">
        <f t="shared" si="0"/>
        <v>418203239.71605927</v>
      </c>
      <c r="K13" s="982" t="s">
        <v>13</v>
      </c>
      <c r="L13" s="983">
        <f>L5+L10</f>
        <v>4159696902.0826097</v>
      </c>
      <c r="M13" s="983">
        <f t="shared" ref="M13:N13" si="1">M5+M10</f>
        <v>11025795481.856157</v>
      </c>
      <c r="N13" s="983">
        <f t="shared" si="1"/>
        <v>11025795481.856157</v>
      </c>
    </row>
    <row r="14" spans="1:14" x14ac:dyDescent="0.2">
      <c r="A14" s="434" t="s">
        <v>14</v>
      </c>
      <c r="B14" s="435">
        <v>539707217.73000002</v>
      </c>
      <c r="C14" s="435">
        <v>1020216179.05</v>
      </c>
      <c r="D14" s="435">
        <v>1660894794.1400001</v>
      </c>
      <c r="F14" s="975"/>
      <c r="G14" s="975"/>
      <c r="H14" s="975"/>
      <c r="I14" s="975"/>
    </row>
    <row r="15" spans="1:14" ht="27.75" customHeight="1" x14ac:dyDescent="0.25">
      <c r="F15" s="1016" t="s">
        <v>15</v>
      </c>
      <c r="G15" s="1017"/>
      <c r="H15" s="1017"/>
      <c r="I15" s="1018"/>
      <c r="K15" s="1013" t="s">
        <v>15</v>
      </c>
      <c r="L15" s="1013"/>
      <c r="M15" s="1013"/>
      <c r="N15" s="1014"/>
    </row>
    <row r="16" spans="1:14" x14ac:dyDescent="0.2">
      <c r="B16" s="433"/>
      <c r="C16" s="433"/>
      <c r="F16" s="977" t="s">
        <v>16</v>
      </c>
      <c r="G16" s="984">
        <f>'Consolidado-Benef.'!AQ7</f>
        <v>1011526.6469500001</v>
      </c>
      <c r="H16" s="984">
        <f>'Consolidado-Benef.'!AR7</f>
        <v>25672546.338930041</v>
      </c>
      <c r="I16" s="984">
        <f>'Consolidado-Benef.'!AS7</f>
        <v>25672546.338930041</v>
      </c>
      <c r="K16" s="439" t="s">
        <v>17</v>
      </c>
      <c r="L16" s="436">
        <f>'Consolidado-Benef.'!AR5</f>
        <v>7549542</v>
      </c>
      <c r="M16" s="436">
        <f>'Consolidado-Benef.'!AS5</f>
        <v>9227218</v>
      </c>
      <c r="N16" s="436">
        <f>M16</f>
        <v>9227218</v>
      </c>
    </row>
    <row r="18" spans="1:14" ht="28.5" customHeight="1" x14ac:dyDescent="0.25">
      <c r="F18" s="1016" t="s">
        <v>18</v>
      </c>
      <c r="G18" s="1019"/>
      <c r="H18" s="1019"/>
      <c r="I18" s="1020"/>
      <c r="K18" s="1006"/>
      <c r="L18" s="1006"/>
      <c r="M18" s="1006"/>
      <c r="N18" s="989"/>
    </row>
    <row r="19" spans="1:14" ht="15.75" x14ac:dyDescent="0.25">
      <c r="A19" s="430" t="s">
        <v>18</v>
      </c>
      <c r="B19" s="433">
        <f>'Pt 0 - FCDF'!AK4+'Pt 0 - FCDF'!AK5</f>
        <v>155560684.76585349</v>
      </c>
      <c r="C19" s="433">
        <f>'Pt 0 - FCDF'!AL4+'Pt 0 - FCDF'!AL5</f>
        <v>3200321567.27878</v>
      </c>
      <c r="D19" s="433">
        <f>'Pt 0 - FCDF'!AM4+'Pt 0 - FCDF'!AM5</f>
        <v>3200321567.27878</v>
      </c>
      <c r="F19" s="987" t="s">
        <v>19</v>
      </c>
      <c r="G19" s="988">
        <f>'Consolidado-Reajuste'!AR17+'Consolidado-Reajuste'!AR18</f>
        <v>160631804.56293783</v>
      </c>
      <c r="H19" s="988">
        <f>'Consolidado-Reajuste'!AS17+'Consolidado-Reajuste'!AS18</f>
        <v>2263888195.1615767</v>
      </c>
      <c r="I19" s="988">
        <f>'Consolidado-Reajuste'!AT17+'Consolidado-Reajuste'!AT18+9+H19</f>
        <v>4703451117.1665382</v>
      </c>
      <c r="K19" s="1006"/>
      <c r="L19" s="1006"/>
      <c r="M19" s="1006"/>
      <c r="N19" s="989"/>
    </row>
    <row r="20" spans="1:14" ht="15.75" x14ac:dyDescent="0.25">
      <c r="B20" s="433">
        <f>B18-B19</f>
        <v>-155560684.76585349</v>
      </c>
      <c r="C20" s="433">
        <f>C18-C19</f>
        <v>-3200321567.27878</v>
      </c>
      <c r="D20" s="433">
        <f>D18-D19</f>
        <v>-3200321567.27878</v>
      </c>
      <c r="F20" s="987" t="s">
        <v>20</v>
      </c>
      <c r="G20" s="988">
        <f>'Consolidado-Benef.'!AQ6</f>
        <v>7124229.6691500004</v>
      </c>
      <c r="H20" s="988">
        <f>'Consolidado-Benef.'!AR6</f>
        <v>180812949.0030269</v>
      </c>
      <c r="I20" s="988">
        <f>'Consolidado-Benef.'!AS6+H20</f>
        <v>361625898.00605381</v>
      </c>
      <c r="K20" s="1006"/>
      <c r="L20" s="1006"/>
      <c r="M20" s="1006"/>
      <c r="N20" s="989"/>
    </row>
    <row r="21" spans="1:14" ht="15.75" x14ac:dyDescent="0.25">
      <c r="F21" s="982" t="s">
        <v>21</v>
      </c>
      <c r="G21" s="1441">
        <f>SUM(G19:G20)</f>
        <v>167756034.23208782</v>
      </c>
      <c r="H21" s="1441">
        <f>SUM(H19:H20)</f>
        <v>2444701144.1646037</v>
      </c>
      <c r="I21" s="1441">
        <f>SUM(I19:I20)</f>
        <v>5065077015.1725922</v>
      </c>
      <c r="K21" s="1006"/>
      <c r="L21" s="1006"/>
      <c r="M21" s="1006"/>
      <c r="N21" s="989"/>
    </row>
    <row r="22" spans="1:14" ht="13.5" thickBot="1" x14ac:dyDescent="0.25">
      <c r="F22" s="975"/>
      <c r="G22" s="975"/>
      <c r="H22" s="975"/>
      <c r="I22" s="975"/>
    </row>
    <row r="23" spans="1:14" ht="14.1" customHeight="1" thickBot="1" x14ac:dyDescent="0.25">
      <c r="F23" s="991" t="s">
        <v>22</v>
      </c>
      <c r="G23" s="1439">
        <f>G5+G6+G13+G16</f>
        <v>128725322.49493971</v>
      </c>
      <c r="H23" s="1439">
        <f>H5+H6+H13+H16</f>
        <v>2977793866.0749207</v>
      </c>
      <c r="I23" s="1440">
        <f>I5+I6+I13+I16</f>
        <v>4503057513.2086792</v>
      </c>
      <c r="J23" s="975"/>
      <c r="K23" s="990" t="s">
        <v>23</v>
      </c>
      <c r="L23" s="1442">
        <f>L13+L16</f>
        <v>4167246444.0826097</v>
      </c>
      <c r="M23" s="1442">
        <f t="shared" ref="M23:N23" si="2">M13+M16</f>
        <v>11035022699.856157</v>
      </c>
      <c r="N23" s="1443">
        <f>L23+M23+M23</f>
        <v>26237291843.794922</v>
      </c>
    </row>
  </sheetData>
  <mergeCells count="16">
    <mergeCell ref="K19:M19"/>
    <mergeCell ref="K20:M20"/>
    <mergeCell ref="K21:M21"/>
    <mergeCell ref="B2:D2"/>
    <mergeCell ref="F2:F3"/>
    <mergeCell ref="G2:I2"/>
    <mergeCell ref="K4:M4"/>
    <mergeCell ref="K2:K3"/>
    <mergeCell ref="L2:N2"/>
    <mergeCell ref="K18:M18"/>
    <mergeCell ref="F4:I4"/>
    <mergeCell ref="F9:I9"/>
    <mergeCell ref="F15:I15"/>
    <mergeCell ref="F18:I18"/>
    <mergeCell ref="K9:N9"/>
    <mergeCell ref="K15:N15"/>
  </mergeCells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954EB-EA43-4B28-8C17-E88F710389E3}">
  <dimension ref="A1:AT10"/>
  <sheetViews>
    <sheetView showGridLines="0" workbookViewId="0">
      <pane xSplit="3" ySplit="3" topLeftCell="AQ4" activePane="bottomRight" state="frozen"/>
      <selection pane="topRight" activeCell="D1" sqref="D1"/>
      <selection pane="bottomLeft" activeCell="A4" sqref="A4"/>
      <selection pane="bottomRight" activeCell="AR19" sqref="AR19"/>
    </sheetView>
  </sheetViews>
  <sheetFormatPr defaultColWidth="8.85546875" defaultRowHeight="15" outlineLevelCol="1" x14ac:dyDescent="0.25"/>
  <cols>
    <col min="2" max="2" width="54.28515625" bestFit="1" customWidth="1"/>
    <col min="3" max="3" width="48.28515625" bestFit="1" customWidth="1"/>
    <col min="8" max="19" width="0" hidden="1" customWidth="1" outlineLevel="1"/>
    <col min="20" max="20" width="15.28515625" bestFit="1" customWidth="1" collapsed="1"/>
    <col min="21" max="21" width="16.85546875" bestFit="1" customWidth="1"/>
    <col min="22" max="22" width="13.85546875" bestFit="1" customWidth="1"/>
    <col min="23" max="23" width="16.85546875" bestFit="1" customWidth="1"/>
    <col min="24" max="24" width="16.42578125" bestFit="1" customWidth="1"/>
    <col min="25" max="25" width="16.85546875" bestFit="1" customWidth="1"/>
    <col min="26" max="26" width="15.28515625" bestFit="1" customWidth="1"/>
    <col min="27" max="27" width="16.85546875" bestFit="1" customWidth="1"/>
    <col min="28" max="28" width="13.85546875" bestFit="1" customWidth="1"/>
    <col min="29" max="29" width="16.85546875" bestFit="1" customWidth="1"/>
    <col min="30" max="30" width="16.42578125" bestFit="1" customWidth="1"/>
    <col min="31" max="31" width="16.85546875" bestFit="1" customWidth="1"/>
    <col min="32" max="32" width="5.7109375" bestFit="1" customWidth="1"/>
    <col min="33" max="33" width="8" bestFit="1" customWidth="1"/>
    <col min="34" max="34" width="8" customWidth="1"/>
    <col min="35" max="35" width="16.85546875" bestFit="1" customWidth="1"/>
    <col min="36" max="36" width="16.42578125" bestFit="1" customWidth="1"/>
    <col min="37" max="37" width="16.85546875" bestFit="1" customWidth="1"/>
    <col min="38" max="38" width="15.28515625" bestFit="1" customWidth="1"/>
    <col min="39" max="40" width="16.85546875" bestFit="1" customWidth="1"/>
    <col min="41" max="41" width="16.42578125" bestFit="1" customWidth="1"/>
    <col min="42" max="42" width="16.85546875" bestFit="1" customWidth="1"/>
    <col min="43" max="43" width="16.7109375" customWidth="1"/>
    <col min="44" max="44" width="16.85546875" bestFit="1" customWidth="1"/>
    <col min="45" max="45" width="22.85546875" bestFit="1" customWidth="1"/>
    <col min="46" max="46" width="30.28515625" bestFit="1" customWidth="1"/>
  </cols>
  <sheetData>
    <row r="1" spans="1:46" x14ac:dyDescent="0.25">
      <c r="A1" s="221"/>
      <c r="B1" s="17"/>
      <c r="C1" s="1"/>
      <c r="D1" s="10"/>
      <c r="E1" s="10"/>
      <c r="F1" s="10"/>
      <c r="G1" s="11"/>
      <c r="H1" s="1">
        <f>SUBTOTAL(9,H5:H31)</f>
        <v>0</v>
      </c>
      <c r="I1" s="220">
        <f>SUBTOTAL(9,I5:I31)</f>
        <v>0</v>
      </c>
      <c r="J1" s="220"/>
      <c r="K1" s="220">
        <f>SUBTOTAL(9,K5:K31)</f>
        <v>0</v>
      </c>
      <c r="L1" s="220">
        <f>SUBTOTAL(9,L5:L31)</f>
        <v>0</v>
      </c>
      <c r="M1" s="220">
        <f>SUBTOTAL(9,M5:M31)</f>
        <v>0</v>
      </c>
      <c r="N1" s="220">
        <f>SUBTOTAL(9,N5:N31)</f>
        <v>0</v>
      </c>
      <c r="O1" s="220">
        <f>SUBTOTAL(9,O5:O31)</f>
        <v>0</v>
      </c>
      <c r="P1" s="220"/>
      <c r="Q1" s="220">
        <f>SUBTOTAL(9,Q5:Q31)</f>
        <v>0</v>
      </c>
      <c r="R1" s="220">
        <f>SUBTOTAL(9,R5:R31)</f>
        <v>0</v>
      </c>
      <c r="S1" s="220">
        <f>SUBTOTAL(9,S5:S31)</f>
        <v>0</v>
      </c>
      <c r="T1" s="220">
        <f>SUBTOTAL(9,T5:T31)</f>
        <v>355404641.64360166</v>
      </c>
      <c r="U1" s="220">
        <f>SUBTOTAL(9,U5:U31)</f>
        <v>745727529.91351163</v>
      </c>
      <c r="V1" s="220"/>
      <c r="W1" s="220">
        <f>SUBTOTAL(9,W5:W31)</f>
        <v>1544680918.5104928</v>
      </c>
      <c r="X1" s="220">
        <f>SUBTOTAL(9,X5:X31)</f>
        <v>60430222.048023626</v>
      </c>
      <c r="Y1" s="220">
        <f>SUBTOTAL(9,Y5:Y31)</f>
        <v>1605111140.5585165</v>
      </c>
      <c r="Z1" s="220">
        <f>SUBTOTAL(9,Z5:Z31)</f>
        <v>462026034.13668215</v>
      </c>
      <c r="AA1" s="220">
        <f>SUBTOTAL(9,AA5:AA31)</f>
        <v>908910193.12019444</v>
      </c>
      <c r="AB1" s="220"/>
      <c r="AC1" s="220">
        <f>SUBTOTAL(9,AC5:AC31)</f>
        <v>1911379497.5636406</v>
      </c>
      <c r="AD1" s="220">
        <f>SUBTOTAL(9,AD5:AD31)</f>
        <v>78559288.662430719</v>
      </c>
      <c r="AE1" s="220">
        <f>SUBTOTAL(9,AE5:AE31)</f>
        <v>1989938786.2260711</v>
      </c>
      <c r="AF1" s="220">
        <f>SUBTOTAL(9,AF5:AF31)</f>
        <v>462026034.13668215</v>
      </c>
      <c r="AG1" s="220">
        <f>SUBTOTAL(9,AG5:AG31)</f>
        <v>908910193.12019444</v>
      </c>
      <c r="AH1" s="220"/>
      <c r="AI1" s="220">
        <f t="shared" ref="AI1:AS1" si="0">SUBTOTAL(9,AI5:AI31)</f>
        <v>1911379497.5636406</v>
      </c>
      <c r="AJ1" s="220">
        <f t="shared" si="0"/>
        <v>78559288.662430719</v>
      </c>
      <c r="AK1" s="220">
        <f t="shared" si="0"/>
        <v>1989938786.2260711</v>
      </c>
      <c r="AL1" s="220">
        <f t="shared" si="0"/>
        <v>462026034.13668215</v>
      </c>
      <c r="AM1" s="220">
        <f t="shared" si="0"/>
        <v>908910193.12019444</v>
      </c>
      <c r="AN1" s="220">
        <f t="shared" si="0"/>
        <v>1911379497.5636406</v>
      </c>
      <c r="AO1" s="220">
        <f t="shared" si="0"/>
        <v>78559288.662430719</v>
      </c>
      <c r="AP1" s="220">
        <f t="shared" si="0"/>
        <v>1989938786.2260711</v>
      </c>
      <c r="AQ1" s="220">
        <f t="shared" si="0"/>
        <v>0</v>
      </c>
      <c r="AR1" s="220">
        <f t="shared" si="0"/>
        <v>3210222281.117033</v>
      </c>
      <c r="AS1" s="220">
        <f t="shared" si="0"/>
        <v>3979877572.4521422</v>
      </c>
      <c r="AT1" s="1"/>
    </row>
    <row r="2" spans="1:46" x14ac:dyDescent="0.25">
      <c r="A2" s="221"/>
      <c r="B2" s="1021" t="s">
        <v>24</v>
      </c>
      <c r="C2" s="1022" t="s">
        <v>25</v>
      </c>
      <c r="D2" s="1023" t="s">
        <v>26</v>
      </c>
      <c r="E2" s="1023"/>
      <c r="F2" s="1023"/>
      <c r="G2" s="1022" t="s">
        <v>27</v>
      </c>
      <c r="H2" s="1022" t="s">
        <v>28</v>
      </c>
      <c r="I2" s="1022"/>
      <c r="J2" s="1022"/>
      <c r="K2" s="1022"/>
      <c r="L2" s="1022"/>
      <c r="M2" s="1022"/>
      <c r="N2" s="1022"/>
      <c r="O2" s="1022"/>
      <c r="P2" s="1022"/>
      <c r="Q2" s="1022"/>
      <c r="R2" s="1022"/>
      <c r="S2" s="1022"/>
      <c r="T2" s="1022" t="s">
        <v>28</v>
      </c>
      <c r="U2" s="1022"/>
      <c r="V2" s="1022"/>
      <c r="W2" s="1022"/>
      <c r="X2" s="1022"/>
      <c r="Y2" s="1022"/>
      <c r="Z2" s="1022"/>
      <c r="AA2" s="1022"/>
      <c r="AB2" s="1022"/>
      <c r="AC2" s="1022"/>
      <c r="AD2" s="1022"/>
      <c r="AE2" s="1022"/>
      <c r="AF2" s="28"/>
      <c r="AG2" s="28"/>
      <c r="AH2" s="28"/>
      <c r="AI2" s="28"/>
      <c r="AJ2" s="28"/>
      <c r="AK2" s="28"/>
      <c r="AL2" s="1022" t="s">
        <v>28</v>
      </c>
      <c r="AM2" s="1022"/>
      <c r="AN2" s="1022"/>
      <c r="AO2" s="1022"/>
      <c r="AP2" s="1022"/>
      <c r="AQ2" s="1024" t="s">
        <v>2</v>
      </c>
      <c r="AR2" s="1024"/>
      <c r="AS2" s="1024"/>
      <c r="AT2" s="1"/>
    </row>
    <row r="3" spans="1:46" x14ac:dyDescent="0.25">
      <c r="A3" s="221"/>
      <c r="B3" s="1021"/>
      <c r="C3" s="1022"/>
      <c r="D3" s="2" t="s">
        <v>29</v>
      </c>
      <c r="E3" s="2" t="s">
        <v>30</v>
      </c>
      <c r="F3" s="2" t="s">
        <v>13</v>
      </c>
      <c r="G3" s="1022"/>
      <c r="H3" s="1025">
        <v>2025</v>
      </c>
      <c r="I3" s="1025"/>
      <c r="J3" s="1025"/>
      <c r="K3" s="1025"/>
      <c r="L3" s="1025"/>
      <c r="M3" s="1025"/>
      <c r="N3" s="1025" t="s">
        <v>31</v>
      </c>
      <c r="O3" s="1025"/>
      <c r="P3" s="1025"/>
      <c r="Q3" s="1025"/>
      <c r="R3" s="1025"/>
      <c r="S3" s="1025"/>
      <c r="T3" s="1026">
        <v>2026</v>
      </c>
      <c r="U3" s="1026"/>
      <c r="V3" s="1026"/>
      <c r="W3" s="1026"/>
      <c r="X3" s="1026"/>
      <c r="Y3" s="1026"/>
      <c r="Z3" s="1026" t="s">
        <v>31</v>
      </c>
      <c r="AA3" s="1026"/>
      <c r="AB3" s="1026"/>
      <c r="AC3" s="1026"/>
      <c r="AD3" s="1026"/>
      <c r="AE3" s="1026"/>
      <c r="AF3" s="1027">
        <v>2027</v>
      </c>
      <c r="AG3" s="1028"/>
      <c r="AH3" s="1028"/>
      <c r="AI3" s="1028"/>
      <c r="AJ3" s="1028"/>
      <c r="AK3" s="1029"/>
      <c r="AL3" s="1022" t="s">
        <v>13</v>
      </c>
      <c r="AM3" s="1022"/>
      <c r="AN3" s="1022"/>
      <c r="AO3" s="1022"/>
      <c r="AP3" s="1022"/>
      <c r="AQ3" s="3"/>
      <c r="AR3" s="3"/>
      <c r="AS3" s="3"/>
      <c r="AT3" s="3"/>
    </row>
    <row r="4" spans="1:46" x14ac:dyDescent="0.25">
      <c r="A4" s="221"/>
      <c r="B4" s="1021"/>
      <c r="C4" s="1022"/>
      <c r="D4" s="2"/>
      <c r="E4" s="2"/>
      <c r="F4" s="2"/>
      <c r="G4" s="1022"/>
      <c r="H4" s="4" t="s">
        <v>32</v>
      </c>
      <c r="I4" s="4" t="s">
        <v>30</v>
      </c>
      <c r="J4" s="4" t="s">
        <v>33</v>
      </c>
      <c r="K4" s="4" t="s">
        <v>34</v>
      </c>
      <c r="L4" s="4" t="s">
        <v>35</v>
      </c>
      <c r="M4" s="4" t="s">
        <v>13</v>
      </c>
      <c r="N4" s="4" t="s">
        <v>32</v>
      </c>
      <c r="O4" s="4" t="s">
        <v>30</v>
      </c>
      <c r="P4" s="4" t="s">
        <v>33</v>
      </c>
      <c r="Q4" s="4" t="s">
        <v>34</v>
      </c>
      <c r="R4" s="4" t="s">
        <v>35</v>
      </c>
      <c r="S4" s="4" t="s">
        <v>13</v>
      </c>
      <c r="T4" s="5" t="s">
        <v>32</v>
      </c>
      <c r="U4" s="5" t="s">
        <v>30</v>
      </c>
      <c r="V4" s="5" t="s">
        <v>36</v>
      </c>
      <c r="W4" s="5" t="s">
        <v>34</v>
      </c>
      <c r="X4" s="5" t="s">
        <v>35</v>
      </c>
      <c r="Y4" s="5" t="s">
        <v>13</v>
      </c>
      <c r="Z4" s="5" t="s">
        <v>32</v>
      </c>
      <c r="AA4" s="5" t="s">
        <v>30</v>
      </c>
      <c r="AB4" s="5" t="s">
        <v>33</v>
      </c>
      <c r="AC4" s="5" t="s">
        <v>34</v>
      </c>
      <c r="AD4" s="5" t="s">
        <v>35</v>
      </c>
      <c r="AE4" s="5" t="s">
        <v>13</v>
      </c>
      <c r="AF4" s="29" t="s">
        <v>32</v>
      </c>
      <c r="AG4" s="29" t="s">
        <v>30</v>
      </c>
      <c r="AH4" s="29" t="s">
        <v>261</v>
      </c>
      <c r="AI4" s="29" t="s">
        <v>34</v>
      </c>
      <c r="AJ4" s="29" t="s">
        <v>35</v>
      </c>
      <c r="AK4" s="29" t="s">
        <v>13</v>
      </c>
      <c r="AL4" s="6" t="s">
        <v>32</v>
      </c>
      <c r="AM4" s="6" t="s">
        <v>30</v>
      </c>
      <c r="AN4" s="6" t="s">
        <v>34</v>
      </c>
      <c r="AO4" s="6" t="s">
        <v>35</v>
      </c>
      <c r="AP4" s="6" t="s">
        <v>13</v>
      </c>
      <c r="AQ4" s="7">
        <v>2025</v>
      </c>
      <c r="AR4" s="8">
        <v>2026</v>
      </c>
      <c r="AS4" s="8" t="s">
        <v>262</v>
      </c>
      <c r="AT4" s="8" t="s">
        <v>38</v>
      </c>
    </row>
    <row r="5" spans="1:46" s="218" customFormat="1" ht="30" x14ac:dyDescent="0.25">
      <c r="A5" s="1030" t="s">
        <v>1848</v>
      </c>
      <c r="B5" s="223" t="s">
        <v>263</v>
      </c>
      <c r="C5" s="22" t="s">
        <v>63</v>
      </c>
      <c r="D5" s="23"/>
      <c r="E5" s="23">
        <v>25245</v>
      </c>
      <c r="F5" s="23">
        <f>SUM(D5:E5)</f>
        <v>25245</v>
      </c>
      <c r="G5" s="24">
        <v>46113</v>
      </c>
      <c r="H5" s="73">
        <v>0</v>
      </c>
      <c r="I5" s="73">
        <v>0</v>
      </c>
      <c r="J5" s="73"/>
      <c r="K5" s="342">
        <f t="shared" ref="K5:K8" si="1">H5+I5+J5</f>
        <v>0</v>
      </c>
      <c r="L5" s="73">
        <v>0</v>
      </c>
      <c r="M5" s="342">
        <f t="shared" ref="M5:M8" si="2">K5+L5</f>
        <v>0</v>
      </c>
      <c r="N5" s="73">
        <v>0</v>
      </c>
      <c r="O5" s="73">
        <v>0</v>
      </c>
      <c r="P5" s="73"/>
      <c r="Q5" s="342">
        <f t="shared" ref="Q5:Q8" si="3">N5+O5+P5</f>
        <v>0</v>
      </c>
      <c r="R5" s="73">
        <v>0</v>
      </c>
      <c r="S5" s="342">
        <f t="shared" ref="S5:S8" si="4">Q5+R5</f>
        <v>0</v>
      </c>
      <c r="T5" s="73">
        <v>0</v>
      </c>
      <c r="U5" s="73">
        <f>'5.a-MEM.BÔNU_RFB-APOS.PENS'!M21+'5.a-MEM.BÔNU_RFB-APOS.PENS'!M43</f>
        <v>237307786.55393761</v>
      </c>
      <c r="V5" s="73">
        <f>'5.a-MEM.BÔNU_RFB-APOS.PENS'!M22+'5.a-MEM.BÔNU_RFB-APOS.PENS'!M44</f>
        <v>152685388.44606242</v>
      </c>
      <c r="W5" s="342">
        <f t="shared" ref="W5:W8" si="5">T5+U5+V5</f>
        <v>389993175</v>
      </c>
      <c r="X5" s="73">
        <v>0</v>
      </c>
      <c r="Y5" s="342">
        <f t="shared" ref="Y5:Y8" si="6">W5+X5</f>
        <v>389993175</v>
      </c>
      <c r="Z5" s="73">
        <v>0</v>
      </c>
      <c r="AA5" s="73">
        <f>'5.a-MEM.BÔNU_RFB-APOS.PENS'!O21+'5.a-MEM.BÔNU_RFB-APOS.PENS'!O43</f>
        <v>258881221.69520473</v>
      </c>
      <c r="AB5" s="73">
        <f>'5.a-MEM.BÔNU_RFB-APOS.PENS'!O22+'5.a-MEM.BÔNU_RFB-APOS.PENS'!O44</f>
        <v>166565878.30479538</v>
      </c>
      <c r="AC5" s="342">
        <f t="shared" ref="AC5:AC8" si="7">Z5+AA5+AB5</f>
        <v>425447100.00000012</v>
      </c>
      <c r="AD5" s="344">
        <v>0</v>
      </c>
      <c r="AE5" s="342">
        <f t="shared" ref="AE5:AE8" si="8">AC5+AD5</f>
        <v>425447100.00000012</v>
      </c>
      <c r="AF5" s="73">
        <f>Z5</f>
        <v>0</v>
      </c>
      <c r="AG5" s="73">
        <f t="shared" ref="AG5:AJ5" si="9">AA5</f>
        <v>258881221.69520473</v>
      </c>
      <c r="AH5" s="73">
        <f t="shared" si="9"/>
        <v>166565878.30479538</v>
      </c>
      <c r="AI5" s="342">
        <f t="shared" ref="AI5:AI8" si="10">AF5+AG5+AH5</f>
        <v>425447100.00000012</v>
      </c>
      <c r="AJ5" s="73">
        <f t="shared" si="9"/>
        <v>0</v>
      </c>
      <c r="AK5" s="73">
        <f>AI5+AJ5</f>
        <v>425447100.00000012</v>
      </c>
      <c r="AL5" s="71">
        <f t="shared" ref="AL5:AM8" si="11">N5+Z5</f>
        <v>0</v>
      </c>
      <c r="AM5" s="71">
        <f t="shared" si="11"/>
        <v>258881221.69520473</v>
      </c>
      <c r="AN5" s="71">
        <f t="shared" ref="AN5:AP8" si="12">Q5+AC5</f>
        <v>425447100.00000012</v>
      </c>
      <c r="AO5" s="71">
        <f t="shared" si="12"/>
        <v>0</v>
      </c>
      <c r="AP5" s="71">
        <f t="shared" si="12"/>
        <v>425447100.00000012</v>
      </c>
      <c r="AQ5" s="72">
        <f t="shared" ref="AQ5:AQ8" si="13">M5</f>
        <v>0</v>
      </c>
      <c r="AR5" s="72">
        <f t="shared" ref="AR5:AR8" si="14">S5+Y5</f>
        <v>389993175</v>
      </c>
      <c r="AS5" s="72">
        <f t="shared" ref="AS5:AS8" si="15">S5+AE5</f>
        <v>425447100.00000012</v>
      </c>
      <c r="AT5" s="369" t="s">
        <v>1844</v>
      </c>
    </row>
    <row r="6" spans="1:46" s="218" customFormat="1" x14ac:dyDescent="0.25">
      <c r="A6" s="1030"/>
      <c r="B6" s="223" t="s">
        <v>264</v>
      </c>
      <c r="C6" s="22" t="s">
        <v>65</v>
      </c>
      <c r="D6" s="23">
        <v>13135</v>
      </c>
      <c r="E6" s="23">
        <v>25245</v>
      </c>
      <c r="F6" s="23">
        <f>SUM(D6:E6)</f>
        <v>38380</v>
      </c>
      <c r="G6" s="24">
        <v>46113</v>
      </c>
      <c r="H6" s="73">
        <v>0</v>
      </c>
      <c r="I6" s="73">
        <v>0</v>
      </c>
      <c r="J6" s="73"/>
      <c r="K6" s="342">
        <f t="shared" si="1"/>
        <v>0</v>
      </c>
      <c r="L6" s="73">
        <v>0</v>
      </c>
      <c r="M6" s="342">
        <f t="shared" si="2"/>
        <v>0</v>
      </c>
      <c r="N6" s="73">
        <v>0</v>
      </c>
      <c r="O6" s="73">
        <v>0</v>
      </c>
      <c r="P6" s="73"/>
      <c r="Q6" s="342">
        <f t="shared" si="3"/>
        <v>0</v>
      </c>
      <c r="R6" s="73">
        <v>0</v>
      </c>
      <c r="S6" s="342">
        <f t="shared" si="4"/>
        <v>0</v>
      </c>
      <c r="T6" s="73">
        <f>'5.c-MEM.REAJ_VB_RFB'!U23+'5.c-MEM.REAJ_VB_RFB'!U24</f>
        <v>302444528.375413</v>
      </c>
      <c r="U6" s="73">
        <f>'5.c-MEM.REAJ_VB_RFB'!V23</f>
        <v>374996564.29999948</v>
      </c>
      <c r="V6" s="73">
        <f>'5.c-MEM.REAJ_VB_RFB'!W23</f>
        <v>239285757.86689162</v>
      </c>
      <c r="W6" s="342">
        <f t="shared" si="5"/>
        <v>916726850.54230404</v>
      </c>
      <c r="X6" s="73">
        <f>'5.c-MEM.REAJ_VB_RFB'!U25</f>
        <v>50960230.883151256</v>
      </c>
      <c r="Y6" s="342">
        <f t="shared" si="6"/>
        <v>967687081.42545533</v>
      </c>
      <c r="Z6" s="73">
        <f>'5.c-MEM.REAJ_VB_RFB'!U27+'5.c-MEM.REAJ_VB_RFB'!U28</f>
        <v>393177886.88803691</v>
      </c>
      <c r="AA6" s="73">
        <f>'5.c-MEM.REAJ_VB_RFB'!V27</f>
        <v>487495533.58999932</v>
      </c>
      <c r="AB6" s="73">
        <f>'5.c-MEM.REAJ_VB_RFB'!W27</f>
        <v>311071485.22695911</v>
      </c>
      <c r="AC6" s="342">
        <f t="shared" si="7"/>
        <v>1191744905.7049952</v>
      </c>
      <c r="AD6" s="344">
        <f>'5.c-MEM.REAJ_VB_RFB'!U29</f>
        <v>66248300.148096636</v>
      </c>
      <c r="AE6" s="342">
        <f t="shared" si="8"/>
        <v>1257993205.8530917</v>
      </c>
      <c r="AF6" s="73">
        <f t="shared" ref="AF6:AF8" si="16">Z6</f>
        <v>393177886.88803691</v>
      </c>
      <c r="AG6" s="73">
        <f t="shared" ref="AG6:AG8" si="17">AA6</f>
        <v>487495533.58999932</v>
      </c>
      <c r="AH6" s="73">
        <f t="shared" ref="AH6:AH8" si="18">AB6</f>
        <v>311071485.22695911</v>
      </c>
      <c r="AI6" s="342">
        <f t="shared" si="10"/>
        <v>1191744905.7049952</v>
      </c>
      <c r="AJ6" s="73">
        <f t="shared" ref="AJ6:AJ8" si="19">AD6</f>
        <v>66248300.148096636</v>
      </c>
      <c r="AK6" s="73">
        <f>AI6+AJ6</f>
        <v>1257993205.8530917</v>
      </c>
      <c r="AL6" s="71">
        <f t="shared" si="11"/>
        <v>393177886.88803691</v>
      </c>
      <c r="AM6" s="71">
        <f t="shared" si="11"/>
        <v>487495533.58999932</v>
      </c>
      <c r="AN6" s="71">
        <f t="shared" si="12"/>
        <v>1191744905.7049952</v>
      </c>
      <c r="AO6" s="71">
        <f t="shared" si="12"/>
        <v>66248300.148096636</v>
      </c>
      <c r="AP6" s="71">
        <f t="shared" si="12"/>
        <v>1257993205.8530917</v>
      </c>
      <c r="AQ6" s="72">
        <f t="shared" si="13"/>
        <v>0</v>
      </c>
      <c r="AR6" s="72">
        <f t="shared" si="14"/>
        <v>967687081.42545533</v>
      </c>
      <c r="AS6" s="72">
        <f t="shared" si="15"/>
        <v>1257993205.8530917</v>
      </c>
      <c r="AT6" s="369" t="s">
        <v>1845</v>
      </c>
    </row>
    <row r="7" spans="1:46" s="218" customFormat="1" ht="30" x14ac:dyDescent="0.25">
      <c r="A7" s="1030"/>
      <c r="B7" s="223" t="s">
        <v>66</v>
      </c>
      <c r="C7" s="22" t="s">
        <v>67</v>
      </c>
      <c r="D7" s="23">
        <v>0</v>
      </c>
      <c r="E7" s="23">
        <v>4136</v>
      </c>
      <c r="F7" s="23">
        <f>SUM(D7:E7)</f>
        <v>4136</v>
      </c>
      <c r="G7" s="24">
        <v>46113</v>
      </c>
      <c r="H7" s="73">
        <v>0</v>
      </c>
      <c r="I7" s="73">
        <v>0</v>
      </c>
      <c r="J7" s="73"/>
      <c r="K7" s="342">
        <f t="shared" si="1"/>
        <v>0</v>
      </c>
      <c r="L7" s="73">
        <v>0</v>
      </c>
      <c r="M7" s="342">
        <f t="shared" si="2"/>
        <v>0</v>
      </c>
      <c r="N7" s="73">
        <v>0</v>
      </c>
      <c r="O7" s="73">
        <v>0</v>
      </c>
      <c r="P7" s="73"/>
      <c r="Q7" s="342">
        <f t="shared" si="3"/>
        <v>0</v>
      </c>
      <c r="R7" s="73">
        <v>0</v>
      </c>
      <c r="S7" s="342">
        <f t="shared" si="4"/>
        <v>0</v>
      </c>
      <c r="T7" s="73">
        <v>0</v>
      </c>
      <c r="U7" s="73">
        <f>'5.d-MEM.BÔNU_MTE-APOS.PENS'!M45</f>
        <v>52210280.159574471</v>
      </c>
      <c r="V7" s="73">
        <f>'5.d-MEM.BÔNU_MTE-APOS.PENS'!M46</f>
        <v>20302049.840425532</v>
      </c>
      <c r="W7" s="342">
        <f t="shared" si="5"/>
        <v>72512330</v>
      </c>
      <c r="X7" s="73">
        <v>0</v>
      </c>
      <c r="Y7" s="342">
        <f t="shared" si="6"/>
        <v>72512330</v>
      </c>
      <c r="Z7" s="73">
        <v>0</v>
      </c>
      <c r="AA7" s="73">
        <f>'5.d-MEM.BÔNU_MTE-APOS.PENS'!O45</f>
        <v>56956669.26499033</v>
      </c>
      <c r="AB7" s="73">
        <f>'5.d-MEM.BÔNU_MTE-APOS.PENS'!O46</f>
        <v>22147690.73500967</v>
      </c>
      <c r="AC7" s="342">
        <f t="shared" si="7"/>
        <v>79104360</v>
      </c>
      <c r="AD7" s="344">
        <v>0</v>
      </c>
      <c r="AE7" s="342">
        <f t="shared" si="8"/>
        <v>79104360</v>
      </c>
      <c r="AF7" s="73">
        <f t="shared" si="16"/>
        <v>0</v>
      </c>
      <c r="AG7" s="73">
        <f t="shared" si="17"/>
        <v>56956669.26499033</v>
      </c>
      <c r="AH7" s="73">
        <f t="shared" si="18"/>
        <v>22147690.73500967</v>
      </c>
      <c r="AI7" s="342">
        <f t="shared" si="10"/>
        <v>79104360</v>
      </c>
      <c r="AJ7" s="73">
        <f t="shared" si="19"/>
        <v>0</v>
      </c>
      <c r="AK7" s="73">
        <f>AI7+AJ7</f>
        <v>79104360</v>
      </c>
      <c r="AL7" s="71">
        <f t="shared" si="11"/>
        <v>0</v>
      </c>
      <c r="AM7" s="71">
        <f t="shared" si="11"/>
        <v>56956669.26499033</v>
      </c>
      <c r="AN7" s="71">
        <f t="shared" si="12"/>
        <v>79104360</v>
      </c>
      <c r="AO7" s="71">
        <f t="shared" si="12"/>
        <v>0</v>
      </c>
      <c r="AP7" s="71">
        <f t="shared" si="12"/>
        <v>79104360</v>
      </c>
      <c r="AQ7" s="72">
        <f t="shared" si="13"/>
        <v>0</v>
      </c>
      <c r="AR7" s="72">
        <f t="shared" si="14"/>
        <v>72512330</v>
      </c>
      <c r="AS7" s="72">
        <f t="shared" si="15"/>
        <v>79104360</v>
      </c>
      <c r="AT7" s="369" t="s">
        <v>1846</v>
      </c>
    </row>
    <row r="8" spans="1:46" s="218" customFormat="1" x14ac:dyDescent="0.25">
      <c r="A8" s="1030"/>
      <c r="B8" s="223" t="s">
        <v>68</v>
      </c>
      <c r="C8" s="22" t="s">
        <v>69</v>
      </c>
      <c r="D8" s="23">
        <v>1866</v>
      </c>
      <c r="E8" s="23">
        <v>4136</v>
      </c>
      <c r="F8" s="23">
        <f>SUM(D8:E8)</f>
        <v>6002</v>
      </c>
      <c r="G8" s="24">
        <v>46113</v>
      </c>
      <c r="H8" s="73">
        <v>0</v>
      </c>
      <c r="I8" s="73">
        <v>0</v>
      </c>
      <c r="J8" s="73"/>
      <c r="K8" s="342">
        <f t="shared" si="1"/>
        <v>0</v>
      </c>
      <c r="L8" s="73">
        <v>0</v>
      </c>
      <c r="M8" s="342">
        <f t="shared" si="2"/>
        <v>0</v>
      </c>
      <c r="N8" s="73">
        <v>0</v>
      </c>
      <c r="O8" s="73">
        <v>0</v>
      </c>
      <c r="P8" s="73"/>
      <c r="Q8" s="342">
        <f t="shared" si="3"/>
        <v>0</v>
      </c>
      <c r="R8" s="73">
        <v>0</v>
      </c>
      <c r="S8" s="342">
        <f t="shared" si="4"/>
        <v>0</v>
      </c>
      <c r="T8" s="73">
        <f>'5.f-MEM.REAJ_VB_MTE'!U23+'5.f-MEM.REAJ_VB_MTE'!U24</f>
        <v>52960113.26818864</v>
      </c>
      <c r="U8" s="73">
        <f>'5.f-MEM.REAJ_VB_MTE'!V23</f>
        <v>81212898.900000006</v>
      </c>
      <c r="V8" s="73">
        <f>'5.f-MEM.REAJ_VB_MTE'!W23</f>
        <v>31275550.800000057</v>
      </c>
      <c r="W8" s="342">
        <f t="shared" si="5"/>
        <v>165448562.9681887</v>
      </c>
      <c r="X8" s="73">
        <f>'5.f-MEM.REAJ_VB_MTE'!U25</f>
        <v>9469991.1648723669</v>
      </c>
      <c r="Y8" s="342">
        <f t="shared" si="6"/>
        <v>174918554.13306108</v>
      </c>
      <c r="Z8" s="73">
        <f>'5.f-MEM.REAJ_VB_MTE'!U27+'5.f-MEM.REAJ_VB_MTE'!U28</f>
        <v>68848147.248645231</v>
      </c>
      <c r="AA8" s="73">
        <f>'5.f-MEM.REAJ_VB_MTE'!V27</f>
        <v>105576768.57000001</v>
      </c>
      <c r="AB8" s="73">
        <f>'5.f-MEM.REAJ_VB_MTE'!W27</f>
        <v>40658216.040000074</v>
      </c>
      <c r="AC8" s="342">
        <f t="shared" si="7"/>
        <v>215083131.85864532</v>
      </c>
      <c r="AD8" s="344">
        <f>'5.f-MEM.REAJ_VB_MTE'!U29</f>
        <v>12310988.514334077</v>
      </c>
      <c r="AE8" s="342">
        <f t="shared" si="8"/>
        <v>227394120.3729794</v>
      </c>
      <c r="AF8" s="73">
        <f t="shared" si="16"/>
        <v>68848147.248645231</v>
      </c>
      <c r="AG8" s="73">
        <f t="shared" si="17"/>
        <v>105576768.57000001</v>
      </c>
      <c r="AH8" s="73">
        <f t="shared" si="18"/>
        <v>40658216.040000074</v>
      </c>
      <c r="AI8" s="342">
        <f t="shared" si="10"/>
        <v>215083131.85864532</v>
      </c>
      <c r="AJ8" s="73">
        <f t="shared" si="19"/>
        <v>12310988.514334077</v>
      </c>
      <c r="AK8" s="73">
        <f>AI8+AJ8</f>
        <v>227394120.3729794</v>
      </c>
      <c r="AL8" s="71">
        <f t="shared" si="11"/>
        <v>68848147.248645231</v>
      </c>
      <c r="AM8" s="71">
        <f t="shared" si="11"/>
        <v>105576768.57000001</v>
      </c>
      <c r="AN8" s="71">
        <f t="shared" si="12"/>
        <v>215083131.85864532</v>
      </c>
      <c r="AO8" s="71">
        <f t="shared" si="12"/>
        <v>12310988.514334077</v>
      </c>
      <c r="AP8" s="71">
        <f t="shared" si="12"/>
        <v>227394120.3729794</v>
      </c>
      <c r="AQ8" s="72">
        <f t="shared" si="13"/>
        <v>0</v>
      </c>
      <c r="AR8" s="72">
        <f t="shared" si="14"/>
        <v>174918554.13306108</v>
      </c>
      <c r="AS8" s="72">
        <f t="shared" si="15"/>
        <v>227394120.3729794</v>
      </c>
      <c r="AT8" s="369" t="s">
        <v>1847</v>
      </c>
    </row>
    <row r="10" spans="1:46" x14ac:dyDescent="0.25">
      <c r="AQ10" s="1429">
        <f>SUM(AQ5:AQ8)</f>
        <v>0</v>
      </c>
      <c r="AR10" s="1429">
        <f>SUM(AR5:AR8)</f>
        <v>1605111140.5585165</v>
      </c>
      <c r="AS10" s="1429">
        <f>SUM(AS5:AS8)</f>
        <v>1989938786.2260711</v>
      </c>
    </row>
  </sheetData>
  <mergeCells count="15">
    <mergeCell ref="A5:A8"/>
    <mergeCell ref="AL2:AP2"/>
    <mergeCell ref="AQ2:AS2"/>
    <mergeCell ref="H3:M3"/>
    <mergeCell ref="N3:S3"/>
    <mergeCell ref="T3:Y3"/>
    <mergeCell ref="Z3:AE3"/>
    <mergeCell ref="AF3:AK3"/>
    <mergeCell ref="AL3:AP3"/>
    <mergeCell ref="B2:B4"/>
    <mergeCell ref="C2:C4"/>
    <mergeCell ref="D2:F2"/>
    <mergeCell ref="G2:G4"/>
    <mergeCell ref="H2:S2"/>
    <mergeCell ref="T2:AE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74127-62A2-4B11-BA7D-1684D98F85AF}">
  <dimension ref="A1:T44"/>
  <sheetViews>
    <sheetView showGridLines="0" topLeftCell="A23" workbookViewId="0">
      <selection activeCell="O50" sqref="O50"/>
    </sheetView>
  </sheetViews>
  <sheetFormatPr defaultColWidth="9.140625" defaultRowHeight="15" x14ac:dyDescent="0.25"/>
  <cols>
    <col min="1" max="1" width="22.28515625" style="376" customWidth="1"/>
    <col min="2" max="2" width="12.7109375" style="376" customWidth="1"/>
    <col min="3" max="3" width="13.42578125" style="376" customWidth="1"/>
    <col min="4" max="4" width="15" style="1" customWidth="1"/>
    <col min="5" max="5" width="0.42578125" style="1" customWidth="1"/>
    <col min="6" max="6" width="13.140625" style="1" customWidth="1"/>
    <col min="7" max="7" width="21.42578125" style="1" customWidth="1"/>
    <col min="8" max="8" width="0.42578125" style="1" customWidth="1"/>
    <col min="9" max="9" width="17.7109375" style="1" customWidth="1"/>
    <col min="10" max="10" width="17" style="1" customWidth="1"/>
    <col min="11" max="11" width="0.42578125" style="1" customWidth="1"/>
    <col min="12" max="12" width="17.140625" style="1" customWidth="1"/>
    <col min="13" max="13" width="16.28515625" style="1" customWidth="1"/>
    <col min="14" max="14" width="0.7109375" style="1" customWidth="1"/>
    <col min="15" max="15" width="16.140625" style="1" customWidth="1"/>
    <col min="16" max="17" width="9.140625" style="1"/>
    <col min="18" max="18" width="15.28515625" style="1" bestFit="1" customWidth="1"/>
    <col min="19" max="16384" width="9.140625" style="1"/>
  </cols>
  <sheetData>
    <row r="1" spans="1:20" ht="15.75" x14ac:dyDescent="0.25">
      <c r="A1" s="374" t="s">
        <v>265</v>
      </c>
      <c r="B1" s="374">
        <v>0</v>
      </c>
      <c r="C1" s="374">
        <v>0</v>
      </c>
      <c r="D1" s="374">
        <v>0</v>
      </c>
      <c r="E1" s="374">
        <v>0</v>
      </c>
      <c r="F1" s="374">
        <v>0</v>
      </c>
      <c r="G1" s="374">
        <v>0</v>
      </c>
      <c r="H1" s="374">
        <v>0</v>
      </c>
      <c r="I1" s="374">
        <v>0</v>
      </c>
      <c r="J1" s="374">
        <v>0</v>
      </c>
      <c r="K1" s="374">
        <v>0</v>
      </c>
      <c r="L1" s="374">
        <v>0</v>
      </c>
      <c r="M1" s="374">
        <v>0</v>
      </c>
      <c r="N1" s="374">
        <v>0</v>
      </c>
      <c r="O1" s="374">
        <v>0</v>
      </c>
      <c r="P1" s="374">
        <v>0</v>
      </c>
      <c r="Q1" s="374">
        <v>0</v>
      </c>
      <c r="R1" s="374">
        <v>0</v>
      </c>
      <c r="S1" s="374">
        <v>0</v>
      </c>
      <c r="T1" s="374">
        <v>0</v>
      </c>
    </row>
    <row r="2" spans="1:20" ht="15.75" x14ac:dyDescent="0.25">
      <c r="A2" s="374" t="s">
        <v>266</v>
      </c>
      <c r="B2" s="374"/>
      <c r="C2" s="374"/>
    </row>
    <row r="3" spans="1:20" ht="15.75" x14ac:dyDescent="0.25">
      <c r="A3" s="375" t="s">
        <v>267</v>
      </c>
      <c r="B3" s="375"/>
      <c r="C3" s="375"/>
    </row>
    <row r="4" spans="1:20" x14ac:dyDescent="0.25">
      <c r="A4" s="376">
        <v>0</v>
      </c>
    </row>
    <row r="5" spans="1:20" x14ac:dyDescent="0.25">
      <c r="A5" s="376" t="s">
        <v>268</v>
      </c>
    </row>
    <row r="6" spans="1:20" s="11" customFormat="1" x14ac:dyDescent="0.25">
      <c r="A6" s="1257" t="s">
        <v>269</v>
      </c>
      <c r="B6" s="1260" t="s">
        <v>270</v>
      </c>
      <c r="C6" s="1261">
        <v>0</v>
      </c>
      <c r="D6" s="1262" t="s">
        <v>271</v>
      </c>
      <c r="E6" s="11">
        <v>0</v>
      </c>
      <c r="F6" s="1264" t="s">
        <v>272</v>
      </c>
      <c r="G6" s="1265">
        <v>0</v>
      </c>
      <c r="H6" s="11">
        <v>0</v>
      </c>
      <c r="I6" s="1268" t="s">
        <v>273</v>
      </c>
      <c r="J6" s="1268">
        <v>0</v>
      </c>
      <c r="K6" s="1274">
        <v>0</v>
      </c>
      <c r="L6" s="1268" t="s">
        <v>274</v>
      </c>
      <c r="M6" s="1268">
        <v>0</v>
      </c>
      <c r="N6" s="11">
        <v>0</v>
      </c>
      <c r="O6" s="1269" t="s">
        <v>275</v>
      </c>
    </row>
    <row r="7" spans="1:20" s="11" customFormat="1" x14ac:dyDescent="0.25">
      <c r="A7" s="1258">
        <v>0</v>
      </c>
      <c r="B7" s="1257" t="s">
        <v>276</v>
      </c>
      <c r="C7" s="1257" t="s">
        <v>277</v>
      </c>
      <c r="D7" s="1263">
        <v>0</v>
      </c>
      <c r="E7" s="11">
        <v>0</v>
      </c>
      <c r="F7" s="1266">
        <v>0</v>
      </c>
      <c r="G7" s="1267">
        <v>0</v>
      </c>
      <c r="H7" s="11">
        <v>0</v>
      </c>
      <c r="I7" s="1272" t="s">
        <v>278</v>
      </c>
      <c r="J7" s="1272" t="s">
        <v>279</v>
      </c>
      <c r="K7" s="1274">
        <v>0</v>
      </c>
      <c r="L7" s="1272" t="s">
        <v>280</v>
      </c>
      <c r="M7" s="1272" t="s">
        <v>281</v>
      </c>
      <c r="N7" s="11">
        <v>0</v>
      </c>
      <c r="O7" s="1270">
        <v>0</v>
      </c>
    </row>
    <row r="8" spans="1:20" s="11" customFormat="1" x14ac:dyDescent="0.25">
      <c r="A8" s="1259">
        <v>0</v>
      </c>
      <c r="B8" s="1259">
        <v>0</v>
      </c>
      <c r="C8" s="1259">
        <v>0</v>
      </c>
      <c r="D8" s="377" t="s">
        <v>282</v>
      </c>
      <c r="E8" s="11">
        <v>0</v>
      </c>
      <c r="F8" s="874" t="s">
        <v>283</v>
      </c>
      <c r="G8" s="873" t="s">
        <v>284</v>
      </c>
      <c r="H8" s="11">
        <v>0</v>
      </c>
      <c r="I8" s="1273">
        <v>0</v>
      </c>
      <c r="J8" s="1273">
        <v>0</v>
      </c>
      <c r="K8" s="1275">
        <v>0</v>
      </c>
      <c r="L8" s="1273">
        <v>0</v>
      </c>
      <c r="M8" s="1273">
        <v>0</v>
      </c>
      <c r="N8" s="11">
        <v>0</v>
      </c>
      <c r="O8" s="1271">
        <v>0</v>
      </c>
    </row>
    <row r="9" spans="1:20" x14ac:dyDescent="0.25">
      <c r="A9" s="875" t="s">
        <v>285</v>
      </c>
      <c r="B9" s="876">
        <v>1</v>
      </c>
      <c r="C9" s="876">
        <v>1</v>
      </c>
      <c r="D9" s="877">
        <v>11500</v>
      </c>
      <c r="E9" s="1">
        <v>0</v>
      </c>
      <c r="F9" s="378">
        <v>350</v>
      </c>
      <c r="G9" s="878">
        <v>167</v>
      </c>
      <c r="H9" s="1">
        <v>0</v>
      </c>
      <c r="I9" s="877">
        <v>5945500</v>
      </c>
      <c r="J9" s="877">
        <v>5945500</v>
      </c>
      <c r="K9" s="877">
        <v>0</v>
      </c>
      <c r="L9" s="877">
        <v>0</v>
      </c>
      <c r="M9" s="877">
        <v>0</v>
      </c>
      <c r="N9" s="877">
        <v>0</v>
      </c>
      <c r="O9" s="877">
        <v>0</v>
      </c>
    </row>
    <row r="10" spans="1:20" x14ac:dyDescent="0.25">
      <c r="A10" s="379" t="s">
        <v>286</v>
      </c>
      <c r="B10" s="380">
        <v>0.93</v>
      </c>
      <c r="C10" s="380">
        <v>0.93</v>
      </c>
      <c r="D10" s="381">
        <v>11500</v>
      </c>
      <c r="E10" s="1">
        <v>0</v>
      </c>
      <c r="F10" s="378">
        <v>330</v>
      </c>
      <c r="G10" s="378">
        <v>169</v>
      </c>
      <c r="H10" s="1">
        <v>0</v>
      </c>
      <c r="I10" s="381">
        <v>5336805</v>
      </c>
      <c r="J10" s="381">
        <v>5336805</v>
      </c>
      <c r="K10" s="381">
        <v>0</v>
      </c>
      <c r="L10" s="381">
        <v>0</v>
      </c>
      <c r="M10" s="381">
        <v>0</v>
      </c>
      <c r="N10" s="381">
        <v>0</v>
      </c>
      <c r="O10" s="381">
        <v>0</v>
      </c>
      <c r="R10" s="382"/>
    </row>
    <row r="11" spans="1:20" x14ac:dyDescent="0.25">
      <c r="A11" s="379" t="s">
        <v>287</v>
      </c>
      <c r="B11" s="380">
        <v>0.86</v>
      </c>
      <c r="C11" s="380">
        <v>0.86</v>
      </c>
      <c r="D11" s="381">
        <v>11500</v>
      </c>
      <c r="E11" s="1">
        <v>0</v>
      </c>
      <c r="F11" s="378">
        <v>235</v>
      </c>
      <c r="G11" s="378">
        <v>216</v>
      </c>
      <c r="H11" s="1">
        <v>0</v>
      </c>
      <c r="I11" s="381">
        <v>4460390</v>
      </c>
      <c r="J11" s="381">
        <v>4460390</v>
      </c>
      <c r="K11" s="381">
        <v>0</v>
      </c>
      <c r="L11" s="381">
        <v>0</v>
      </c>
      <c r="M11" s="381">
        <v>0</v>
      </c>
      <c r="N11" s="381">
        <v>0</v>
      </c>
      <c r="O11" s="381">
        <v>0</v>
      </c>
    </row>
    <row r="12" spans="1:20" x14ac:dyDescent="0.25">
      <c r="A12" s="379" t="s">
        <v>288</v>
      </c>
      <c r="B12" s="380">
        <v>0.79</v>
      </c>
      <c r="C12" s="380">
        <v>0.8</v>
      </c>
      <c r="D12" s="381">
        <v>11500</v>
      </c>
      <c r="E12" s="1">
        <v>0</v>
      </c>
      <c r="F12" s="378">
        <v>257</v>
      </c>
      <c r="G12" s="378">
        <v>259</v>
      </c>
      <c r="H12" s="1">
        <v>0</v>
      </c>
      <c r="I12" s="381">
        <v>4687860</v>
      </c>
      <c r="J12" s="381">
        <v>4747200</v>
      </c>
      <c r="K12" s="381">
        <v>0</v>
      </c>
      <c r="L12" s="381">
        <v>59340</v>
      </c>
      <c r="M12" s="381">
        <v>652740</v>
      </c>
      <c r="N12" s="381">
        <v>0</v>
      </c>
      <c r="O12" s="381">
        <v>712080</v>
      </c>
    </row>
    <row r="13" spans="1:20" x14ac:dyDescent="0.25">
      <c r="A13" s="379" t="s">
        <v>289</v>
      </c>
      <c r="B13" s="380">
        <v>0.72</v>
      </c>
      <c r="C13" s="380">
        <v>0.75</v>
      </c>
      <c r="D13" s="381">
        <v>11500</v>
      </c>
      <c r="E13" s="1">
        <v>0</v>
      </c>
      <c r="F13" s="378">
        <v>243</v>
      </c>
      <c r="G13" s="378">
        <v>212</v>
      </c>
      <c r="H13" s="1">
        <v>0</v>
      </c>
      <c r="I13" s="381">
        <v>3767400</v>
      </c>
      <c r="J13" s="381">
        <v>3924375</v>
      </c>
      <c r="K13" s="381">
        <v>0</v>
      </c>
      <c r="L13" s="381">
        <v>156975</v>
      </c>
      <c r="M13" s="381">
        <v>1726725</v>
      </c>
      <c r="N13" s="381">
        <v>0</v>
      </c>
      <c r="O13" s="381">
        <v>1883700</v>
      </c>
    </row>
    <row r="14" spans="1:20" x14ac:dyDescent="0.25">
      <c r="A14" s="379" t="s">
        <v>290</v>
      </c>
      <c r="B14" s="380">
        <v>0.65</v>
      </c>
      <c r="C14" s="380">
        <v>0.7</v>
      </c>
      <c r="D14" s="381">
        <v>11500</v>
      </c>
      <c r="E14" s="1">
        <v>0</v>
      </c>
      <c r="F14" s="378">
        <v>637</v>
      </c>
      <c r="G14" s="378">
        <v>178</v>
      </c>
      <c r="H14" s="1">
        <v>0</v>
      </c>
      <c r="I14" s="381">
        <v>6092125</v>
      </c>
      <c r="J14" s="381">
        <v>6560749.9999999991</v>
      </c>
      <c r="K14" s="381">
        <v>0</v>
      </c>
      <c r="L14" s="381">
        <v>468624.99999999907</v>
      </c>
      <c r="M14" s="381">
        <v>5154874.9999999898</v>
      </c>
      <c r="N14" s="381">
        <v>0</v>
      </c>
      <c r="O14" s="381">
        <v>5623499.9999999888</v>
      </c>
    </row>
    <row r="15" spans="1:20" x14ac:dyDescent="0.25">
      <c r="A15" s="379" t="s">
        <v>291</v>
      </c>
      <c r="B15" s="380">
        <v>0.57999999999999996</v>
      </c>
      <c r="C15" s="380">
        <v>0.65</v>
      </c>
      <c r="D15" s="381">
        <v>11500</v>
      </c>
      <c r="E15" s="1">
        <v>0</v>
      </c>
      <c r="F15" s="378">
        <v>380</v>
      </c>
      <c r="G15" s="378">
        <v>207</v>
      </c>
      <c r="H15" s="1">
        <v>0</v>
      </c>
      <c r="I15" s="381">
        <v>3915289.9999999991</v>
      </c>
      <c r="J15" s="381">
        <v>4387825</v>
      </c>
      <c r="K15" s="381">
        <v>0</v>
      </c>
      <c r="L15" s="381">
        <v>472535.00000000093</v>
      </c>
      <c r="M15" s="381">
        <v>5197885.0000000102</v>
      </c>
      <c r="N15" s="381">
        <v>0</v>
      </c>
      <c r="O15" s="381">
        <v>5670420.0000000112</v>
      </c>
      <c r="R15" s="382"/>
    </row>
    <row r="16" spans="1:20" x14ac:dyDescent="0.25">
      <c r="A16" s="379" t="s">
        <v>292</v>
      </c>
      <c r="B16" s="380">
        <v>0.51</v>
      </c>
      <c r="C16" s="380">
        <v>0.6</v>
      </c>
      <c r="D16" s="381">
        <v>11500</v>
      </c>
      <c r="E16" s="1">
        <v>0</v>
      </c>
      <c r="F16" s="378">
        <v>470</v>
      </c>
      <c r="G16" s="378">
        <v>184</v>
      </c>
      <c r="H16" s="1">
        <v>0</v>
      </c>
      <c r="I16" s="381">
        <v>3835710</v>
      </c>
      <c r="J16" s="381">
        <v>4512600</v>
      </c>
      <c r="K16" s="381">
        <v>0</v>
      </c>
      <c r="L16" s="381">
        <v>676890</v>
      </c>
      <c r="M16" s="381">
        <v>7445790</v>
      </c>
      <c r="N16" s="381">
        <v>0</v>
      </c>
      <c r="O16" s="381">
        <v>8122680</v>
      </c>
    </row>
    <row r="17" spans="1:16" x14ac:dyDescent="0.25">
      <c r="A17" s="379" t="s">
        <v>293</v>
      </c>
      <c r="B17" s="380">
        <v>0.44</v>
      </c>
      <c r="C17" s="380">
        <v>0.56000000000000005</v>
      </c>
      <c r="D17" s="381">
        <v>11500</v>
      </c>
      <c r="E17" s="1">
        <v>0</v>
      </c>
      <c r="F17" s="378">
        <v>294</v>
      </c>
      <c r="G17" s="378">
        <v>196</v>
      </c>
      <c r="H17" s="1">
        <v>0</v>
      </c>
      <c r="I17" s="381">
        <v>2479400</v>
      </c>
      <c r="J17" s="381">
        <v>3155600.0000000005</v>
      </c>
      <c r="K17" s="381">
        <v>0</v>
      </c>
      <c r="L17" s="381">
        <v>676200.00000000047</v>
      </c>
      <c r="M17" s="381">
        <v>7438200.0000000056</v>
      </c>
      <c r="N17" s="381">
        <v>0</v>
      </c>
      <c r="O17" s="381">
        <v>8114400.0000000056</v>
      </c>
    </row>
    <row r="18" spans="1:16" x14ac:dyDescent="0.25">
      <c r="A18" s="383" t="s">
        <v>294</v>
      </c>
      <c r="B18" s="384">
        <v>0.35</v>
      </c>
      <c r="C18" s="384">
        <v>0.52</v>
      </c>
      <c r="D18" s="385">
        <v>11500</v>
      </c>
      <c r="E18" s="1">
        <v>0</v>
      </c>
      <c r="F18" s="386">
        <v>7990</v>
      </c>
      <c r="G18" s="386">
        <v>5939</v>
      </c>
      <c r="H18" s="1">
        <v>0</v>
      </c>
      <c r="I18" s="385">
        <v>56064224.999999993</v>
      </c>
      <c r="J18" s="385">
        <v>83295420</v>
      </c>
      <c r="K18" s="385">
        <v>0</v>
      </c>
      <c r="L18" s="385">
        <v>27231195.000000007</v>
      </c>
      <c r="M18" s="385">
        <v>299543145.00000006</v>
      </c>
      <c r="N18" s="385">
        <v>0</v>
      </c>
      <c r="O18" s="385">
        <v>326774340.00000012</v>
      </c>
    </row>
    <row r="19" spans="1:16" x14ac:dyDescent="0.25">
      <c r="A19" s="379"/>
      <c r="B19" s="379"/>
      <c r="C19" s="379"/>
      <c r="E19" s="1">
        <v>0</v>
      </c>
      <c r="F19" s="387">
        <v>0</v>
      </c>
      <c r="G19" s="387">
        <v>0</v>
      </c>
      <c r="H19" s="1">
        <v>0</v>
      </c>
      <c r="I19" s="388">
        <v>0</v>
      </c>
      <c r="J19" s="388">
        <v>0</v>
      </c>
      <c r="K19" s="388">
        <v>0</v>
      </c>
      <c r="L19" s="388">
        <v>0</v>
      </c>
      <c r="M19" s="388">
        <v>0</v>
      </c>
      <c r="N19" s="388">
        <v>0</v>
      </c>
      <c r="O19" s="388">
        <v>0</v>
      </c>
    </row>
    <row r="20" spans="1:16" x14ac:dyDescent="0.25">
      <c r="A20" s="379"/>
      <c r="B20" s="379"/>
      <c r="C20" s="379"/>
      <c r="E20" s="1">
        <v>0</v>
      </c>
      <c r="F20" s="879">
        <v>11186</v>
      </c>
      <c r="G20" s="879">
        <v>7727</v>
      </c>
      <c r="H20" s="1">
        <v>0</v>
      </c>
      <c r="I20" s="880">
        <v>96584705</v>
      </c>
      <c r="J20" s="880">
        <v>126326465</v>
      </c>
      <c r="K20" s="388">
        <v>0</v>
      </c>
      <c r="L20" s="880">
        <v>29741760.000000007</v>
      </c>
      <c r="M20" s="880">
        <v>327159360.00000006</v>
      </c>
      <c r="N20" s="388">
        <v>0</v>
      </c>
      <c r="O20" s="880">
        <v>356901120.00000012</v>
      </c>
    </row>
    <row r="21" spans="1:16" x14ac:dyDescent="0.25">
      <c r="A21" s="379"/>
      <c r="B21" s="379"/>
      <c r="C21" s="379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4">
        <v>193496780.04335645</v>
      </c>
      <c r="N21" s="14">
        <v>0</v>
      </c>
      <c r="O21" s="14">
        <v>211087396.41093436</v>
      </c>
      <c r="P21" s="1" t="s">
        <v>295</v>
      </c>
    </row>
    <row r="22" spans="1:16" ht="15.75" x14ac:dyDescent="0.25">
      <c r="A22" s="374" t="s">
        <v>266</v>
      </c>
      <c r="B22" s="374"/>
      <c r="C22" s="374"/>
      <c r="M22" s="14">
        <v>133662579.9566436</v>
      </c>
      <c r="N22" s="14">
        <v>0</v>
      </c>
      <c r="O22" s="14">
        <v>145813723.58906576</v>
      </c>
      <c r="P22" s="1" t="s">
        <v>33</v>
      </c>
    </row>
    <row r="23" spans="1:16" ht="15.75" x14ac:dyDescent="0.25">
      <c r="A23" s="375" t="s">
        <v>296</v>
      </c>
      <c r="B23" s="375"/>
      <c r="C23" s="375"/>
    </row>
    <row r="24" spans="1:16" x14ac:dyDescent="0.25">
      <c r="A24" s="379">
        <v>0</v>
      </c>
      <c r="B24" s="379"/>
      <c r="C24" s="379"/>
    </row>
    <row r="25" spans="1:16" x14ac:dyDescent="0.25">
      <c r="A25" s="376" t="s">
        <v>268</v>
      </c>
    </row>
    <row r="26" spans="1:16" s="11" customFormat="1" x14ac:dyDescent="0.25">
      <c r="A26" s="1257" t="s">
        <v>269</v>
      </c>
      <c r="B26" s="1260" t="s">
        <v>270</v>
      </c>
      <c r="C26" s="1261">
        <v>0</v>
      </c>
      <c r="D26" s="1262" t="s">
        <v>271</v>
      </c>
      <c r="E26" s="11">
        <v>0</v>
      </c>
      <c r="F26" s="1264" t="s">
        <v>272</v>
      </c>
      <c r="G26" s="1265">
        <v>0</v>
      </c>
      <c r="H26" s="11">
        <v>0</v>
      </c>
      <c r="I26" s="1268" t="s">
        <v>273</v>
      </c>
      <c r="J26" s="1268">
        <v>0</v>
      </c>
      <c r="K26" s="1274">
        <v>0</v>
      </c>
      <c r="L26" s="1268" t="s">
        <v>274</v>
      </c>
      <c r="M26" s="1268">
        <v>0</v>
      </c>
      <c r="N26" s="11">
        <v>0</v>
      </c>
      <c r="O26" s="1269" t="s">
        <v>275</v>
      </c>
    </row>
    <row r="27" spans="1:16" s="11" customFormat="1" x14ac:dyDescent="0.25">
      <c r="A27" s="1258">
        <v>0</v>
      </c>
      <c r="B27" s="1257" t="s">
        <v>276</v>
      </c>
      <c r="C27" s="1257" t="s">
        <v>277</v>
      </c>
      <c r="D27" s="1263">
        <v>0</v>
      </c>
      <c r="E27" s="11">
        <v>0</v>
      </c>
      <c r="F27" s="1266">
        <v>0</v>
      </c>
      <c r="G27" s="1267">
        <v>0</v>
      </c>
      <c r="H27" s="11">
        <v>0</v>
      </c>
      <c r="I27" s="1272" t="s">
        <v>278</v>
      </c>
      <c r="J27" s="1272" t="s">
        <v>279</v>
      </c>
      <c r="K27" s="1274">
        <v>0</v>
      </c>
      <c r="L27" s="1272" t="s">
        <v>280</v>
      </c>
      <c r="M27" s="1272" t="s">
        <v>281</v>
      </c>
      <c r="N27" s="11">
        <v>0</v>
      </c>
      <c r="O27" s="1270">
        <v>0</v>
      </c>
    </row>
    <row r="28" spans="1:16" s="11" customFormat="1" x14ac:dyDescent="0.25">
      <c r="A28" s="1259">
        <v>0</v>
      </c>
      <c r="B28" s="1259">
        <v>0</v>
      </c>
      <c r="C28" s="1259">
        <v>0</v>
      </c>
      <c r="D28" s="377" t="s">
        <v>282</v>
      </c>
      <c r="E28" s="11">
        <v>0</v>
      </c>
      <c r="F28" s="874" t="s">
        <v>283</v>
      </c>
      <c r="G28" s="873" t="s">
        <v>284</v>
      </c>
      <c r="H28" s="11">
        <v>0</v>
      </c>
      <c r="I28" s="1273">
        <v>0</v>
      </c>
      <c r="J28" s="1273">
        <v>0</v>
      </c>
      <c r="K28" s="1275">
        <v>0</v>
      </c>
      <c r="L28" s="1273">
        <v>0</v>
      </c>
      <c r="M28" s="1273">
        <v>0</v>
      </c>
      <c r="N28" s="11">
        <v>0</v>
      </c>
      <c r="O28" s="1271">
        <v>0</v>
      </c>
    </row>
    <row r="29" spans="1:16" x14ac:dyDescent="0.25">
      <c r="A29" s="875" t="s">
        <v>285</v>
      </c>
      <c r="B29" s="876">
        <v>1</v>
      </c>
      <c r="C29" s="876">
        <v>1</v>
      </c>
      <c r="D29" s="881">
        <v>6900</v>
      </c>
      <c r="E29" s="1">
        <v>0</v>
      </c>
      <c r="F29" s="378">
        <v>177</v>
      </c>
      <c r="G29" s="878">
        <v>46</v>
      </c>
      <c r="H29" s="1">
        <v>0</v>
      </c>
      <c r="I29" s="877">
        <v>1538700</v>
      </c>
      <c r="J29" s="877">
        <v>1538700</v>
      </c>
      <c r="K29" s="877">
        <v>0</v>
      </c>
      <c r="L29" s="877">
        <v>0</v>
      </c>
      <c r="M29" s="877">
        <v>0</v>
      </c>
      <c r="N29" s="877">
        <v>0</v>
      </c>
      <c r="O29" s="877">
        <v>0</v>
      </c>
    </row>
    <row r="30" spans="1:16" x14ac:dyDescent="0.25">
      <c r="A30" s="379" t="s">
        <v>286</v>
      </c>
      <c r="B30" s="380">
        <v>0.93</v>
      </c>
      <c r="C30" s="380">
        <v>0.93</v>
      </c>
      <c r="D30" s="389">
        <v>6900</v>
      </c>
      <c r="E30" s="1">
        <v>0</v>
      </c>
      <c r="F30" s="378">
        <v>124</v>
      </c>
      <c r="G30" s="378">
        <v>67</v>
      </c>
      <c r="H30" s="1">
        <v>0</v>
      </c>
      <c r="I30" s="381">
        <v>1225647</v>
      </c>
      <c r="J30" s="381">
        <v>1225647</v>
      </c>
      <c r="K30" s="381">
        <v>0</v>
      </c>
      <c r="L30" s="381">
        <v>0</v>
      </c>
      <c r="M30" s="381">
        <v>0</v>
      </c>
      <c r="N30" s="381">
        <v>0</v>
      </c>
      <c r="O30" s="381">
        <v>0</v>
      </c>
    </row>
    <row r="31" spans="1:16" x14ac:dyDescent="0.25">
      <c r="A31" s="379" t="s">
        <v>287</v>
      </c>
      <c r="B31" s="380">
        <v>0.86</v>
      </c>
      <c r="C31" s="380">
        <v>0.86</v>
      </c>
      <c r="D31" s="389">
        <v>6900</v>
      </c>
      <c r="E31" s="1">
        <v>0</v>
      </c>
      <c r="F31" s="378">
        <v>115</v>
      </c>
      <c r="G31" s="378">
        <v>74</v>
      </c>
      <c r="H31" s="1">
        <v>0</v>
      </c>
      <c r="I31" s="381">
        <v>1121526</v>
      </c>
      <c r="J31" s="381">
        <v>1121526</v>
      </c>
      <c r="K31" s="381">
        <v>0</v>
      </c>
      <c r="L31" s="381">
        <v>0</v>
      </c>
      <c r="M31" s="381">
        <v>0</v>
      </c>
      <c r="N31" s="381">
        <v>0</v>
      </c>
      <c r="O31" s="381">
        <v>0</v>
      </c>
    </row>
    <row r="32" spans="1:16" x14ac:dyDescent="0.25">
      <c r="A32" s="379" t="s">
        <v>288</v>
      </c>
      <c r="B32" s="380">
        <v>0.79</v>
      </c>
      <c r="C32" s="380">
        <v>0.8</v>
      </c>
      <c r="D32" s="389">
        <v>6900</v>
      </c>
      <c r="E32" s="1">
        <v>0</v>
      </c>
      <c r="F32" s="378">
        <v>95</v>
      </c>
      <c r="G32" s="378">
        <v>70</v>
      </c>
      <c r="H32" s="1">
        <v>0</v>
      </c>
      <c r="I32" s="381">
        <v>899415</v>
      </c>
      <c r="J32" s="381">
        <v>910800</v>
      </c>
      <c r="K32" s="381">
        <v>0</v>
      </c>
      <c r="L32" s="381">
        <v>11385</v>
      </c>
      <c r="M32" s="381">
        <v>125235</v>
      </c>
      <c r="N32" s="381">
        <v>0</v>
      </c>
      <c r="O32" s="381">
        <v>136620</v>
      </c>
    </row>
    <row r="33" spans="1:16" x14ac:dyDescent="0.25">
      <c r="A33" s="379" t="s">
        <v>289</v>
      </c>
      <c r="B33" s="380">
        <v>0.72</v>
      </c>
      <c r="C33" s="380">
        <v>0.75</v>
      </c>
      <c r="D33" s="389">
        <v>6900</v>
      </c>
      <c r="E33" s="1">
        <v>0</v>
      </c>
      <c r="F33" s="378">
        <v>115</v>
      </c>
      <c r="G33" s="378">
        <v>66</v>
      </c>
      <c r="H33" s="1">
        <v>0</v>
      </c>
      <c r="I33" s="381">
        <v>899208</v>
      </c>
      <c r="J33" s="381">
        <v>936675</v>
      </c>
      <c r="K33" s="381">
        <v>0</v>
      </c>
      <c r="L33" s="381">
        <v>37467</v>
      </c>
      <c r="M33" s="381">
        <v>412137</v>
      </c>
      <c r="N33" s="381">
        <v>0</v>
      </c>
      <c r="O33" s="381">
        <v>449604</v>
      </c>
    </row>
    <row r="34" spans="1:16" x14ac:dyDescent="0.25">
      <c r="A34" s="379" t="s">
        <v>290</v>
      </c>
      <c r="B34" s="380">
        <v>0.65</v>
      </c>
      <c r="C34" s="380">
        <v>0.7</v>
      </c>
      <c r="D34" s="389">
        <v>6900</v>
      </c>
      <c r="E34" s="1">
        <v>0</v>
      </c>
      <c r="F34" s="378">
        <v>304</v>
      </c>
      <c r="G34" s="378">
        <v>52</v>
      </c>
      <c r="H34" s="1">
        <v>0</v>
      </c>
      <c r="I34" s="381">
        <v>1596660</v>
      </c>
      <c r="J34" s="381">
        <v>1719480</v>
      </c>
      <c r="K34" s="381">
        <v>0</v>
      </c>
      <c r="L34" s="381">
        <v>122820</v>
      </c>
      <c r="M34" s="381">
        <v>1351020</v>
      </c>
      <c r="N34" s="381">
        <v>0</v>
      </c>
      <c r="O34" s="381">
        <v>1473840</v>
      </c>
    </row>
    <row r="35" spans="1:16" x14ac:dyDescent="0.25">
      <c r="A35" s="379" t="s">
        <v>291</v>
      </c>
      <c r="B35" s="380">
        <v>0.57999999999999996</v>
      </c>
      <c r="C35" s="380">
        <v>0.65</v>
      </c>
      <c r="D35" s="389">
        <v>6900</v>
      </c>
      <c r="E35" s="1">
        <v>0</v>
      </c>
      <c r="F35" s="378">
        <v>173</v>
      </c>
      <c r="G35" s="378">
        <v>69</v>
      </c>
      <c r="H35" s="1">
        <v>0</v>
      </c>
      <c r="I35" s="381">
        <v>968483.99999999977</v>
      </c>
      <c r="J35" s="381">
        <v>1085370</v>
      </c>
      <c r="K35" s="381">
        <v>0</v>
      </c>
      <c r="L35" s="381">
        <v>116886.00000000023</v>
      </c>
      <c r="M35" s="381">
        <v>1285746.0000000026</v>
      </c>
      <c r="N35" s="381">
        <v>0</v>
      </c>
      <c r="O35" s="381">
        <v>1402632.0000000028</v>
      </c>
    </row>
    <row r="36" spans="1:16" x14ac:dyDescent="0.25">
      <c r="A36" s="379" t="s">
        <v>292</v>
      </c>
      <c r="B36" s="380">
        <v>0.51</v>
      </c>
      <c r="C36" s="380">
        <v>0.6</v>
      </c>
      <c r="D36" s="389">
        <v>6900</v>
      </c>
      <c r="E36" s="1">
        <v>0</v>
      </c>
      <c r="F36" s="378">
        <v>170</v>
      </c>
      <c r="G36" s="378">
        <v>49</v>
      </c>
      <c r="H36" s="1">
        <v>0</v>
      </c>
      <c r="I36" s="381">
        <v>770661</v>
      </c>
      <c r="J36" s="381">
        <v>906660</v>
      </c>
      <c r="K36" s="381">
        <v>0</v>
      </c>
      <c r="L36" s="381">
        <v>135999</v>
      </c>
      <c r="M36" s="381">
        <v>1495989</v>
      </c>
      <c r="N36" s="381">
        <v>0</v>
      </c>
      <c r="O36" s="381">
        <v>1631988</v>
      </c>
    </row>
    <row r="37" spans="1:16" x14ac:dyDescent="0.25">
      <c r="A37" s="379" t="s">
        <v>293</v>
      </c>
      <c r="B37" s="380">
        <v>0.44</v>
      </c>
      <c r="C37" s="380">
        <v>0.56000000000000005</v>
      </c>
      <c r="D37" s="389">
        <v>6900</v>
      </c>
      <c r="E37" s="1">
        <v>0</v>
      </c>
      <c r="F37" s="378">
        <v>159</v>
      </c>
      <c r="G37" s="378">
        <v>39</v>
      </c>
      <c r="H37" s="1">
        <v>0</v>
      </c>
      <c r="I37" s="381">
        <v>601128</v>
      </c>
      <c r="J37" s="381">
        <v>765072.00000000012</v>
      </c>
      <c r="K37" s="381">
        <v>0</v>
      </c>
      <c r="L37" s="381">
        <v>163944.00000000012</v>
      </c>
      <c r="M37" s="381">
        <v>1803384.0000000014</v>
      </c>
      <c r="N37" s="381">
        <v>0</v>
      </c>
      <c r="O37" s="381">
        <v>1967328.0000000014</v>
      </c>
    </row>
    <row r="38" spans="1:16" x14ac:dyDescent="0.25">
      <c r="A38" s="383" t="s">
        <v>294</v>
      </c>
      <c r="B38" s="384">
        <v>0.35</v>
      </c>
      <c r="C38" s="384">
        <v>0.52</v>
      </c>
      <c r="D38" s="390">
        <v>6900</v>
      </c>
      <c r="E38" s="1">
        <v>0</v>
      </c>
      <c r="F38" s="386">
        <v>2983</v>
      </c>
      <c r="G38" s="386">
        <v>1385</v>
      </c>
      <c r="H38" s="1">
        <v>0</v>
      </c>
      <c r="I38" s="385">
        <v>10548720</v>
      </c>
      <c r="J38" s="385">
        <v>15672384</v>
      </c>
      <c r="K38" s="385">
        <v>0</v>
      </c>
      <c r="L38" s="385">
        <v>5123664</v>
      </c>
      <c r="M38" s="385">
        <v>56360304</v>
      </c>
      <c r="N38" s="385">
        <v>0</v>
      </c>
      <c r="O38" s="385">
        <v>61483968</v>
      </c>
    </row>
    <row r="39" spans="1:16" x14ac:dyDescent="0.25">
      <c r="B39" s="380"/>
      <c r="C39" s="380"/>
      <c r="E39" s="1">
        <v>0</v>
      </c>
      <c r="F39" s="387">
        <v>0</v>
      </c>
      <c r="G39" s="387">
        <v>0</v>
      </c>
      <c r="H39" s="1">
        <v>0</v>
      </c>
      <c r="I39" s="388">
        <v>0</v>
      </c>
      <c r="J39" s="388">
        <v>0</v>
      </c>
      <c r="K39" s="388">
        <v>0</v>
      </c>
      <c r="L39" s="388">
        <v>0</v>
      </c>
      <c r="M39" s="388">
        <v>0</v>
      </c>
      <c r="N39" s="388">
        <v>0</v>
      </c>
      <c r="O39" s="388">
        <v>0</v>
      </c>
      <c r="P39" s="1">
        <v>0</v>
      </c>
    </row>
    <row r="40" spans="1:16" x14ac:dyDescent="0.25">
      <c r="E40" s="1">
        <v>0</v>
      </c>
      <c r="F40" s="879">
        <v>4415</v>
      </c>
      <c r="G40" s="879">
        <v>1917</v>
      </c>
      <c r="H40" s="387">
        <v>0</v>
      </c>
      <c r="I40" s="880">
        <v>20170149</v>
      </c>
      <c r="J40" s="880">
        <v>25882314</v>
      </c>
      <c r="K40" s="388">
        <v>0</v>
      </c>
      <c r="L40" s="880">
        <v>5712165</v>
      </c>
      <c r="M40" s="880">
        <v>62833815</v>
      </c>
      <c r="N40" s="388">
        <v>0</v>
      </c>
      <c r="O40" s="880">
        <v>68545980</v>
      </c>
      <c r="P40" s="1">
        <v>0</v>
      </c>
    </row>
    <row r="41" spans="1:16" x14ac:dyDescent="0.25">
      <c r="E41" s="1">
        <v>0</v>
      </c>
      <c r="F41" s="391">
        <v>0</v>
      </c>
      <c r="G41" s="391">
        <v>0</v>
      </c>
      <c r="H41" s="387">
        <v>0</v>
      </c>
      <c r="I41" s="392">
        <v>0</v>
      </c>
      <c r="J41" s="392">
        <v>0</v>
      </c>
      <c r="K41" s="388">
        <v>0</v>
      </c>
      <c r="L41" s="392">
        <v>0</v>
      </c>
      <c r="M41" s="392">
        <v>0</v>
      </c>
      <c r="N41" s="388">
        <v>0</v>
      </c>
      <c r="O41" s="392">
        <v>0</v>
      </c>
      <c r="P41" s="1">
        <v>0</v>
      </c>
    </row>
    <row r="42" spans="1:16" x14ac:dyDescent="0.25">
      <c r="E42" s="1">
        <v>0</v>
      </c>
      <c r="F42" s="879">
        <v>15601</v>
      </c>
      <c r="G42" s="879">
        <v>9644</v>
      </c>
      <c r="H42" s="387">
        <v>0</v>
      </c>
      <c r="I42" s="880">
        <v>116754854</v>
      </c>
      <c r="J42" s="880">
        <v>152208779</v>
      </c>
      <c r="K42" s="388">
        <v>0</v>
      </c>
      <c r="L42" s="880">
        <v>35453925.000000007</v>
      </c>
      <c r="M42" s="880">
        <v>389993175.00000006</v>
      </c>
      <c r="N42" s="388">
        <v>0</v>
      </c>
      <c r="O42" s="880">
        <v>425447100.00000012</v>
      </c>
      <c r="P42" s="1">
        <v>0</v>
      </c>
    </row>
    <row r="43" spans="1:16" x14ac:dyDescent="0.25">
      <c r="E43" s="1">
        <v>0</v>
      </c>
      <c r="M43" s="14">
        <v>43811006.510581173</v>
      </c>
      <c r="N43" s="14">
        <v>0</v>
      </c>
      <c r="O43" s="14">
        <v>47793825.284270376</v>
      </c>
      <c r="P43" s="1" t="s">
        <v>295</v>
      </c>
    </row>
    <row r="44" spans="1:16" x14ac:dyDescent="0.25">
      <c r="E44" s="1">
        <v>0</v>
      </c>
      <c r="M44" s="14">
        <v>19022808.489418823</v>
      </c>
      <c r="N44" s="14">
        <v>0</v>
      </c>
      <c r="O44" s="14">
        <v>20752154.715729628</v>
      </c>
      <c r="P44" s="1" t="s">
        <v>33</v>
      </c>
    </row>
  </sheetData>
  <mergeCells count="28">
    <mergeCell ref="L26:M26"/>
    <mergeCell ref="O26:O28"/>
    <mergeCell ref="B27:B28"/>
    <mergeCell ref="C27:C28"/>
    <mergeCell ref="I27:I28"/>
    <mergeCell ref="J27:J28"/>
    <mergeCell ref="L27:L28"/>
    <mergeCell ref="M27:M28"/>
    <mergeCell ref="K26:K28"/>
    <mergeCell ref="A26:A28"/>
    <mergeCell ref="B26:C26"/>
    <mergeCell ref="D26:D27"/>
    <mergeCell ref="F26:G27"/>
    <mergeCell ref="I26:J26"/>
    <mergeCell ref="L6:M6"/>
    <mergeCell ref="O6:O8"/>
    <mergeCell ref="B7:B8"/>
    <mergeCell ref="C7:C8"/>
    <mergeCell ref="I7:I8"/>
    <mergeCell ref="J7:J8"/>
    <mergeCell ref="L7:L8"/>
    <mergeCell ref="M7:M8"/>
    <mergeCell ref="K6:K8"/>
    <mergeCell ref="A6:A8"/>
    <mergeCell ref="B6:C6"/>
    <mergeCell ref="D6:D7"/>
    <mergeCell ref="F6:G7"/>
    <mergeCell ref="I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302D3-874A-4251-8127-7A257AFC34FF}">
  <dimension ref="A1:Z38"/>
  <sheetViews>
    <sheetView showGridLines="0" workbookViewId="0">
      <selection activeCell="W6" sqref="W6"/>
    </sheetView>
  </sheetViews>
  <sheetFormatPr defaultColWidth="8.85546875" defaultRowHeight="15" outlineLevelRow="1" outlineLevelCol="1" x14ac:dyDescent="0.25"/>
  <cols>
    <col min="2" max="2" width="11.42578125" hidden="1" customWidth="1" outlineLevel="1"/>
    <col min="3" max="3" width="22.42578125" hidden="1" customWidth="1" outlineLevel="1"/>
    <col min="4" max="4" width="18.28515625" hidden="1" customWidth="1" outlineLevel="1"/>
    <col min="5" max="7" width="15.42578125" hidden="1" customWidth="1" outlineLevel="1"/>
    <col min="8" max="8" width="16.42578125" hidden="1" customWidth="1" outlineLevel="1"/>
    <col min="9" max="9" width="1" hidden="1" customWidth="1" outlineLevel="1"/>
    <col min="10" max="13" width="16.42578125" hidden="1" customWidth="1" outlineLevel="1"/>
    <col min="14" max="14" width="0.85546875" customWidth="1" collapsed="1"/>
    <col min="15" max="15" width="23.7109375" customWidth="1"/>
    <col min="16" max="16" width="18" customWidth="1"/>
    <col min="17" max="18" width="18.42578125" customWidth="1"/>
    <col min="19" max="19" width="19.42578125" customWidth="1"/>
    <col min="20" max="20" width="15.42578125" customWidth="1"/>
    <col min="21" max="21" width="17.7109375" customWidth="1"/>
    <col min="22" max="23" width="18" customWidth="1"/>
    <col min="24" max="24" width="19.28515625" customWidth="1"/>
    <col min="25" max="25" width="7.140625" customWidth="1"/>
    <col min="26" max="26" width="15.42578125" customWidth="1"/>
  </cols>
  <sheetData>
    <row r="1" spans="1:26" x14ac:dyDescent="0.25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>
        <v>0</v>
      </c>
      <c r="K1">
        <v>0</v>
      </c>
      <c r="L1">
        <v>0</v>
      </c>
      <c r="M1">
        <v>0</v>
      </c>
      <c r="N1">
        <v>0</v>
      </c>
      <c r="O1">
        <v>0</v>
      </c>
      <c r="P1">
        <v>0</v>
      </c>
      <c r="Q1">
        <v>0</v>
      </c>
      <c r="R1">
        <v>0</v>
      </c>
      <c r="S1">
        <v>0</v>
      </c>
      <c r="T1">
        <v>0</v>
      </c>
      <c r="U1">
        <v>0</v>
      </c>
      <c r="V1">
        <v>0</v>
      </c>
      <c r="W1">
        <v>0</v>
      </c>
      <c r="X1">
        <v>0</v>
      </c>
      <c r="Y1">
        <v>0</v>
      </c>
      <c r="Z1">
        <v>0</v>
      </c>
    </row>
    <row r="2" spans="1:26" x14ac:dyDescent="0.25">
      <c r="A2">
        <v>0</v>
      </c>
      <c r="B2">
        <v>0</v>
      </c>
      <c r="C2" s="296">
        <v>0</v>
      </c>
      <c r="D2" s="296" t="s">
        <v>27</v>
      </c>
      <c r="E2" s="297" t="s">
        <v>194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</row>
    <row r="3" spans="1:26" x14ac:dyDescent="0.25">
      <c r="A3">
        <v>0</v>
      </c>
      <c r="B3">
        <v>0</v>
      </c>
      <c r="C3" s="298">
        <v>2025</v>
      </c>
      <c r="D3" s="299">
        <v>0</v>
      </c>
      <c r="E3" s="300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</row>
    <row r="4" spans="1:26" x14ac:dyDescent="0.25">
      <c r="A4">
        <v>0</v>
      </c>
      <c r="B4">
        <v>0</v>
      </c>
      <c r="C4" s="298">
        <v>2026</v>
      </c>
      <c r="D4" s="299">
        <v>4</v>
      </c>
      <c r="E4" s="300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</row>
    <row r="5" spans="1:26" x14ac:dyDescent="0.25">
      <c r="A5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</row>
    <row r="6" spans="1:26" x14ac:dyDescent="0.25">
      <c r="A6">
        <v>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</row>
    <row r="7" spans="1:26" outlineLevel="1" x14ac:dyDescent="0.25">
      <c r="A7" s="304">
        <v>0</v>
      </c>
      <c r="B7" s="304">
        <v>0</v>
      </c>
      <c r="C7" s="304">
        <v>0</v>
      </c>
      <c r="D7" s="304">
        <v>0</v>
      </c>
      <c r="E7" s="304">
        <v>0</v>
      </c>
      <c r="F7" s="305">
        <v>0</v>
      </c>
      <c r="G7" s="305">
        <v>0</v>
      </c>
      <c r="H7" s="305">
        <v>0</v>
      </c>
      <c r="I7" s="306">
        <v>0</v>
      </c>
      <c r="J7" s="306">
        <v>0</v>
      </c>
      <c r="K7" s="306">
        <v>0</v>
      </c>
      <c r="L7" s="306">
        <v>0</v>
      </c>
      <c r="M7" s="306">
        <v>0</v>
      </c>
      <c r="N7" s="306">
        <v>0</v>
      </c>
      <c r="O7" s="305">
        <v>0</v>
      </c>
      <c r="P7" s="305">
        <v>0</v>
      </c>
      <c r="Q7" s="305">
        <v>0</v>
      </c>
      <c r="R7" s="304">
        <v>0</v>
      </c>
      <c r="S7" s="304">
        <v>0</v>
      </c>
      <c r="T7" s="304">
        <v>0</v>
      </c>
      <c r="U7" s="304">
        <v>0</v>
      </c>
      <c r="V7" s="304">
        <v>0</v>
      </c>
      <c r="W7" s="304">
        <v>0</v>
      </c>
      <c r="X7" s="304">
        <v>0</v>
      </c>
      <c r="Y7" s="304">
        <v>0</v>
      </c>
      <c r="Z7">
        <v>0</v>
      </c>
    </row>
    <row r="8" spans="1:26" outlineLevel="1" x14ac:dyDescent="0.25">
      <c r="A8" s="304" t="s">
        <v>197</v>
      </c>
      <c r="B8" s="304">
        <v>0</v>
      </c>
      <c r="C8" s="304">
        <v>0</v>
      </c>
      <c r="D8" s="304">
        <v>0</v>
      </c>
      <c r="E8" s="304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</row>
    <row r="9" spans="1:26" outlineLevel="1" x14ac:dyDescent="0.25">
      <c r="A9" s="307">
        <v>0</v>
      </c>
      <c r="B9" s="307">
        <v>0</v>
      </c>
      <c r="C9" s="307">
        <v>0</v>
      </c>
      <c r="D9" s="307">
        <v>0</v>
      </c>
      <c r="E9" s="308">
        <v>0</v>
      </c>
      <c r="F9" s="308">
        <v>0</v>
      </c>
      <c r="G9" s="308">
        <v>0</v>
      </c>
      <c r="H9" s="308">
        <v>0</v>
      </c>
      <c r="I9" s="308">
        <v>0</v>
      </c>
      <c r="J9" s="308">
        <v>0</v>
      </c>
      <c r="K9" s="308">
        <v>0</v>
      </c>
      <c r="L9" s="308">
        <v>0</v>
      </c>
      <c r="M9" s="308">
        <v>0</v>
      </c>
      <c r="N9" s="308">
        <v>0</v>
      </c>
      <c r="O9" s="306">
        <v>0</v>
      </c>
      <c r="P9" s="309">
        <v>0</v>
      </c>
      <c r="Q9" s="309">
        <v>0</v>
      </c>
      <c r="R9" s="309">
        <v>0</v>
      </c>
      <c r="S9" s="307">
        <v>0</v>
      </c>
      <c r="T9" s="307">
        <v>0</v>
      </c>
      <c r="U9" s="307">
        <v>0</v>
      </c>
      <c r="V9" s="307">
        <v>0</v>
      </c>
      <c r="W9" s="307">
        <v>0</v>
      </c>
      <c r="X9" s="307">
        <v>0</v>
      </c>
      <c r="Y9" s="307">
        <v>0</v>
      </c>
      <c r="Z9">
        <v>0</v>
      </c>
    </row>
    <row r="10" spans="1:26" outlineLevel="1" x14ac:dyDescent="0.25">
      <c r="A10">
        <v>0</v>
      </c>
      <c r="B10">
        <v>0</v>
      </c>
      <c r="C10">
        <v>0</v>
      </c>
      <c r="D10">
        <v>0</v>
      </c>
      <c r="E10" s="1235" t="s">
        <v>297</v>
      </c>
      <c r="F10" s="1235">
        <v>0</v>
      </c>
      <c r="G10" s="1235">
        <v>0</v>
      </c>
      <c r="H10" s="1235">
        <v>0</v>
      </c>
      <c r="I10" s="310">
        <v>0</v>
      </c>
      <c r="J10" s="1235" t="s">
        <v>298</v>
      </c>
      <c r="K10" s="1235">
        <v>0</v>
      </c>
      <c r="L10" s="1235">
        <v>0</v>
      </c>
      <c r="M10" s="1235">
        <v>0</v>
      </c>
      <c r="N10" s="310">
        <v>0</v>
      </c>
      <c r="O10" s="311">
        <v>0</v>
      </c>
      <c r="P10" s="1235">
        <v>2025</v>
      </c>
      <c r="Q10" s="1235">
        <v>0</v>
      </c>
      <c r="R10" s="1235">
        <v>0</v>
      </c>
      <c r="S10" s="1235">
        <v>0</v>
      </c>
      <c r="T10">
        <v>0</v>
      </c>
      <c r="U10" s="1235">
        <v>2026</v>
      </c>
      <c r="V10" s="1235">
        <v>0</v>
      </c>
      <c r="W10" s="1235">
        <v>0</v>
      </c>
      <c r="X10" s="1235">
        <v>0</v>
      </c>
      <c r="Y10">
        <v>0</v>
      </c>
      <c r="Z10">
        <v>0</v>
      </c>
    </row>
    <row r="11" spans="1:26" outlineLevel="1" x14ac:dyDescent="0.25">
      <c r="A11">
        <v>0</v>
      </c>
      <c r="B11">
        <v>0</v>
      </c>
      <c r="C11">
        <v>0</v>
      </c>
      <c r="D11">
        <v>0</v>
      </c>
      <c r="E11" s="312" t="s">
        <v>202</v>
      </c>
      <c r="F11" s="313" t="s">
        <v>203</v>
      </c>
      <c r="G11" s="313" t="s">
        <v>204</v>
      </c>
      <c r="H11" s="313" t="s">
        <v>205</v>
      </c>
      <c r="I11" s="314">
        <v>0</v>
      </c>
      <c r="J11" s="312" t="s">
        <v>202</v>
      </c>
      <c r="K11" s="313" t="s">
        <v>203</v>
      </c>
      <c r="L11" s="313" t="s">
        <v>204</v>
      </c>
      <c r="M11" s="313" t="s">
        <v>205</v>
      </c>
      <c r="N11" s="314">
        <v>0</v>
      </c>
      <c r="O11" s="311">
        <v>0</v>
      </c>
      <c r="P11" s="313" t="s">
        <v>202</v>
      </c>
      <c r="Q11" s="313" t="s">
        <v>203</v>
      </c>
      <c r="R11" s="312" t="s">
        <v>204</v>
      </c>
      <c r="S11" s="312" t="s">
        <v>205</v>
      </c>
      <c r="T11">
        <v>0</v>
      </c>
      <c r="U11" s="312" t="s">
        <v>202</v>
      </c>
      <c r="V11" s="312" t="s">
        <v>203</v>
      </c>
      <c r="W11" s="312" t="s">
        <v>204</v>
      </c>
      <c r="X11" s="312" t="s">
        <v>205</v>
      </c>
      <c r="Y11">
        <v>0</v>
      </c>
      <c r="Z11">
        <v>0</v>
      </c>
    </row>
    <row r="12" spans="1:26" outlineLevel="1" x14ac:dyDescent="0.25">
      <c r="A12">
        <v>0</v>
      </c>
      <c r="B12" s="1236" t="s">
        <v>299</v>
      </c>
      <c r="C12" s="1276" t="s">
        <v>207</v>
      </c>
      <c r="D12" s="1276">
        <v>0</v>
      </c>
      <c r="E12" s="315">
        <v>312744881.65991902</v>
      </c>
      <c r="F12" s="315">
        <v>372248411.45991099</v>
      </c>
      <c r="G12" s="315">
        <v>197225251.85999799</v>
      </c>
      <c r="H12" s="316">
        <v>882218544.979828</v>
      </c>
      <c r="I12" s="317">
        <v>0</v>
      </c>
      <c r="J12" s="315">
        <v>312744881.65991902</v>
      </c>
      <c r="K12" s="315">
        <v>372248411.45991099</v>
      </c>
      <c r="L12" s="315">
        <v>197225251.85999799</v>
      </c>
      <c r="M12" s="316">
        <v>882218544.979828</v>
      </c>
      <c r="N12" s="317">
        <v>0</v>
      </c>
      <c r="O12" s="318">
        <v>0</v>
      </c>
      <c r="P12" s="403">
        <v>313804455.46000004</v>
      </c>
      <c r="Q12" s="403">
        <v>409847268.73000008</v>
      </c>
      <c r="R12" s="403">
        <v>261632300.20000002</v>
      </c>
      <c r="S12" s="315">
        <v>985284024.3900001</v>
      </c>
      <c r="T12" s="319">
        <v>0.11682533766338898</v>
      </c>
      <c r="U12" s="320">
        <v>341479272.56000006</v>
      </c>
      <c r="V12" s="320">
        <v>447346925.16000003</v>
      </c>
      <c r="W12" s="320">
        <v>285560823.87</v>
      </c>
      <c r="X12" s="315">
        <v>1074387021.5900002</v>
      </c>
      <c r="Y12" s="319">
        <v>9.0433819075839139E-2</v>
      </c>
      <c r="Z12">
        <v>0</v>
      </c>
    </row>
    <row r="13" spans="1:26" outlineLevel="1" x14ac:dyDescent="0.25">
      <c r="A13">
        <v>0</v>
      </c>
      <c r="B13" s="1236">
        <v>0</v>
      </c>
      <c r="C13" s="1277" t="s">
        <v>208</v>
      </c>
      <c r="D13" s="1277">
        <v>0</v>
      </c>
      <c r="E13" s="315">
        <v>6307610.9799999576</v>
      </c>
      <c r="F13" s="315">
        <v>0</v>
      </c>
      <c r="G13" s="315">
        <v>116.36</v>
      </c>
      <c r="H13" s="316">
        <v>6307727.3399999579</v>
      </c>
      <c r="I13" s="317">
        <v>0</v>
      </c>
      <c r="J13" s="315">
        <v>6307610.9799999576</v>
      </c>
      <c r="K13" s="315">
        <v>0</v>
      </c>
      <c r="L13" s="315">
        <v>116.36</v>
      </c>
      <c r="M13" s="316">
        <v>6307727.3399999579</v>
      </c>
      <c r="N13" s="317">
        <v>0</v>
      </c>
      <c r="O13" s="318">
        <v>0</v>
      </c>
      <c r="P13" s="320">
        <v>6307610.9799999576</v>
      </c>
      <c r="Q13" s="320">
        <v>0</v>
      </c>
      <c r="R13" s="320">
        <v>116.36</v>
      </c>
      <c r="S13" s="315">
        <v>6307727.3399999579</v>
      </c>
      <c r="T13" s="319">
        <v>0</v>
      </c>
      <c r="U13" s="320">
        <v>6887141.9976875614</v>
      </c>
      <c r="V13" s="320">
        <v>0</v>
      </c>
      <c r="W13" s="320">
        <v>168.47668922791021</v>
      </c>
      <c r="X13" s="315">
        <v>6887310.4743767893</v>
      </c>
      <c r="Y13" s="319">
        <v>9.1884620741522927E-2</v>
      </c>
      <c r="Z13">
        <v>0</v>
      </c>
    </row>
    <row r="14" spans="1:26" outlineLevel="1" x14ac:dyDescent="0.25">
      <c r="A14">
        <v>0</v>
      </c>
      <c r="B14" s="1236">
        <v>0</v>
      </c>
      <c r="C14" s="1278" t="s">
        <v>209</v>
      </c>
      <c r="D14" s="1278">
        <v>0</v>
      </c>
      <c r="E14" s="315">
        <v>1364.88</v>
      </c>
      <c r="F14" s="315">
        <v>9500.36</v>
      </c>
      <c r="G14" s="315">
        <v>0</v>
      </c>
      <c r="H14" s="316">
        <v>10865.240000000002</v>
      </c>
      <c r="I14" s="317">
        <v>0</v>
      </c>
      <c r="J14" s="315">
        <v>1364.88</v>
      </c>
      <c r="K14" s="315">
        <v>9500.36</v>
      </c>
      <c r="L14" s="315">
        <v>0</v>
      </c>
      <c r="M14" s="316">
        <v>10865.240000000002</v>
      </c>
      <c r="N14" s="317">
        <v>0</v>
      </c>
      <c r="O14" s="318">
        <v>0</v>
      </c>
      <c r="P14" s="320">
        <v>1364.88</v>
      </c>
      <c r="Q14" s="320">
        <v>9500.36</v>
      </c>
      <c r="R14" s="320">
        <v>0</v>
      </c>
      <c r="S14" s="315">
        <v>10865.240000000002</v>
      </c>
      <c r="T14" s="319">
        <v>0</v>
      </c>
      <c r="U14" s="320">
        <v>1364.88</v>
      </c>
      <c r="V14" s="320">
        <v>9500.36</v>
      </c>
      <c r="W14" s="320">
        <v>0</v>
      </c>
      <c r="X14" s="315">
        <v>10865.240000000002</v>
      </c>
      <c r="Y14" s="319">
        <v>0</v>
      </c>
      <c r="Z14">
        <v>0</v>
      </c>
    </row>
    <row r="15" spans="1:26" outlineLevel="1" x14ac:dyDescent="0.25">
      <c r="A15">
        <v>0</v>
      </c>
      <c r="B15" s="1236">
        <v>0</v>
      </c>
      <c r="C15" s="1279" t="s">
        <v>300</v>
      </c>
      <c r="D15" s="1280">
        <v>0</v>
      </c>
      <c r="E15" s="315">
        <v>0</v>
      </c>
      <c r="F15" s="315">
        <v>0</v>
      </c>
      <c r="G15" s="315">
        <v>0</v>
      </c>
      <c r="H15" s="316">
        <v>0</v>
      </c>
      <c r="I15" s="317">
        <v>0</v>
      </c>
      <c r="J15" s="315">
        <v>0</v>
      </c>
      <c r="K15" s="315">
        <v>0</v>
      </c>
      <c r="L15" s="315">
        <v>0</v>
      </c>
      <c r="M15" s="316">
        <v>0</v>
      </c>
      <c r="N15" s="317">
        <v>0</v>
      </c>
      <c r="O15" s="318">
        <v>0</v>
      </c>
      <c r="P15" s="320">
        <v>0</v>
      </c>
      <c r="Q15" s="320">
        <v>0</v>
      </c>
      <c r="R15" s="320">
        <v>0</v>
      </c>
      <c r="S15" s="315">
        <v>0</v>
      </c>
      <c r="T15" s="319">
        <v>0</v>
      </c>
      <c r="U15" s="320">
        <v>0</v>
      </c>
      <c r="V15" s="320">
        <v>0</v>
      </c>
      <c r="W15" s="320">
        <v>0</v>
      </c>
      <c r="X15" s="315">
        <v>0</v>
      </c>
      <c r="Y15" s="319">
        <v>0</v>
      </c>
      <c r="Z15">
        <v>0</v>
      </c>
    </row>
    <row r="16" spans="1:26" outlineLevel="1" x14ac:dyDescent="0.25">
      <c r="A16">
        <v>0</v>
      </c>
      <c r="B16" s="1236">
        <v>0</v>
      </c>
      <c r="C16" s="1240" t="s">
        <v>301</v>
      </c>
      <c r="D16" s="1281">
        <v>0</v>
      </c>
      <c r="E16" s="315">
        <v>0</v>
      </c>
      <c r="F16" s="315">
        <v>0</v>
      </c>
      <c r="G16" s="315">
        <v>0</v>
      </c>
      <c r="H16" s="316">
        <v>0</v>
      </c>
      <c r="I16" s="317">
        <v>0</v>
      </c>
      <c r="J16" s="315">
        <v>0</v>
      </c>
      <c r="K16" s="315">
        <v>0</v>
      </c>
      <c r="L16" s="315">
        <v>0</v>
      </c>
      <c r="M16" s="316">
        <v>0</v>
      </c>
      <c r="N16" s="317">
        <v>0</v>
      </c>
      <c r="O16" s="318">
        <v>0</v>
      </c>
      <c r="P16" s="320">
        <v>0</v>
      </c>
      <c r="Q16" s="320">
        <v>0</v>
      </c>
      <c r="R16" s="320">
        <v>0</v>
      </c>
      <c r="S16" s="315">
        <v>0</v>
      </c>
      <c r="T16" s="319">
        <v>0</v>
      </c>
      <c r="U16" s="320">
        <v>0</v>
      </c>
      <c r="V16" s="320">
        <v>0</v>
      </c>
      <c r="W16" s="320">
        <v>0</v>
      </c>
      <c r="X16" s="315">
        <v>0</v>
      </c>
      <c r="Y16" s="319">
        <v>0</v>
      </c>
      <c r="Z16">
        <v>0</v>
      </c>
    </row>
    <row r="17" spans="1:26" outlineLevel="1" x14ac:dyDescent="0.25">
      <c r="A17">
        <v>0</v>
      </c>
      <c r="B17" s="1236">
        <v>0</v>
      </c>
      <c r="C17" s="1282" t="s">
        <v>212</v>
      </c>
      <c r="D17" s="1280">
        <v>0</v>
      </c>
      <c r="E17" s="315">
        <v>9192.16</v>
      </c>
      <c r="F17" s="315">
        <v>400097.4</v>
      </c>
      <c r="G17" s="315">
        <v>23449.019999999997</v>
      </c>
      <c r="H17" s="316">
        <v>432738.58</v>
      </c>
      <c r="I17" s="317">
        <v>0</v>
      </c>
      <c r="J17" s="315">
        <v>9192.16</v>
      </c>
      <c r="K17" s="315">
        <v>400097.4</v>
      </c>
      <c r="L17" s="315">
        <v>23449.019999999997</v>
      </c>
      <c r="M17" s="316">
        <v>432738.58</v>
      </c>
      <c r="N17" s="317">
        <v>0</v>
      </c>
      <c r="O17" s="318">
        <v>0</v>
      </c>
      <c r="P17" s="320">
        <v>9192.16</v>
      </c>
      <c r="Q17" s="320">
        <v>400097.4</v>
      </c>
      <c r="R17" s="320">
        <v>23449.019999999997</v>
      </c>
      <c r="S17" s="315">
        <v>432738.58</v>
      </c>
      <c r="T17" s="319">
        <v>0</v>
      </c>
      <c r="U17" s="320">
        <v>9192.16</v>
      </c>
      <c r="V17" s="320">
        <v>400097.4</v>
      </c>
      <c r="W17" s="320">
        <v>23449.019999999997</v>
      </c>
      <c r="X17" s="315">
        <v>432738.58</v>
      </c>
      <c r="Y17" s="319">
        <v>0</v>
      </c>
      <c r="Z17">
        <v>0</v>
      </c>
    </row>
    <row r="18" spans="1:26" outlineLevel="1" x14ac:dyDescent="0.25">
      <c r="A18">
        <v>0</v>
      </c>
      <c r="B18" s="1236">
        <v>0</v>
      </c>
      <c r="C18" s="1277" t="s">
        <v>213</v>
      </c>
      <c r="D18" s="1280">
        <v>0</v>
      </c>
      <c r="E18" s="315">
        <v>7164303.7799999593</v>
      </c>
      <c r="F18" s="315">
        <v>0</v>
      </c>
      <c r="G18" s="315">
        <v>0</v>
      </c>
      <c r="H18" s="316">
        <v>7164303.7799999593</v>
      </c>
      <c r="I18" s="317">
        <v>0</v>
      </c>
      <c r="J18" s="315">
        <v>7164303.7799999593</v>
      </c>
      <c r="K18" s="315">
        <v>0</v>
      </c>
      <c r="L18" s="315">
        <v>0</v>
      </c>
      <c r="M18" s="316">
        <v>7164303.7799999593</v>
      </c>
      <c r="N18" s="317">
        <v>0</v>
      </c>
      <c r="O18" s="318">
        <v>0</v>
      </c>
      <c r="P18" s="320">
        <v>7164303.7799999593</v>
      </c>
      <c r="Q18" s="320">
        <v>0</v>
      </c>
      <c r="R18" s="320">
        <v>0</v>
      </c>
      <c r="S18" s="315">
        <v>7164303.7799999593</v>
      </c>
      <c r="T18" s="319">
        <v>0</v>
      </c>
      <c r="U18" s="320">
        <v>7822546.0644102367</v>
      </c>
      <c r="V18" s="320">
        <v>0</v>
      </c>
      <c r="W18" s="320">
        <v>0</v>
      </c>
      <c r="X18" s="315">
        <v>7822546.0644102367</v>
      </c>
      <c r="Y18" s="319">
        <v>9.1878053279628169E-2</v>
      </c>
      <c r="Z18">
        <v>0</v>
      </c>
    </row>
    <row r="19" spans="1:26" outlineLevel="1" x14ac:dyDescent="0.25">
      <c r="A19">
        <v>0</v>
      </c>
      <c r="B19" s="1236">
        <v>0</v>
      </c>
      <c r="C19" s="1276" t="s">
        <v>214</v>
      </c>
      <c r="D19" s="1276">
        <v>0</v>
      </c>
      <c r="E19" s="315">
        <v>3689369.129999876</v>
      </c>
      <c r="F19" s="315">
        <v>32473684.5</v>
      </c>
      <c r="G19" s="315">
        <v>852336.43999999762</v>
      </c>
      <c r="H19" s="316">
        <v>37015390.069999874</v>
      </c>
      <c r="I19" s="317">
        <v>0</v>
      </c>
      <c r="J19" s="315">
        <v>3689369.129999876</v>
      </c>
      <c r="K19" s="315">
        <v>32473684.5</v>
      </c>
      <c r="L19" s="315">
        <v>852336.43999999762</v>
      </c>
      <c r="M19" s="316">
        <v>37015390.069999874</v>
      </c>
      <c r="N19" s="317">
        <v>0</v>
      </c>
      <c r="O19" s="318">
        <v>0</v>
      </c>
      <c r="P19" s="320">
        <v>3689369.129999876</v>
      </c>
      <c r="Q19" s="320">
        <v>32473684.5</v>
      </c>
      <c r="R19" s="320">
        <v>852336.43999999762</v>
      </c>
      <c r="S19" s="315">
        <v>37015390.069999874</v>
      </c>
      <c r="T19" s="319">
        <v>0</v>
      </c>
      <c r="U19" s="320">
        <v>3689369.129999876</v>
      </c>
      <c r="V19" s="320">
        <v>32473684.5</v>
      </c>
      <c r="W19" s="320">
        <v>852336.43999999762</v>
      </c>
      <c r="X19" s="315">
        <v>37015390.069999874</v>
      </c>
      <c r="Y19" s="319">
        <v>0</v>
      </c>
      <c r="Z19">
        <v>0</v>
      </c>
    </row>
    <row r="20" spans="1:26" outlineLevel="1" x14ac:dyDescent="0.25">
      <c r="A20">
        <v>0</v>
      </c>
      <c r="B20" s="1236">
        <v>0</v>
      </c>
      <c r="C20" s="1244" t="s">
        <v>172</v>
      </c>
      <c r="D20" s="1244" t="s">
        <v>172</v>
      </c>
      <c r="E20" s="316">
        <v>329916722.58991885</v>
      </c>
      <c r="F20" s="316">
        <v>405131693.71991098</v>
      </c>
      <c r="G20" s="316">
        <v>198101153.67999801</v>
      </c>
      <c r="H20" s="316">
        <v>933149569.98982787</v>
      </c>
      <c r="I20" s="317">
        <v>0</v>
      </c>
      <c r="J20" s="316">
        <v>329916722.58991885</v>
      </c>
      <c r="K20" s="316">
        <v>405131693.71991098</v>
      </c>
      <c r="L20" s="316">
        <v>198101153.67999801</v>
      </c>
      <c r="M20" s="316">
        <v>933149569.98982787</v>
      </c>
      <c r="N20" s="317">
        <v>0</v>
      </c>
      <c r="O20" s="318">
        <v>0</v>
      </c>
      <c r="P20" s="323">
        <v>330976296.38999987</v>
      </c>
      <c r="Q20" s="323">
        <v>442730550.99000007</v>
      </c>
      <c r="R20" s="323">
        <v>262508202.02000004</v>
      </c>
      <c r="S20" s="323">
        <v>1036215049.3999999</v>
      </c>
      <c r="T20" s="324">
        <v>0.11044904560294166</v>
      </c>
      <c r="U20" s="323">
        <v>359888886.79209775</v>
      </c>
      <c r="V20" s="323">
        <v>480230207.42000002</v>
      </c>
      <c r="W20" s="323">
        <v>286436777.8066892</v>
      </c>
      <c r="X20" s="323">
        <v>1126555872.0187869</v>
      </c>
      <c r="Y20" s="319">
        <v>8.7183468982714674E-2</v>
      </c>
      <c r="Z20">
        <v>0</v>
      </c>
    </row>
    <row r="21" spans="1:26" outlineLevel="1" x14ac:dyDescent="0.25">
      <c r="A21">
        <v>0</v>
      </c>
      <c r="B21" s="1236">
        <v>0</v>
      </c>
      <c r="C21">
        <v>0</v>
      </c>
      <c r="D21">
        <v>0</v>
      </c>
      <c r="E21">
        <v>0</v>
      </c>
      <c r="F21" s="318">
        <v>0</v>
      </c>
      <c r="G21" s="311">
        <v>0</v>
      </c>
      <c r="H21" s="311">
        <v>0</v>
      </c>
      <c r="I21" s="311">
        <v>0</v>
      </c>
      <c r="J21" s="311">
        <v>0</v>
      </c>
      <c r="K21" s="311">
        <v>0</v>
      </c>
      <c r="L21" s="311">
        <v>0</v>
      </c>
      <c r="M21" s="311">
        <v>0</v>
      </c>
      <c r="N21" s="311">
        <v>0</v>
      </c>
      <c r="O21" s="311">
        <v>0</v>
      </c>
      <c r="P21" s="306">
        <v>0</v>
      </c>
      <c r="Q21" s="306">
        <v>0</v>
      </c>
      <c r="R21" s="325">
        <v>0</v>
      </c>
      <c r="S21" s="324">
        <v>0</v>
      </c>
      <c r="T21" s="325">
        <v>0</v>
      </c>
      <c r="U21" s="325">
        <v>0</v>
      </c>
      <c r="V21" s="325">
        <v>0</v>
      </c>
      <c r="W21" s="325">
        <v>0</v>
      </c>
      <c r="X21" s="324">
        <v>8.7183468982714674E-2</v>
      </c>
      <c r="Y21">
        <v>0</v>
      </c>
      <c r="Z21">
        <v>0</v>
      </c>
    </row>
    <row r="22" spans="1:26" outlineLevel="1" x14ac:dyDescent="0.25">
      <c r="A22">
        <v>0</v>
      </c>
      <c r="B22" s="1236">
        <v>0</v>
      </c>
      <c r="C22">
        <v>0</v>
      </c>
      <c r="D22" s="326" t="s">
        <v>215</v>
      </c>
      <c r="E22" s="327">
        <v>2.0168550629899352E-2</v>
      </c>
      <c r="F22" s="327">
        <v>0</v>
      </c>
      <c r="G22" s="327">
        <v>5.8998530311219546E-7</v>
      </c>
      <c r="H22" s="311">
        <v>0</v>
      </c>
      <c r="I22" s="311">
        <v>0</v>
      </c>
      <c r="J22" s="311">
        <v>0</v>
      </c>
      <c r="K22" s="311">
        <v>0</v>
      </c>
      <c r="L22" s="311">
        <v>0</v>
      </c>
      <c r="M22" s="311">
        <v>0</v>
      </c>
      <c r="N22" s="311">
        <v>0</v>
      </c>
      <c r="O22" s="311">
        <v>0</v>
      </c>
      <c r="P22" s="328">
        <v>0</v>
      </c>
      <c r="Q22" s="328">
        <v>0</v>
      </c>
      <c r="R22" s="328">
        <v>0</v>
      </c>
      <c r="S22" s="329">
        <v>0</v>
      </c>
      <c r="T22">
        <v>0</v>
      </c>
      <c r="U22" s="328">
        <v>28912590.402097881</v>
      </c>
      <c r="V22" s="328">
        <v>37499656.429999948</v>
      </c>
      <c r="W22" s="328">
        <v>23928575.786689162</v>
      </c>
      <c r="X22" s="329">
        <v>90340822.618786991</v>
      </c>
      <c r="Y22">
        <v>0</v>
      </c>
      <c r="Z22">
        <v>0</v>
      </c>
    </row>
    <row r="23" spans="1:26" outlineLevel="1" x14ac:dyDescent="0.25">
      <c r="A23">
        <v>0</v>
      </c>
      <c r="B23" s="1236">
        <v>0</v>
      </c>
      <c r="C23">
        <v>0</v>
      </c>
      <c r="D23" s="326" t="s">
        <v>216</v>
      </c>
      <c r="E23" s="327">
        <v>2.2907821039227984E-2</v>
      </c>
      <c r="F23" s="330">
        <v>0</v>
      </c>
      <c r="G23" s="330">
        <v>0</v>
      </c>
      <c r="H23" s="311">
        <v>0</v>
      </c>
      <c r="I23" s="311">
        <v>0</v>
      </c>
      <c r="J23" s="311">
        <v>0</v>
      </c>
      <c r="K23" s="311">
        <v>0</v>
      </c>
      <c r="L23" s="311">
        <v>0</v>
      </c>
      <c r="M23" s="311">
        <v>0</v>
      </c>
      <c r="N23" s="311">
        <v>0</v>
      </c>
      <c r="O23" s="331" t="s">
        <v>217</v>
      </c>
      <c r="P23" s="332">
        <v>0</v>
      </c>
      <c r="Q23" s="332">
        <v>0</v>
      </c>
      <c r="R23" s="332">
        <v>0</v>
      </c>
      <c r="S23" s="333">
        <v>0</v>
      </c>
      <c r="T23">
        <v>0</v>
      </c>
      <c r="U23" s="332">
        <v>296465253.89228058</v>
      </c>
      <c r="V23" s="332">
        <v>374996564.29999948</v>
      </c>
      <c r="W23" s="332">
        <v>239285757.86689162</v>
      </c>
      <c r="X23" s="333">
        <v>910747576.05917168</v>
      </c>
      <c r="Y23">
        <v>0</v>
      </c>
      <c r="Z23">
        <v>0</v>
      </c>
    </row>
    <row r="24" spans="1:26" outlineLevel="1" x14ac:dyDescent="0.25">
      <c r="A24">
        <v>0</v>
      </c>
      <c r="B24" s="1236">
        <v>0</v>
      </c>
      <c r="C24">
        <v>0</v>
      </c>
      <c r="D24" s="326" t="s">
        <v>218</v>
      </c>
      <c r="E24" s="327">
        <v>2.470120997343711E-2</v>
      </c>
      <c r="F24" s="330">
        <v>0</v>
      </c>
      <c r="G24" s="330">
        <v>0</v>
      </c>
      <c r="H24" s="311">
        <v>0</v>
      </c>
      <c r="I24" s="311">
        <v>0</v>
      </c>
      <c r="J24" s="311">
        <v>0</v>
      </c>
      <c r="K24" s="311">
        <v>0</v>
      </c>
      <c r="L24" s="311">
        <v>0</v>
      </c>
      <c r="M24" s="311">
        <v>0</v>
      </c>
      <c r="N24" s="311">
        <v>0</v>
      </c>
      <c r="O24" s="331" t="s">
        <v>219</v>
      </c>
      <c r="P24" s="332">
        <v>0</v>
      </c>
      <c r="Q24" s="332">
        <v>0</v>
      </c>
      <c r="R24" s="332">
        <v>0</v>
      </c>
      <c r="S24" s="333">
        <v>0</v>
      </c>
      <c r="T24">
        <v>0</v>
      </c>
      <c r="U24" s="332">
        <v>5979274.4831324266</v>
      </c>
      <c r="V24" s="332">
        <v>0</v>
      </c>
      <c r="W24" s="332">
        <v>0</v>
      </c>
      <c r="X24" s="333">
        <v>5979274.4831324266</v>
      </c>
      <c r="Y24">
        <v>0</v>
      </c>
      <c r="Z24">
        <v>0</v>
      </c>
    </row>
    <row r="25" spans="1:26" outlineLevel="1" x14ac:dyDescent="0.25">
      <c r="A25">
        <v>0</v>
      </c>
      <c r="B25" s="1236">
        <v>0</v>
      </c>
      <c r="C25">
        <v>0</v>
      </c>
      <c r="D25" s="326" t="s">
        <v>220</v>
      </c>
      <c r="E25" s="327">
        <v>0.1718927604975504</v>
      </c>
      <c r="F25" s="330">
        <v>0</v>
      </c>
      <c r="G25" s="330">
        <v>0</v>
      </c>
      <c r="H25" s="311">
        <v>0</v>
      </c>
      <c r="I25" s="311">
        <v>0</v>
      </c>
      <c r="J25" s="311">
        <v>0</v>
      </c>
      <c r="K25" s="311">
        <v>0</v>
      </c>
      <c r="L25" s="311">
        <v>0</v>
      </c>
      <c r="M25" s="311">
        <v>0</v>
      </c>
      <c r="N25" s="311">
        <v>0</v>
      </c>
      <c r="O25" s="331" t="s">
        <v>221</v>
      </c>
      <c r="P25" s="332">
        <v>0</v>
      </c>
      <c r="Q25" s="332">
        <v>0</v>
      </c>
      <c r="R25" s="332">
        <v>0</v>
      </c>
      <c r="S25" s="333">
        <v>0</v>
      </c>
      <c r="T25">
        <v>0</v>
      </c>
      <c r="U25" s="332">
        <v>50960230.883151256</v>
      </c>
      <c r="V25" s="332">
        <v>0</v>
      </c>
      <c r="W25" s="332">
        <v>0</v>
      </c>
      <c r="X25" s="333">
        <v>50960230.883151256</v>
      </c>
      <c r="Y25">
        <v>0</v>
      </c>
      <c r="Z25">
        <v>0</v>
      </c>
    </row>
    <row r="26" spans="1:26" outlineLevel="1" x14ac:dyDescent="0.25">
      <c r="A26">
        <v>0</v>
      </c>
      <c r="B26" s="1236">
        <v>0</v>
      </c>
      <c r="C26">
        <v>0</v>
      </c>
      <c r="D26">
        <v>0</v>
      </c>
      <c r="E26">
        <v>0</v>
      </c>
      <c r="F26" s="318">
        <v>0</v>
      </c>
      <c r="G26" s="318">
        <v>0</v>
      </c>
      <c r="H26" s="311">
        <v>0</v>
      </c>
      <c r="I26" s="311">
        <v>0</v>
      </c>
      <c r="J26" s="311">
        <v>0</v>
      </c>
      <c r="K26" s="311">
        <v>0</v>
      </c>
      <c r="L26" s="311">
        <v>0</v>
      </c>
      <c r="M26" s="311">
        <v>0</v>
      </c>
      <c r="N26" s="311">
        <v>0</v>
      </c>
      <c r="O26" s="334" t="s">
        <v>222</v>
      </c>
      <c r="P26" s="333">
        <v>0</v>
      </c>
      <c r="Q26" s="333">
        <v>0</v>
      </c>
      <c r="R26" s="333">
        <v>0</v>
      </c>
      <c r="S26" s="335">
        <v>0</v>
      </c>
      <c r="T26">
        <v>0</v>
      </c>
      <c r="U26" s="333">
        <v>353404759.25856423</v>
      </c>
      <c r="V26" s="333">
        <v>374996564.29999948</v>
      </c>
      <c r="W26" s="333">
        <v>239285757.86689162</v>
      </c>
      <c r="X26" s="335">
        <v>967687081.42545533</v>
      </c>
      <c r="Y26">
        <v>0</v>
      </c>
      <c r="Z26">
        <v>0</v>
      </c>
    </row>
    <row r="27" spans="1:26" outlineLevel="1" x14ac:dyDescent="0.25">
      <c r="A27">
        <v>0</v>
      </c>
      <c r="B27" s="1236">
        <v>0</v>
      </c>
      <c r="C27">
        <v>0</v>
      </c>
      <c r="D27">
        <v>0</v>
      </c>
      <c r="E27">
        <v>0</v>
      </c>
      <c r="F27" s="336">
        <v>0</v>
      </c>
      <c r="G27" s="336">
        <v>0</v>
      </c>
      <c r="H27" s="311">
        <v>0</v>
      </c>
      <c r="I27" s="311">
        <v>0</v>
      </c>
      <c r="J27" s="311">
        <v>0</v>
      </c>
      <c r="K27" s="311">
        <v>0</v>
      </c>
      <c r="L27" s="311">
        <v>0</v>
      </c>
      <c r="M27" s="311">
        <v>0</v>
      </c>
      <c r="N27" s="311">
        <v>0</v>
      </c>
      <c r="O27" s="404" t="s">
        <v>302</v>
      </c>
      <c r="P27" s="337">
        <v>0</v>
      </c>
      <c r="Q27" s="337">
        <v>0</v>
      </c>
      <c r="R27" s="337">
        <v>0</v>
      </c>
      <c r="S27" s="338">
        <v>0</v>
      </c>
      <c r="T27">
        <v>0</v>
      </c>
      <c r="U27" s="337">
        <v>385404830.05996478</v>
      </c>
      <c r="V27" s="337">
        <v>487495533.58999932</v>
      </c>
      <c r="W27" s="337">
        <v>311071485.22695911</v>
      </c>
      <c r="X27" s="338">
        <v>1183971848.8769231</v>
      </c>
      <c r="Y27">
        <v>0</v>
      </c>
      <c r="Z27">
        <v>0</v>
      </c>
    </row>
    <row r="28" spans="1:26" outlineLevel="1" x14ac:dyDescent="0.25">
      <c r="A28">
        <v>0</v>
      </c>
      <c r="B28" s="1236">
        <v>0</v>
      </c>
      <c r="C28">
        <v>0</v>
      </c>
      <c r="D28">
        <v>0</v>
      </c>
      <c r="E28" s="327">
        <v>0</v>
      </c>
      <c r="F28" s="327">
        <v>0</v>
      </c>
      <c r="G28" s="327">
        <v>0</v>
      </c>
      <c r="H28" s="311">
        <v>0</v>
      </c>
      <c r="I28" s="311">
        <v>0</v>
      </c>
      <c r="J28" s="311">
        <v>0</v>
      </c>
      <c r="K28" s="311">
        <v>0</v>
      </c>
      <c r="L28" s="311">
        <v>0</v>
      </c>
      <c r="M28" s="311">
        <v>0</v>
      </c>
      <c r="N28" s="311">
        <v>0</v>
      </c>
      <c r="O28" s="404" t="s">
        <v>303</v>
      </c>
      <c r="P28" s="337">
        <v>0</v>
      </c>
      <c r="Q28" s="337">
        <v>0</v>
      </c>
      <c r="R28" s="337">
        <v>0</v>
      </c>
      <c r="S28" s="338">
        <v>0</v>
      </c>
      <c r="T28">
        <v>0</v>
      </c>
      <c r="U28" s="337">
        <v>7773056.8280721549</v>
      </c>
      <c r="V28" s="337">
        <v>0</v>
      </c>
      <c r="W28" s="337">
        <v>0</v>
      </c>
      <c r="X28" s="338">
        <v>7773056.8280721549</v>
      </c>
      <c r="Y28">
        <v>0</v>
      </c>
      <c r="Z28">
        <v>0</v>
      </c>
    </row>
    <row r="29" spans="1:26" outlineLevel="1" x14ac:dyDescent="0.25">
      <c r="A29">
        <v>0</v>
      </c>
      <c r="B29" s="1236">
        <v>0</v>
      </c>
      <c r="C29">
        <v>0</v>
      </c>
      <c r="D29">
        <v>0</v>
      </c>
      <c r="E29">
        <v>0</v>
      </c>
      <c r="F29" s="311">
        <v>0</v>
      </c>
      <c r="G29" s="311">
        <v>0</v>
      </c>
      <c r="H29" s="311">
        <v>0</v>
      </c>
      <c r="I29" s="311">
        <v>0</v>
      </c>
      <c r="J29" s="311">
        <v>0</v>
      </c>
      <c r="K29" s="311">
        <v>0</v>
      </c>
      <c r="L29" s="311">
        <v>0</v>
      </c>
      <c r="M29" s="311">
        <v>0</v>
      </c>
      <c r="N29" s="311">
        <v>0</v>
      </c>
      <c r="O29" s="404" t="s">
        <v>304</v>
      </c>
      <c r="P29" s="337">
        <v>0</v>
      </c>
      <c r="Q29" s="337">
        <v>0</v>
      </c>
      <c r="R29" s="337">
        <v>0</v>
      </c>
      <c r="S29" s="338">
        <v>0</v>
      </c>
      <c r="T29">
        <v>0</v>
      </c>
      <c r="U29" s="337">
        <v>66248300.148096636</v>
      </c>
      <c r="V29" s="337">
        <v>0</v>
      </c>
      <c r="W29" s="337">
        <v>0</v>
      </c>
      <c r="X29" s="338">
        <v>66248300.148096636</v>
      </c>
      <c r="Y29">
        <v>0</v>
      </c>
      <c r="Z29">
        <v>0</v>
      </c>
    </row>
    <row r="30" spans="1:26" outlineLevel="1" x14ac:dyDescent="0.25">
      <c r="A30">
        <v>0</v>
      </c>
      <c r="B30" s="1236">
        <v>0</v>
      </c>
      <c r="C30">
        <v>0</v>
      </c>
      <c r="D30">
        <v>0</v>
      </c>
      <c r="E30">
        <v>0</v>
      </c>
      <c r="F30" s="311">
        <v>0</v>
      </c>
      <c r="G30" s="311">
        <v>0</v>
      </c>
      <c r="H30" s="311">
        <v>0</v>
      </c>
      <c r="I30" s="311">
        <v>0</v>
      </c>
      <c r="J30" s="311">
        <v>0</v>
      </c>
      <c r="K30" s="311">
        <v>0</v>
      </c>
      <c r="L30" s="311">
        <v>0</v>
      </c>
      <c r="M30" s="311">
        <v>0</v>
      </c>
      <c r="N30" s="311">
        <v>0</v>
      </c>
      <c r="O30" s="405" t="s">
        <v>305</v>
      </c>
      <c r="P30" s="338">
        <v>0</v>
      </c>
      <c r="Q30" s="338">
        <v>0</v>
      </c>
      <c r="R30" s="338">
        <v>0</v>
      </c>
      <c r="S30" s="335">
        <v>0</v>
      </c>
      <c r="T30">
        <v>0</v>
      </c>
      <c r="U30" s="338">
        <v>459426187.03613353</v>
      </c>
      <c r="V30" s="338">
        <v>487495533.58999932</v>
      </c>
      <c r="W30" s="338">
        <v>311071485.22695911</v>
      </c>
      <c r="X30" s="335">
        <v>1257993205.8530917</v>
      </c>
      <c r="Y30">
        <v>0</v>
      </c>
      <c r="Z30">
        <v>0</v>
      </c>
    </row>
    <row r="31" spans="1:26" outlineLevel="1" x14ac:dyDescent="0.25">
      <c r="A31">
        <v>0</v>
      </c>
      <c r="B31">
        <v>0</v>
      </c>
      <c r="C31">
        <v>0</v>
      </c>
      <c r="D31">
        <v>0</v>
      </c>
      <c r="E31">
        <v>0</v>
      </c>
      <c r="F31" s="311">
        <v>0</v>
      </c>
      <c r="G31" s="311">
        <v>0</v>
      </c>
      <c r="H31" s="311">
        <v>0</v>
      </c>
      <c r="I31" s="311">
        <v>0</v>
      </c>
      <c r="J31" s="311">
        <v>0</v>
      </c>
      <c r="K31" s="311">
        <v>0</v>
      </c>
      <c r="L31" s="311">
        <v>0</v>
      </c>
      <c r="M31" s="311">
        <v>0</v>
      </c>
      <c r="N31" s="311">
        <v>0</v>
      </c>
      <c r="O31" s="311">
        <v>0</v>
      </c>
      <c r="P31" s="311">
        <v>0</v>
      </c>
      <c r="Q31" s="31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</row>
    <row r="32" spans="1:26" outlineLevel="1" x14ac:dyDescent="0.25">
      <c r="A32">
        <v>0</v>
      </c>
      <c r="B32">
        <v>0</v>
      </c>
      <c r="C32">
        <v>0</v>
      </c>
      <c r="D32">
        <v>0</v>
      </c>
      <c r="E32">
        <v>0</v>
      </c>
      <c r="F32" s="311">
        <v>0</v>
      </c>
      <c r="G32" s="311">
        <v>0</v>
      </c>
      <c r="H32" s="311">
        <v>0</v>
      </c>
      <c r="I32" s="311">
        <v>0</v>
      </c>
      <c r="J32" s="311">
        <v>0</v>
      </c>
      <c r="K32" s="311">
        <v>0</v>
      </c>
      <c r="L32" s="311">
        <v>0</v>
      </c>
      <c r="M32" s="311">
        <v>0</v>
      </c>
      <c r="N32" s="311">
        <v>0</v>
      </c>
      <c r="O32" s="340" t="s">
        <v>306</v>
      </c>
      <c r="P32" s="328">
        <v>329916722.58991885</v>
      </c>
      <c r="Q32" s="328">
        <v>405131693.71991098</v>
      </c>
      <c r="R32" s="328">
        <v>198101153.67999801</v>
      </c>
      <c r="S32" s="329">
        <v>933149569.98982787</v>
      </c>
      <c r="T32">
        <v>0</v>
      </c>
      <c r="U32" s="339">
        <v>0</v>
      </c>
      <c r="V32" s="339">
        <v>0</v>
      </c>
      <c r="W32" s="339">
        <v>0</v>
      </c>
      <c r="X32" s="339">
        <v>0</v>
      </c>
      <c r="Y32" s="339">
        <v>0</v>
      </c>
      <c r="Z32" s="339">
        <v>0</v>
      </c>
    </row>
    <row r="33" spans="1:26" outlineLevel="1" x14ac:dyDescent="0.25">
      <c r="A33">
        <v>0</v>
      </c>
      <c r="B33">
        <v>0</v>
      </c>
      <c r="C33">
        <v>0</v>
      </c>
      <c r="D33">
        <v>0</v>
      </c>
      <c r="E33">
        <v>0</v>
      </c>
      <c r="F33" s="311">
        <v>0</v>
      </c>
      <c r="G33" s="311">
        <v>0</v>
      </c>
      <c r="H33" s="311">
        <v>0</v>
      </c>
      <c r="I33" s="311">
        <v>0</v>
      </c>
      <c r="J33" s="311">
        <v>0</v>
      </c>
      <c r="K33" s="311">
        <v>0</v>
      </c>
      <c r="L33" s="311">
        <v>0</v>
      </c>
      <c r="M33" s="311">
        <v>0</v>
      </c>
      <c r="N33" s="311">
        <v>0</v>
      </c>
      <c r="O33" s="331" t="s">
        <v>217</v>
      </c>
      <c r="P33" s="332">
        <v>4397789912.1236181</v>
      </c>
      <c r="Q33" s="332">
        <v>5266712018.3588428</v>
      </c>
      <c r="R33" s="332">
        <v>2575314997.8399739</v>
      </c>
      <c r="S33" s="333">
        <v>12239816928.322433</v>
      </c>
      <c r="T33">
        <v>0</v>
      </c>
      <c r="U33" s="339">
        <v>0</v>
      </c>
      <c r="V33" s="339">
        <v>0</v>
      </c>
      <c r="W33" s="339">
        <v>0</v>
      </c>
      <c r="X33" s="339">
        <v>0</v>
      </c>
      <c r="Y33" s="339">
        <v>0</v>
      </c>
      <c r="Z33" s="339">
        <v>0</v>
      </c>
    </row>
    <row r="34" spans="1:26" outlineLevel="1" x14ac:dyDescent="0.25">
      <c r="A34">
        <v>0</v>
      </c>
      <c r="B34">
        <v>0</v>
      </c>
      <c r="C34">
        <v>0</v>
      </c>
      <c r="D34">
        <v>0</v>
      </c>
      <c r="E34">
        <v>0</v>
      </c>
      <c r="F34" s="311">
        <v>0</v>
      </c>
      <c r="G34" s="311">
        <v>0</v>
      </c>
      <c r="H34" s="311">
        <v>0</v>
      </c>
      <c r="I34" s="311">
        <v>0</v>
      </c>
      <c r="J34" s="311">
        <v>0</v>
      </c>
      <c r="K34" s="311">
        <v>0</v>
      </c>
      <c r="L34" s="311">
        <v>0</v>
      </c>
      <c r="M34" s="311">
        <v>0</v>
      </c>
      <c r="N34" s="311">
        <v>0</v>
      </c>
      <c r="O34" s="331" t="s">
        <v>219</v>
      </c>
      <c r="P34" s="332">
        <v>88697048.502325818</v>
      </c>
      <c r="Q34" s="332">
        <v>0</v>
      </c>
      <c r="R34" s="332">
        <v>0</v>
      </c>
      <c r="S34" s="333">
        <v>88697048.502325818</v>
      </c>
      <c r="T34">
        <v>0</v>
      </c>
      <c r="U34" s="339">
        <v>0</v>
      </c>
      <c r="V34" s="339">
        <v>0</v>
      </c>
      <c r="W34" s="339">
        <v>0</v>
      </c>
      <c r="X34" s="339">
        <v>0</v>
      </c>
      <c r="Y34" s="339">
        <v>0</v>
      </c>
      <c r="Z34" s="339">
        <v>0</v>
      </c>
    </row>
    <row r="35" spans="1:26" outlineLevel="1" x14ac:dyDescent="0.25">
      <c r="A35">
        <v>0</v>
      </c>
      <c r="B35">
        <v>0</v>
      </c>
      <c r="C35">
        <v>0</v>
      </c>
      <c r="D35">
        <v>0</v>
      </c>
      <c r="E35">
        <v>0</v>
      </c>
      <c r="F35" s="311">
        <v>0</v>
      </c>
      <c r="G35" s="311">
        <v>0</v>
      </c>
      <c r="H35" s="311">
        <v>0</v>
      </c>
      <c r="I35" s="311">
        <v>0</v>
      </c>
      <c r="J35" s="311">
        <v>0</v>
      </c>
      <c r="K35" s="311">
        <v>0</v>
      </c>
      <c r="L35" s="311">
        <v>0</v>
      </c>
      <c r="M35" s="311">
        <v>0</v>
      </c>
      <c r="N35" s="311">
        <v>0</v>
      </c>
      <c r="O35" s="331" t="s">
        <v>221</v>
      </c>
      <c r="P35" s="332">
        <v>755948248.08320832</v>
      </c>
      <c r="Q35" s="332">
        <v>0</v>
      </c>
      <c r="R35" s="332">
        <v>0</v>
      </c>
      <c r="S35" s="333">
        <v>755948248.08320832</v>
      </c>
      <c r="T35">
        <v>0</v>
      </c>
      <c r="U35" s="339">
        <v>0</v>
      </c>
      <c r="V35" s="339">
        <v>0</v>
      </c>
      <c r="W35" s="339">
        <v>0</v>
      </c>
      <c r="X35" s="339">
        <v>0</v>
      </c>
      <c r="Y35" s="339">
        <v>0</v>
      </c>
      <c r="Z35" s="339">
        <v>0</v>
      </c>
    </row>
    <row r="36" spans="1:26" outlineLevel="1" x14ac:dyDescent="0.25">
      <c r="A36">
        <v>0</v>
      </c>
      <c r="B36">
        <v>0</v>
      </c>
      <c r="C36">
        <v>0</v>
      </c>
      <c r="D36">
        <v>0</v>
      </c>
      <c r="E36">
        <v>0</v>
      </c>
      <c r="F36" s="311">
        <v>0</v>
      </c>
      <c r="G36" s="311">
        <v>0</v>
      </c>
      <c r="H36" s="311">
        <v>0</v>
      </c>
      <c r="I36" s="311">
        <v>0</v>
      </c>
      <c r="J36" s="311">
        <v>0</v>
      </c>
      <c r="K36" s="311">
        <v>0</v>
      </c>
      <c r="L36" s="311">
        <v>0</v>
      </c>
      <c r="M36" s="311">
        <v>0</v>
      </c>
      <c r="N36" s="311">
        <v>0</v>
      </c>
      <c r="O36" s="334" t="s">
        <v>222</v>
      </c>
      <c r="P36" s="333">
        <v>5242435208.7091522</v>
      </c>
      <c r="Q36" s="333">
        <v>5266712018.3588428</v>
      </c>
      <c r="R36" s="333">
        <v>2575314997.8399739</v>
      </c>
      <c r="S36" s="341">
        <v>13084462224.907969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</row>
    <row r="37" spans="1:26" x14ac:dyDescent="0.25">
      <c r="A37">
        <v>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339">
        <v>0</v>
      </c>
      <c r="V37" s="339">
        <v>0</v>
      </c>
      <c r="W37" s="339">
        <v>0</v>
      </c>
      <c r="X37" s="339">
        <v>0</v>
      </c>
      <c r="Y37" s="339">
        <v>0</v>
      </c>
      <c r="Z37" s="339">
        <v>0</v>
      </c>
    </row>
    <row r="38" spans="1:26" x14ac:dyDescent="0.25">
      <c r="A38">
        <v>0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</row>
  </sheetData>
  <mergeCells count="14">
    <mergeCell ref="J10:M10"/>
    <mergeCell ref="P10:S10"/>
    <mergeCell ref="U10:X10"/>
    <mergeCell ref="B12:B30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E10:H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0D85C-0394-4AB2-A8F5-36367EC09E97}">
  <dimension ref="A1:O47"/>
  <sheetViews>
    <sheetView showGridLines="0" topLeftCell="C24" workbookViewId="0">
      <selection activeCell="D49" sqref="D49"/>
    </sheetView>
  </sheetViews>
  <sheetFormatPr defaultColWidth="9.140625" defaultRowHeight="15" x14ac:dyDescent="0.25"/>
  <cols>
    <col min="1" max="2" width="17.140625" style="376" customWidth="1"/>
    <col min="3" max="4" width="18.42578125" style="1" customWidth="1"/>
    <col min="5" max="5" width="0.42578125" style="1" customWidth="1"/>
    <col min="6" max="7" width="21.42578125" style="1" customWidth="1"/>
    <col min="8" max="8" width="0.42578125" style="1" customWidth="1"/>
    <col min="9" max="9" width="21.42578125" style="1" customWidth="1"/>
    <col min="10" max="10" width="0.42578125" style="1" customWidth="1"/>
    <col min="11" max="11" width="21.42578125" style="1" customWidth="1"/>
    <col min="12" max="16" width="21.28515625" style="1" customWidth="1"/>
    <col min="17" max="16384" width="9.140625" style="1"/>
  </cols>
  <sheetData>
    <row r="1" spans="1:12" ht="15.75" x14ac:dyDescent="0.25">
      <c r="A1" s="374" t="s">
        <v>265</v>
      </c>
      <c r="B1" s="698"/>
    </row>
    <row r="2" spans="1:12" ht="15.75" x14ac:dyDescent="0.25">
      <c r="A2" s="406" t="s">
        <v>307</v>
      </c>
      <c r="B2" s="699"/>
    </row>
    <row r="3" spans="1:12" ht="15.75" x14ac:dyDescent="0.25">
      <c r="A3" s="407" t="s">
        <v>308</v>
      </c>
      <c r="B3" s="698"/>
    </row>
    <row r="4" spans="1:12" ht="15" customHeight="1" x14ac:dyDescent="0.25">
      <c r="A4" s="376">
        <v>0</v>
      </c>
    </row>
    <row r="5" spans="1:12" x14ac:dyDescent="0.25">
      <c r="A5" s="376" t="s">
        <v>268</v>
      </c>
      <c r="B5" s="408"/>
    </row>
    <row r="6" spans="1:12" x14ac:dyDescent="0.25">
      <c r="A6" s="1283" t="s">
        <v>309</v>
      </c>
      <c r="B6" s="1283" t="s">
        <v>310</v>
      </c>
      <c r="C6" s="1286" t="s">
        <v>311</v>
      </c>
      <c r="D6" s="1286" t="s">
        <v>311</v>
      </c>
      <c r="E6" s="1">
        <v>0</v>
      </c>
      <c r="F6" s="1286" t="s">
        <v>312</v>
      </c>
      <c r="G6" s="1286" t="s">
        <v>313</v>
      </c>
      <c r="H6" s="1">
        <v>0</v>
      </c>
      <c r="I6" s="1286" t="s">
        <v>314</v>
      </c>
      <c r="J6" s="1">
        <v>0</v>
      </c>
      <c r="K6" s="1286" t="s">
        <v>315</v>
      </c>
      <c r="L6" s="1">
        <v>0</v>
      </c>
    </row>
    <row r="7" spans="1:12" x14ac:dyDescent="0.25">
      <c r="A7" s="1284">
        <v>0</v>
      </c>
      <c r="B7" s="1284">
        <v>0</v>
      </c>
      <c r="C7" s="1287">
        <v>0</v>
      </c>
      <c r="D7" s="1287">
        <v>0</v>
      </c>
      <c r="E7" s="1">
        <v>0</v>
      </c>
      <c r="F7" s="1287">
        <v>0</v>
      </c>
      <c r="G7" s="1287">
        <v>0</v>
      </c>
      <c r="H7" s="1">
        <v>0</v>
      </c>
      <c r="I7" s="1287">
        <v>0</v>
      </c>
      <c r="J7" s="1">
        <v>0</v>
      </c>
      <c r="K7" s="1287">
        <v>0</v>
      </c>
      <c r="L7" s="1">
        <v>0</v>
      </c>
    </row>
    <row r="8" spans="1:12" x14ac:dyDescent="0.25">
      <c r="A8" s="1285">
        <v>0</v>
      </c>
      <c r="B8" s="1285">
        <v>0</v>
      </c>
      <c r="C8" s="377" t="s">
        <v>316</v>
      </c>
      <c r="D8" s="377" t="s">
        <v>317</v>
      </c>
      <c r="E8" s="1">
        <v>0</v>
      </c>
      <c r="F8" s="377" t="s">
        <v>318</v>
      </c>
      <c r="G8" s="377" t="s">
        <v>318</v>
      </c>
      <c r="H8" s="1">
        <v>0</v>
      </c>
      <c r="I8" s="377" t="s">
        <v>318</v>
      </c>
      <c r="J8" s="1">
        <v>0</v>
      </c>
      <c r="K8" s="377" t="s">
        <v>318</v>
      </c>
      <c r="L8" s="1">
        <v>0</v>
      </c>
    </row>
    <row r="9" spans="1:12" x14ac:dyDescent="0.25">
      <c r="A9" s="1288" t="s">
        <v>319</v>
      </c>
      <c r="B9" s="409" t="s">
        <v>320</v>
      </c>
      <c r="C9" s="881">
        <v>7000</v>
      </c>
      <c r="D9" s="881">
        <v>8700</v>
      </c>
      <c r="E9" s="1">
        <v>0</v>
      </c>
      <c r="F9" s="877">
        <v>39627000</v>
      </c>
      <c r="G9" s="877">
        <v>49250700</v>
      </c>
      <c r="H9" s="1">
        <v>0</v>
      </c>
      <c r="I9" s="877">
        <v>19247400</v>
      </c>
      <c r="J9" s="1">
        <v>0</v>
      </c>
      <c r="K9" s="877">
        <v>9623700</v>
      </c>
      <c r="L9" s="1">
        <v>0</v>
      </c>
    </row>
    <row r="10" spans="1:12" x14ac:dyDescent="0.25">
      <c r="A10" s="1288">
        <v>0</v>
      </c>
      <c r="B10" s="409" t="s">
        <v>321</v>
      </c>
      <c r="C10" s="389">
        <v>7000</v>
      </c>
      <c r="D10" s="389">
        <v>8700</v>
      </c>
      <c r="E10" s="1">
        <v>0</v>
      </c>
      <c r="F10" s="381">
        <v>1225000</v>
      </c>
      <c r="G10" s="381">
        <v>1522500</v>
      </c>
      <c r="H10" s="1">
        <v>0</v>
      </c>
      <c r="I10" s="381">
        <v>595000</v>
      </c>
      <c r="J10" s="1">
        <v>0</v>
      </c>
      <c r="K10" s="381">
        <v>297500</v>
      </c>
      <c r="L10" s="1">
        <v>0</v>
      </c>
    </row>
    <row r="11" spans="1:12" x14ac:dyDescent="0.25">
      <c r="A11" s="1288">
        <v>0</v>
      </c>
      <c r="B11" s="410" t="s">
        <v>322</v>
      </c>
      <c r="C11" s="390">
        <v>7000</v>
      </c>
      <c r="D11" s="390">
        <v>8700</v>
      </c>
      <c r="E11" s="1">
        <v>0</v>
      </c>
      <c r="F11" s="381">
        <v>763000</v>
      </c>
      <c r="G11" s="381">
        <v>948300</v>
      </c>
      <c r="H11" s="1">
        <v>0</v>
      </c>
      <c r="I11" s="381">
        <v>370600</v>
      </c>
      <c r="J11" s="1">
        <v>0</v>
      </c>
      <c r="K11" s="381">
        <v>185300</v>
      </c>
      <c r="L11" s="1">
        <v>0</v>
      </c>
    </row>
    <row r="12" spans="1:12" x14ac:dyDescent="0.25">
      <c r="A12" s="1289" t="s">
        <v>323</v>
      </c>
      <c r="B12" s="409" t="s">
        <v>320</v>
      </c>
      <c r="C12" s="389">
        <v>7000</v>
      </c>
      <c r="D12" s="389">
        <v>8700</v>
      </c>
      <c r="E12" s="1">
        <v>0</v>
      </c>
      <c r="F12" s="877">
        <v>168000</v>
      </c>
      <c r="G12" s="877">
        <v>208800</v>
      </c>
      <c r="H12" s="1">
        <v>0</v>
      </c>
      <c r="I12" s="877">
        <v>81600</v>
      </c>
      <c r="J12" s="1">
        <v>0</v>
      </c>
      <c r="K12" s="877">
        <v>40800</v>
      </c>
      <c r="L12" s="1">
        <v>0</v>
      </c>
    </row>
    <row r="13" spans="1:12" x14ac:dyDescent="0.25">
      <c r="A13" s="1289">
        <v>0</v>
      </c>
      <c r="B13" s="409" t="s">
        <v>321</v>
      </c>
      <c r="C13" s="389">
        <v>7000</v>
      </c>
      <c r="D13" s="389">
        <v>8700</v>
      </c>
      <c r="E13" s="1">
        <v>0</v>
      </c>
      <c r="F13" s="381">
        <v>126000</v>
      </c>
      <c r="G13" s="381">
        <v>156600</v>
      </c>
      <c r="H13" s="1">
        <v>0</v>
      </c>
      <c r="I13" s="381">
        <v>61200</v>
      </c>
      <c r="J13" s="1">
        <v>0</v>
      </c>
      <c r="K13" s="381">
        <v>30600</v>
      </c>
      <c r="L13" s="1">
        <v>0</v>
      </c>
    </row>
    <row r="14" spans="1:12" x14ac:dyDescent="0.25">
      <c r="A14" s="1289">
        <v>0</v>
      </c>
      <c r="B14" s="409" t="s">
        <v>322</v>
      </c>
      <c r="C14" s="389">
        <v>7000</v>
      </c>
      <c r="D14" s="389">
        <v>8700</v>
      </c>
      <c r="E14" s="1">
        <v>0</v>
      </c>
      <c r="F14" s="381">
        <v>35000</v>
      </c>
      <c r="G14" s="381">
        <v>43500</v>
      </c>
      <c r="H14" s="1">
        <v>0</v>
      </c>
      <c r="I14" s="381">
        <v>17000</v>
      </c>
      <c r="J14" s="1">
        <v>0</v>
      </c>
      <c r="K14" s="381">
        <v>8500</v>
      </c>
      <c r="L14" s="1">
        <v>0</v>
      </c>
    </row>
    <row r="15" spans="1:12" x14ac:dyDescent="0.25">
      <c r="A15" s="1289" t="s">
        <v>324</v>
      </c>
      <c r="B15" s="882" t="s">
        <v>320</v>
      </c>
      <c r="C15" s="881">
        <v>5250</v>
      </c>
      <c r="D15" s="881">
        <v>6525</v>
      </c>
      <c r="E15" s="1">
        <v>0</v>
      </c>
      <c r="F15" s="877">
        <v>5250</v>
      </c>
      <c r="G15" s="877">
        <v>6525</v>
      </c>
      <c r="H15" s="1">
        <v>0</v>
      </c>
      <c r="I15" s="877">
        <v>2550</v>
      </c>
      <c r="J15" s="1">
        <v>0</v>
      </c>
      <c r="K15" s="877">
        <v>1275</v>
      </c>
      <c r="L15" s="1">
        <v>0</v>
      </c>
    </row>
    <row r="16" spans="1:12" x14ac:dyDescent="0.25">
      <c r="A16" s="1289">
        <v>0</v>
      </c>
      <c r="B16" s="409" t="s">
        <v>321</v>
      </c>
      <c r="C16" s="389">
        <v>3500</v>
      </c>
      <c r="D16" s="389">
        <v>4350</v>
      </c>
      <c r="E16" s="1">
        <v>0</v>
      </c>
      <c r="F16" s="381">
        <v>0</v>
      </c>
      <c r="G16" s="381">
        <v>0</v>
      </c>
      <c r="H16" s="1">
        <v>0</v>
      </c>
      <c r="I16" s="381">
        <v>0</v>
      </c>
      <c r="J16" s="1">
        <v>0</v>
      </c>
      <c r="K16" s="381">
        <v>0</v>
      </c>
      <c r="L16" s="1">
        <v>0</v>
      </c>
    </row>
    <row r="17" spans="1:15" x14ac:dyDescent="0.25">
      <c r="A17" s="1289">
        <v>0</v>
      </c>
      <c r="B17" s="411" t="s">
        <v>322</v>
      </c>
      <c r="C17" s="390">
        <v>0</v>
      </c>
      <c r="D17" s="390">
        <v>0</v>
      </c>
      <c r="E17" s="1">
        <v>0</v>
      </c>
      <c r="F17" s="412">
        <v>0</v>
      </c>
      <c r="G17" s="412">
        <v>0</v>
      </c>
      <c r="H17" s="1">
        <v>0</v>
      </c>
      <c r="I17" s="381">
        <v>0</v>
      </c>
      <c r="J17" s="1">
        <v>0</v>
      </c>
      <c r="K17" s="381">
        <v>0</v>
      </c>
      <c r="L17" s="1">
        <v>0</v>
      </c>
    </row>
    <row r="18" spans="1:15" ht="15" customHeight="1" x14ac:dyDescent="0.25">
      <c r="A18" s="379">
        <v>0</v>
      </c>
      <c r="B18" s="409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</row>
    <row r="19" spans="1:15" x14ac:dyDescent="0.25">
      <c r="A19" s="379">
        <v>0</v>
      </c>
      <c r="B19" s="409">
        <v>0</v>
      </c>
      <c r="C19" s="1">
        <v>0</v>
      </c>
      <c r="D19" s="1">
        <v>0</v>
      </c>
      <c r="E19" s="1">
        <v>0</v>
      </c>
      <c r="F19" s="883">
        <v>41949250</v>
      </c>
      <c r="G19" s="883">
        <v>52136925</v>
      </c>
      <c r="H19" s="1">
        <v>0</v>
      </c>
      <c r="I19" s="883">
        <v>20375350</v>
      </c>
      <c r="J19" s="1">
        <v>0</v>
      </c>
      <c r="K19" s="883">
        <v>10187675</v>
      </c>
      <c r="L19" s="1">
        <v>0</v>
      </c>
    </row>
    <row r="20" spans="1:15" x14ac:dyDescent="0.25">
      <c r="A20" s="379">
        <v>0</v>
      </c>
      <c r="B20" s="409">
        <v>0</v>
      </c>
      <c r="C20" s="1">
        <v>0</v>
      </c>
      <c r="D20" s="1">
        <v>0</v>
      </c>
      <c r="E20" s="1">
        <v>0</v>
      </c>
      <c r="F20" s="220">
        <v>0</v>
      </c>
      <c r="G20" s="220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</row>
    <row r="21" spans="1:15" x14ac:dyDescent="0.25">
      <c r="F21" s="220"/>
      <c r="G21" s="220"/>
    </row>
    <row r="25" spans="1:15" ht="15.75" x14ac:dyDescent="0.25">
      <c r="A25" s="393" t="s">
        <v>265</v>
      </c>
      <c r="B25" s="393"/>
      <c r="C25" s="393"/>
      <c r="D25" s="395"/>
      <c r="E25" s="1290"/>
      <c r="F25" s="1290"/>
      <c r="G25" s="395"/>
      <c r="H25" s="1290"/>
      <c r="I25" s="1290"/>
      <c r="J25" s="395"/>
      <c r="K25" s="1290"/>
      <c r="L25" s="1290"/>
      <c r="M25" s="395"/>
      <c r="N25" s="1290"/>
      <c r="O25" s="1290"/>
    </row>
    <row r="26" spans="1:15" ht="15.75" x14ac:dyDescent="0.25">
      <c r="A26" s="413" t="s">
        <v>307</v>
      </c>
      <c r="B26" s="393"/>
      <c r="C26" s="393"/>
      <c r="D26" s="395"/>
      <c r="E26" s="1290"/>
      <c r="F26" s="1290"/>
      <c r="G26" s="395"/>
      <c r="H26" s="1290"/>
      <c r="I26" s="1290"/>
      <c r="J26" s="395"/>
      <c r="K26" s="1290"/>
      <c r="L26" s="1290"/>
      <c r="M26" s="395"/>
      <c r="N26" s="1290"/>
      <c r="O26" s="1290"/>
    </row>
    <row r="27" spans="1:15" ht="15.75" x14ac:dyDescent="0.25">
      <c r="A27" s="414" t="s">
        <v>308</v>
      </c>
      <c r="B27" s="396"/>
      <c r="C27" s="396"/>
      <c r="D27" s="395"/>
      <c r="E27" s="1290"/>
      <c r="F27" s="1290"/>
      <c r="G27" s="395"/>
      <c r="H27" s="1290"/>
      <c r="I27" s="1290"/>
      <c r="J27" s="395"/>
      <c r="K27" s="1290"/>
      <c r="L27" s="1290"/>
      <c r="M27" s="395"/>
      <c r="N27" s="1290"/>
      <c r="O27" s="1290"/>
    </row>
    <row r="28" spans="1:15" x14ac:dyDescent="0.25">
      <c r="A28" s="397"/>
      <c r="B28" s="397"/>
      <c r="C28" s="397"/>
      <c r="D28" s="395"/>
      <c r="E28" s="1290"/>
      <c r="F28" s="1290"/>
      <c r="G28" s="395"/>
      <c r="H28" s="1290"/>
      <c r="I28" s="1290"/>
      <c r="J28" s="395"/>
      <c r="K28" s="1290"/>
      <c r="L28" s="1290"/>
      <c r="M28" s="395"/>
      <c r="N28" s="1290"/>
      <c r="O28" s="1290"/>
    </row>
    <row r="29" spans="1:15" x14ac:dyDescent="0.25">
      <c r="A29" s="397" t="s">
        <v>268</v>
      </c>
      <c r="B29" s="397"/>
      <c r="C29" s="397"/>
      <c r="D29" s="395"/>
      <c r="E29" s="1290"/>
      <c r="F29" s="1290"/>
      <c r="G29" s="395"/>
      <c r="H29" s="1290"/>
      <c r="I29" s="1290"/>
      <c r="J29" s="395"/>
      <c r="K29" s="1290"/>
      <c r="L29" s="1290"/>
      <c r="M29" s="395"/>
      <c r="N29" s="1290"/>
      <c r="O29" s="1290"/>
    </row>
    <row r="30" spans="1:15" ht="15" customHeight="1" x14ac:dyDescent="0.25">
      <c r="A30" s="1291" t="s">
        <v>269</v>
      </c>
      <c r="B30" s="1294" t="s">
        <v>270</v>
      </c>
      <c r="C30" s="1295"/>
      <c r="D30" s="1296" t="s">
        <v>271</v>
      </c>
      <c r="E30" s="415"/>
      <c r="F30" s="1298" t="s">
        <v>272</v>
      </c>
      <c r="G30" s="1299"/>
      <c r="H30" s="415"/>
      <c r="I30" s="1302" t="s">
        <v>273</v>
      </c>
      <c r="J30" s="1302"/>
      <c r="K30" s="1305"/>
      <c r="L30" s="1302" t="s">
        <v>274</v>
      </c>
      <c r="M30" s="1302"/>
      <c r="N30" s="415"/>
      <c r="O30" s="885" t="s">
        <v>325</v>
      </c>
    </row>
    <row r="31" spans="1:15" ht="15" customHeight="1" x14ac:dyDescent="0.25">
      <c r="A31" s="1292"/>
      <c r="B31" s="1291" t="s">
        <v>276</v>
      </c>
      <c r="C31" s="1291" t="s">
        <v>277</v>
      </c>
      <c r="D31" s="1297"/>
      <c r="E31" s="415"/>
      <c r="F31" s="1300"/>
      <c r="G31" s="1301"/>
      <c r="H31" s="415"/>
      <c r="I31" s="1303" t="s">
        <v>278</v>
      </c>
      <c r="J31" s="1303" t="s">
        <v>279</v>
      </c>
      <c r="K31" s="1305"/>
      <c r="L31" s="1303" t="s">
        <v>280</v>
      </c>
      <c r="M31" s="1303" t="s">
        <v>281</v>
      </c>
      <c r="N31" s="415"/>
      <c r="O31" s="398" t="s">
        <v>326</v>
      </c>
    </row>
    <row r="32" spans="1:15" x14ac:dyDescent="0.25">
      <c r="A32" s="1293"/>
      <c r="B32" s="1293"/>
      <c r="C32" s="1293"/>
      <c r="D32" s="399">
        <v>46054</v>
      </c>
      <c r="E32" s="415"/>
      <c r="F32" s="886" t="s">
        <v>283</v>
      </c>
      <c r="G32" s="884" t="s">
        <v>284</v>
      </c>
      <c r="H32" s="415"/>
      <c r="I32" s="1304"/>
      <c r="J32" s="1304"/>
      <c r="K32" s="1306"/>
      <c r="L32" s="1304"/>
      <c r="M32" s="1304"/>
      <c r="N32" s="415"/>
      <c r="O32" s="398"/>
    </row>
    <row r="33" spans="1:15" x14ac:dyDescent="0.25">
      <c r="A33" s="887" t="s">
        <v>285</v>
      </c>
      <c r="B33" s="888">
        <v>1</v>
      </c>
      <c r="C33" s="888">
        <v>1</v>
      </c>
      <c r="D33" s="889">
        <v>11500</v>
      </c>
      <c r="E33" s="395"/>
      <c r="F33" s="400">
        <v>33</v>
      </c>
      <c r="G33" s="400">
        <v>41</v>
      </c>
      <c r="H33" s="395"/>
      <c r="I33" s="890">
        <v>851000</v>
      </c>
      <c r="J33" s="890">
        <v>851000</v>
      </c>
      <c r="K33" s="891"/>
      <c r="L33" s="891" t="s">
        <v>327</v>
      </c>
      <c r="M33" s="891" t="s">
        <v>327</v>
      </c>
      <c r="N33" s="891"/>
      <c r="O33" s="891" t="s">
        <v>327</v>
      </c>
    </row>
    <row r="34" spans="1:15" x14ac:dyDescent="0.25">
      <c r="A34" s="402" t="s">
        <v>286</v>
      </c>
      <c r="B34" s="416">
        <v>0.93</v>
      </c>
      <c r="C34" s="416">
        <v>0.93</v>
      </c>
      <c r="D34" s="401">
        <v>11500</v>
      </c>
      <c r="E34" s="395"/>
      <c r="F34" s="400">
        <v>49</v>
      </c>
      <c r="G34" s="400">
        <v>48</v>
      </c>
      <c r="H34" s="395"/>
      <c r="I34" s="417">
        <v>1037415</v>
      </c>
      <c r="J34" s="417">
        <v>1037415</v>
      </c>
      <c r="K34" s="418"/>
      <c r="L34" s="418" t="s">
        <v>327</v>
      </c>
      <c r="M34" s="418" t="s">
        <v>327</v>
      </c>
      <c r="N34" s="418"/>
      <c r="O34" s="418" t="s">
        <v>327</v>
      </c>
    </row>
    <row r="35" spans="1:15" x14ac:dyDescent="0.25">
      <c r="A35" s="402" t="s">
        <v>287</v>
      </c>
      <c r="B35" s="416">
        <v>0.86</v>
      </c>
      <c r="C35" s="416">
        <v>0.86</v>
      </c>
      <c r="D35" s="401">
        <v>11500</v>
      </c>
      <c r="E35" s="395"/>
      <c r="F35" s="400">
        <v>50</v>
      </c>
      <c r="G35" s="400">
        <v>41</v>
      </c>
      <c r="H35" s="395"/>
      <c r="I35" s="417">
        <v>899990</v>
      </c>
      <c r="J35" s="417">
        <v>899990</v>
      </c>
      <c r="K35" s="418"/>
      <c r="L35" s="418" t="s">
        <v>327</v>
      </c>
      <c r="M35" s="418" t="s">
        <v>327</v>
      </c>
      <c r="N35" s="418"/>
      <c r="O35" s="418" t="s">
        <v>327</v>
      </c>
    </row>
    <row r="36" spans="1:15" x14ac:dyDescent="0.25">
      <c r="A36" s="402" t="s">
        <v>288</v>
      </c>
      <c r="B36" s="416">
        <v>0.79</v>
      </c>
      <c r="C36" s="416">
        <v>0.8</v>
      </c>
      <c r="D36" s="401">
        <v>11500</v>
      </c>
      <c r="E36" s="395"/>
      <c r="F36" s="400">
        <v>39</v>
      </c>
      <c r="G36" s="400">
        <v>61</v>
      </c>
      <c r="H36" s="395"/>
      <c r="I36" s="417">
        <v>908500</v>
      </c>
      <c r="J36" s="417">
        <v>920000</v>
      </c>
      <c r="K36" s="418"/>
      <c r="L36" s="417">
        <v>11500</v>
      </c>
      <c r="M36" s="417">
        <v>126500</v>
      </c>
      <c r="N36" s="418"/>
      <c r="O36" s="417">
        <v>138000</v>
      </c>
    </row>
    <row r="37" spans="1:15" x14ac:dyDescent="0.25">
      <c r="A37" s="402" t="s">
        <v>289</v>
      </c>
      <c r="B37" s="416">
        <v>0.72</v>
      </c>
      <c r="C37" s="416">
        <v>0.75</v>
      </c>
      <c r="D37" s="401">
        <v>11500</v>
      </c>
      <c r="E37" s="395"/>
      <c r="F37" s="400">
        <v>72</v>
      </c>
      <c r="G37" s="400">
        <v>51</v>
      </c>
      <c r="H37" s="395"/>
      <c r="I37" s="417">
        <v>1018440</v>
      </c>
      <c r="J37" s="417">
        <v>1060875</v>
      </c>
      <c r="K37" s="418"/>
      <c r="L37" s="417">
        <v>42435</v>
      </c>
      <c r="M37" s="417">
        <v>466785</v>
      </c>
      <c r="N37" s="418"/>
      <c r="O37" s="417">
        <v>509220</v>
      </c>
    </row>
    <row r="38" spans="1:15" x14ac:dyDescent="0.25">
      <c r="A38" s="402" t="s">
        <v>290</v>
      </c>
      <c r="B38" s="416">
        <v>0.65</v>
      </c>
      <c r="C38" s="416">
        <v>0.7</v>
      </c>
      <c r="D38" s="401">
        <v>11500</v>
      </c>
      <c r="E38" s="395"/>
      <c r="F38" s="400">
        <v>124</v>
      </c>
      <c r="G38" s="400">
        <v>40</v>
      </c>
      <c r="H38" s="395"/>
      <c r="I38" s="417">
        <v>1225900</v>
      </c>
      <c r="J38" s="417">
        <v>1320200</v>
      </c>
      <c r="K38" s="418"/>
      <c r="L38" s="417">
        <v>94300</v>
      </c>
      <c r="M38" s="417">
        <v>1037300</v>
      </c>
      <c r="N38" s="418"/>
      <c r="O38" s="417">
        <v>1131600</v>
      </c>
    </row>
    <row r="39" spans="1:15" x14ac:dyDescent="0.25">
      <c r="A39" s="402" t="s">
        <v>291</v>
      </c>
      <c r="B39" s="416">
        <v>0.57999999999999996</v>
      </c>
      <c r="C39" s="416">
        <v>0.65</v>
      </c>
      <c r="D39" s="401">
        <v>11500</v>
      </c>
      <c r="E39" s="395"/>
      <c r="F39" s="400">
        <v>100</v>
      </c>
      <c r="G39" s="400">
        <v>37</v>
      </c>
      <c r="H39" s="395"/>
      <c r="I39" s="417">
        <v>913790</v>
      </c>
      <c r="J39" s="417">
        <v>1024075</v>
      </c>
      <c r="K39" s="418"/>
      <c r="L39" s="417">
        <v>110285</v>
      </c>
      <c r="M39" s="417">
        <v>1213135</v>
      </c>
      <c r="N39" s="418"/>
      <c r="O39" s="417">
        <v>1323420</v>
      </c>
    </row>
    <row r="40" spans="1:15" x14ac:dyDescent="0.25">
      <c r="A40" s="402" t="s">
        <v>292</v>
      </c>
      <c r="B40" s="416">
        <v>0.51</v>
      </c>
      <c r="C40" s="416">
        <v>0.6</v>
      </c>
      <c r="D40" s="401">
        <v>11500</v>
      </c>
      <c r="E40" s="395"/>
      <c r="F40" s="400">
        <v>112</v>
      </c>
      <c r="G40" s="400">
        <v>40</v>
      </c>
      <c r="H40" s="395"/>
      <c r="I40" s="417">
        <v>891480</v>
      </c>
      <c r="J40" s="417">
        <v>1048800</v>
      </c>
      <c r="K40" s="418"/>
      <c r="L40" s="417">
        <v>157320</v>
      </c>
      <c r="M40" s="417">
        <v>1730520</v>
      </c>
      <c r="N40" s="418"/>
      <c r="O40" s="417">
        <v>1887840</v>
      </c>
    </row>
    <row r="41" spans="1:15" x14ac:dyDescent="0.25">
      <c r="A41" s="402" t="s">
        <v>293</v>
      </c>
      <c r="B41" s="416">
        <v>0.44</v>
      </c>
      <c r="C41" s="416">
        <v>0.56000000000000005</v>
      </c>
      <c r="D41" s="401">
        <v>11500</v>
      </c>
      <c r="E41" s="395"/>
      <c r="F41" s="400">
        <v>91</v>
      </c>
      <c r="G41" s="400">
        <v>41</v>
      </c>
      <c r="H41" s="395"/>
      <c r="I41" s="417">
        <v>667920</v>
      </c>
      <c r="J41" s="417">
        <v>850080</v>
      </c>
      <c r="K41" s="418"/>
      <c r="L41" s="417">
        <v>182160</v>
      </c>
      <c r="M41" s="417">
        <v>2003760</v>
      </c>
      <c r="N41" s="418"/>
      <c r="O41" s="417">
        <v>2185920</v>
      </c>
    </row>
    <row r="42" spans="1:15" x14ac:dyDescent="0.25">
      <c r="A42" s="419" t="s">
        <v>294</v>
      </c>
      <c r="B42" s="420">
        <v>0.35</v>
      </c>
      <c r="C42" s="420">
        <v>0.52</v>
      </c>
      <c r="D42" s="421">
        <v>11500</v>
      </c>
      <c r="E42" s="395"/>
      <c r="F42" s="422">
        <v>2308</v>
      </c>
      <c r="G42" s="423">
        <v>758</v>
      </c>
      <c r="H42" s="395"/>
      <c r="I42" s="424">
        <v>12340650</v>
      </c>
      <c r="J42" s="424">
        <v>18334680</v>
      </c>
      <c r="K42" s="425"/>
      <c r="L42" s="424">
        <v>5994030</v>
      </c>
      <c r="M42" s="424">
        <v>65934330</v>
      </c>
      <c r="N42" s="425"/>
      <c r="O42" s="424">
        <v>71928360</v>
      </c>
    </row>
    <row r="43" spans="1:15" x14ac:dyDescent="0.25">
      <c r="A43" s="402"/>
      <c r="B43" s="402"/>
      <c r="C43" s="402"/>
      <c r="D43" s="395"/>
      <c r="E43" s="1290"/>
      <c r="F43" s="1290"/>
      <c r="G43" s="395"/>
      <c r="H43" s="1290"/>
      <c r="I43" s="1290"/>
      <c r="J43" s="395"/>
      <c r="K43" s="1307"/>
      <c r="L43" s="1307"/>
      <c r="M43" s="395"/>
      <c r="N43" s="1307"/>
      <c r="O43" s="1307"/>
    </row>
    <row r="44" spans="1:15" x14ac:dyDescent="0.25">
      <c r="A44" s="402"/>
      <c r="B44" s="402"/>
      <c r="C44" s="402"/>
      <c r="D44" s="395"/>
      <c r="E44" s="395"/>
      <c r="F44" s="892">
        <v>2978</v>
      </c>
      <c r="G44" s="892">
        <v>1158</v>
      </c>
      <c r="H44" s="395"/>
      <c r="I44" s="893">
        <v>20755085</v>
      </c>
      <c r="J44" s="893">
        <v>27347115</v>
      </c>
      <c r="K44" s="395"/>
      <c r="L44" s="893">
        <v>6592030</v>
      </c>
      <c r="M44" s="893">
        <v>72512330</v>
      </c>
      <c r="N44" s="395"/>
      <c r="O44" s="893">
        <v>79104360</v>
      </c>
    </row>
    <row r="45" spans="1:15" x14ac:dyDescent="0.25">
      <c r="A45" s="397"/>
      <c r="B45" s="397"/>
      <c r="C45" s="397"/>
      <c r="D45" s="395"/>
      <c r="E45" s="1290"/>
      <c r="F45" s="1290"/>
      <c r="G45" s="395"/>
      <c r="H45" s="1290"/>
      <c r="I45" s="1290"/>
      <c r="J45" s="395"/>
      <c r="K45" s="1308" t="s">
        <v>328</v>
      </c>
      <c r="L45" s="1308"/>
      <c r="M45" s="426">
        <f>$M$44/($F$44+$G$44)*F44</f>
        <v>52210280.159574471</v>
      </c>
      <c r="O45" s="426">
        <f>$O$44/($F$44+$G$44)*F44</f>
        <v>56956669.26499033</v>
      </c>
    </row>
    <row r="46" spans="1:15" x14ac:dyDescent="0.25">
      <c r="A46" s="397"/>
      <c r="B46" s="397"/>
      <c r="C46" s="397"/>
      <c r="D46" s="395"/>
      <c r="E46" s="1290"/>
      <c r="F46" s="1290"/>
      <c r="G46" s="395"/>
      <c r="H46" s="1290"/>
      <c r="I46" s="1290"/>
      <c r="J46" s="395"/>
      <c r="K46" s="1308" t="s">
        <v>36</v>
      </c>
      <c r="L46" s="1308"/>
      <c r="M46" s="426">
        <f>$M$44/($F$44+$G$44)*G44</f>
        <v>20302049.840425532</v>
      </c>
      <c r="O46" s="426">
        <f>$O$44/($F$44+$G$44)*G44</f>
        <v>22147690.73500967</v>
      </c>
    </row>
    <row r="47" spans="1:15" x14ac:dyDescent="0.25">
      <c r="M47" s="14">
        <f>SUM(M45:M46)</f>
        <v>72512330</v>
      </c>
      <c r="O47" s="14">
        <f>SUM(O45:O46)</f>
        <v>79104360</v>
      </c>
    </row>
  </sheetData>
  <mergeCells count="54">
    <mergeCell ref="E46:F46"/>
    <mergeCell ref="H46:I46"/>
    <mergeCell ref="K46:L46"/>
    <mergeCell ref="E43:F43"/>
    <mergeCell ref="H43:I43"/>
    <mergeCell ref="K43:L43"/>
    <mergeCell ref="L31:L32"/>
    <mergeCell ref="K30:K32"/>
    <mergeCell ref="N43:O43"/>
    <mergeCell ref="E45:F45"/>
    <mergeCell ref="H45:I45"/>
    <mergeCell ref="K45:L45"/>
    <mergeCell ref="L30:M30"/>
    <mergeCell ref="M31:M32"/>
    <mergeCell ref="A30:A32"/>
    <mergeCell ref="B30:C30"/>
    <mergeCell ref="D30:D31"/>
    <mergeCell ref="F30:G31"/>
    <mergeCell ref="I30:J30"/>
    <mergeCell ref="B31:B32"/>
    <mergeCell ref="C31:C32"/>
    <mergeCell ref="I31:I32"/>
    <mergeCell ref="J31:J32"/>
    <mergeCell ref="E28:F28"/>
    <mergeCell ref="H28:I28"/>
    <mergeCell ref="K28:L28"/>
    <mergeCell ref="N28:O28"/>
    <mergeCell ref="E29:F29"/>
    <mergeCell ref="H29:I29"/>
    <mergeCell ref="K29:L29"/>
    <mergeCell ref="N29:O29"/>
    <mergeCell ref="E27:F27"/>
    <mergeCell ref="H27:I27"/>
    <mergeCell ref="K27:L27"/>
    <mergeCell ref="N27:O27"/>
    <mergeCell ref="I6:I7"/>
    <mergeCell ref="K6:K7"/>
    <mergeCell ref="K25:L25"/>
    <mergeCell ref="G6:G7"/>
    <mergeCell ref="N25:O25"/>
    <mergeCell ref="E26:F26"/>
    <mergeCell ref="H26:I26"/>
    <mergeCell ref="K26:L26"/>
    <mergeCell ref="N26:O26"/>
    <mergeCell ref="A9:A11"/>
    <mergeCell ref="A12:A14"/>
    <mergeCell ref="A15:A17"/>
    <mergeCell ref="E25:F25"/>
    <mergeCell ref="H25:I25"/>
    <mergeCell ref="A6:A8"/>
    <mergeCell ref="B6:B8"/>
    <mergeCell ref="C6:C7"/>
    <mergeCell ref="D6:D7"/>
    <mergeCell ref="F6:F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22D9-5593-4E28-96E6-708198C0EA95}">
  <dimension ref="A2:Z55"/>
  <sheetViews>
    <sheetView showGridLines="0" topLeftCell="K1" workbookViewId="0">
      <selection activeCell="H27" sqref="H27"/>
    </sheetView>
  </sheetViews>
  <sheetFormatPr defaultRowHeight="15" outlineLevelRow="1" x14ac:dyDescent="0.25"/>
  <cols>
    <col min="2" max="2" width="11.5703125" customWidth="1"/>
    <col min="3" max="3" width="22.42578125" customWidth="1"/>
    <col min="4" max="4" width="18.28515625" customWidth="1"/>
    <col min="5" max="7" width="15.5703125" customWidth="1"/>
    <col min="8" max="8" width="16.5703125" bestFit="1" customWidth="1"/>
    <col min="9" max="9" width="1" customWidth="1"/>
    <col min="10" max="13" width="16.5703125" customWidth="1"/>
    <col min="14" max="14" width="0.85546875" customWidth="1"/>
    <col min="15" max="15" width="23.7109375" customWidth="1"/>
    <col min="16" max="16" width="18" customWidth="1"/>
    <col min="17" max="18" width="18.5703125" customWidth="1"/>
    <col min="19" max="19" width="19.5703125" customWidth="1"/>
    <col min="20" max="21" width="15.5703125" customWidth="1"/>
    <col min="22" max="23" width="18" customWidth="1"/>
    <col min="24" max="24" width="19.28515625" customWidth="1"/>
    <col min="25" max="25" width="7.140625" customWidth="1"/>
    <col min="26" max="26" width="15.5703125" customWidth="1"/>
  </cols>
  <sheetData>
    <row r="2" spans="1:25" x14ac:dyDescent="0.25">
      <c r="C2" s="296"/>
      <c r="D2" s="296" t="s">
        <v>27</v>
      </c>
      <c r="E2" s="297" t="s">
        <v>194</v>
      </c>
    </row>
    <row r="3" spans="1:25" x14ac:dyDescent="0.25">
      <c r="C3" s="298">
        <v>2025</v>
      </c>
      <c r="D3" s="299">
        <v>0</v>
      </c>
      <c r="E3" s="300"/>
    </row>
    <row r="4" spans="1:25" x14ac:dyDescent="0.25">
      <c r="C4" s="298">
        <v>2026</v>
      </c>
      <c r="D4" s="299">
        <v>4</v>
      </c>
      <c r="E4" s="300"/>
    </row>
    <row r="7" spans="1:25" outlineLevel="1" x14ac:dyDescent="0.25">
      <c r="A7" s="304"/>
      <c r="B7" s="304"/>
      <c r="C7" s="304"/>
      <c r="D7" s="304"/>
      <c r="E7" s="304"/>
      <c r="F7" s="305"/>
      <c r="G7" s="305"/>
      <c r="H7" s="305"/>
      <c r="I7" s="306"/>
      <c r="J7" s="306"/>
      <c r="K7" s="306"/>
      <c r="L7" s="306"/>
      <c r="M7" s="306"/>
      <c r="N7" s="306"/>
      <c r="O7" s="305"/>
      <c r="P7" s="305"/>
      <c r="Q7" s="305"/>
      <c r="R7" s="304"/>
      <c r="S7" s="304"/>
      <c r="T7" s="304"/>
      <c r="U7" s="304"/>
      <c r="V7" s="304"/>
      <c r="W7" s="304"/>
      <c r="X7" s="304"/>
      <c r="Y7" s="304"/>
    </row>
    <row r="8" spans="1:25" outlineLevel="1" x14ac:dyDescent="0.25">
      <c r="A8" s="304" t="s">
        <v>197</v>
      </c>
      <c r="B8" s="304"/>
      <c r="C8" s="304"/>
      <c r="D8" s="304"/>
      <c r="E8" s="304"/>
    </row>
    <row r="9" spans="1:25" outlineLevel="1" x14ac:dyDescent="0.25">
      <c r="A9" s="307"/>
      <c r="B9" s="307"/>
      <c r="C9" s="307"/>
      <c r="D9" s="307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6"/>
      <c r="P9" s="309"/>
      <c r="Q9" s="309"/>
      <c r="R9" s="309"/>
      <c r="S9" s="307"/>
      <c r="T9" s="307"/>
      <c r="U9" s="307"/>
      <c r="V9" s="307"/>
      <c r="W9" s="307"/>
      <c r="X9" s="307"/>
      <c r="Y9" s="307"/>
    </row>
    <row r="10" spans="1:25" outlineLevel="1" x14ac:dyDescent="0.25">
      <c r="E10" s="1235" t="s">
        <v>297</v>
      </c>
      <c r="F10" s="1235"/>
      <c r="G10" s="1235"/>
      <c r="H10" s="1235"/>
      <c r="I10" s="310"/>
      <c r="J10" s="1235" t="s">
        <v>298</v>
      </c>
      <c r="K10" s="1235"/>
      <c r="L10" s="1235"/>
      <c r="M10" s="1235"/>
      <c r="N10" s="310"/>
      <c r="O10" s="311"/>
      <c r="P10" s="1235">
        <v>2025</v>
      </c>
      <c r="Q10" s="1235"/>
      <c r="R10" s="1235"/>
      <c r="S10" s="1235"/>
      <c r="U10" s="1235">
        <v>2026</v>
      </c>
      <c r="V10" s="1235"/>
      <c r="W10" s="1235"/>
      <c r="X10" s="1235"/>
    </row>
    <row r="11" spans="1:25" outlineLevel="1" x14ac:dyDescent="0.25">
      <c r="E11" s="312" t="s">
        <v>202</v>
      </c>
      <c r="F11" s="313" t="s">
        <v>203</v>
      </c>
      <c r="G11" s="313" t="s">
        <v>204</v>
      </c>
      <c r="H11" s="313" t="s">
        <v>205</v>
      </c>
      <c r="I11" s="314"/>
      <c r="J11" s="312" t="s">
        <v>202</v>
      </c>
      <c r="K11" s="313" t="s">
        <v>203</v>
      </c>
      <c r="L11" s="313" t="s">
        <v>204</v>
      </c>
      <c r="M11" s="313" t="s">
        <v>205</v>
      </c>
      <c r="N11" s="314"/>
      <c r="O11" s="311"/>
      <c r="P11" s="313" t="s">
        <v>202</v>
      </c>
      <c r="Q11" s="313" t="s">
        <v>203</v>
      </c>
      <c r="R11" s="312" t="s">
        <v>204</v>
      </c>
      <c r="S11" s="312" t="s">
        <v>205</v>
      </c>
      <c r="U11" s="312" t="s">
        <v>202</v>
      </c>
      <c r="V11" s="312" t="s">
        <v>203</v>
      </c>
      <c r="W11" s="312" t="s">
        <v>204</v>
      </c>
      <c r="X11" s="312" t="s">
        <v>205</v>
      </c>
    </row>
    <row r="12" spans="1:25" outlineLevel="1" x14ac:dyDescent="0.25">
      <c r="B12" s="1236" t="s">
        <v>299</v>
      </c>
      <c r="C12" s="1276" t="s">
        <v>207</v>
      </c>
      <c r="D12" s="1276"/>
      <c r="E12" s="315">
        <v>55122012.370001502</v>
      </c>
      <c r="F12" s="315">
        <v>83459874.160003498</v>
      </c>
      <c r="G12" s="315">
        <v>24439642.90999981</v>
      </c>
      <c r="H12" s="316">
        <f>E12+F12+G12</f>
        <v>163021529.44000483</v>
      </c>
      <c r="I12" s="317"/>
      <c r="J12" s="315">
        <f>E12</f>
        <v>55122012.370001502</v>
      </c>
      <c r="K12" s="315">
        <f t="shared" ref="K12:L19" si="0">F12</f>
        <v>83459874.160003498</v>
      </c>
      <c r="L12" s="315">
        <f t="shared" si="0"/>
        <v>24439642.90999981</v>
      </c>
      <c r="M12" s="316">
        <f>J12+K12+L12</f>
        <v>163021529.44000483</v>
      </c>
      <c r="N12" s="317"/>
      <c r="O12" s="318"/>
      <c r="P12" s="403">
        <v>55395409.239999995</v>
      </c>
      <c r="Q12" s="403">
        <v>88428762.5</v>
      </c>
      <c r="R12" s="403">
        <v>34289264.020000003</v>
      </c>
      <c r="S12" s="315">
        <f>P12+Q12+R12</f>
        <v>178113435.76000002</v>
      </c>
      <c r="T12" s="319">
        <f>S12/M12-1</f>
        <v>9.2576154645569897E-2</v>
      </c>
      <c r="U12" s="320">
        <v>60432615.619999982</v>
      </c>
      <c r="V12" s="320">
        <v>96550052.390000001</v>
      </c>
      <c r="W12" s="320">
        <v>37416819.100000009</v>
      </c>
      <c r="X12" s="315">
        <f>U12+V12+W12</f>
        <v>194399487.11000001</v>
      </c>
      <c r="Y12" s="319">
        <f>X12/S12-1</f>
        <v>9.1436399957747883E-2</v>
      </c>
    </row>
    <row r="13" spans="1:25" outlineLevel="1" x14ac:dyDescent="0.25">
      <c r="B13" s="1236"/>
      <c r="C13" s="1277" t="s">
        <v>208</v>
      </c>
      <c r="D13" s="1277"/>
      <c r="E13" s="315">
        <v>2976.09</v>
      </c>
      <c r="F13" s="315">
        <v>0</v>
      </c>
      <c r="G13" s="315">
        <v>0</v>
      </c>
      <c r="H13" s="316">
        <f>E13+F13+G13</f>
        <v>2976.09</v>
      </c>
      <c r="I13" s="317"/>
      <c r="J13" s="315">
        <f t="shared" ref="J13:J19" si="1">E13</f>
        <v>2976.09</v>
      </c>
      <c r="K13" s="315">
        <f t="shared" si="0"/>
        <v>0</v>
      </c>
      <c r="L13" s="315">
        <f t="shared" si="0"/>
        <v>0</v>
      </c>
      <c r="M13" s="316">
        <f t="shared" ref="M13:M19" si="2">J13+K13+L13</f>
        <v>2976.09</v>
      </c>
      <c r="N13" s="317"/>
      <c r="O13" s="318"/>
      <c r="P13" s="320">
        <f t="shared" ref="P13:R19" si="3">E13</f>
        <v>2976.09</v>
      </c>
      <c r="Q13" s="320">
        <f t="shared" si="3"/>
        <v>0</v>
      </c>
      <c r="R13" s="320">
        <f t="shared" si="3"/>
        <v>0</v>
      </c>
      <c r="S13" s="315">
        <f t="shared" ref="S13:S19" si="4">P13+Q13+R13</f>
        <v>2976.09</v>
      </c>
      <c r="T13" s="319">
        <f t="shared" ref="T13:T18" si="5">S13/H13-1</f>
        <v>0</v>
      </c>
      <c r="U13" s="320">
        <f>U12*E22</f>
        <v>3262.8145324825855</v>
      </c>
      <c r="V13" s="320">
        <f t="shared" ref="V13:W13" si="6">V12*F22</f>
        <v>0</v>
      </c>
      <c r="W13" s="320">
        <f t="shared" si="6"/>
        <v>0</v>
      </c>
      <c r="X13" s="315">
        <f>U13+V13+W13</f>
        <v>3262.8145324825855</v>
      </c>
      <c r="Y13" s="319">
        <f t="shared" ref="Y13" si="7">X13/S13-1</f>
        <v>9.63426954435469E-2</v>
      </c>
    </row>
    <row r="14" spans="1:25" outlineLevel="1" x14ac:dyDescent="0.25">
      <c r="B14" s="1236"/>
      <c r="C14" s="1278" t="s">
        <v>209</v>
      </c>
      <c r="D14" s="1278"/>
      <c r="E14" s="315">
        <v>0</v>
      </c>
      <c r="F14" s="315">
        <v>0</v>
      </c>
      <c r="G14" s="315">
        <v>0</v>
      </c>
      <c r="H14" s="316">
        <f t="shared" ref="H14:H19" si="8">E14+F14+G14</f>
        <v>0</v>
      </c>
      <c r="I14" s="317"/>
      <c r="J14" s="315">
        <f t="shared" si="1"/>
        <v>0</v>
      </c>
      <c r="K14" s="315">
        <f t="shared" si="0"/>
        <v>0</v>
      </c>
      <c r="L14" s="315">
        <f t="shared" si="0"/>
        <v>0</v>
      </c>
      <c r="M14" s="316">
        <f t="shared" si="2"/>
        <v>0</v>
      </c>
      <c r="N14" s="317"/>
      <c r="O14" s="318"/>
      <c r="P14" s="320">
        <f t="shared" si="3"/>
        <v>0</v>
      </c>
      <c r="Q14" s="320">
        <f t="shared" si="3"/>
        <v>0</v>
      </c>
      <c r="R14" s="320">
        <f t="shared" si="3"/>
        <v>0</v>
      </c>
      <c r="S14" s="315">
        <f t="shared" si="4"/>
        <v>0</v>
      </c>
      <c r="T14" s="319"/>
      <c r="U14" s="320">
        <f>P14</f>
        <v>0</v>
      </c>
      <c r="V14" s="320">
        <f t="shared" ref="V14:W17" si="9">Q14</f>
        <v>0</v>
      </c>
      <c r="W14" s="320">
        <f t="shared" si="9"/>
        <v>0</v>
      </c>
      <c r="X14" s="315">
        <f>U14+V14+W14</f>
        <v>0</v>
      </c>
      <c r="Y14" s="319"/>
    </row>
    <row r="15" spans="1:25" outlineLevel="1" x14ac:dyDescent="0.25">
      <c r="B15" s="1236"/>
      <c r="C15" s="1279" t="s">
        <v>300</v>
      </c>
      <c r="D15" s="1280"/>
      <c r="E15" s="315">
        <v>0</v>
      </c>
      <c r="F15" s="315">
        <v>0</v>
      </c>
      <c r="G15" s="315">
        <v>0</v>
      </c>
      <c r="H15" s="316">
        <f t="shared" si="8"/>
        <v>0</v>
      </c>
      <c r="I15" s="317"/>
      <c r="J15" s="315">
        <f t="shared" si="1"/>
        <v>0</v>
      </c>
      <c r="K15" s="315">
        <f t="shared" si="0"/>
        <v>0</v>
      </c>
      <c r="L15" s="315">
        <f t="shared" si="0"/>
        <v>0</v>
      </c>
      <c r="M15" s="316">
        <f t="shared" si="2"/>
        <v>0</v>
      </c>
      <c r="N15" s="317"/>
      <c r="O15" s="318"/>
      <c r="P15" s="320">
        <f t="shared" si="3"/>
        <v>0</v>
      </c>
      <c r="Q15" s="320">
        <f t="shared" si="3"/>
        <v>0</v>
      </c>
      <c r="R15" s="320">
        <f t="shared" si="3"/>
        <v>0</v>
      </c>
      <c r="S15" s="315">
        <f t="shared" si="4"/>
        <v>0</v>
      </c>
      <c r="T15" s="319"/>
      <c r="U15" s="320">
        <f>P15</f>
        <v>0</v>
      </c>
      <c r="V15" s="320">
        <f t="shared" si="9"/>
        <v>0</v>
      </c>
      <c r="W15" s="320">
        <f t="shared" si="9"/>
        <v>0</v>
      </c>
      <c r="X15" s="315">
        <f t="shared" ref="X15:X19" si="10">U15+V15+W15</f>
        <v>0</v>
      </c>
      <c r="Y15" s="319"/>
    </row>
    <row r="16" spans="1:25" outlineLevel="1" x14ac:dyDescent="0.25">
      <c r="B16" s="1236"/>
      <c r="C16" s="1240" t="s">
        <v>301</v>
      </c>
      <c r="D16" s="1281"/>
      <c r="E16" s="315">
        <v>0</v>
      </c>
      <c r="F16" s="315">
        <v>0</v>
      </c>
      <c r="G16" s="315">
        <v>0</v>
      </c>
      <c r="H16" s="316">
        <f t="shared" si="8"/>
        <v>0</v>
      </c>
      <c r="I16" s="317"/>
      <c r="J16" s="315">
        <f t="shared" si="1"/>
        <v>0</v>
      </c>
      <c r="K16" s="315">
        <f t="shared" si="0"/>
        <v>0</v>
      </c>
      <c r="L16" s="315">
        <f t="shared" si="0"/>
        <v>0</v>
      </c>
      <c r="M16" s="316">
        <f t="shared" si="2"/>
        <v>0</v>
      </c>
      <c r="N16" s="317"/>
      <c r="O16" s="318"/>
      <c r="P16" s="320">
        <f t="shared" si="3"/>
        <v>0</v>
      </c>
      <c r="Q16" s="320">
        <f t="shared" si="3"/>
        <v>0</v>
      </c>
      <c r="R16" s="320">
        <f t="shared" si="3"/>
        <v>0</v>
      </c>
      <c r="S16" s="315">
        <f t="shared" si="4"/>
        <v>0</v>
      </c>
      <c r="T16" s="319"/>
      <c r="U16" s="320">
        <f>P16</f>
        <v>0</v>
      </c>
      <c r="V16" s="320">
        <f t="shared" si="9"/>
        <v>0</v>
      </c>
      <c r="W16" s="320">
        <f t="shared" si="9"/>
        <v>0</v>
      </c>
      <c r="X16" s="315">
        <f t="shared" si="10"/>
        <v>0</v>
      </c>
      <c r="Y16" s="319"/>
    </row>
    <row r="17" spans="2:26" outlineLevel="1" x14ac:dyDescent="0.25">
      <c r="B17" s="1236"/>
      <c r="C17" s="1282" t="s">
        <v>212</v>
      </c>
      <c r="D17" s="1280"/>
      <c r="E17" s="315">
        <v>0</v>
      </c>
      <c r="F17" s="315">
        <v>60399.740000000005</v>
      </c>
      <c r="G17" s="315">
        <v>774.3</v>
      </c>
      <c r="H17" s="316">
        <f t="shared" si="8"/>
        <v>61174.040000000008</v>
      </c>
      <c r="I17" s="317"/>
      <c r="J17" s="315">
        <f t="shared" si="1"/>
        <v>0</v>
      </c>
      <c r="K17" s="315">
        <f t="shared" si="0"/>
        <v>60399.740000000005</v>
      </c>
      <c r="L17" s="315">
        <f t="shared" si="0"/>
        <v>774.3</v>
      </c>
      <c r="M17" s="316">
        <f t="shared" si="2"/>
        <v>61174.040000000008</v>
      </c>
      <c r="N17" s="317"/>
      <c r="O17" s="318"/>
      <c r="P17" s="320">
        <f t="shared" si="3"/>
        <v>0</v>
      </c>
      <c r="Q17" s="320">
        <f t="shared" si="3"/>
        <v>60399.740000000005</v>
      </c>
      <c r="R17" s="320">
        <f t="shared" si="3"/>
        <v>774.3</v>
      </c>
      <c r="S17" s="315">
        <f>P17+Q17+R17</f>
        <v>61174.040000000008</v>
      </c>
      <c r="T17" s="319"/>
      <c r="U17" s="320">
        <f>P17</f>
        <v>0</v>
      </c>
      <c r="V17" s="320">
        <f t="shared" si="9"/>
        <v>60399.740000000005</v>
      </c>
      <c r="W17" s="320">
        <f t="shared" si="9"/>
        <v>774.3</v>
      </c>
      <c r="X17" s="315">
        <f t="shared" si="10"/>
        <v>61174.040000000008</v>
      </c>
      <c r="Y17" s="319"/>
    </row>
    <row r="18" spans="2:26" outlineLevel="1" x14ac:dyDescent="0.25">
      <c r="B18" s="1236"/>
      <c r="C18" s="1277" t="s">
        <v>213</v>
      </c>
      <c r="D18" s="1280"/>
      <c r="E18" s="315">
        <v>1319563.68</v>
      </c>
      <c r="F18" s="315">
        <v>0</v>
      </c>
      <c r="G18" s="315">
        <v>0</v>
      </c>
      <c r="H18" s="316">
        <f t="shared" si="8"/>
        <v>1319563.68</v>
      </c>
      <c r="I18" s="317"/>
      <c r="J18" s="315">
        <f t="shared" si="1"/>
        <v>1319563.68</v>
      </c>
      <c r="K18" s="315">
        <f t="shared" si="0"/>
        <v>0</v>
      </c>
      <c r="L18" s="315">
        <f t="shared" si="0"/>
        <v>0</v>
      </c>
      <c r="M18" s="316">
        <f t="shared" si="2"/>
        <v>1319563.68</v>
      </c>
      <c r="N18" s="317"/>
      <c r="O18" s="318"/>
      <c r="P18" s="320">
        <f t="shared" si="3"/>
        <v>1319563.68</v>
      </c>
      <c r="Q18" s="320">
        <f t="shared" si="3"/>
        <v>0</v>
      </c>
      <c r="R18" s="320">
        <f t="shared" si="3"/>
        <v>0</v>
      </c>
      <c r="S18" s="315">
        <f t="shared" si="4"/>
        <v>1319563.68</v>
      </c>
      <c r="T18" s="319">
        <f t="shared" si="5"/>
        <v>0</v>
      </c>
      <c r="U18" s="320">
        <f>U12*E23</f>
        <v>1446694.0017406058</v>
      </c>
      <c r="V18" s="320"/>
      <c r="W18" s="320"/>
      <c r="X18" s="315">
        <f t="shared" si="10"/>
        <v>1446694.0017406058</v>
      </c>
      <c r="Y18" s="319">
        <f>X18/S18-1</f>
        <v>9.63426954435469E-2</v>
      </c>
    </row>
    <row r="19" spans="2:26" outlineLevel="1" x14ac:dyDescent="0.25">
      <c r="B19" s="1236"/>
      <c r="C19" s="1276" t="s">
        <v>214</v>
      </c>
      <c r="D19" s="1276"/>
      <c r="E19" s="315">
        <v>387364.64999999851</v>
      </c>
      <c r="F19" s="315">
        <v>2859908.2600000203</v>
      </c>
      <c r="G19" s="315">
        <v>325056.14999999851</v>
      </c>
      <c r="H19" s="316">
        <f t="shared" si="8"/>
        <v>3572329.0600000173</v>
      </c>
      <c r="I19" s="317"/>
      <c r="J19" s="315">
        <f t="shared" si="1"/>
        <v>387364.64999999851</v>
      </c>
      <c r="K19" s="315">
        <f t="shared" si="0"/>
        <v>2859908.2600000203</v>
      </c>
      <c r="L19" s="315">
        <f t="shared" si="0"/>
        <v>325056.14999999851</v>
      </c>
      <c r="M19" s="316">
        <f t="shared" si="2"/>
        <v>3572329.0600000173</v>
      </c>
      <c r="N19" s="317"/>
      <c r="O19" s="318"/>
      <c r="P19" s="320">
        <f t="shared" si="3"/>
        <v>387364.64999999851</v>
      </c>
      <c r="Q19" s="320">
        <f t="shared" si="3"/>
        <v>2859908.2600000203</v>
      </c>
      <c r="R19" s="320">
        <f t="shared" si="3"/>
        <v>325056.14999999851</v>
      </c>
      <c r="S19" s="315">
        <f t="shared" si="4"/>
        <v>3572329.0600000173</v>
      </c>
      <c r="T19" s="319"/>
      <c r="U19" s="320">
        <f>P19</f>
        <v>387364.64999999851</v>
      </c>
      <c r="V19" s="320">
        <f t="shared" ref="V19:W19" si="11">Q19</f>
        <v>2859908.2600000203</v>
      </c>
      <c r="W19" s="320">
        <f t="shared" si="11"/>
        <v>325056.14999999851</v>
      </c>
      <c r="X19" s="315">
        <f t="shared" si="10"/>
        <v>3572329.0600000173</v>
      </c>
      <c r="Y19" s="319"/>
    </row>
    <row r="20" spans="2:26" outlineLevel="1" x14ac:dyDescent="0.25">
      <c r="B20" s="1236"/>
      <c r="C20" s="1244" t="s">
        <v>172</v>
      </c>
      <c r="D20" s="1244" t="s">
        <v>172</v>
      </c>
      <c r="E20" s="316">
        <f>SUM(E12:E19)</f>
        <v>56831916.790001504</v>
      </c>
      <c r="F20" s="316">
        <f>SUM(F12:F19)</f>
        <v>86380182.160003513</v>
      </c>
      <c r="G20" s="316">
        <f>SUM(G12:G19)</f>
        <v>24765473.359999809</v>
      </c>
      <c r="H20" s="316">
        <f>SUM(H12:H19)</f>
        <v>167977572.31000483</v>
      </c>
      <c r="I20" s="317"/>
      <c r="J20" s="316">
        <f t="shared" ref="J20:M20" si="12">SUM(J12:J19)</f>
        <v>56831916.790001504</v>
      </c>
      <c r="K20" s="316">
        <f t="shared" si="12"/>
        <v>86380182.160003513</v>
      </c>
      <c r="L20" s="316">
        <f t="shared" si="12"/>
        <v>24765473.359999809</v>
      </c>
      <c r="M20" s="316">
        <f t="shared" si="12"/>
        <v>167977572.31000483</v>
      </c>
      <c r="N20" s="317"/>
      <c r="O20" s="318"/>
      <c r="P20" s="323">
        <f>SUM(P12:P19)</f>
        <v>57105313.659999996</v>
      </c>
      <c r="Q20" s="323">
        <f t="shared" ref="Q20:S20" si="13">SUM(Q12:Q19)</f>
        <v>91349070.500000015</v>
      </c>
      <c r="R20" s="323">
        <f t="shared" si="13"/>
        <v>34615094.469999999</v>
      </c>
      <c r="S20" s="323">
        <f t="shared" si="13"/>
        <v>183069478.63000005</v>
      </c>
      <c r="T20" s="324">
        <f>S20/M20-1</f>
        <v>8.9844769825241366E-2</v>
      </c>
      <c r="U20" s="323">
        <f>SUM(U12:U19)</f>
        <v>62269937.086273067</v>
      </c>
      <c r="V20" s="323">
        <f t="shared" ref="V20:X20" si="14">SUM(V12:V19)</f>
        <v>99470360.390000015</v>
      </c>
      <c r="W20" s="323">
        <f t="shared" si="14"/>
        <v>37742649.550000004</v>
      </c>
      <c r="X20" s="323">
        <f t="shared" si="14"/>
        <v>199482947.02627313</v>
      </c>
      <c r="Y20" s="319">
        <f>X20/S20-1</f>
        <v>8.9657044522676532E-2</v>
      </c>
    </row>
    <row r="21" spans="2:26" outlineLevel="1" x14ac:dyDescent="0.25">
      <c r="B21" s="1236"/>
      <c r="F21" s="318"/>
      <c r="G21" s="311"/>
      <c r="H21" s="311"/>
      <c r="I21" s="311"/>
      <c r="J21" s="311"/>
      <c r="K21" s="311"/>
      <c r="L21" s="311"/>
      <c r="M21" s="311"/>
      <c r="N21" s="311"/>
      <c r="O21" s="311"/>
      <c r="P21" s="306"/>
      <c r="Q21" s="306"/>
      <c r="R21" s="325"/>
      <c r="S21" s="324"/>
      <c r="T21" s="325"/>
      <c r="U21" s="325"/>
      <c r="V21" s="325"/>
      <c r="W21" s="325"/>
      <c r="X21" s="324">
        <f>X20/S20-1</f>
        <v>8.9657044522676532E-2</v>
      </c>
    </row>
    <row r="22" spans="2:26" outlineLevel="1" x14ac:dyDescent="0.25">
      <c r="B22" s="1236"/>
      <c r="D22" s="326" t="s">
        <v>215</v>
      </c>
      <c r="E22" s="327">
        <v>5.399095337853898E-5</v>
      </c>
      <c r="F22" s="327">
        <v>0</v>
      </c>
      <c r="G22" s="327">
        <v>0</v>
      </c>
      <c r="H22" s="311"/>
      <c r="I22" s="311"/>
      <c r="J22" s="311"/>
      <c r="K22" s="311"/>
      <c r="L22" s="311"/>
      <c r="M22" s="311"/>
      <c r="N22" s="311"/>
      <c r="O22" s="311"/>
      <c r="P22" s="328">
        <v>0</v>
      </c>
      <c r="Q22" s="328">
        <v>0</v>
      </c>
      <c r="R22" s="328">
        <v>0</v>
      </c>
      <c r="S22" s="329">
        <f>SUM(P22:R22)</f>
        <v>0</v>
      </c>
      <c r="U22" s="328">
        <f>U20-P20</f>
        <v>5164623.4262730703</v>
      </c>
      <c r="V22" s="328">
        <f>V20-Q20</f>
        <v>8121289.8900000006</v>
      </c>
      <c r="W22" s="328">
        <f>W20-R20</f>
        <v>3127555.0800000057</v>
      </c>
      <c r="X22" s="329">
        <f t="shared" ref="X22:X29" si="15">SUM(U22:W22)</f>
        <v>16413468.396273077</v>
      </c>
    </row>
    <row r="23" spans="2:26" outlineLevel="1" x14ac:dyDescent="0.25">
      <c r="B23" s="1236"/>
      <c r="D23" s="326" t="s">
        <v>216</v>
      </c>
      <c r="E23" s="327">
        <v>2.3938960557944592E-2</v>
      </c>
      <c r="F23" s="330"/>
      <c r="G23" s="330"/>
      <c r="H23" s="311"/>
      <c r="I23" s="311"/>
      <c r="J23" s="311"/>
      <c r="K23" s="311"/>
      <c r="L23" s="311"/>
      <c r="M23" s="311"/>
      <c r="N23" s="311"/>
      <c r="O23" s="331" t="s">
        <v>217</v>
      </c>
      <c r="P23" s="332">
        <f>P22*(14-$D$3)+P22*0.33*(14-$D$3)/13</f>
        <v>0</v>
      </c>
      <c r="Q23" s="332">
        <f>Q22*(14-$D$3)</f>
        <v>0</v>
      </c>
      <c r="R23" s="332">
        <f>R22*(14-$D$3)</f>
        <v>0</v>
      </c>
      <c r="S23" s="333">
        <f t="shared" ref="S23:S29" si="16">SUM(P23:R23)</f>
        <v>0</v>
      </c>
      <c r="U23" s="332">
        <f>U22*(14-$D$4)+U22*0.33*(14-$D$4)/13</f>
        <v>52957254.055553868</v>
      </c>
      <c r="V23" s="332">
        <f>V22*(14-$D$4)</f>
        <v>81212898.900000006</v>
      </c>
      <c r="W23" s="332">
        <f>W22*(14-$D$4)</f>
        <v>31275550.800000057</v>
      </c>
      <c r="X23" s="333">
        <f t="shared" si="15"/>
        <v>165445703.75555393</v>
      </c>
    </row>
    <row r="24" spans="2:26" outlineLevel="1" x14ac:dyDescent="0.25">
      <c r="B24" s="1236"/>
      <c r="D24" s="326" t="s">
        <v>218</v>
      </c>
      <c r="E24" s="327">
        <v>2.4031989273326011E-2</v>
      </c>
      <c r="F24" s="330"/>
      <c r="G24" s="330"/>
      <c r="H24" s="311"/>
      <c r="I24" s="311"/>
      <c r="J24" s="318"/>
      <c r="K24" s="318"/>
      <c r="L24" s="318"/>
      <c r="M24" s="318"/>
      <c r="N24" s="311"/>
      <c r="O24" s="331" t="s">
        <v>219</v>
      </c>
      <c r="P24" s="332">
        <f>P23*$E$24</f>
        <v>0</v>
      </c>
      <c r="Q24" s="332"/>
      <c r="R24" s="332"/>
      <c r="S24" s="333">
        <f t="shared" si="16"/>
        <v>0</v>
      </c>
      <c r="U24" s="332">
        <f>U23*$E$22</f>
        <v>2859.2126347688531</v>
      </c>
      <c r="V24" s="332"/>
      <c r="W24" s="332"/>
      <c r="X24" s="333">
        <f t="shared" si="15"/>
        <v>2859.2126347688531</v>
      </c>
    </row>
    <row r="25" spans="2:26" outlineLevel="1" x14ac:dyDescent="0.25">
      <c r="B25" s="1236"/>
      <c r="D25" s="326" t="s">
        <v>220</v>
      </c>
      <c r="E25" s="327">
        <v>0.17882330445113412</v>
      </c>
      <c r="F25" s="330"/>
      <c r="G25" s="330"/>
      <c r="H25" s="311"/>
      <c r="I25" s="311"/>
      <c r="J25" s="318"/>
      <c r="K25" s="318"/>
      <c r="L25" s="318"/>
      <c r="M25" s="318"/>
      <c r="N25" s="311"/>
      <c r="O25" s="331" t="s">
        <v>221</v>
      </c>
      <c r="P25" s="332">
        <f>P23*$E$25</f>
        <v>0</v>
      </c>
      <c r="Q25" s="332"/>
      <c r="R25" s="332"/>
      <c r="S25" s="333">
        <f t="shared" si="16"/>
        <v>0</v>
      </c>
      <c r="U25" s="332">
        <f>U23*$E$25</f>
        <v>9469991.1648723669</v>
      </c>
      <c r="V25" s="332"/>
      <c r="W25" s="332"/>
      <c r="X25" s="333">
        <f t="shared" si="15"/>
        <v>9469991.1648723669</v>
      </c>
    </row>
    <row r="26" spans="2:26" outlineLevel="1" x14ac:dyDescent="0.25">
      <c r="B26" s="1236"/>
      <c r="F26" s="318"/>
      <c r="G26" s="318"/>
      <c r="H26" s="311"/>
      <c r="I26" s="311"/>
      <c r="J26" s="318"/>
      <c r="K26" s="318"/>
      <c r="L26" s="318"/>
      <c r="M26" s="318"/>
      <c r="N26" s="311"/>
      <c r="O26" s="334" t="s">
        <v>222</v>
      </c>
      <c r="P26" s="333">
        <f>SUM(P23:P25)</f>
        <v>0</v>
      </c>
      <c r="Q26" s="333">
        <f>SUM(Q23:Q25)</f>
        <v>0</v>
      </c>
      <c r="R26" s="333">
        <f>SUM(R23:R25)</f>
        <v>0</v>
      </c>
      <c r="S26" s="335">
        <f>SUM(P26:R26)</f>
        <v>0</v>
      </c>
      <c r="U26" s="333">
        <f>SUM(U23:U25)</f>
        <v>62430104.433061004</v>
      </c>
      <c r="V26" s="333">
        <f>SUM(V23:V25)</f>
        <v>81212898.900000006</v>
      </c>
      <c r="W26" s="333">
        <f>SUM(W23:W25)</f>
        <v>31275550.800000057</v>
      </c>
      <c r="X26" s="335">
        <f t="shared" si="15"/>
        <v>174918554.13306105</v>
      </c>
    </row>
    <row r="27" spans="2:26" outlineLevel="1" x14ac:dyDescent="0.25">
      <c r="B27" s="1236"/>
      <c r="F27" s="336"/>
      <c r="G27" s="336"/>
      <c r="H27" s="311"/>
      <c r="I27" s="311"/>
      <c r="J27" s="318"/>
      <c r="K27" s="318"/>
      <c r="L27" s="318"/>
      <c r="M27" s="318"/>
      <c r="N27" s="311"/>
      <c r="O27" s="404" t="s">
        <v>302</v>
      </c>
      <c r="P27" s="337">
        <f>P22*13.33</f>
        <v>0</v>
      </c>
      <c r="Q27" s="337">
        <f>Q22*13</f>
        <v>0</v>
      </c>
      <c r="R27" s="337">
        <f>R22*13</f>
        <v>0</v>
      </c>
      <c r="S27" s="338">
        <f t="shared" si="16"/>
        <v>0</v>
      </c>
      <c r="U27" s="337">
        <f>U22*13.33</f>
        <v>68844430.27222003</v>
      </c>
      <c r="V27" s="337">
        <f>V22*13</f>
        <v>105576768.57000001</v>
      </c>
      <c r="W27" s="337">
        <f>W22*13</f>
        <v>40658216.040000074</v>
      </c>
      <c r="X27" s="338">
        <f t="shared" si="15"/>
        <v>215079414.88222012</v>
      </c>
    </row>
    <row r="28" spans="2:26" outlineLevel="1" x14ac:dyDescent="0.25">
      <c r="B28" s="1236"/>
      <c r="E28" s="327"/>
      <c r="F28" s="327"/>
      <c r="G28" s="327"/>
      <c r="H28" s="311"/>
      <c r="I28" s="311"/>
      <c r="J28" s="318"/>
      <c r="K28" s="318"/>
      <c r="L28" s="318"/>
      <c r="M28" s="318"/>
      <c r="N28" s="311"/>
      <c r="O28" s="404" t="s">
        <v>303</v>
      </c>
      <c r="P28" s="337">
        <f>P27*$E$24</f>
        <v>0</v>
      </c>
      <c r="Q28" s="337"/>
      <c r="R28" s="337"/>
      <c r="S28" s="338">
        <f t="shared" si="16"/>
        <v>0</v>
      </c>
      <c r="U28" s="337">
        <f>U27*$E$22</f>
        <v>3716.9764251995093</v>
      </c>
      <c r="V28" s="337"/>
      <c r="W28" s="337"/>
      <c r="X28" s="338">
        <f t="shared" si="15"/>
        <v>3716.9764251995093</v>
      </c>
    </row>
    <row r="29" spans="2:26" outlineLevel="1" x14ac:dyDescent="0.25">
      <c r="B29" s="1236"/>
      <c r="F29" s="311"/>
      <c r="G29" s="311"/>
      <c r="H29" s="311"/>
      <c r="I29" s="311"/>
      <c r="J29" s="318"/>
      <c r="K29" s="318"/>
      <c r="L29" s="318"/>
      <c r="M29" s="318"/>
      <c r="N29" s="311"/>
      <c r="O29" s="404" t="s">
        <v>304</v>
      </c>
      <c r="P29" s="337">
        <f>P27*$E$25</f>
        <v>0</v>
      </c>
      <c r="Q29" s="337"/>
      <c r="R29" s="337"/>
      <c r="S29" s="338">
        <f t="shared" si="16"/>
        <v>0</v>
      </c>
      <c r="U29" s="337">
        <f>U27*$E$25</f>
        <v>12310988.514334077</v>
      </c>
      <c r="V29" s="337"/>
      <c r="W29" s="337"/>
      <c r="X29" s="338">
        <f t="shared" si="15"/>
        <v>12310988.514334077</v>
      </c>
    </row>
    <row r="30" spans="2:26" outlineLevel="1" x14ac:dyDescent="0.25">
      <c r="B30" s="1236"/>
      <c r="F30" s="311"/>
      <c r="G30" s="311"/>
      <c r="H30" s="311"/>
      <c r="I30" s="311"/>
      <c r="J30" s="318"/>
      <c r="K30" s="318"/>
      <c r="L30" s="318"/>
      <c r="M30" s="318"/>
      <c r="N30" s="311"/>
      <c r="O30" s="405" t="s">
        <v>305</v>
      </c>
      <c r="P30" s="338">
        <f>SUM(P27:P29)</f>
        <v>0</v>
      </c>
      <c r="Q30" s="338">
        <f>SUM(Q27:Q29)</f>
        <v>0</v>
      </c>
      <c r="R30" s="338">
        <f>SUM(R27:R29)</f>
        <v>0</v>
      </c>
      <c r="S30" s="335">
        <f>SUM(S27:S29)</f>
        <v>0</v>
      </c>
      <c r="U30" s="338">
        <f>SUM(U27:U29)</f>
        <v>81159135.762979314</v>
      </c>
      <c r="V30" s="338">
        <f>SUM(V27:V29)</f>
        <v>105576768.57000001</v>
      </c>
      <c r="W30" s="338">
        <f>SUM(W27:W29)</f>
        <v>40658216.040000074</v>
      </c>
      <c r="X30" s="335">
        <f>SUM(X27:X29)</f>
        <v>227394120.3729794</v>
      </c>
    </row>
    <row r="31" spans="2:26" outlineLevel="1" x14ac:dyDescent="0.25">
      <c r="F31" s="311"/>
      <c r="G31" s="311"/>
      <c r="H31" s="311"/>
      <c r="I31" s="311"/>
      <c r="J31" s="318"/>
      <c r="K31" s="318"/>
      <c r="L31" s="318"/>
      <c r="M31" s="318"/>
      <c r="N31" s="311"/>
      <c r="O31" s="311"/>
      <c r="P31" s="311"/>
      <c r="Q31" s="311"/>
    </row>
    <row r="32" spans="2:26" outlineLevel="1" x14ac:dyDescent="0.25">
      <c r="F32" s="311"/>
      <c r="G32" s="311"/>
      <c r="H32" s="311"/>
      <c r="I32" s="311"/>
      <c r="J32" s="318"/>
      <c r="K32" s="318"/>
      <c r="L32" s="318"/>
      <c r="M32" s="318"/>
      <c r="N32" s="311"/>
      <c r="O32" s="340" t="s">
        <v>306</v>
      </c>
      <c r="P32" s="328">
        <f>E20</f>
        <v>56831916.790001504</v>
      </c>
      <c r="Q32" s="328">
        <f>F20</f>
        <v>86380182.160003513</v>
      </c>
      <c r="R32" s="328">
        <f>G20</f>
        <v>24765473.359999809</v>
      </c>
      <c r="S32" s="329">
        <f t="shared" ref="S32" si="17">SUM(P32:R32)</f>
        <v>167977572.31000483</v>
      </c>
      <c r="U32" s="339"/>
      <c r="V32" s="339"/>
      <c r="W32" s="339"/>
      <c r="X32" s="339"/>
      <c r="Y32" s="339"/>
      <c r="Z32" s="339"/>
    </row>
    <row r="33" spans="6:26" outlineLevel="1" x14ac:dyDescent="0.25">
      <c r="F33" s="311"/>
      <c r="G33" s="311"/>
      <c r="H33" s="311"/>
      <c r="I33" s="311"/>
      <c r="J33" s="311"/>
      <c r="K33" s="311"/>
      <c r="L33" s="311"/>
      <c r="M33" s="311"/>
      <c r="N33" s="311"/>
      <c r="O33" s="331" t="s">
        <v>217</v>
      </c>
      <c r="P33" s="332">
        <f>P32*(14-1)+P32*0.33*(14-1)/13</f>
        <v>757569450.81072009</v>
      </c>
      <c r="Q33" s="332">
        <f>Q32*(14-1)</f>
        <v>1122942368.0800457</v>
      </c>
      <c r="R33" s="332">
        <f>R32*(14-1)</f>
        <v>321951153.6799975</v>
      </c>
      <c r="S33" s="333">
        <f>SUM(P33:R33)</f>
        <v>2202462972.5707631</v>
      </c>
      <c r="U33" s="339"/>
      <c r="V33" s="339"/>
      <c r="W33" s="339"/>
      <c r="X33" s="339"/>
      <c r="Y33" s="339"/>
      <c r="Z33" s="339"/>
    </row>
    <row r="34" spans="6:26" outlineLevel="1" x14ac:dyDescent="0.25">
      <c r="F34" s="311"/>
      <c r="G34" s="311"/>
      <c r="H34" s="311"/>
      <c r="I34" s="311"/>
      <c r="J34" s="311"/>
      <c r="K34" s="311"/>
      <c r="L34" s="311"/>
      <c r="M34" s="311"/>
      <c r="N34" s="311"/>
      <c r="O34" s="331" t="s">
        <v>219</v>
      </c>
      <c r="P34" s="332">
        <f>P33*$E$22</f>
        <v>40901.896899726969</v>
      </c>
      <c r="Q34" s="332"/>
      <c r="R34" s="332"/>
      <c r="S34" s="333">
        <f t="shared" ref="S34:S35" si="18">SUM(P34:R34)</f>
        <v>40901.896899726969</v>
      </c>
      <c r="U34" s="339"/>
      <c r="V34" s="339"/>
      <c r="W34" s="339"/>
      <c r="X34" s="339"/>
      <c r="Y34" s="339"/>
      <c r="Z34" s="339"/>
    </row>
    <row r="35" spans="6:26" outlineLevel="1" x14ac:dyDescent="0.25">
      <c r="F35" s="311"/>
      <c r="G35" s="311"/>
      <c r="H35" s="311"/>
      <c r="I35" s="311"/>
      <c r="J35" s="311"/>
      <c r="K35" s="311"/>
      <c r="L35" s="311"/>
      <c r="M35" s="311"/>
      <c r="N35" s="311"/>
      <c r="O35" s="331" t="s">
        <v>221</v>
      </c>
      <c r="P35" s="332">
        <f>P33*$E$25</f>
        <v>135471072.54520386</v>
      </c>
      <c r="Q35" s="332"/>
      <c r="R35" s="332"/>
      <c r="S35" s="333">
        <f t="shared" si="18"/>
        <v>135471072.54520386</v>
      </c>
      <c r="U35" s="339"/>
      <c r="V35" s="339"/>
      <c r="W35" s="339"/>
      <c r="X35" s="339"/>
      <c r="Y35" s="339"/>
      <c r="Z35" s="339"/>
    </row>
    <row r="36" spans="6:26" outlineLevel="1" x14ac:dyDescent="0.25">
      <c r="F36" s="311"/>
      <c r="G36" s="311"/>
      <c r="H36" s="311"/>
      <c r="I36" s="311"/>
      <c r="J36" s="311"/>
      <c r="K36" s="311"/>
      <c r="L36" s="311"/>
      <c r="M36" s="311"/>
      <c r="N36" s="311"/>
      <c r="O36" s="334" t="s">
        <v>222</v>
      </c>
      <c r="P36" s="333">
        <f>SUM(P33:P35)</f>
        <v>893081425.25282359</v>
      </c>
      <c r="Q36" s="333">
        <f>SUM(Q33:Q35)</f>
        <v>1122942368.0800457</v>
      </c>
      <c r="R36" s="333">
        <f>SUM(R33:R35)</f>
        <v>321951153.6799975</v>
      </c>
      <c r="S36" s="341">
        <f>SUM(P36:R36)</f>
        <v>2337974947.012867</v>
      </c>
    </row>
    <row r="37" spans="6:26" x14ac:dyDescent="0.25">
      <c r="U37" s="339"/>
      <c r="V37" s="339"/>
      <c r="W37" s="339"/>
      <c r="X37" s="339"/>
      <c r="Y37" s="339"/>
      <c r="Z37" s="339"/>
    </row>
    <row r="38" spans="6:26" x14ac:dyDescent="0.25">
      <c r="P38" s="427">
        <v>369199864.70000005</v>
      </c>
      <c r="Q38" s="427">
        <v>498276031.23000008</v>
      </c>
      <c r="R38" s="427">
        <v>295921564.22000003</v>
      </c>
      <c r="S38" s="427">
        <v>1163397460.1500001</v>
      </c>
    </row>
    <row r="39" spans="6:26" x14ac:dyDescent="0.25">
      <c r="P39" s="427">
        <v>6310587.0699999575</v>
      </c>
      <c r="Q39" s="427">
        <v>0</v>
      </c>
      <c r="R39" s="427">
        <v>116.36</v>
      </c>
      <c r="S39" s="427">
        <v>6310703.4299999578</v>
      </c>
      <c r="T39" s="339"/>
      <c r="U39" s="339"/>
    </row>
    <row r="40" spans="6:26" x14ac:dyDescent="0.25">
      <c r="P40" s="427">
        <v>1364.88</v>
      </c>
      <c r="Q40" s="427">
        <v>9500.36</v>
      </c>
      <c r="R40" s="427">
        <v>0</v>
      </c>
      <c r="S40" s="427">
        <v>10865.240000000002</v>
      </c>
      <c r="T40" s="339"/>
      <c r="U40" s="339"/>
    </row>
    <row r="41" spans="6:26" x14ac:dyDescent="0.25">
      <c r="P41" s="427">
        <v>0</v>
      </c>
      <c r="Q41" s="427">
        <v>0</v>
      </c>
      <c r="R41" s="427">
        <v>0</v>
      </c>
      <c r="S41" s="427">
        <v>0</v>
      </c>
      <c r="T41" s="339"/>
      <c r="U41" s="339"/>
    </row>
    <row r="42" spans="6:26" x14ac:dyDescent="0.25">
      <c r="P42" s="427">
        <v>0</v>
      </c>
      <c r="Q42" s="427">
        <v>0</v>
      </c>
      <c r="R42" s="427">
        <v>0</v>
      </c>
      <c r="S42" s="427">
        <v>0</v>
      </c>
      <c r="T42" s="339"/>
      <c r="U42" s="339"/>
    </row>
    <row r="43" spans="6:26" x14ac:dyDescent="0.25">
      <c r="P43" s="427">
        <v>9192.16</v>
      </c>
      <c r="Q43" s="427">
        <v>460497.14</v>
      </c>
      <c r="R43" s="427">
        <v>24223.319999999996</v>
      </c>
      <c r="S43" s="427">
        <v>493912.62</v>
      </c>
    </row>
    <row r="44" spans="6:26" x14ac:dyDescent="0.25">
      <c r="P44" s="427">
        <v>8483867.4599999599</v>
      </c>
      <c r="Q44" s="427">
        <v>0</v>
      </c>
      <c r="R44" s="427">
        <v>0</v>
      </c>
      <c r="S44" s="427">
        <v>8483867.4599999599</v>
      </c>
      <c r="T44" s="339"/>
      <c r="U44" s="339"/>
    </row>
    <row r="45" spans="6:26" x14ac:dyDescent="0.25">
      <c r="P45" s="427">
        <v>4076733.7799998745</v>
      </c>
      <c r="Q45" s="427">
        <v>35333592.76000002</v>
      </c>
      <c r="R45" s="427">
        <v>1177392.5899999961</v>
      </c>
      <c r="S45" s="427">
        <v>40587719.129999891</v>
      </c>
      <c r="T45" s="339"/>
      <c r="U45" s="339"/>
    </row>
    <row r="46" spans="6:26" x14ac:dyDescent="0.25">
      <c r="P46" s="427">
        <v>388081610.04999983</v>
      </c>
      <c r="Q46" s="427">
        <v>534079621.49000007</v>
      </c>
      <c r="R46" s="427">
        <v>297123296.49000001</v>
      </c>
      <c r="S46" s="427">
        <v>1219284528.03</v>
      </c>
    </row>
    <row r="47" spans="6:26" x14ac:dyDescent="0.25">
      <c r="P47" s="428"/>
      <c r="Q47" s="428"/>
      <c r="R47" s="428"/>
      <c r="S47" s="428"/>
    </row>
    <row r="48" spans="6:26" x14ac:dyDescent="0.25">
      <c r="P48" s="427">
        <v>386748639.37992036</v>
      </c>
      <c r="Q48" s="427">
        <v>491511875.87991452</v>
      </c>
      <c r="R48" s="427">
        <v>222866627.03999782</v>
      </c>
      <c r="S48" s="427">
        <v>1101127142.2998328</v>
      </c>
    </row>
    <row r="49" spans="16:19" x14ac:dyDescent="0.25">
      <c r="P49" s="427">
        <v>5155359362.9343386</v>
      </c>
      <c r="Q49" s="427">
        <v>6389654386.4388885</v>
      </c>
      <c r="R49" s="427">
        <v>2897266151.5199714</v>
      </c>
      <c r="S49" s="427">
        <v>14442279900.893196</v>
      </c>
    </row>
    <row r="50" spans="16:19" x14ac:dyDescent="0.25">
      <c r="P50" s="427">
        <v>88737950.399225548</v>
      </c>
      <c r="Q50" s="427">
        <v>0</v>
      </c>
      <c r="R50" s="427">
        <v>0</v>
      </c>
      <c r="S50" s="427">
        <v>88737950.399225548</v>
      </c>
    </row>
    <row r="51" spans="16:19" x14ac:dyDescent="0.25">
      <c r="P51" s="427">
        <v>891419320.62841225</v>
      </c>
      <c r="Q51" s="427">
        <v>0</v>
      </c>
      <c r="R51" s="427">
        <v>0</v>
      </c>
      <c r="S51" s="427">
        <v>891419320.62841225</v>
      </c>
    </row>
    <row r="52" spans="16:19" x14ac:dyDescent="0.25">
      <c r="P52" s="427">
        <v>6135516633.9619761</v>
      </c>
      <c r="Q52" s="427">
        <v>6389654386.4388885</v>
      </c>
      <c r="R52" s="427">
        <v>2897266151.5199714</v>
      </c>
      <c r="S52" s="427">
        <v>15422437171.920835</v>
      </c>
    </row>
    <row r="53" spans="16:19" x14ac:dyDescent="0.25">
      <c r="P53" s="427" t="e">
        <v>#REF!</v>
      </c>
      <c r="Q53" s="427" t="e">
        <v>#REF!</v>
      </c>
      <c r="R53" s="427" t="e">
        <v>#REF!</v>
      </c>
      <c r="S53" s="427" t="e">
        <v>#REF!</v>
      </c>
    </row>
    <row r="54" spans="16:19" x14ac:dyDescent="0.25">
      <c r="P54" s="428"/>
      <c r="Q54" s="428"/>
      <c r="R54" s="428"/>
      <c r="S54" s="428"/>
    </row>
    <row r="55" spans="16:19" x14ac:dyDescent="0.25">
      <c r="P55" s="428"/>
      <c r="Q55" s="428"/>
      <c r="R55" s="428"/>
      <c r="S55" s="427">
        <v>-196722.99174499512</v>
      </c>
    </row>
  </sheetData>
  <mergeCells count="14">
    <mergeCell ref="J10:M10"/>
    <mergeCell ref="P10:S10"/>
    <mergeCell ref="U10:X10"/>
    <mergeCell ref="B12:B30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E10:H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DAED-25E3-45DB-BEAA-D2A48152F429}">
  <dimension ref="A1:S14"/>
  <sheetViews>
    <sheetView showGridLines="0" workbookViewId="0">
      <selection activeCell="E28" sqref="E28"/>
    </sheetView>
  </sheetViews>
  <sheetFormatPr defaultColWidth="8.85546875" defaultRowHeight="15" x14ac:dyDescent="0.25"/>
  <cols>
    <col min="1" max="1" width="24.42578125" customWidth="1"/>
    <col min="2" max="7" width="9" bestFit="1" customWidth="1"/>
    <col min="12" max="12" width="10.140625" bestFit="1" customWidth="1"/>
    <col min="13" max="13" width="11.28515625" bestFit="1" customWidth="1"/>
    <col min="14" max="14" width="12.28515625" bestFit="1" customWidth="1"/>
    <col min="15" max="15" width="11.28515625" bestFit="1" customWidth="1"/>
    <col min="16" max="16" width="10.140625" bestFit="1" customWidth="1"/>
    <col min="17" max="17" width="11.28515625" bestFit="1" customWidth="1"/>
    <col min="18" max="18" width="12.28515625" bestFit="1" customWidth="1"/>
    <col min="19" max="19" width="11.28515625" bestFit="1" customWidth="1"/>
  </cols>
  <sheetData>
    <row r="1" spans="1:19" ht="15.75" x14ac:dyDescent="0.25">
      <c r="A1" s="1336" t="s">
        <v>393</v>
      </c>
      <c r="B1" s="1336"/>
      <c r="C1" s="1336"/>
      <c r="D1" s="1336"/>
      <c r="E1" s="1336"/>
      <c r="F1" s="1336"/>
      <c r="G1" s="1336"/>
      <c r="H1" s="1336"/>
      <c r="I1" s="288"/>
      <c r="J1" s="288"/>
      <c r="K1" s="288"/>
      <c r="L1" s="288"/>
      <c r="M1" s="288"/>
      <c r="N1" s="288"/>
      <c r="O1" s="688"/>
      <c r="P1" s="688"/>
      <c r="Q1" s="688"/>
      <c r="R1" s="688"/>
      <c r="S1" s="688"/>
    </row>
    <row r="2" spans="1:19" ht="15.75" x14ac:dyDescent="0.25">
      <c r="A2" s="1337" t="s">
        <v>224</v>
      </c>
      <c r="B2" s="1337"/>
      <c r="C2" s="1337"/>
      <c r="D2" s="1337"/>
      <c r="E2" s="1337"/>
      <c r="F2" s="1337"/>
      <c r="G2" s="1337"/>
      <c r="H2" s="1337"/>
      <c r="I2" s="288"/>
      <c r="J2" s="288"/>
      <c r="K2" s="288"/>
      <c r="L2" s="288"/>
      <c r="M2" s="288"/>
      <c r="N2" s="288"/>
      <c r="O2" s="688"/>
      <c r="P2" s="688"/>
      <c r="Q2" s="688"/>
      <c r="R2" s="688"/>
      <c r="S2" s="688"/>
    </row>
    <row r="3" spans="1:19" ht="15.75" x14ac:dyDescent="0.25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688"/>
      <c r="P3" s="688"/>
      <c r="Q3" s="688"/>
      <c r="R3" s="688"/>
      <c r="S3" s="688"/>
    </row>
    <row r="4" spans="1:19" ht="15.75" x14ac:dyDescent="0.25">
      <c r="A4" s="1337" t="s">
        <v>394</v>
      </c>
      <c r="B4" s="1337"/>
      <c r="C4" s="1337"/>
      <c r="D4" s="1337"/>
      <c r="E4" s="1337"/>
      <c r="F4" s="1337"/>
      <c r="G4" s="1337"/>
      <c r="H4" s="1337"/>
      <c r="I4" s="288"/>
      <c r="J4" s="288"/>
      <c r="K4" s="288"/>
      <c r="L4" s="288"/>
      <c r="M4" s="288"/>
      <c r="N4" s="288"/>
      <c r="O4" s="688"/>
      <c r="P4" s="688"/>
      <c r="Q4" s="688"/>
      <c r="R4" s="688"/>
      <c r="S4" s="688"/>
    </row>
    <row r="5" spans="1:19" ht="15.75" x14ac:dyDescent="0.25">
      <c r="A5" s="288"/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688"/>
      <c r="O5" s="688"/>
      <c r="P5" s="688"/>
      <c r="Q5" s="688"/>
      <c r="R5" s="688"/>
      <c r="S5" s="688"/>
    </row>
    <row r="6" spans="1:19" x14ac:dyDescent="0.25">
      <c r="A6" s="325" t="s">
        <v>395</v>
      </c>
      <c r="B6" s="325"/>
      <c r="C6" s="688"/>
      <c r="D6" s="688"/>
      <c r="E6" s="688"/>
      <c r="F6" s="688"/>
      <c r="G6" s="688"/>
      <c r="H6" s="688"/>
      <c r="I6" s="688"/>
      <c r="J6" s="688"/>
      <c r="K6" s="688"/>
      <c r="L6" s="688"/>
      <c r="M6" s="688"/>
      <c r="N6" s="688"/>
      <c r="O6" s="688"/>
      <c r="P6" s="688"/>
      <c r="Q6" s="688"/>
      <c r="R6" s="688"/>
      <c r="S6" s="688"/>
    </row>
    <row r="7" spans="1:19" x14ac:dyDescent="0.25">
      <c r="A7" s="1338" t="s">
        <v>396</v>
      </c>
      <c r="B7" s="1339" t="s">
        <v>241</v>
      </c>
      <c r="C7" s="1340"/>
      <c r="D7" s="1341"/>
      <c r="E7" s="1339" t="s">
        <v>228</v>
      </c>
      <c r="F7" s="1340"/>
      <c r="G7" s="1341"/>
      <c r="H7" s="1333" t="s">
        <v>229</v>
      </c>
      <c r="I7" s="1333"/>
      <c r="J7" s="1333"/>
      <c r="K7" s="1333"/>
      <c r="L7" s="1332" t="s">
        <v>230</v>
      </c>
      <c r="M7" s="1333"/>
      <c r="N7" s="1333"/>
      <c r="O7" s="1333"/>
      <c r="P7" s="1332" t="s">
        <v>397</v>
      </c>
      <c r="Q7" s="1333"/>
      <c r="R7" s="1333"/>
      <c r="S7" s="1333"/>
    </row>
    <row r="8" spans="1:19" x14ac:dyDescent="0.25">
      <c r="A8" s="1330"/>
      <c r="B8" s="1332"/>
      <c r="C8" s="1333"/>
      <c r="D8" s="1342"/>
      <c r="E8" s="1332"/>
      <c r="F8" s="1333"/>
      <c r="G8" s="1342"/>
      <c r="H8" s="1334" t="s">
        <v>232</v>
      </c>
      <c r="I8" s="1335"/>
      <c r="J8" s="1330" t="s">
        <v>233</v>
      </c>
      <c r="K8" s="1330" t="s">
        <v>172</v>
      </c>
      <c r="L8" s="1334" t="s">
        <v>232</v>
      </c>
      <c r="M8" s="1335"/>
      <c r="N8" s="1330" t="s">
        <v>233</v>
      </c>
      <c r="O8" s="1330" t="s">
        <v>172</v>
      </c>
      <c r="P8" s="1334" t="s">
        <v>232</v>
      </c>
      <c r="Q8" s="1335"/>
      <c r="R8" s="1330" t="s">
        <v>233</v>
      </c>
      <c r="S8" s="1330" t="s">
        <v>172</v>
      </c>
    </row>
    <row r="9" spans="1:19" ht="51.75" x14ac:dyDescent="0.25">
      <c r="A9" s="1331"/>
      <c r="B9" s="689" t="s">
        <v>234</v>
      </c>
      <c r="C9" s="689" t="s">
        <v>235</v>
      </c>
      <c r="D9" s="689" t="s">
        <v>172</v>
      </c>
      <c r="E9" s="689" t="s">
        <v>234</v>
      </c>
      <c r="F9" s="689" t="s">
        <v>238</v>
      </c>
      <c r="G9" s="689" t="s">
        <v>172</v>
      </c>
      <c r="H9" s="689" t="s">
        <v>234</v>
      </c>
      <c r="I9" s="689" t="s">
        <v>235</v>
      </c>
      <c r="J9" s="1331"/>
      <c r="K9" s="1331"/>
      <c r="L9" s="689" t="s">
        <v>234</v>
      </c>
      <c r="M9" s="689" t="s">
        <v>235</v>
      </c>
      <c r="N9" s="1331"/>
      <c r="O9" s="1331"/>
      <c r="P9" s="689" t="s">
        <v>234</v>
      </c>
      <c r="Q9" s="689" t="s">
        <v>235</v>
      </c>
      <c r="R9" s="1331"/>
      <c r="S9" s="1331"/>
    </row>
    <row r="10" spans="1:19" x14ac:dyDescent="0.25">
      <c r="A10" s="690" t="s">
        <v>252</v>
      </c>
      <c r="B10" s="691">
        <v>5</v>
      </c>
      <c r="C10" s="691">
        <v>7</v>
      </c>
      <c r="D10" s="692">
        <v>12</v>
      </c>
      <c r="E10" s="691">
        <v>5</v>
      </c>
      <c r="F10" s="691">
        <v>6</v>
      </c>
      <c r="G10" s="692">
        <v>11</v>
      </c>
      <c r="H10" s="691" t="s">
        <v>398</v>
      </c>
      <c r="I10" s="691" t="s">
        <v>398</v>
      </c>
      <c r="J10" s="691" t="s">
        <v>399</v>
      </c>
      <c r="K10" s="692" t="s">
        <v>398</v>
      </c>
      <c r="L10" s="693">
        <v>271395</v>
      </c>
      <c r="M10" s="693">
        <v>304319</v>
      </c>
      <c r="N10" s="693">
        <v>63239</v>
      </c>
      <c r="O10" s="694">
        <v>638952</v>
      </c>
      <c r="P10" s="693">
        <v>350212</v>
      </c>
      <c r="Q10" s="693">
        <v>395614</v>
      </c>
      <c r="R10" s="693">
        <v>81604</v>
      </c>
      <c r="S10" s="694">
        <v>827431</v>
      </c>
    </row>
    <row r="11" spans="1:19" x14ac:dyDescent="0.25">
      <c r="A11" s="690" t="s">
        <v>253</v>
      </c>
      <c r="B11" s="691">
        <v>3</v>
      </c>
      <c r="C11" s="691">
        <v>7</v>
      </c>
      <c r="D11" s="692">
        <v>10</v>
      </c>
      <c r="E11" s="691">
        <v>3</v>
      </c>
      <c r="F11" s="691">
        <v>7</v>
      </c>
      <c r="G11" s="692">
        <v>10</v>
      </c>
      <c r="H11" s="691" t="s">
        <v>398</v>
      </c>
      <c r="I11" s="691" t="s">
        <v>398</v>
      </c>
      <c r="J11" s="691" t="s">
        <v>399</v>
      </c>
      <c r="K11" s="692" t="s">
        <v>398</v>
      </c>
      <c r="L11" s="693">
        <v>185351</v>
      </c>
      <c r="M11" s="693">
        <v>393966</v>
      </c>
      <c r="N11" s="693">
        <v>43189</v>
      </c>
      <c r="O11" s="694">
        <v>622506</v>
      </c>
      <c r="P11" s="693">
        <v>239180</v>
      </c>
      <c r="Q11" s="693">
        <v>512156</v>
      </c>
      <c r="R11" s="693">
        <v>55732</v>
      </c>
      <c r="S11" s="694">
        <v>807068</v>
      </c>
    </row>
    <row r="12" spans="1:19" x14ac:dyDescent="0.25">
      <c r="A12" s="690" t="s">
        <v>237</v>
      </c>
      <c r="B12" s="691">
        <v>69</v>
      </c>
      <c r="C12" s="691">
        <v>181</v>
      </c>
      <c r="D12" s="692">
        <v>250</v>
      </c>
      <c r="E12" s="691">
        <v>69</v>
      </c>
      <c r="F12" s="691">
        <v>163</v>
      </c>
      <c r="G12" s="692">
        <v>232</v>
      </c>
      <c r="H12" s="691" t="s">
        <v>398</v>
      </c>
      <c r="I12" s="691" t="s">
        <v>398</v>
      </c>
      <c r="J12" s="691" t="s">
        <v>399</v>
      </c>
      <c r="K12" s="692" t="s">
        <v>398</v>
      </c>
      <c r="L12" s="693">
        <v>3803312</v>
      </c>
      <c r="M12" s="693">
        <v>9034885</v>
      </c>
      <c r="N12" s="693">
        <v>886223</v>
      </c>
      <c r="O12" s="694">
        <v>13724420</v>
      </c>
      <c r="P12" s="693">
        <v>4907855</v>
      </c>
      <c r="Q12" s="693">
        <v>11745350</v>
      </c>
      <c r="R12" s="693">
        <v>1143597</v>
      </c>
      <c r="S12" s="694">
        <v>17796802</v>
      </c>
    </row>
    <row r="13" spans="1:19" x14ac:dyDescent="0.25">
      <c r="A13" s="690" t="s">
        <v>256</v>
      </c>
      <c r="B13" s="691">
        <v>29</v>
      </c>
      <c r="C13" s="691">
        <v>182</v>
      </c>
      <c r="D13" s="692">
        <v>211</v>
      </c>
      <c r="E13" s="691">
        <v>29</v>
      </c>
      <c r="F13" s="691">
        <v>133</v>
      </c>
      <c r="G13" s="692">
        <v>162</v>
      </c>
      <c r="H13" s="691" t="s">
        <v>398</v>
      </c>
      <c r="I13" s="691" t="s">
        <v>398</v>
      </c>
      <c r="J13" s="691" t="s">
        <v>399</v>
      </c>
      <c r="K13" s="692" t="s">
        <v>398</v>
      </c>
      <c r="L13" s="693">
        <v>1730939</v>
      </c>
      <c r="M13" s="693">
        <v>7135761</v>
      </c>
      <c r="N13" s="693">
        <v>403332</v>
      </c>
      <c r="O13" s="694">
        <v>9270032</v>
      </c>
      <c r="P13" s="693">
        <v>2233631</v>
      </c>
      <c r="Q13" s="693">
        <v>9276489</v>
      </c>
      <c r="R13" s="693">
        <v>520466</v>
      </c>
      <c r="S13" s="694">
        <v>12030587</v>
      </c>
    </row>
    <row r="14" spans="1:19" x14ac:dyDescent="0.25">
      <c r="A14" s="695" t="s">
        <v>172</v>
      </c>
      <c r="B14" s="696">
        <v>106</v>
      </c>
      <c r="C14" s="696">
        <v>377</v>
      </c>
      <c r="D14" s="696">
        <v>483</v>
      </c>
      <c r="E14" s="696">
        <v>106</v>
      </c>
      <c r="F14" s="696">
        <v>309</v>
      </c>
      <c r="G14" s="696">
        <v>415</v>
      </c>
      <c r="H14" s="696" t="s">
        <v>398</v>
      </c>
      <c r="I14" s="696" t="s">
        <v>398</v>
      </c>
      <c r="J14" s="696" t="s">
        <v>399</v>
      </c>
      <c r="K14" s="696" t="s">
        <v>398</v>
      </c>
      <c r="L14" s="697">
        <v>5990996</v>
      </c>
      <c r="M14" s="697">
        <v>16868930</v>
      </c>
      <c r="N14" s="697">
        <v>1395984</v>
      </c>
      <c r="O14" s="1424">
        <v>24255910</v>
      </c>
      <c r="P14" s="697">
        <v>7730879</v>
      </c>
      <c r="Q14" s="697">
        <v>21929609</v>
      </c>
      <c r="R14" s="697">
        <v>1801400</v>
      </c>
      <c r="S14" s="1424">
        <v>31461888</v>
      </c>
    </row>
  </sheetData>
  <mergeCells count="18">
    <mergeCell ref="A1:H1"/>
    <mergeCell ref="A2:H2"/>
    <mergeCell ref="A4:H4"/>
    <mergeCell ref="A7:A9"/>
    <mergeCell ref="B7:D8"/>
    <mergeCell ref="E7:G8"/>
    <mergeCell ref="H7:K7"/>
    <mergeCell ref="S8:S9"/>
    <mergeCell ref="L7:O7"/>
    <mergeCell ref="P7:S7"/>
    <mergeCell ref="H8:I8"/>
    <mergeCell ref="J8:J9"/>
    <mergeCell ref="K8:K9"/>
    <mergeCell ref="L8:M8"/>
    <mergeCell ref="N8:N9"/>
    <mergeCell ref="O8:O9"/>
    <mergeCell ref="P8:Q8"/>
    <mergeCell ref="R8:R9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A740-B6D6-46AC-888B-FABAFA103460}">
  <sheetPr>
    <tabColor theme="2"/>
  </sheetPr>
  <dimension ref="A6"/>
  <sheetViews>
    <sheetView showGridLines="0" workbookViewId="0">
      <selection activeCell="C24" sqref="C24"/>
    </sheetView>
  </sheetViews>
  <sheetFormatPr defaultRowHeight="15" x14ac:dyDescent="0.25"/>
  <cols>
    <col min="1" max="1" width="33.5703125" bestFit="1" customWidth="1"/>
  </cols>
  <sheetData>
    <row r="6" spans="1:1" x14ac:dyDescent="0.25">
      <c r="A6" s="1430" t="s">
        <v>1837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5F1D-F087-4BC8-ACA8-A31F2388D7B0}">
  <sheetPr>
    <tabColor theme="2"/>
  </sheetPr>
  <dimension ref="A6"/>
  <sheetViews>
    <sheetView showGridLines="0" workbookViewId="0">
      <selection activeCell="A6" sqref="A6"/>
    </sheetView>
  </sheetViews>
  <sheetFormatPr defaultRowHeight="15" x14ac:dyDescent="0.25"/>
  <cols>
    <col min="1" max="1" width="33.42578125" bestFit="1" customWidth="1"/>
  </cols>
  <sheetData>
    <row r="6" spans="1:1" x14ac:dyDescent="0.25">
      <c r="A6" s="429" t="s">
        <v>1837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3FDE-45DF-4641-8A2F-7EE481318B35}">
  <dimension ref="A1:J25"/>
  <sheetViews>
    <sheetView showGridLines="0" topLeftCell="A2" zoomScale="115" zoomScaleNormal="115" workbookViewId="0">
      <selection activeCell="H22" sqref="H22"/>
    </sheetView>
  </sheetViews>
  <sheetFormatPr defaultColWidth="8.85546875" defaultRowHeight="15" x14ac:dyDescent="0.25"/>
  <cols>
    <col min="1" max="1" width="18.7109375" customWidth="1"/>
    <col min="2" max="2" width="16.85546875" customWidth="1"/>
    <col min="3" max="3" width="19.140625" customWidth="1"/>
    <col min="5" max="9" width="20" customWidth="1"/>
    <col min="10" max="10" width="16.42578125" bestFit="1" customWidth="1"/>
  </cols>
  <sheetData>
    <row r="1" spans="1:10" x14ac:dyDescent="0.25">
      <c r="A1" s="1347" t="s">
        <v>400</v>
      </c>
      <c r="B1" s="1347"/>
      <c r="C1" s="1347"/>
      <c r="D1" s="1347"/>
      <c r="E1" s="55"/>
      <c r="F1" s="55"/>
      <c r="G1" s="55"/>
      <c r="H1" s="55"/>
      <c r="I1" s="55"/>
    </row>
    <row r="2" spans="1:10" x14ac:dyDescent="0.25">
      <c r="A2" s="1347" t="s">
        <v>401</v>
      </c>
      <c r="B2" s="1347"/>
      <c r="C2" s="1347"/>
      <c r="D2" s="1347"/>
      <c r="E2" s="55"/>
      <c r="F2" s="55"/>
      <c r="G2" s="55"/>
      <c r="H2" s="55"/>
      <c r="I2" s="55"/>
    </row>
    <row r="3" spans="1:10" x14ac:dyDescent="0.25">
      <c r="A3" s="55"/>
      <c r="B3" s="55"/>
      <c r="C3" s="55"/>
      <c r="D3" s="56"/>
      <c r="E3" s="55"/>
      <c r="F3" s="55"/>
      <c r="G3" s="55"/>
      <c r="H3" s="55"/>
      <c r="I3" s="55"/>
    </row>
    <row r="4" spans="1:10" x14ac:dyDescent="0.25">
      <c r="A4" s="55"/>
      <c r="B4" s="55"/>
      <c r="C4" s="55"/>
      <c r="D4" s="56"/>
      <c r="E4" s="55"/>
      <c r="F4" s="55"/>
      <c r="G4" s="55"/>
      <c r="H4" s="55"/>
      <c r="I4" s="55"/>
    </row>
    <row r="5" spans="1:10" ht="17.25" x14ac:dyDescent="0.3">
      <c r="A5" s="1348" t="s">
        <v>402</v>
      </c>
      <c r="B5" s="1348"/>
      <c r="C5" s="1348"/>
      <c r="D5" s="1348"/>
      <c r="E5" s="1348"/>
      <c r="F5" s="1348"/>
      <c r="G5" s="55"/>
      <c r="H5" s="55"/>
      <c r="I5" s="55"/>
    </row>
    <row r="6" spans="1:10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10" ht="15" customHeight="1" x14ac:dyDescent="0.3">
      <c r="A7" s="1349" t="s">
        <v>403</v>
      </c>
      <c r="B7" s="1351" t="s">
        <v>404</v>
      </c>
      <c r="C7" s="1352"/>
      <c r="D7" s="1349" t="s">
        <v>405</v>
      </c>
      <c r="E7" s="1349" t="s">
        <v>406</v>
      </c>
      <c r="F7" s="1349" t="s">
        <v>407</v>
      </c>
      <c r="G7" s="1349" t="s">
        <v>408</v>
      </c>
      <c r="H7" s="1349" t="s">
        <v>409</v>
      </c>
      <c r="I7" s="1349" t="s">
        <v>410</v>
      </c>
    </row>
    <row r="8" spans="1:10" ht="18.75" x14ac:dyDescent="0.3">
      <c r="A8" s="1350"/>
      <c r="B8" s="58" t="s">
        <v>411</v>
      </c>
      <c r="C8" s="58" t="s">
        <v>412</v>
      </c>
      <c r="D8" s="1350"/>
      <c r="E8" s="1350"/>
      <c r="F8" s="1350"/>
      <c r="G8" s="1350"/>
      <c r="H8" s="1350"/>
      <c r="I8" s="1350"/>
    </row>
    <row r="9" spans="1:10" ht="18.75" x14ac:dyDescent="0.3">
      <c r="A9" s="1343" t="s">
        <v>413</v>
      </c>
      <c r="B9" s="59">
        <v>20114</v>
      </c>
      <c r="C9" s="59" t="s">
        <v>414</v>
      </c>
      <c r="D9" s="60">
        <v>27</v>
      </c>
      <c r="E9" s="61">
        <v>54054</v>
      </c>
      <c r="F9" s="61">
        <v>486486</v>
      </c>
      <c r="G9" s="61">
        <v>594594</v>
      </c>
      <c r="H9" s="61">
        <v>594594</v>
      </c>
      <c r="I9" s="61">
        <v>594594</v>
      </c>
      <c r="J9" s="971"/>
    </row>
    <row r="10" spans="1:10" ht="18.75" x14ac:dyDescent="0.3">
      <c r="A10" s="1343"/>
      <c r="B10" s="59">
        <v>40701</v>
      </c>
      <c r="C10" s="59" t="s">
        <v>415</v>
      </c>
      <c r="D10" s="60">
        <v>147</v>
      </c>
      <c r="E10" s="61">
        <v>294294</v>
      </c>
      <c r="F10" s="61">
        <v>2648646</v>
      </c>
      <c r="G10" s="61">
        <v>3237234</v>
      </c>
      <c r="H10" s="61">
        <v>3237234</v>
      </c>
      <c r="I10" s="61">
        <v>3237234</v>
      </c>
      <c r="J10" s="971"/>
    </row>
    <row r="11" spans="1:10" ht="18.75" x14ac:dyDescent="0.3">
      <c r="A11" s="1343"/>
      <c r="B11" s="59">
        <v>44207</v>
      </c>
      <c r="C11" s="59" t="s">
        <v>416</v>
      </c>
      <c r="D11" s="60">
        <v>162</v>
      </c>
      <c r="E11" s="61">
        <v>324324</v>
      </c>
      <c r="F11" s="61">
        <v>2918916</v>
      </c>
      <c r="G11" s="61">
        <v>3567564</v>
      </c>
      <c r="H11" s="61">
        <v>3567564</v>
      </c>
      <c r="I11" s="61">
        <v>3567564</v>
      </c>
      <c r="J11" s="971"/>
    </row>
    <row r="12" spans="1:10" ht="18.75" x14ac:dyDescent="0.3">
      <c r="A12" s="1343"/>
      <c r="B12" s="59">
        <v>30202</v>
      </c>
      <c r="C12" s="59" t="s">
        <v>417</v>
      </c>
      <c r="D12" s="60">
        <v>50</v>
      </c>
      <c r="E12" s="61">
        <v>100100</v>
      </c>
      <c r="F12" s="61">
        <v>900900</v>
      </c>
      <c r="G12" s="61">
        <v>1101100</v>
      </c>
      <c r="H12" s="61">
        <v>1101100</v>
      </c>
      <c r="I12" s="61">
        <v>1101100</v>
      </c>
      <c r="J12" s="971"/>
    </row>
    <row r="13" spans="1:10" ht="18.75" x14ac:dyDescent="0.3">
      <c r="A13" s="1344"/>
      <c r="B13" s="1345" t="s">
        <v>418</v>
      </c>
      <c r="C13" s="1346"/>
      <c r="D13" s="60">
        <v>386</v>
      </c>
      <c r="E13" s="61">
        <v>772772</v>
      </c>
      <c r="F13" s="61">
        <v>6954948</v>
      </c>
      <c r="G13" s="61">
        <v>8500492</v>
      </c>
      <c r="H13" s="61">
        <v>8500492</v>
      </c>
      <c r="I13" s="61">
        <v>8500492</v>
      </c>
      <c r="J13" s="971"/>
    </row>
    <row r="14" spans="1:10" ht="18.75" x14ac:dyDescent="0.3">
      <c r="A14" s="1343" t="s">
        <v>419</v>
      </c>
      <c r="B14" s="59">
        <v>36207</v>
      </c>
      <c r="C14" s="59" t="s">
        <v>420</v>
      </c>
      <c r="D14" s="60">
        <v>14</v>
      </c>
      <c r="E14" s="61">
        <v>28028</v>
      </c>
      <c r="F14" s="61">
        <v>252252</v>
      </c>
      <c r="G14" s="61">
        <v>308308</v>
      </c>
      <c r="H14" s="61">
        <v>308308</v>
      </c>
      <c r="I14" s="61">
        <v>308308</v>
      </c>
      <c r="J14" s="971"/>
    </row>
    <row r="15" spans="1:10" ht="18.75" x14ac:dyDescent="0.3">
      <c r="A15" s="1343"/>
      <c r="B15" s="59">
        <v>13300</v>
      </c>
      <c r="C15" s="59" t="s">
        <v>421</v>
      </c>
      <c r="D15" s="60">
        <v>66</v>
      </c>
      <c r="E15" s="61">
        <v>132132</v>
      </c>
      <c r="F15" s="61">
        <v>1189188</v>
      </c>
      <c r="G15" s="61">
        <v>1453452</v>
      </c>
      <c r="H15" s="61">
        <v>1453452</v>
      </c>
      <c r="I15" s="61">
        <v>1453452</v>
      </c>
      <c r="J15" s="971"/>
    </row>
    <row r="16" spans="1:10" ht="18.75" x14ac:dyDescent="0.3">
      <c r="A16" s="1343"/>
      <c r="B16" s="59">
        <v>41211</v>
      </c>
      <c r="C16" s="59" t="s">
        <v>422</v>
      </c>
      <c r="D16" s="60">
        <v>3</v>
      </c>
      <c r="E16" s="61">
        <v>6006</v>
      </c>
      <c r="F16" s="61">
        <v>54054</v>
      </c>
      <c r="G16" s="61">
        <v>66066</v>
      </c>
      <c r="H16" s="61">
        <v>66066</v>
      </c>
      <c r="I16" s="61">
        <v>66066</v>
      </c>
      <c r="J16" s="971"/>
    </row>
    <row r="17" spans="1:10" ht="18.75" x14ac:dyDescent="0.3">
      <c r="A17" s="1344"/>
      <c r="B17" s="1345" t="s">
        <v>418</v>
      </c>
      <c r="C17" s="1346"/>
      <c r="D17" s="60">
        <v>83</v>
      </c>
      <c r="E17" s="61">
        <v>166166</v>
      </c>
      <c r="F17" s="61">
        <v>1495494</v>
      </c>
      <c r="G17" s="61">
        <v>1827826</v>
      </c>
      <c r="H17" s="61">
        <v>1827826</v>
      </c>
      <c r="I17" s="61">
        <v>1827826</v>
      </c>
      <c r="J17" s="971"/>
    </row>
    <row r="18" spans="1:10" ht="18.75" x14ac:dyDescent="0.3">
      <c r="A18" s="1353" t="s">
        <v>172</v>
      </c>
      <c r="B18" s="1351"/>
      <c r="C18" s="1352"/>
      <c r="D18" s="58">
        <v>469</v>
      </c>
      <c r="E18" s="62">
        <f>E13+E17</f>
        <v>938938</v>
      </c>
      <c r="F18" s="62">
        <v>8450442</v>
      </c>
      <c r="G18" s="62">
        <v>10328318</v>
      </c>
      <c r="H18" s="62">
        <v>10328318</v>
      </c>
      <c r="I18" s="62">
        <v>10328318</v>
      </c>
    </row>
    <row r="19" spans="1:10" ht="18.75" x14ac:dyDescent="0.3">
      <c r="A19" s="1353" t="s">
        <v>860</v>
      </c>
      <c r="B19" s="1351"/>
      <c r="C19" s="1352"/>
      <c r="D19" s="58">
        <f>SUM(D9:D11,D14:D16)</f>
        <v>419</v>
      </c>
      <c r="E19" s="62">
        <f>SUM(E9:E11,E14:E16)</f>
        <v>838838</v>
      </c>
      <c r="F19" s="62">
        <f t="shared" ref="F19:I19" si="0">SUM(F9:F11,F14:F16)</f>
        <v>7549542</v>
      </c>
      <c r="G19" s="62">
        <f>SUM(G9:G11,G14:G16)</f>
        <v>9227218</v>
      </c>
      <c r="H19" s="62">
        <f t="shared" si="0"/>
        <v>9227218</v>
      </c>
      <c r="I19" s="62">
        <f t="shared" si="0"/>
        <v>9227218</v>
      </c>
      <c r="J19" s="429" t="s">
        <v>423</v>
      </c>
    </row>
    <row r="20" spans="1:10" x14ac:dyDescent="0.25">
      <c r="A20" s="1354" t="s">
        <v>424</v>
      </c>
      <c r="B20" s="1354"/>
      <c r="C20" s="1354"/>
      <c r="D20" s="1354"/>
      <c r="E20" s="1354"/>
      <c r="F20" s="1354"/>
      <c r="G20" s="57"/>
      <c r="H20" s="57"/>
      <c r="I20" s="57"/>
    </row>
    <row r="21" spans="1:10" x14ac:dyDescent="0.25">
      <c r="A21" s="57"/>
      <c r="B21" s="57"/>
      <c r="C21" s="57"/>
      <c r="D21" s="57"/>
      <c r="E21" s="57"/>
      <c r="F21" s="57"/>
      <c r="G21" s="57"/>
      <c r="H21" s="57"/>
      <c r="I21" s="57"/>
    </row>
    <row r="22" spans="1:10" x14ac:dyDescent="0.25">
      <c r="A22" s="56" t="s">
        <v>425</v>
      </c>
      <c r="B22" s="56"/>
      <c r="C22" s="57"/>
      <c r="D22" s="57"/>
      <c r="E22" s="57"/>
      <c r="F22" s="57"/>
      <c r="G22" s="57"/>
      <c r="H22" s="57"/>
      <c r="I22" s="57"/>
    </row>
    <row r="23" spans="1:10" x14ac:dyDescent="0.25">
      <c r="A23" s="1355" t="s">
        <v>426</v>
      </c>
      <c r="B23" s="1347"/>
      <c r="C23" s="1347"/>
      <c r="D23" s="1347"/>
      <c r="E23" s="1347"/>
      <c r="F23" s="1347"/>
      <c r="G23" s="57"/>
      <c r="H23" s="57"/>
      <c r="I23" s="57"/>
    </row>
    <row r="24" spans="1:10" x14ac:dyDescent="0.25">
      <c r="A24" s="1355" t="s">
        <v>427</v>
      </c>
      <c r="B24" s="1347"/>
      <c r="C24" s="1347"/>
      <c r="D24" s="1347"/>
      <c r="E24" s="1347"/>
      <c r="F24" s="1347"/>
      <c r="G24" s="57"/>
      <c r="H24" s="57"/>
      <c r="I24" s="57"/>
    </row>
    <row r="25" spans="1:10" x14ac:dyDescent="0.25">
      <c r="A25" s="1347" t="s">
        <v>428</v>
      </c>
      <c r="B25" s="1347"/>
      <c r="C25" s="1347"/>
      <c r="D25" s="1347"/>
      <c r="E25" s="1347"/>
      <c r="F25" s="1347"/>
      <c r="G25" s="57"/>
      <c r="H25" s="57"/>
      <c r="I25" s="57"/>
    </row>
  </sheetData>
  <mergeCells count="21">
    <mergeCell ref="A18:C18"/>
    <mergeCell ref="A20:F20"/>
    <mergeCell ref="A23:F23"/>
    <mergeCell ref="A24:F24"/>
    <mergeCell ref="A25:F25"/>
    <mergeCell ref="A19:C19"/>
    <mergeCell ref="G7:G8"/>
    <mergeCell ref="H7:H8"/>
    <mergeCell ref="I7:I8"/>
    <mergeCell ref="A9:A13"/>
    <mergeCell ref="B13:C13"/>
    <mergeCell ref="A14:A17"/>
    <mergeCell ref="B17:C17"/>
    <mergeCell ref="A1:D1"/>
    <mergeCell ref="A2:D2"/>
    <mergeCell ref="A5:F5"/>
    <mergeCell ref="A7:A8"/>
    <mergeCell ref="B7:C7"/>
    <mergeCell ref="D7:D8"/>
    <mergeCell ref="E7:E8"/>
    <mergeCell ref="F7:F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D60DC-3B02-4900-8295-F60B66605D4B}">
  <sheetPr>
    <tabColor theme="2"/>
  </sheetPr>
  <dimension ref="A6"/>
  <sheetViews>
    <sheetView showGridLines="0" workbookViewId="0">
      <selection activeCell="C9" sqref="C9"/>
    </sheetView>
  </sheetViews>
  <sheetFormatPr defaultRowHeight="15" x14ac:dyDescent="0.25"/>
  <cols>
    <col min="1" max="1" width="33.42578125" bestFit="1" customWidth="1"/>
  </cols>
  <sheetData>
    <row r="6" spans="1:1" x14ac:dyDescent="0.25">
      <c r="A6" s="1430" t="s">
        <v>1837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23653-B62D-4C78-80DA-DB2385F26E0D}">
  <sheetPr>
    <tabColor rgb="FFFFC000"/>
  </sheetPr>
  <dimension ref="A1:AZ28"/>
  <sheetViews>
    <sheetView showGridLines="0" zoomScale="85" zoomScaleNormal="85" workbookViewId="0">
      <pane xSplit="2" ySplit="4" topLeftCell="AQ5" activePane="bottomRight" state="frozen"/>
      <selection pane="topRight" activeCell="B1" sqref="B1"/>
      <selection pane="bottomLeft" activeCell="A4" sqref="A4"/>
      <selection pane="bottomRight" activeCell="AQ14" sqref="AQ14"/>
    </sheetView>
  </sheetViews>
  <sheetFormatPr defaultColWidth="9.140625" defaultRowHeight="15" outlineLevelRow="1" outlineLevelCol="2" x14ac:dyDescent="0.25"/>
  <cols>
    <col min="1" max="1" width="39.85546875" style="221" customWidth="1"/>
    <col min="2" max="2" width="54.7109375" style="17" customWidth="1" outlineLevel="1"/>
    <col min="3" max="3" width="20.42578125" style="1" hidden="1" customWidth="1" outlineLevel="2"/>
    <col min="4" max="6" width="15" style="10" hidden="1" customWidth="1" outlineLevel="2"/>
    <col min="7" max="7" width="15" style="11" customWidth="1" outlineLevel="1" collapsed="1"/>
    <col min="8" max="10" width="18.28515625" style="1" customWidth="1" outlineLevel="2"/>
    <col min="11" max="13" width="18.28515625" style="1" customWidth="1" outlineLevel="1"/>
    <col min="14" max="15" width="18.28515625" style="1" customWidth="1" outlineLevel="2"/>
    <col min="16" max="16" width="23" style="1" customWidth="1" outlineLevel="2"/>
    <col min="17" max="17" width="23" style="1" customWidth="1" outlineLevel="1"/>
    <col min="18" max="18" width="19.28515625" style="1" customWidth="1" outlineLevel="1"/>
    <col min="19" max="19" width="23" style="1" customWidth="1" outlineLevel="1"/>
    <col min="20" max="21" width="23" style="1" customWidth="1" outlineLevel="2"/>
    <col min="22" max="22" width="20.7109375" style="1" customWidth="1" outlineLevel="2"/>
    <col min="23" max="23" width="21.7109375" style="1" customWidth="1" outlineLevel="1"/>
    <col min="24" max="24" width="20.7109375" style="1" customWidth="1" outlineLevel="1"/>
    <col min="25" max="25" width="21.7109375" style="1" customWidth="1" outlineLevel="1"/>
    <col min="26" max="26" width="23" style="1" customWidth="1" outlineLevel="2"/>
    <col min="27" max="27" width="21.7109375" style="1" customWidth="1" outlineLevel="2"/>
    <col min="28" max="28" width="20.7109375" style="1" customWidth="1" outlineLevel="2"/>
    <col min="29" max="29" width="21.7109375" style="1" customWidth="1" outlineLevel="1"/>
    <col min="30" max="30" width="19.140625" style="1" customWidth="1" outlineLevel="1"/>
    <col min="31" max="33" width="21.7109375" style="1" customWidth="1" outlineLevel="1"/>
    <col min="34" max="34" width="19.140625" style="1" customWidth="1" outlineLevel="1"/>
    <col min="35" max="35" width="21.7109375" style="1" customWidth="1" outlineLevel="1"/>
    <col min="36" max="36" width="19.140625" style="1" customWidth="1" outlineLevel="1"/>
    <col min="37" max="37" width="21.7109375" style="1" customWidth="1" outlineLevel="1"/>
    <col min="38" max="39" width="21.7109375" style="1" hidden="1" customWidth="1" outlineLevel="2"/>
    <col min="40" max="40" width="19.140625" style="1" hidden="1" customWidth="1" outlineLevel="2"/>
    <col min="41" max="41" width="21.7109375" style="1" customWidth="1" outlineLevel="1" collapsed="1"/>
    <col min="42" max="42" width="19.140625" style="1" customWidth="1" outlineLevel="1"/>
    <col min="43" max="43" width="21.7109375" style="1" customWidth="1" outlineLevel="1"/>
    <col min="44" max="44" width="20.7109375" style="15" bestFit="1" customWidth="1"/>
    <col min="45" max="45" width="23" style="16" bestFit="1" customWidth="1"/>
    <col min="46" max="47" width="22.28515625" style="16" customWidth="1"/>
    <col min="48" max="48" width="35.42578125" style="1" bestFit="1" customWidth="1"/>
    <col min="49" max="49" width="16.7109375" style="1" customWidth="1"/>
    <col min="50" max="50" width="15.5703125" style="1" bestFit="1" customWidth="1"/>
    <col min="51" max="52" width="17" style="1" bestFit="1" customWidth="1"/>
    <col min="53" max="16384" width="9.140625" style="1"/>
  </cols>
  <sheetData>
    <row r="1" spans="1:52" x14ac:dyDescent="0.25">
      <c r="H1" s="442">
        <f>SUBTOTAL(9,H5:H19)</f>
        <v>68085117.697888047</v>
      </c>
      <c r="I1" s="442">
        <f>SUBTOTAL(9,I5:I19)</f>
        <v>93831266.419765472</v>
      </c>
      <c r="J1" s="442"/>
      <c r="K1" s="442">
        <f>SUBTOTAL(9,K5:K19)</f>
        <v>189575016.83842412</v>
      </c>
      <c r="L1" s="442">
        <f>SUBTOTAL(9,L5:L19)</f>
        <v>5396175.6406837227</v>
      </c>
      <c r="M1" s="442">
        <f>SUBTOTAL(9,M5:M19)</f>
        <v>194971192.47910783</v>
      </c>
      <c r="N1" s="442">
        <f>SUBTOTAL(9,N5:N19)</f>
        <v>442534673.20264399</v>
      </c>
      <c r="O1" s="442">
        <f>SUBTOTAL(9,O5:O19)</f>
        <v>609871307.80001068</v>
      </c>
      <c r="P1" s="442"/>
      <c r="Q1" s="442">
        <f>SUBTOTAL(9,Q5:Q19)</f>
        <v>1232187093.6876633</v>
      </c>
      <c r="R1" s="442">
        <f>SUBTOTAL(9,R5:R19)</f>
        <v>35070809.514561974</v>
      </c>
      <c r="S1" s="442">
        <f>SUBTOTAL(9,S5:S19)</f>
        <v>1267257903.2022254</v>
      </c>
      <c r="T1" s="442">
        <f>SUBTOTAL(9,T5:T19)</f>
        <v>2237279575.4728508</v>
      </c>
      <c r="U1" s="442">
        <f>SUBTOTAL(9,U5:U19)</f>
        <v>1716474822.2428768</v>
      </c>
      <c r="V1" s="442"/>
      <c r="W1" s="442">
        <f>SUBTOTAL(9,W5:W19)</f>
        <v>4714993559.8424129</v>
      </c>
      <c r="X1" s="442">
        <f>SUBTOTAL(9,X5:X19)</f>
        <v>401809845.55960655</v>
      </c>
      <c r="Y1" s="442">
        <f>SUBTOTAL(9,Y5:Y19)</f>
        <v>5116803405.4020205</v>
      </c>
      <c r="Z1" s="442">
        <f>SUBTOTAL(9,Z5:Z19)</f>
        <v>2873519125.660419</v>
      </c>
      <c r="AA1" s="442">
        <f>SUBTOTAL(9,AA5:AA19)</f>
        <v>1966882092.533452</v>
      </c>
      <c r="AB1" s="442"/>
      <c r="AC1" s="442">
        <f>SUBTOTAL(9,AC5:AC19)</f>
        <v>5704260121.228591</v>
      </c>
      <c r="AD1" s="442">
        <f>SUBTOTAL(9,AD5:AD19)</f>
        <v>674674957.02914488</v>
      </c>
      <c r="AE1" s="442">
        <f>SUBTOTAL(9,AE5:AE19)</f>
        <v>6378935078.2577353</v>
      </c>
      <c r="AF1" s="442">
        <f>SUBTOTAL(9,AF5:AF19)</f>
        <v>2873519125.660419</v>
      </c>
      <c r="AG1" s="442">
        <f>SUBTOTAL(9,AG5:AG19)</f>
        <v>1966882092.533452</v>
      </c>
      <c r="AH1" s="442"/>
      <c r="AI1" s="442">
        <f>SUBTOTAL(9,AI5:AI19)</f>
        <v>5704512153.5414314</v>
      </c>
      <c r="AJ1" s="442">
        <f>SUBTOTAL(9,AJ5:AJ19)</f>
        <v>674674957.02914488</v>
      </c>
      <c r="AK1" s="442">
        <f>SUBTOTAL(9,AK5:AK19)</f>
        <v>6379187110.5705757</v>
      </c>
      <c r="AL1" s="442">
        <f>SUBTOTAL(9,AL5:AL19)</f>
        <v>3379707634.3720636</v>
      </c>
      <c r="AM1" s="442">
        <f>SUBTOTAL(9,AM5:AM19)</f>
        <v>2576753400.3334627</v>
      </c>
      <c r="AN1" s="442"/>
      <c r="AO1" s="442">
        <f t="shared" ref="AO1:AT1" si="0">SUBTOTAL(9,AO5:AO19)</f>
        <v>6936447214.916256</v>
      </c>
      <c r="AP1" s="442">
        <f t="shared" si="0"/>
        <v>709745766.54370689</v>
      </c>
      <c r="AQ1" s="442">
        <f t="shared" si="0"/>
        <v>7646192981.4599609</v>
      </c>
      <c r="AR1" s="442">
        <f t="shared" si="0"/>
        <v>194971192.47910783</v>
      </c>
      <c r="AS1" s="442">
        <f t="shared" si="0"/>
        <v>6384061308.6042452</v>
      </c>
      <c r="AT1" s="442">
        <f t="shared" si="0"/>
        <v>12758122188.828312</v>
      </c>
      <c r="AU1" s="442"/>
      <c r="AV1" s="442"/>
      <c r="AW1" s="442"/>
      <c r="AX1" s="442"/>
      <c r="AY1" s="442"/>
    </row>
    <row r="2" spans="1:52" ht="15" customHeight="1" x14ac:dyDescent="0.25">
      <c r="B2" s="1021" t="s">
        <v>24</v>
      </c>
      <c r="C2" s="1022" t="s">
        <v>25</v>
      </c>
      <c r="D2" s="1023" t="s">
        <v>26</v>
      </c>
      <c r="E2" s="1023"/>
      <c r="F2" s="1023"/>
      <c r="G2" s="1022" t="s">
        <v>27</v>
      </c>
      <c r="H2" s="1022" t="s">
        <v>28</v>
      </c>
      <c r="I2" s="1022"/>
      <c r="J2" s="1022"/>
      <c r="K2" s="1022"/>
      <c r="L2" s="1022"/>
      <c r="M2" s="1022"/>
      <c r="N2" s="1022"/>
      <c r="O2" s="1022"/>
      <c r="P2" s="1022"/>
      <c r="Q2" s="1022"/>
      <c r="R2" s="1022"/>
      <c r="S2" s="1022"/>
      <c r="T2" s="1022" t="s">
        <v>28</v>
      </c>
      <c r="U2" s="1022"/>
      <c r="V2" s="1022"/>
      <c r="W2" s="1022"/>
      <c r="X2" s="1022"/>
      <c r="Y2" s="1022"/>
      <c r="Z2" s="1022"/>
      <c r="AA2" s="1022"/>
      <c r="AB2" s="1022"/>
      <c r="AC2" s="1022"/>
      <c r="AD2" s="1022"/>
      <c r="AE2" s="1022"/>
      <c r="AF2" s="28"/>
      <c r="AG2" s="28"/>
      <c r="AH2" s="28"/>
      <c r="AI2" s="28"/>
      <c r="AJ2" s="28"/>
      <c r="AK2" s="28"/>
      <c r="AL2" s="1022" t="s">
        <v>28</v>
      </c>
      <c r="AM2" s="1022"/>
      <c r="AN2" s="1022"/>
      <c r="AO2" s="1022"/>
      <c r="AP2" s="1022"/>
      <c r="AQ2" s="1022"/>
      <c r="AR2" s="1024" t="s">
        <v>2</v>
      </c>
      <c r="AS2" s="1024"/>
      <c r="AT2" s="1024"/>
      <c r="AU2" s="1452"/>
    </row>
    <row r="3" spans="1:52" x14ac:dyDescent="0.25">
      <c r="B3" s="1021"/>
      <c r="C3" s="1022"/>
      <c r="D3" s="2" t="s">
        <v>29</v>
      </c>
      <c r="E3" s="2" t="s">
        <v>30</v>
      </c>
      <c r="F3" s="2" t="s">
        <v>13</v>
      </c>
      <c r="G3" s="1022"/>
      <c r="H3" s="1025">
        <v>2025</v>
      </c>
      <c r="I3" s="1025"/>
      <c r="J3" s="1025"/>
      <c r="K3" s="1025"/>
      <c r="L3" s="1025"/>
      <c r="M3" s="1025"/>
      <c r="N3" s="1025" t="s">
        <v>31</v>
      </c>
      <c r="O3" s="1025"/>
      <c r="P3" s="1025"/>
      <c r="Q3" s="1025"/>
      <c r="R3" s="1025"/>
      <c r="S3" s="1025"/>
      <c r="T3" s="1026">
        <v>2026</v>
      </c>
      <c r="U3" s="1026"/>
      <c r="V3" s="1026"/>
      <c r="W3" s="1026"/>
      <c r="X3" s="1026"/>
      <c r="Y3" s="1026"/>
      <c r="Z3" s="1026" t="s">
        <v>31</v>
      </c>
      <c r="AA3" s="1026"/>
      <c r="AB3" s="1026"/>
      <c r="AC3" s="1026"/>
      <c r="AD3" s="1026"/>
      <c r="AE3" s="1026"/>
      <c r="AF3" s="1027">
        <v>2027</v>
      </c>
      <c r="AG3" s="1028"/>
      <c r="AH3" s="1028"/>
      <c r="AI3" s="1028"/>
      <c r="AJ3" s="1028"/>
      <c r="AK3" s="1029"/>
      <c r="AL3" s="1022" t="s">
        <v>13</v>
      </c>
      <c r="AM3" s="1022"/>
      <c r="AN3" s="1022"/>
      <c r="AO3" s="1022"/>
      <c r="AP3" s="1022"/>
      <c r="AQ3" s="1022"/>
      <c r="AR3" s="3"/>
      <c r="AS3" s="3"/>
      <c r="AT3" s="3"/>
      <c r="AU3" s="3"/>
      <c r="AV3" s="3"/>
      <c r="AW3" s="1451"/>
      <c r="AX3" s="1451"/>
      <c r="AY3" s="1451"/>
    </row>
    <row r="4" spans="1:52" x14ac:dyDescent="0.25">
      <c r="B4" s="1021"/>
      <c r="C4" s="1022"/>
      <c r="D4" s="2"/>
      <c r="E4" s="2"/>
      <c r="F4" s="2"/>
      <c r="G4" s="1022"/>
      <c r="H4" s="4" t="s">
        <v>32</v>
      </c>
      <c r="I4" s="4" t="s">
        <v>30</v>
      </c>
      <c r="J4" s="4" t="s">
        <v>33</v>
      </c>
      <c r="K4" s="4" t="s">
        <v>34</v>
      </c>
      <c r="L4" s="4" t="s">
        <v>35</v>
      </c>
      <c r="M4" s="4" t="s">
        <v>13</v>
      </c>
      <c r="N4" s="4" t="s">
        <v>32</v>
      </c>
      <c r="O4" s="4" t="s">
        <v>30</v>
      </c>
      <c r="P4" s="4" t="s">
        <v>33</v>
      </c>
      <c r="Q4" s="4" t="s">
        <v>34</v>
      </c>
      <c r="R4" s="4" t="s">
        <v>35</v>
      </c>
      <c r="S4" s="4" t="s">
        <v>13</v>
      </c>
      <c r="T4" s="5" t="s">
        <v>32</v>
      </c>
      <c r="U4" s="5" t="s">
        <v>30</v>
      </c>
      <c r="V4" s="5" t="s">
        <v>36</v>
      </c>
      <c r="W4" s="5" t="s">
        <v>34</v>
      </c>
      <c r="X4" s="5" t="s">
        <v>35</v>
      </c>
      <c r="Y4" s="5" t="s">
        <v>13</v>
      </c>
      <c r="Z4" s="5" t="s">
        <v>32</v>
      </c>
      <c r="AA4" s="5" t="s">
        <v>30</v>
      </c>
      <c r="AB4" s="5" t="s">
        <v>33</v>
      </c>
      <c r="AC4" s="5" t="s">
        <v>34</v>
      </c>
      <c r="AD4" s="5" t="s">
        <v>35</v>
      </c>
      <c r="AE4" s="5" t="s">
        <v>13</v>
      </c>
      <c r="AF4" s="29" t="s">
        <v>32</v>
      </c>
      <c r="AG4" s="29" t="s">
        <v>30</v>
      </c>
      <c r="AH4" s="29" t="s">
        <v>33</v>
      </c>
      <c r="AI4" s="29" t="s">
        <v>34</v>
      </c>
      <c r="AJ4" s="29" t="s">
        <v>35</v>
      </c>
      <c r="AK4" s="29" t="s">
        <v>13</v>
      </c>
      <c r="AL4" s="6" t="s">
        <v>32</v>
      </c>
      <c r="AM4" s="6" t="s">
        <v>30</v>
      </c>
      <c r="AN4" s="6" t="s">
        <v>33</v>
      </c>
      <c r="AO4" s="6" t="s">
        <v>34</v>
      </c>
      <c r="AP4" s="6" t="s">
        <v>35</v>
      </c>
      <c r="AQ4" s="6" t="s">
        <v>13</v>
      </c>
      <c r="AR4" s="7">
        <v>2025</v>
      </c>
      <c r="AS4" s="8">
        <v>2026</v>
      </c>
      <c r="AT4" s="8">
        <v>2027</v>
      </c>
      <c r="AU4" s="8">
        <v>2028</v>
      </c>
      <c r="AV4" s="8" t="s">
        <v>38</v>
      </c>
      <c r="AW4" s="1452">
        <v>2025</v>
      </c>
      <c r="AX4" s="1452">
        <v>2026</v>
      </c>
      <c r="AY4" s="1452">
        <v>2027</v>
      </c>
      <c r="AZ4" s="1">
        <v>2028</v>
      </c>
    </row>
    <row r="5" spans="1:52" s="217" customFormat="1" ht="33.75" outlineLevel="1" x14ac:dyDescent="0.2">
      <c r="A5" s="1446" t="s">
        <v>1860</v>
      </c>
      <c r="B5" s="21" t="s">
        <v>47</v>
      </c>
      <c r="C5" s="22"/>
      <c r="D5" s="214">
        <v>86182</v>
      </c>
      <c r="E5" s="214">
        <v>0</v>
      </c>
      <c r="F5" s="214">
        <f t="shared" ref="F5:F13" si="1">SUM(D5:E5)</f>
        <v>86182</v>
      </c>
      <c r="G5" s="215">
        <v>46113</v>
      </c>
      <c r="H5" s="342">
        <v>0</v>
      </c>
      <c r="I5" s="342">
        <v>0</v>
      </c>
      <c r="J5" s="342">
        <v>0</v>
      </c>
      <c r="K5" s="342">
        <f t="shared" ref="K5:K13" si="2">H5+I5+J5</f>
        <v>0</v>
      </c>
      <c r="L5" s="342">
        <v>0</v>
      </c>
      <c r="M5" s="342">
        <f t="shared" ref="M5:M13" si="3">K5+L5</f>
        <v>0</v>
      </c>
      <c r="N5" s="342">
        <v>0</v>
      </c>
      <c r="O5" s="342">
        <v>0</v>
      </c>
      <c r="P5" s="342">
        <v>0</v>
      </c>
      <c r="Q5" s="342">
        <f t="shared" ref="Q5:Q13" si="4">N5+O5+P5</f>
        <v>0</v>
      </c>
      <c r="R5" s="342">
        <v>0</v>
      </c>
      <c r="S5" s="342">
        <f t="shared" ref="S5:S13" si="5">Q5+R5</f>
        <v>0</v>
      </c>
      <c r="T5" s="216">
        <v>1011021624</v>
      </c>
      <c r="U5" s="342">
        <v>0</v>
      </c>
      <c r="V5" s="342"/>
      <c r="W5" s="342">
        <f t="shared" ref="W5:W13" si="6">T5+U5+V5</f>
        <v>1011021624</v>
      </c>
      <c r="X5" s="342">
        <v>222424757</v>
      </c>
      <c r="Y5" s="342">
        <f t="shared" ref="Y5:Y13" si="7">W5+X5</f>
        <v>1233446381</v>
      </c>
      <c r="Z5" s="342">
        <v>1444471409</v>
      </c>
      <c r="AA5" s="342"/>
      <c r="AB5" s="342"/>
      <c r="AC5" s="342">
        <f t="shared" ref="AC5:AC13" si="8">Z5+AA5+AB5</f>
        <v>1444471409</v>
      </c>
      <c r="AD5" s="342">
        <v>453976729</v>
      </c>
      <c r="AE5" s="342">
        <f t="shared" ref="AE5:AE13" si="9">AC5+AD5</f>
        <v>1898448138</v>
      </c>
      <c r="AF5" s="216">
        <f t="shared" ref="AF5:AF13" si="10">Z5</f>
        <v>1444471409</v>
      </c>
      <c r="AG5" s="216">
        <f t="shared" ref="AG5:AG13" si="11">AA5</f>
        <v>0</v>
      </c>
      <c r="AH5" s="216">
        <f t="shared" ref="AH5:AH13" si="12">AB5</f>
        <v>0</v>
      </c>
      <c r="AI5" s="216">
        <f t="shared" ref="AI5:AI13" si="13">AF5+AG5+AH5</f>
        <v>1444471409</v>
      </c>
      <c r="AJ5" s="216">
        <f t="shared" ref="AJ5:AJ13" si="14">AD5</f>
        <v>453976729</v>
      </c>
      <c r="AK5" s="216">
        <f t="shared" ref="AK5:AK13" si="15">AI5+AJ5</f>
        <v>1898448138</v>
      </c>
      <c r="AL5" s="342">
        <f>N5+Z5</f>
        <v>1444471409</v>
      </c>
      <c r="AM5" s="342">
        <f>O5+AA5</f>
        <v>0</v>
      </c>
      <c r="AN5" s="342">
        <f>P5+AB5</f>
        <v>0</v>
      </c>
      <c r="AO5" s="342">
        <f>Q5+AC5</f>
        <v>1444471409</v>
      </c>
      <c r="AP5" s="342">
        <f>R5+AD5</f>
        <v>453976729</v>
      </c>
      <c r="AQ5" s="342">
        <f>AO5+AP5</f>
        <v>1898448138</v>
      </c>
      <c r="AR5" s="348">
        <f>M5</f>
        <v>0</v>
      </c>
      <c r="AS5" s="348">
        <f>S5+Y5</f>
        <v>1233446381</v>
      </c>
      <c r="AT5" s="348">
        <f t="shared" ref="AT5:AT14" si="16">AE5+AK5</f>
        <v>3796896276</v>
      </c>
      <c r="AU5" s="348">
        <f>AT5+AS5</f>
        <v>5030342657</v>
      </c>
      <c r="AV5" s="370" t="s">
        <v>48</v>
      </c>
      <c r="AW5" s="1454">
        <f t="shared" ref="AW5:AW6" si="17">AR5</f>
        <v>0</v>
      </c>
      <c r="AX5" s="1454">
        <f t="shared" ref="AX5:AX6" si="18">AS5</f>
        <v>1233446381</v>
      </c>
      <c r="AY5" s="1454">
        <f t="shared" ref="AY5:AZ6" si="19">AT5</f>
        <v>3796896276</v>
      </c>
      <c r="AZ5" s="1454">
        <f t="shared" si="19"/>
        <v>5030342657</v>
      </c>
    </row>
    <row r="6" spans="1:52" s="218" customFormat="1" ht="22.5" x14ac:dyDescent="0.2">
      <c r="A6" s="1447" t="s">
        <v>49</v>
      </c>
      <c r="B6" s="223" t="s">
        <v>50</v>
      </c>
      <c r="C6" s="22" t="s">
        <v>51</v>
      </c>
      <c r="D6" s="23">
        <v>5946</v>
      </c>
      <c r="E6" s="23">
        <v>4004</v>
      </c>
      <c r="F6" s="23">
        <f t="shared" si="1"/>
        <v>9950</v>
      </c>
      <c r="G6" s="24">
        <v>46113</v>
      </c>
      <c r="H6" s="343">
        <v>0</v>
      </c>
      <c r="I6" s="343">
        <v>0</v>
      </c>
      <c r="J6" s="343">
        <v>0</v>
      </c>
      <c r="K6" s="342">
        <f t="shared" si="2"/>
        <v>0</v>
      </c>
      <c r="L6" s="343">
        <v>0</v>
      </c>
      <c r="M6" s="342">
        <f t="shared" si="3"/>
        <v>0</v>
      </c>
      <c r="N6" s="343">
        <v>0</v>
      </c>
      <c r="O6" s="343">
        <v>0</v>
      </c>
      <c r="P6" s="343">
        <v>0</v>
      </c>
      <c r="Q6" s="342">
        <f t="shared" si="4"/>
        <v>0</v>
      </c>
      <c r="R6" s="343">
        <v>0</v>
      </c>
      <c r="S6" s="342">
        <f t="shared" si="5"/>
        <v>0</v>
      </c>
      <c r="T6" s="343">
        <f>'Item2-Med.PCCTAE'!V23+'Item2-Med.PCCTAE'!V24</f>
        <v>66359557.560692422</v>
      </c>
      <c r="U6" s="343">
        <f>'Item2-Med.PCCTAE'!W23</f>
        <v>41636542.763991803</v>
      </c>
      <c r="V6" s="343">
        <f>'Item2-Med.PCCTAE'!X23</f>
        <v>1433113.8446316263</v>
      </c>
      <c r="W6" s="342">
        <f t="shared" si="6"/>
        <v>109429214.16931586</v>
      </c>
      <c r="X6" s="343">
        <f>'Item2-Med.PCCTAE'!V25</f>
        <v>18047793.593148217</v>
      </c>
      <c r="Y6" s="342">
        <f t="shared" si="7"/>
        <v>127477007.76246408</v>
      </c>
      <c r="Z6" s="343">
        <v>86267424.828900144</v>
      </c>
      <c r="AA6" s="343">
        <f>'Item2-Med.PCCTAE'!W27</f>
        <v>54127505.593189344</v>
      </c>
      <c r="AB6" s="343">
        <f>'Item2-Med.PCCTAE'!X27</f>
        <v>1863047.9980211142</v>
      </c>
      <c r="AC6" s="342">
        <f t="shared" si="8"/>
        <v>142257978.42011061</v>
      </c>
      <c r="AD6" s="343">
        <v>23462131.671092678</v>
      </c>
      <c r="AE6" s="342">
        <f t="shared" si="9"/>
        <v>165720110.0912033</v>
      </c>
      <c r="AF6" s="216">
        <f t="shared" si="10"/>
        <v>86267424.828900144</v>
      </c>
      <c r="AG6" s="216">
        <f t="shared" si="11"/>
        <v>54127505.593189344</v>
      </c>
      <c r="AH6" s="216">
        <f t="shared" si="12"/>
        <v>1863047.9980211142</v>
      </c>
      <c r="AI6" s="216">
        <f t="shared" si="13"/>
        <v>142257978.42011061</v>
      </c>
      <c r="AJ6" s="216">
        <f t="shared" si="14"/>
        <v>23462131.671092678</v>
      </c>
      <c r="AK6" s="216">
        <f t="shared" si="15"/>
        <v>165720110.0912033</v>
      </c>
      <c r="AL6" s="349">
        <f t="shared" ref="AL6:AN6" si="20">N6+Z6</f>
        <v>86267424.828900144</v>
      </c>
      <c r="AM6" s="349">
        <f t="shared" si="20"/>
        <v>54127505.593189344</v>
      </c>
      <c r="AN6" s="342">
        <f t="shared" si="20"/>
        <v>1863047.9980211142</v>
      </c>
      <c r="AO6" s="342">
        <f t="shared" ref="AO6:AO19" si="21">Q6+AC6</f>
        <v>142257978.42011061</v>
      </c>
      <c r="AP6" s="342">
        <f t="shared" ref="AP6:AP19" si="22">R6+AD6</f>
        <v>23462131.671092678</v>
      </c>
      <c r="AQ6" s="342">
        <f t="shared" ref="AQ6:AQ19" si="23">AO6+AP6</f>
        <v>165720110.0912033</v>
      </c>
      <c r="AR6" s="348">
        <f t="shared" ref="AR6:AR19" si="24">M6</f>
        <v>0</v>
      </c>
      <c r="AS6" s="348">
        <f t="shared" ref="AS6:AS19" si="25">S6+Y6</f>
        <v>127477007.76246408</v>
      </c>
      <c r="AT6" s="348">
        <f t="shared" si="16"/>
        <v>331440220.1824066</v>
      </c>
      <c r="AU6" s="348">
        <f t="shared" ref="AU6:AU19" si="26">AT6+AS6</f>
        <v>458917227.94487071</v>
      </c>
      <c r="AV6" s="371" t="s">
        <v>52</v>
      </c>
      <c r="AW6" s="1454">
        <f t="shared" si="17"/>
        <v>0</v>
      </c>
      <c r="AX6" s="1454">
        <f t="shared" si="18"/>
        <v>127477007.76246408</v>
      </c>
      <c r="AY6" s="1454">
        <f t="shared" si="19"/>
        <v>331440220.1824066</v>
      </c>
      <c r="AZ6" s="1454">
        <f t="shared" si="19"/>
        <v>458917227.94487071</v>
      </c>
    </row>
    <row r="7" spans="1:52" s="218" customFormat="1" x14ac:dyDescent="0.25">
      <c r="A7" s="1448" t="s">
        <v>1857</v>
      </c>
      <c r="B7" s="32" t="s">
        <v>58</v>
      </c>
      <c r="C7" s="33" t="s">
        <v>54</v>
      </c>
      <c r="D7" s="34">
        <v>4642</v>
      </c>
      <c r="E7" s="34">
        <v>2942</v>
      </c>
      <c r="F7" s="34">
        <f t="shared" si="1"/>
        <v>7584</v>
      </c>
      <c r="G7" s="35">
        <v>46113</v>
      </c>
      <c r="H7" s="344">
        <v>0</v>
      </c>
      <c r="I7" s="344">
        <v>0</v>
      </c>
      <c r="J7" s="344"/>
      <c r="K7" s="342">
        <f t="shared" si="2"/>
        <v>0</v>
      </c>
      <c r="L7" s="344">
        <v>0</v>
      </c>
      <c r="M7" s="342">
        <f t="shared" si="3"/>
        <v>0</v>
      </c>
      <c r="N7" s="344">
        <v>0</v>
      </c>
      <c r="O7" s="344">
        <v>0</v>
      </c>
      <c r="P7" s="344"/>
      <c r="Q7" s="342">
        <f t="shared" si="4"/>
        <v>0</v>
      </c>
      <c r="R7" s="344">
        <v>0</v>
      </c>
      <c r="S7" s="342">
        <f t="shared" si="5"/>
        <v>0</v>
      </c>
      <c r="T7" s="344">
        <f>'Item3-ATE'!P21</f>
        <v>203473250.27532342</v>
      </c>
      <c r="U7" s="344">
        <f>'Item3-ATE'!Q21</f>
        <v>157832559.89214998</v>
      </c>
      <c r="V7" s="344">
        <v>0</v>
      </c>
      <c r="W7" s="342">
        <f t="shared" si="6"/>
        <v>361305810.16747344</v>
      </c>
      <c r="X7" s="344">
        <f>'Item3-ATE'!R21</f>
        <v>47412032.338334762</v>
      </c>
      <c r="Y7" s="342">
        <f t="shared" si="7"/>
        <v>408717842.50580817</v>
      </c>
      <c r="Z7" s="344">
        <f>'Item3-ATE'!T21</f>
        <v>262565191.30397499</v>
      </c>
      <c r="AA7" s="344">
        <f>'Item3-ATE'!U21</f>
        <v>205182327.85979497</v>
      </c>
      <c r="AB7" s="344">
        <v>0</v>
      </c>
      <c r="AC7" s="342">
        <f t="shared" si="8"/>
        <v>467747519.16376996</v>
      </c>
      <c r="AD7" s="344">
        <f>'Item3-ATE'!V21</f>
        <v>61181257.606002159</v>
      </c>
      <c r="AE7" s="342">
        <f t="shared" si="9"/>
        <v>528928776.76977211</v>
      </c>
      <c r="AF7" s="216">
        <f t="shared" si="10"/>
        <v>262565191.30397499</v>
      </c>
      <c r="AG7" s="216">
        <f t="shared" si="11"/>
        <v>205182327.85979497</v>
      </c>
      <c r="AH7" s="216">
        <f t="shared" si="12"/>
        <v>0</v>
      </c>
      <c r="AI7" s="216">
        <f t="shared" si="13"/>
        <v>467747519.16376996</v>
      </c>
      <c r="AJ7" s="216">
        <f t="shared" si="14"/>
        <v>61181257.606002159</v>
      </c>
      <c r="AK7" s="216">
        <f t="shared" si="15"/>
        <v>528928776.76977211</v>
      </c>
      <c r="AL7" s="351">
        <f t="shared" ref="AL7:AM13" si="27">N7+Z7</f>
        <v>262565191.30397499</v>
      </c>
      <c r="AM7" s="351">
        <f t="shared" si="27"/>
        <v>205182327.85979497</v>
      </c>
      <c r="AN7" s="342">
        <f t="shared" ref="AN7:AN13" si="28">P7+AB7</f>
        <v>0</v>
      </c>
      <c r="AO7" s="342">
        <f t="shared" si="21"/>
        <v>467747519.16376996</v>
      </c>
      <c r="AP7" s="342">
        <f t="shared" si="22"/>
        <v>61181257.606002159</v>
      </c>
      <c r="AQ7" s="342">
        <f t="shared" si="23"/>
        <v>528928776.76977211</v>
      </c>
      <c r="AR7" s="348">
        <f t="shared" si="24"/>
        <v>0</v>
      </c>
      <c r="AS7" s="348">
        <f t="shared" si="25"/>
        <v>408717842.50580817</v>
      </c>
      <c r="AT7" s="348">
        <f t="shared" si="16"/>
        <v>1057857553.5395442</v>
      </c>
      <c r="AU7" s="348">
        <f t="shared" si="26"/>
        <v>1466575396.0453525</v>
      </c>
      <c r="AV7" s="372" t="s">
        <v>1861</v>
      </c>
      <c r="AW7" s="1453">
        <f>AR7+AR8</f>
        <v>23914.742007411671</v>
      </c>
      <c r="AX7" s="1453">
        <f>AS7+AS8</f>
        <v>408818440.41688079</v>
      </c>
      <c r="AY7" s="1453">
        <f>AT7+AT8</f>
        <v>1057857553.5395442</v>
      </c>
      <c r="AZ7" s="1453">
        <f>AU7+AU8</f>
        <v>1466675993.9564252</v>
      </c>
    </row>
    <row r="8" spans="1:52" s="218" customFormat="1" ht="30" x14ac:dyDescent="0.25">
      <c r="A8" s="1448"/>
      <c r="B8" s="32" t="s">
        <v>59</v>
      </c>
      <c r="C8" s="33" t="s">
        <v>54</v>
      </c>
      <c r="D8" s="34">
        <v>4642</v>
      </c>
      <c r="E8" s="34">
        <v>2942</v>
      </c>
      <c r="F8" s="34">
        <f t="shared" si="1"/>
        <v>7584</v>
      </c>
      <c r="G8" s="35">
        <v>45992</v>
      </c>
      <c r="H8" s="344">
        <f>'Item3-ATE'!H21</f>
        <v>7445.6772077419591</v>
      </c>
      <c r="I8" s="344">
        <f>'Item3-ATE'!I21</f>
        <v>14734.12083000002</v>
      </c>
      <c r="J8" s="344">
        <v>0</v>
      </c>
      <c r="K8" s="342">
        <f t="shared" si="2"/>
        <v>22179.798037741981</v>
      </c>
      <c r="L8" s="344">
        <f>'Item3-ATE'!J21</f>
        <v>1734.9439696696891</v>
      </c>
      <c r="M8" s="342">
        <f t="shared" si="3"/>
        <v>23914.742007411671</v>
      </c>
      <c r="N8" s="344">
        <f>'Item3-ATE'!L21</f>
        <v>29805.068221982074</v>
      </c>
      <c r="O8" s="344">
        <f>'Item3-ATE'!M21</f>
        <v>63847.856930000082</v>
      </c>
      <c r="P8" s="344">
        <v>0</v>
      </c>
      <c r="Q8" s="342">
        <f t="shared" si="4"/>
        <v>93652.925151982156</v>
      </c>
      <c r="R8" s="344">
        <f>'Item3-ATE'!N21</f>
        <v>6944.985920629716</v>
      </c>
      <c r="S8" s="342">
        <f t="shared" si="5"/>
        <v>100597.91107261187</v>
      </c>
      <c r="T8" s="344">
        <v>0</v>
      </c>
      <c r="U8" s="344">
        <v>0</v>
      </c>
      <c r="V8" s="344">
        <v>0</v>
      </c>
      <c r="W8" s="342">
        <f t="shared" si="6"/>
        <v>0</v>
      </c>
      <c r="X8" s="344">
        <v>0</v>
      </c>
      <c r="Y8" s="342">
        <f t="shared" si="7"/>
        <v>0</v>
      </c>
      <c r="Z8" s="344">
        <v>0</v>
      </c>
      <c r="AA8" s="344">
        <v>0</v>
      </c>
      <c r="AB8" s="344">
        <v>0</v>
      </c>
      <c r="AC8" s="342">
        <f t="shared" si="8"/>
        <v>0</v>
      </c>
      <c r="AD8" s="344">
        <v>0</v>
      </c>
      <c r="AE8" s="342">
        <f t="shared" si="9"/>
        <v>0</v>
      </c>
      <c r="AF8" s="216">
        <f t="shared" si="10"/>
        <v>0</v>
      </c>
      <c r="AG8" s="216">
        <f t="shared" si="11"/>
        <v>0</v>
      </c>
      <c r="AH8" s="216">
        <f t="shared" si="12"/>
        <v>0</v>
      </c>
      <c r="AI8" s="216">
        <f t="shared" si="13"/>
        <v>0</v>
      </c>
      <c r="AJ8" s="216">
        <f t="shared" si="14"/>
        <v>0</v>
      </c>
      <c r="AK8" s="216">
        <f t="shared" si="15"/>
        <v>0</v>
      </c>
      <c r="AL8" s="351">
        <f t="shared" si="27"/>
        <v>29805.068221982074</v>
      </c>
      <c r="AM8" s="351">
        <f t="shared" si="27"/>
        <v>63847.856930000082</v>
      </c>
      <c r="AN8" s="342">
        <f t="shared" si="28"/>
        <v>0</v>
      </c>
      <c r="AO8" s="342">
        <f t="shared" si="21"/>
        <v>93652.925151982156</v>
      </c>
      <c r="AP8" s="342">
        <f t="shared" si="22"/>
        <v>6944.985920629716</v>
      </c>
      <c r="AQ8" s="342">
        <f t="shared" si="23"/>
        <v>100597.91107261187</v>
      </c>
      <c r="AR8" s="348">
        <f t="shared" si="24"/>
        <v>23914.742007411671</v>
      </c>
      <c r="AS8" s="348">
        <f t="shared" si="25"/>
        <v>100597.91107261187</v>
      </c>
      <c r="AT8" s="348">
        <f t="shared" si="16"/>
        <v>0</v>
      </c>
      <c r="AU8" s="348">
        <f t="shared" si="26"/>
        <v>100597.91107261187</v>
      </c>
      <c r="AV8" s="372" t="s">
        <v>1861</v>
      </c>
      <c r="AW8" s="1453"/>
      <c r="AX8" s="1453"/>
      <c r="AY8" s="1453"/>
    </row>
    <row r="9" spans="1:52" s="218" customFormat="1" x14ac:dyDescent="0.2">
      <c r="A9" s="1446" t="s">
        <v>1858</v>
      </c>
      <c r="B9" s="36" t="s">
        <v>60</v>
      </c>
      <c r="C9" s="33" t="s">
        <v>61</v>
      </c>
      <c r="D9" s="34">
        <v>1728</v>
      </c>
      <c r="E9" s="34">
        <v>1811</v>
      </c>
      <c r="F9" s="34">
        <f t="shared" si="1"/>
        <v>3539</v>
      </c>
      <c r="G9" s="35">
        <v>46113</v>
      </c>
      <c r="H9" s="343">
        <v>0</v>
      </c>
      <c r="I9" s="343">
        <v>0</v>
      </c>
      <c r="J9" s="343"/>
      <c r="K9" s="342">
        <f t="shared" si="2"/>
        <v>0</v>
      </c>
      <c r="L9" s="343">
        <v>0</v>
      </c>
      <c r="M9" s="342">
        <f t="shared" si="3"/>
        <v>0</v>
      </c>
      <c r="N9" s="343">
        <v>0</v>
      </c>
      <c r="O9" s="343">
        <v>0</v>
      </c>
      <c r="P9" s="343"/>
      <c r="Q9" s="342">
        <f t="shared" si="4"/>
        <v>0</v>
      </c>
      <c r="R9" s="343">
        <v>0</v>
      </c>
      <c r="S9" s="342">
        <f t="shared" si="5"/>
        <v>0</v>
      </c>
      <c r="T9" s="343">
        <f>'Item 4-PCCCULT'!H15</f>
        <v>53126104.277697228</v>
      </c>
      <c r="U9" s="343">
        <f>'Item 4-PCCCULT'!I15</f>
        <v>74410667.645599976</v>
      </c>
      <c r="V9" s="343">
        <v>0</v>
      </c>
      <c r="W9" s="342">
        <f t="shared" si="6"/>
        <v>127536771.9232972</v>
      </c>
      <c r="X9" s="343">
        <f>'Item 4-PCCCULT'!J15</f>
        <v>12379104.234171655</v>
      </c>
      <c r="Y9" s="342">
        <f t="shared" si="7"/>
        <v>139915876.15746886</v>
      </c>
      <c r="Z9" s="343">
        <f>'Item 4-PCCCULT'!L15</f>
        <v>68554788.966283053</v>
      </c>
      <c r="AA9" s="343">
        <f>'Item 4-PCCCULT'!M15</f>
        <v>96733867.939279974</v>
      </c>
      <c r="AB9" s="343">
        <v>0</v>
      </c>
      <c r="AC9" s="342">
        <f t="shared" si="8"/>
        <v>165288656.90556303</v>
      </c>
      <c r="AD9" s="343">
        <f>'Item 4-PCCCULT'!N15</f>
        <v>15974197.428994015</v>
      </c>
      <c r="AE9" s="342">
        <f t="shared" si="9"/>
        <v>181262854.33455706</v>
      </c>
      <c r="AF9" s="216">
        <f t="shared" si="10"/>
        <v>68554788.966283053</v>
      </c>
      <c r="AG9" s="216">
        <f t="shared" si="11"/>
        <v>96733867.939279974</v>
      </c>
      <c r="AH9" s="216">
        <f t="shared" si="12"/>
        <v>0</v>
      </c>
      <c r="AI9" s="216">
        <f t="shared" si="13"/>
        <v>165288656.90556303</v>
      </c>
      <c r="AJ9" s="216">
        <f t="shared" si="14"/>
        <v>15974197.428994015</v>
      </c>
      <c r="AK9" s="216">
        <f t="shared" si="15"/>
        <v>181262854.33455706</v>
      </c>
      <c r="AL9" s="349">
        <f t="shared" si="27"/>
        <v>68554788.966283053</v>
      </c>
      <c r="AM9" s="349">
        <f t="shared" si="27"/>
        <v>96733867.939279974</v>
      </c>
      <c r="AN9" s="342">
        <f t="shared" si="28"/>
        <v>0</v>
      </c>
      <c r="AO9" s="342">
        <f t="shared" si="21"/>
        <v>165288656.90556303</v>
      </c>
      <c r="AP9" s="342">
        <f t="shared" si="22"/>
        <v>15974197.428994015</v>
      </c>
      <c r="AQ9" s="342">
        <f t="shared" si="23"/>
        <v>181262854.33455706</v>
      </c>
      <c r="AR9" s="348">
        <f t="shared" si="24"/>
        <v>0</v>
      </c>
      <c r="AS9" s="348">
        <f t="shared" si="25"/>
        <v>139915876.15746886</v>
      </c>
      <c r="AT9" s="348">
        <f t="shared" si="16"/>
        <v>362525708.66911411</v>
      </c>
      <c r="AU9" s="348">
        <f t="shared" si="26"/>
        <v>502441584.82658297</v>
      </c>
      <c r="AV9" s="373" t="s">
        <v>1862</v>
      </c>
      <c r="AW9" s="1454">
        <f>AR9</f>
        <v>0</v>
      </c>
      <c r="AX9" s="1454">
        <f t="shared" ref="AX9:AZ9" si="29">AS9</f>
        <v>139915876.15746886</v>
      </c>
      <c r="AY9" s="1454">
        <f t="shared" si="29"/>
        <v>362525708.66911411</v>
      </c>
      <c r="AZ9" s="1454">
        <f t="shared" si="29"/>
        <v>502441584.82658297</v>
      </c>
    </row>
    <row r="10" spans="1:52" s="218" customFormat="1" x14ac:dyDescent="0.25">
      <c r="A10" s="1448" t="s">
        <v>1848</v>
      </c>
      <c r="B10" s="223" t="s">
        <v>62</v>
      </c>
      <c r="C10" s="22" t="s">
        <v>63</v>
      </c>
      <c r="D10" s="23"/>
      <c r="E10" s="23">
        <v>25245</v>
      </c>
      <c r="F10" s="23">
        <f t="shared" si="1"/>
        <v>25245</v>
      </c>
      <c r="G10" s="24">
        <v>46113</v>
      </c>
      <c r="H10" s="343">
        <v>0</v>
      </c>
      <c r="I10" s="343">
        <v>0</v>
      </c>
      <c r="J10" s="343"/>
      <c r="K10" s="342">
        <f t="shared" si="2"/>
        <v>0</v>
      </c>
      <c r="L10" s="343">
        <v>0</v>
      </c>
      <c r="M10" s="342">
        <f t="shared" si="3"/>
        <v>0</v>
      </c>
      <c r="N10" s="343">
        <v>0</v>
      </c>
      <c r="O10" s="343">
        <v>0</v>
      </c>
      <c r="P10" s="343"/>
      <c r="Q10" s="342">
        <f t="shared" si="4"/>
        <v>0</v>
      </c>
      <c r="R10" s="343">
        <v>0</v>
      </c>
      <c r="S10" s="342">
        <f t="shared" si="5"/>
        <v>0</v>
      </c>
      <c r="T10" s="343">
        <f>'Item5-RFB e AFT'!T5</f>
        <v>0</v>
      </c>
      <c r="U10" s="343">
        <f>'Item5-RFB e AFT'!U5</f>
        <v>237307786.55393761</v>
      </c>
      <c r="V10" s="343">
        <f>'Item5-RFB e AFT'!V5</f>
        <v>152685388.44606242</v>
      </c>
      <c r="W10" s="342">
        <f t="shared" si="6"/>
        <v>389993175</v>
      </c>
      <c r="X10" s="343">
        <f>'Item5-RFB e AFT'!X5</f>
        <v>0</v>
      </c>
      <c r="Y10" s="342">
        <f t="shared" si="7"/>
        <v>389993175</v>
      </c>
      <c r="Z10" s="343">
        <f>'Item5-RFB e AFT'!Z5</f>
        <v>0</v>
      </c>
      <c r="AA10" s="343">
        <f>'Item5-RFB e AFT'!AA5</f>
        <v>258881221.69520473</v>
      </c>
      <c r="AB10" s="343">
        <f>'Item5-RFB e AFT'!AB5</f>
        <v>166565878.30479538</v>
      </c>
      <c r="AC10" s="342">
        <f t="shared" si="8"/>
        <v>425447100.00000012</v>
      </c>
      <c r="AD10" s="343">
        <f>'Item5-RFB e AFT'!AD5</f>
        <v>0</v>
      </c>
      <c r="AE10" s="342">
        <f t="shared" si="9"/>
        <v>425447100.00000012</v>
      </c>
      <c r="AF10" s="216">
        <f t="shared" si="10"/>
        <v>0</v>
      </c>
      <c r="AG10" s="216">
        <f t="shared" si="11"/>
        <v>258881221.69520473</v>
      </c>
      <c r="AH10" s="216">
        <f t="shared" si="12"/>
        <v>166565878.30479538</v>
      </c>
      <c r="AI10" s="216">
        <f t="shared" si="13"/>
        <v>425447100.00000012</v>
      </c>
      <c r="AJ10" s="216">
        <f t="shared" si="14"/>
        <v>0</v>
      </c>
      <c r="AK10" s="216">
        <f t="shared" si="15"/>
        <v>425447100.00000012</v>
      </c>
      <c r="AL10" s="349">
        <f t="shared" si="27"/>
        <v>0</v>
      </c>
      <c r="AM10" s="349">
        <f t="shared" si="27"/>
        <v>258881221.69520473</v>
      </c>
      <c r="AN10" s="342">
        <f t="shared" si="28"/>
        <v>166565878.30479538</v>
      </c>
      <c r="AO10" s="342">
        <f t="shared" si="21"/>
        <v>425447100.00000012</v>
      </c>
      <c r="AP10" s="342">
        <f t="shared" si="22"/>
        <v>0</v>
      </c>
      <c r="AQ10" s="342">
        <f t="shared" si="23"/>
        <v>425447100.00000012</v>
      </c>
      <c r="AR10" s="348">
        <f t="shared" si="24"/>
        <v>0</v>
      </c>
      <c r="AS10" s="348">
        <f t="shared" si="25"/>
        <v>389993175</v>
      </c>
      <c r="AT10" s="348">
        <f t="shared" si="16"/>
        <v>850894200.00000024</v>
      </c>
      <c r="AU10" s="348">
        <f t="shared" si="26"/>
        <v>1240887375.0000002</v>
      </c>
      <c r="AV10" s="373" t="s">
        <v>1863</v>
      </c>
      <c r="AW10" s="1454"/>
      <c r="AX10" s="1454"/>
      <c r="AY10" s="1454"/>
    </row>
    <row r="11" spans="1:52" s="218" customFormat="1" x14ac:dyDescent="0.25">
      <c r="A11" s="1448"/>
      <c r="B11" s="223" t="s">
        <v>64</v>
      </c>
      <c r="C11" s="22" t="s">
        <v>65</v>
      </c>
      <c r="D11" s="23">
        <v>13135</v>
      </c>
      <c r="E11" s="23">
        <v>25245</v>
      </c>
      <c r="F11" s="23">
        <f t="shared" si="1"/>
        <v>38380</v>
      </c>
      <c r="G11" s="24">
        <v>46113</v>
      </c>
      <c r="H11" s="343">
        <v>0</v>
      </c>
      <c r="I11" s="343">
        <v>0</v>
      </c>
      <c r="J11" s="343"/>
      <c r="K11" s="342">
        <f t="shared" si="2"/>
        <v>0</v>
      </c>
      <c r="L11" s="343">
        <v>0</v>
      </c>
      <c r="M11" s="342">
        <f t="shared" si="3"/>
        <v>0</v>
      </c>
      <c r="N11" s="343">
        <v>0</v>
      </c>
      <c r="O11" s="343">
        <v>0</v>
      </c>
      <c r="P11" s="343"/>
      <c r="Q11" s="342">
        <f t="shared" si="4"/>
        <v>0</v>
      </c>
      <c r="R11" s="343">
        <v>0</v>
      </c>
      <c r="S11" s="342">
        <f t="shared" si="5"/>
        <v>0</v>
      </c>
      <c r="T11" s="343">
        <f>'Item5-RFB e AFT'!T6</f>
        <v>302444528.375413</v>
      </c>
      <c r="U11" s="343">
        <f>'Item5-RFB e AFT'!U6</f>
        <v>374996564.29999948</v>
      </c>
      <c r="V11" s="343">
        <f>'Item5-RFB e AFT'!V6</f>
        <v>239285757.86689162</v>
      </c>
      <c r="W11" s="342">
        <f t="shared" si="6"/>
        <v>916726850.54230404</v>
      </c>
      <c r="X11" s="343">
        <f>'Item5-RFB e AFT'!X6</f>
        <v>50960230.883151256</v>
      </c>
      <c r="Y11" s="342">
        <f t="shared" si="7"/>
        <v>967687081.42545533</v>
      </c>
      <c r="Z11" s="343">
        <f>'Item5-RFB e AFT'!Z6</f>
        <v>393177886.88803691</v>
      </c>
      <c r="AA11" s="343">
        <f>'Item5-RFB e AFT'!AA6</f>
        <v>487495533.58999932</v>
      </c>
      <c r="AB11" s="343">
        <f>'Item5-RFB e AFT'!AB6</f>
        <v>311071485.22695911</v>
      </c>
      <c r="AC11" s="342">
        <f t="shared" si="8"/>
        <v>1191744905.7049952</v>
      </c>
      <c r="AD11" s="343">
        <f>'Item5-RFB e AFT'!AD6</f>
        <v>66248300.148096636</v>
      </c>
      <c r="AE11" s="342">
        <f t="shared" si="9"/>
        <v>1257993205.8530917</v>
      </c>
      <c r="AF11" s="216">
        <f t="shared" si="10"/>
        <v>393177886.88803691</v>
      </c>
      <c r="AG11" s="216">
        <f t="shared" si="11"/>
        <v>487495533.58999932</v>
      </c>
      <c r="AH11" s="216">
        <f t="shared" si="12"/>
        <v>311071485.22695911</v>
      </c>
      <c r="AI11" s="216">
        <f t="shared" si="13"/>
        <v>1191744905.7049952</v>
      </c>
      <c r="AJ11" s="216">
        <f t="shared" si="14"/>
        <v>66248300.148096636</v>
      </c>
      <c r="AK11" s="216">
        <f t="shared" si="15"/>
        <v>1257993205.8530917</v>
      </c>
      <c r="AL11" s="349">
        <f t="shared" si="27"/>
        <v>393177886.88803691</v>
      </c>
      <c r="AM11" s="349">
        <f t="shared" si="27"/>
        <v>487495533.58999932</v>
      </c>
      <c r="AN11" s="342">
        <f t="shared" si="28"/>
        <v>311071485.22695911</v>
      </c>
      <c r="AO11" s="342">
        <f t="shared" si="21"/>
        <v>1191744905.7049952</v>
      </c>
      <c r="AP11" s="342">
        <f t="shared" si="22"/>
        <v>66248300.148096636</v>
      </c>
      <c r="AQ11" s="342">
        <f t="shared" si="23"/>
        <v>1257993205.8530917</v>
      </c>
      <c r="AR11" s="348">
        <f t="shared" si="24"/>
        <v>0</v>
      </c>
      <c r="AS11" s="348">
        <f t="shared" si="25"/>
        <v>967687081.42545533</v>
      </c>
      <c r="AT11" s="348">
        <f t="shared" si="16"/>
        <v>2515986411.7061834</v>
      </c>
      <c r="AU11" s="348">
        <f t="shared" si="26"/>
        <v>3483673493.1316385</v>
      </c>
      <c r="AV11" s="373" t="s">
        <v>1864</v>
      </c>
      <c r="AW11" s="1454"/>
      <c r="AX11" s="1454"/>
      <c r="AY11" s="1454"/>
    </row>
    <row r="12" spans="1:52" s="218" customFormat="1" ht="30" x14ac:dyDescent="0.25">
      <c r="A12" s="1448"/>
      <c r="B12" s="223" t="s">
        <v>66</v>
      </c>
      <c r="C12" s="22" t="s">
        <v>67</v>
      </c>
      <c r="D12" s="23">
        <v>0</v>
      </c>
      <c r="E12" s="23">
        <v>4136</v>
      </c>
      <c r="F12" s="23">
        <f t="shared" si="1"/>
        <v>4136</v>
      </c>
      <c r="G12" s="24">
        <v>46113</v>
      </c>
      <c r="H12" s="343">
        <v>0</v>
      </c>
      <c r="I12" s="343">
        <v>0</v>
      </c>
      <c r="J12" s="343"/>
      <c r="K12" s="342">
        <f t="shared" si="2"/>
        <v>0</v>
      </c>
      <c r="L12" s="343">
        <v>0</v>
      </c>
      <c r="M12" s="342">
        <f t="shared" si="3"/>
        <v>0</v>
      </c>
      <c r="N12" s="343">
        <v>0</v>
      </c>
      <c r="O12" s="343">
        <v>0</v>
      </c>
      <c r="P12" s="343"/>
      <c r="Q12" s="342">
        <f t="shared" si="4"/>
        <v>0</v>
      </c>
      <c r="R12" s="343">
        <v>0</v>
      </c>
      <c r="S12" s="342">
        <f t="shared" si="5"/>
        <v>0</v>
      </c>
      <c r="T12" s="343">
        <f>'Item5-RFB e AFT'!T7</f>
        <v>0</v>
      </c>
      <c r="U12" s="343">
        <f>'Item5-RFB e AFT'!U7</f>
        <v>52210280.159574471</v>
      </c>
      <c r="V12" s="343">
        <f>'Item5-RFB e AFT'!V7</f>
        <v>20302049.840425532</v>
      </c>
      <c r="W12" s="342">
        <f t="shared" si="6"/>
        <v>72512330</v>
      </c>
      <c r="X12" s="343">
        <f>'Item5-RFB e AFT'!X7</f>
        <v>0</v>
      </c>
      <c r="Y12" s="342">
        <f t="shared" si="7"/>
        <v>72512330</v>
      </c>
      <c r="Z12" s="343">
        <f>'Item5-RFB e AFT'!Z7</f>
        <v>0</v>
      </c>
      <c r="AA12" s="343">
        <f>'Item5-RFB e AFT'!AA7</f>
        <v>56956669.26499033</v>
      </c>
      <c r="AB12" s="343">
        <f>'Item5-RFB e AFT'!AB7</f>
        <v>22147690.73500967</v>
      </c>
      <c r="AC12" s="342">
        <f t="shared" si="8"/>
        <v>79104360</v>
      </c>
      <c r="AD12" s="343">
        <f>'Item5-RFB e AFT'!AD7</f>
        <v>0</v>
      </c>
      <c r="AE12" s="342">
        <f t="shared" si="9"/>
        <v>79104360</v>
      </c>
      <c r="AF12" s="216">
        <f t="shared" si="10"/>
        <v>0</v>
      </c>
      <c r="AG12" s="216">
        <f t="shared" si="11"/>
        <v>56956669.26499033</v>
      </c>
      <c r="AH12" s="216">
        <f t="shared" si="12"/>
        <v>22147690.73500967</v>
      </c>
      <c r="AI12" s="216">
        <f t="shared" si="13"/>
        <v>79104360</v>
      </c>
      <c r="AJ12" s="216">
        <f t="shared" si="14"/>
        <v>0</v>
      </c>
      <c r="AK12" s="216">
        <f t="shared" si="15"/>
        <v>79104360</v>
      </c>
      <c r="AL12" s="349">
        <f t="shared" si="27"/>
        <v>0</v>
      </c>
      <c r="AM12" s="349">
        <f t="shared" si="27"/>
        <v>56956669.26499033</v>
      </c>
      <c r="AN12" s="342">
        <f t="shared" si="28"/>
        <v>22147690.73500967</v>
      </c>
      <c r="AO12" s="342">
        <f t="shared" si="21"/>
        <v>79104360</v>
      </c>
      <c r="AP12" s="342">
        <f t="shared" si="22"/>
        <v>0</v>
      </c>
      <c r="AQ12" s="342">
        <f t="shared" si="23"/>
        <v>79104360</v>
      </c>
      <c r="AR12" s="348">
        <f t="shared" si="24"/>
        <v>0</v>
      </c>
      <c r="AS12" s="348">
        <f t="shared" si="25"/>
        <v>72512330</v>
      </c>
      <c r="AT12" s="348">
        <f t="shared" si="16"/>
        <v>158208720</v>
      </c>
      <c r="AU12" s="348">
        <f t="shared" si="26"/>
        <v>230721050</v>
      </c>
      <c r="AV12" s="373" t="s">
        <v>1865</v>
      </c>
      <c r="AW12" s="1454"/>
      <c r="AX12" s="1454"/>
      <c r="AY12" s="1454"/>
    </row>
    <row r="13" spans="1:52" s="218" customFormat="1" x14ac:dyDescent="0.25">
      <c r="A13" s="1448"/>
      <c r="B13" s="223" t="s">
        <v>68</v>
      </c>
      <c r="C13" s="22" t="s">
        <v>69</v>
      </c>
      <c r="D13" s="23">
        <v>1866</v>
      </c>
      <c r="E13" s="23">
        <v>4136</v>
      </c>
      <c r="F13" s="23">
        <f t="shared" si="1"/>
        <v>6002</v>
      </c>
      <c r="G13" s="24">
        <v>46113</v>
      </c>
      <c r="H13" s="343">
        <v>0</v>
      </c>
      <c r="I13" s="343">
        <v>0</v>
      </c>
      <c r="J13" s="343"/>
      <c r="K13" s="342">
        <f t="shared" si="2"/>
        <v>0</v>
      </c>
      <c r="L13" s="343">
        <v>0</v>
      </c>
      <c r="M13" s="342">
        <f t="shared" si="3"/>
        <v>0</v>
      </c>
      <c r="N13" s="343">
        <v>0</v>
      </c>
      <c r="O13" s="343">
        <v>0</v>
      </c>
      <c r="P13" s="343"/>
      <c r="Q13" s="342">
        <f t="shared" si="4"/>
        <v>0</v>
      </c>
      <c r="R13" s="343">
        <v>0</v>
      </c>
      <c r="S13" s="342">
        <f t="shared" si="5"/>
        <v>0</v>
      </c>
      <c r="T13" s="343">
        <f>'Item5-RFB e AFT'!T8</f>
        <v>52960113.26818864</v>
      </c>
      <c r="U13" s="343">
        <f>'Item5-RFB e AFT'!U8</f>
        <v>81212898.900000006</v>
      </c>
      <c r="V13" s="343">
        <f>'Item5-RFB e AFT'!V8</f>
        <v>31275550.800000057</v>
      </c>
      <c r="W13" s="342">
        <f t="shared" si="6"/>
        <v>165448562.9681887</v>
      </c>
      <c r="X13" s="343">
        <f>'Item5-RFB e AFT'!X8</f>
        <v>9469991.1648723669</v>
      </c>
      <c r="Y13" s="342">
        <f t="shared" si="7"/>
        <v>174918554.13306108</v>
      </c>
      <c r="Z13" s="343">
        <f>'Item5-RFB e AFT'!Z8</f>
        <v>68848147.248645231</v>
      </c>
      <c r="AA13" s="343">
        <f>'Item5-RFB e AFT'!AA8</f>
        <v>105576768.57000001</v>
      </c>
      <c r="AB13" s="343">
        <f>'Item5-RFB e AFT'!AB8</f>
        <v>40658216.040000074</v>
      </c>
      <c r="AC13" s="342">
        <f t="shared" si="8"/>
        <v>215083131.85864532</v>
      </c>
      <c r="AD13" s="343">
        <f>'Item5-RFB e AFT'!AD8</f>
        <v>12310988.514334077</v>
      </c>
      <c r="AE13" s="342">
        <f t="shared" si="9"/>
        <v>227394120.3729794</v>
      </c>
      <c r="AF13" s="216">
        <f t="shared" si="10"/>
        <v>68848147.248645231</v>
      </c>
      <c r="AG13" s="216">
        <f t="shared" si="11"/>
        <v>105576768.57000001</v>
      </c>
      <c r="AH13" s="216">
        <f t="shared" si="12"/>
        <v>40658216.040000074</v>
      </c>
      <c r="AI13" s="216">
        <f t="shared" si="13"/>
        <v>215083131.85864532</v>
      </c>
      <c r="AJ13" s="216">
        <f t="shared" si="14"/>
        <v>12310988.514334077</v>
      </c>
      <c r="AK13" s="216">
        <f t="shared" si="15"/>
        <v>227394120.3729794</v>
      </c>
      <c r="AL13" s="349">
        <f t="shared" si="27"/>
        <v>68848147.248645231</v>
      </c>
      <c r="AM13" s="349">
        <f t="shared" si="27"/>
        <v>105576768.57000001</v>
      </c>
      <c r="AN13" s="342">
        <f t="shared" si="28"/>
        <v>40658216.040000074</v>
      </c>
      <c r="AO13" s="342">
        <f t="shared" si="21"/>
        <v>215083131.85864532</v>
      </c>
      <c r="AP13" s="342">
        <f t="shared" si="22"/>
        <v>12310988.514334077</v>
      </c>
      <c r="AQ13" s="342">
        <f t="shared" si="23"/>
        <v>227394120.3729794</v>
      </c>
      <c r="AR13" s="348">
        <f t="shared" si="24"/>
        <v>0</v>
      </c>
      <c r="AS13" s="348">
        <f t="shared" si="25"/>
        <v>174918554.13306108</v>
      </c>
      <c r="AT13" s="348">
        <f t="shared" si="16"/>
        <v>454788240.74595881</v>
      </c>
      <c r="AU13" s="348">
        <f t="shared" si="26"/>
        <v>629706794.87901986</v>
      </c>
      <c r="AV13" s="373" t="s">
        <v>1866</v>
      </c>
      <c r="AW13" s="1454">
        <f>AR13+AR12+AR11+AR10</f>
        <v>0</v>
      </c>
      <c r="AX13" s="1454">
        <f>AS13+AS12+AS11+AS10</f>
        <v>1605111140.5585165</v>
      </c>
      <c r="AY13" s="1454">
        <f>AT13+AT12+AT11+AT10</f>
        <v>3979877572.4521427</v>
      </c>
      <c r="AZ13" s="1454">
        <f>AU13+AU12+AU11+AU10</f>
        <v>5584988713.0106583</v>
      </c>
    </row>
    <row r="14" spans="1:52" s="9" customFormat="1" ht="39" customHeight="1" outlineLevel="1" x14ac:dyDescent="0.2">
      <c r="A14" s="1447" t="s">
        <v>1859</v>
      </c>
      <c r="B14" s="223" t="s">
        <v>70</v>
      </c>
      <c r="C14" s="33" t="s">
        <v>54</v>
      </c>
      <c r="D14" s="34">
        <v>106</v>
      </c>
      <c r="E14" s="34">
        <v>309</v>
      </c>
      <c r="F14" s="34">
        <f>SUM(D14:E14)</f>
        <v>415</v>
      </c>
      <c r="G14" s="35">
        <v>46113</v>
      </c>
      <c r="H14" s="74">
        <v>0</v>
      </c>
      <c r="I14" s="74">
        <v>0</v>
      </c>
      <c r="J14" s="74"/>
      <c r="K14" s="342">
        <f>H14+I14+J14</f>
        <v>0</v>
      </c>
      <c r="L14" s="74">
        <v>0</v>
      </c>
      <c r="M14" s="342">
        <f>K14+L14</f>
        <v>0</v>
      </c>
      <c r="N14" s="74">
        <v>0</v>
      </c>
      <c r="O14" s="74">
        <v>0</v>
      </c>
      <c r="P14" s="74"/>
      <c r="Q14" s="342">
        <f>N14+O14+P14</f>
        <v>0</v>
      </c>
      <c r="R14" s="74">
        <v>0</v>
      </c>
      <c r="S14" s="342">
        <f>Q14+R14</f>
        <v>0</v>
      </c>
      <c r="T14" s="74">
        <v>5990996.1281360239</v>
      </c>
      <c r="U14" s="74">
        <v>16868929.977899998</v>
      </c>
      <c r="V14" s="74"/>
      <c r="W14" s="342">
        <f>T14+U14+V14</f>
        <v>22859926.106036022</v>
      </c>
      <c r="X14" s="74">
        <v>1395983.5102731022</v>
      </c>
      <c r="Y14" s="342">
        <f>W14+X14</f>
        <v>24255909.616309125</v>
      </c>
      <c r="Z14" s="74">
        <v>7730878.8371784315</v>
      </c>
      <c r="AA14" s="74">
        <v>21929608.971269999</v>
      </c>
      <c r="AB14" s="74"/>
      <c r="AC14" s="342">
        <f>Z14+AA14+AB14</f>
        <v>29660487.80844843</v>
      </c>
      <c r="AD14" s="344">
        <v>1801399.824970034</v>
      </c>
      <c r="AE14" s="342">
        <f>AC14+AD14</f>
        <v>31461887.633418463</v>
      </c>
      <c r="AF14" s="216">
        <f t="shared" ref="AF14:AH19" si="30">Z14</f>
        <v>7730878.8371784315</v>
      </c>
      <c r="AG14" s="216">
        <f t="shared" si="30"/>
        <v>21929608.971269999</v>
      </c>
      <c r="AH14" s="216">
        <f t="shared" si="30"/>
        <v>0</v>
      </c>
      <c r="AI14" s="216">
        <f t="shared" ref="AI14:AI18" si="31">AF14+AG14+AH14</f>
        <v>29660487.80844843</v>
      </c>
      <c r="AJ14" s="216">
        <f t="shared" ref="AJ14:AJ19" si="32">AD14</f>
        <v>1801399.824970034</v>
      </c>
      <c r="AK14" s="216">
        <f t="shared" ref="AK14:AK19" si="33">AI14+AJ14</f>
        <v>31461887.633418463</v>
      </c>
      <c r="AL14" s="75">
        <f>N14+Z14</f>
        <v>7730878.8371784315</v>
      </c>
      <c r="AM14" s="75">
        <f>O14+AA14</f>
        <v>21929608.971269999</v>
      </c>
      <c r="AN14" s="342">
        <f>P14+AB14</f>
        <v>0</v>
      </c>
      <c r="AO14" s="342">
        <f t="shared" si="21"/>
        <v>29660487.80844843</v>
      </c>
      <c r="AP14" s="342">
        <f t="shared" si="22"/>
        <v>1801399.824970034</v>
      </c>
      <c r="AQ14" s="342">
        <f t="shared" si="23"/>
        <v>31461887.633418463</v>
      </c>
      <c r="AR14" s="348">
        <f t="shared" si="24"/>
        <v>0</v>
      </c>
      <c r="AS14" s="348">
        <f t="shared" si="25"/>
        <v>24255909.616309125</v>
      </c>
      <c r="AT14" s="348">
        <f t="shared" si="16"/>
        <v>62923775.266836926</v>
      </c>
      <c r="AU14" s="348">
        <f t="shared" si="26"/>
        <v>87179684.883146048</v>
      </c>
      <c r="AV14" s="373" t="s">
        <v>1867</v>
      </c>
      <c r="AW14" s="1454">
        <f>AR14</f>
        <v>0</v>
      </c>
      <c r="AX14" s="1454">
        <f t="shared" ref="AX14:AZ14" si="34">AS14</f>
        <v>24255909.616309125</v>
      </c>
      <c r="AY14" s="1454">
        <f t="shared" si="34"/>
        <v>62923775.266836926</v>
      </c>
      <c r="AZ14" s="1454">
        <f t="shared" si="34"/>
        <v>87179684.883146048</v>
      </c>
    </row>
    <row r="15" spans="1:52" s="9" customFormat="1" ht="33.75" outlineLevel="1" x14ac:dyDescent="0.2">
      <c r="A15" s="1447" t="s">
        <v>1868</v>
      </c>
      <c r="B15" s="223" t="s">
        <v>71</v>
      </c>
      <c r="C15" s="22"/>
      <c r="D15" s="23">
        <v>3222</v>
      </c>
      <c r="E15" s="23">
        <v>0</v>
      </c>
      <c r="F15" s="23">
        <f>SUM(D15:E15)</f>
        <v>3222</v>
      </c>
      <c r="G15" s="24">
        <v>46113</v>
      </c>
      <c r="H15" s="343">
        <v>0</v>
      </c>
      <c r="I15" s="343">
        <v>0</v>
      </c>
      <c r="J15" s="343"/>
      <c r="K15" s="342">
        <f>H15+I15+J15</f>
        <v>0</v>
      </c>
      <c r="L15" s="343">
        <v>0</v>
      </c>
      <c r="M15" s="342">
        <f>K15+L15</f>
        <v>0</v>
      </c>
      <c r="N15" s="343">
        <v>0</v>
      </c>
      <c r="O15" s="343">
        <v>0</v>
      </c>
      <c r="P15" s="343"/>
      <c r="Q15" s="343">
        <v>0</v>
      </c>
      <c r="R15" s="343">
        <v>0</v>
      </c>
      <c r="S15" s="343">
        <v>0</v>
      </c>
      <c r="T15" s="344">
        <v>0</v>
      </c>
      <c r="U15" s="343">
        <v>0</v>
      </c>
      <c r="V15" s="343">
        <f>'Item13-TabAnistiado'!H68</f>
        <v>13314059.182043133</v>
      </c>
      <c r="W15" s="342">
        <f>T15+U15+V15</f>
        <v>13314059.182043133</v>
      </c>
      <c r="X15" s="343">
        <v>0</v>
      </c>
      <c r="Y15" s="342">
        <f>W15+X15</f>
        <v>13314059.182043133</v>
      </c>
      <c r="Z15" s="343">
        <v>0</v>
      </c>
      <c r="AA15" s="343">
        <v>0</v>
      </c>
      <c r="AB15" s="343">
        <f>'Item13-TabAnistiado'!H69</f>
        <v>16755350.374304038</v>
      </c>
      <c r="AC15" s="342">
        <f>Z15+AA15+AB15</f>
        <v>16755350.374304038</v>
      </c>
      <c r="AD15" s="343">
        <v>0</v>
      </c>
      <c r="AE15" s="342">
        <f>AC15+AD15</f>
        <v>16755350.374304038</v>
      </c>
      <c r="AF15" s="216">
        <f t="shared" si="30"/>
        <v>0</v>
      </c>
      <c r="AG15" s="216">
        <f t="shared" si="30"/>
        <v>0</v>
      </c>
      <c r="AH15" s="216">
        <f>'Item13-TabAnistiado'!H75</f>
        <v>17007382.68714425</v>
      </c>
      <c r="AI15" s="216">
        <f t="shared" si="31"/>
        <v>17007382.68714425</v>
      </c>
      <c r="AJ15" s="216">
        <f t="shared" si="32"/>
        <v>0</v>
      </c>
      <c r="AK15" s="216">
        <f t="shared" si="33"/>
        <v>17007382.68714425</v>
      </c>
      <c r="AL15" s="349">
        <f>N15+Z15+AF15</f>
        <v>0</v>
      </c>
      <c r="AM15" s="349">
        <f>O15+AA15+AG15</f>
        <v>0</v>
      </c>
      <c r="AN15" s="342">
        <f>P15+AB15</f>
        <v>16755350.374304038</v>
      </c>
      <c r="AO15" s="342">
        <f t="shared" si="21"/>
        <v>16755350.374304038</v>
      </c>
      <c r="AP15" s="342">
        <f t="shared" si="22"/>
        <v>0</v>
      </c>
      <c r="AQ15" s="342">
        <f t="shared" si="23"/>
        <v>16755350.374304038</v>
      </c>
      <c r="AR15" s="348">
        <f t="shared" si="24"/>
        <v>0</v>
      </c>
      <c r="AS15" s="348">
        <f>Y15</f>
        <v>13314059.182043133</v>
      </c>
      <c r="AT15" s="348">
        <f>AE15+AK15</f>
        <v>33762733.061448291</v>
      </c>
      <c r="AU15" s="348">
        <f t="shared" si="26"/>
        <v>47076792.243491426</v>
      </c>
      <c r="AV15" s="791" t="s">
        <v>1869</v>
      </c>
      <c r="AW15" s="1454">
        <f>AR15</f>
        <v>0</v>
      </c>
      <c r="AX15" s="1454">
        <f t="shared" ref="AX15" si="35">AS15</f>
        <v>13314059.182043133</v>
      </c>
      <c r="AY15" s="1454">
        <f t="shared" ref="AY15:AZ15" si="36">AT15</f>
        <v>33762733.061448291</v>
      </c>
      <c r="AZ15" s="1454">
        <f t="shared" si="36"/>
        <v>47076792.243491426</v>
      </c>
    </row>
    <row r="16" spans="1:52" s="9" customFormat="1" ht="40.5" customHeight="1" outlineLevel="1" x14ac:dyDescent="0.2">
      <c r="A16" s="1447" t="s">
        <v>1870</v>
      </c>
      <c r="B16" s="223" t="s">
        <v>72</v>
      </c>
      <c r="C16" s="22"/>
      <c r="D16" s="23">
        <v>2524</v>
      </c>
      <c r="E16" s="23">
        <v>0</v>
      </c>
      <c r="F16" s="23">
        <f t="shared" ref="F16" si="37">SUM(D16:E16)</f>
        <v>2524</v>
      </c>
      <c r="G16" s="24">
        <v>46113</v>
      </c>
      <c r="H16" s="343">
        <v>0</v>
      </c>
      <c r="I16" s="343">
        <v>0</v>
      </c>
      <c r="J16" s="343"/>
      <c r="K16" s="342">
        <f>H16+I16+J16</f>
        <v>0</v>
      </c>
      <c r="L16" s="343">
        <v>0</v>
      </c>
      <c r="M16" s="342">
        <f>K16+L16</f>
        <v>0</v>
      </c>
      <c r="N16" s="343">
        <v>0</v>
      </c>
      <c r="O16" s="343">
        <v>0</v>
      </c>
      <c r="P16" s="343"/>
      <c r="Q16" s="343">
        <v>0</v>
      </c>
      <c r="R16" s="343">
        <v>0</v>
      </c>
      <c r="S16" s="343">
        <v>0</v>
      </c>
      <c r="T16" s="343">
        <v>0</v>
      </c>
      <c r="U16" s="343">
        <v>0</v>
      </c>
      <c r="V16" s="343">
        <f>'Item14-Anist.PDI'!C5</f>
        <v>61799840.300000072</v>
      </c>
      <c r="W16" s="342">
        <f>T16+U16+V16</f>
        <v>61799840.300000072</v>
      </c>
      <c r="X16" s="343">
        <v>0</v>
      </c>
      <c r="Y16" s="343">
        <f t="shared" ref="Y16" si="38">SUM(W16:X16)</f>
        <v>61799840.300000072</v>
      </c>
      <c r="Z16" s="343">
        <v>0</v>
      </c>
      <c r="AA16" s="343">
        <v>0</v>
      </c>
      <c r="AB16" s="343">
        <f>'Item14-Anist.PDI'!D5</f>
        <v>63653835.509000078</v>
      </c>
      <c r="AC16" s="342">
        <f>Z16+AA16+AB16</f>
        <v>63653835.509000078</v>
      </c>
      <c r="AD16" s="343">
        <v>0</v>
      </c>
      <c r="AE16" s="343">
        <f t="shared" ref="AE16" si="39">SUM(AC16:AD16)</f>
        <v>63653835.509000078</v>
      </c>
      <c r="AF16" s="216">
        <f t="shared" si="30"/>
        <v>0</v>
      </c>
      <c r="AG16" s="216">
        <f t="shared" si="30"/>
        <v>0</v>
      </c>
      <c r="AH16" s="216">
        <f>'Item14-Anist.PDI'!D5</f>
        <v>63653835.509000078</v>
      </c>
      <c r="AI16" s="216">
        <f t="shared" si="31"/>
        <v>63653835.509000078</v>
      </c>
      <c r="AJ16" s="216">
        <f t="shared" si="32"/>
        <v>0</v>
      </c>
      <c r="AK16" s="216">
        <f t="shared" si="33"/>
        <v>63653835.509000078</v>
      </c>
      <c r="AL16" s="349">
        <f>N16+AB16</f>
        <v>63653835.509000078</v>
      </c>
      <c r="AM16" s="349">
        <f>O16+AA16</f>
        <v>0</v>
      </c>
      <c r="AN16" s="342">
        <f>P16+AB16</f>
        <v>63653835.509000078</v>
      </c>
      <c r="AO16" s="342">
        <f t="shared" si="21"/>
        <v>63653835.509000078</v>
      </c>
      <c r="AP16" s="342">
        <f t="shared" si="22"/>
        <v>0</v>
      </c>
      <c r="AQ16" s="342">
        <f t="shared" si="23"/>
        <v>63653835.509000078</v>
      </c>
      <c r="AR16" s="348">
        <f t="shared" si="24"/>
        <v>0</v>
      </c>
      <c r="AS16" s="348">
        <f t="shared" si="25"/>
        <v>61799840.300000072</v>
      </c>
      <c r="AT16" s="348">
        <f t="shared" ref="AT16:AT19" si="40">AE16+AK16</f>
        <v>127307671.01800016</v>
      </c>
      <c r="AU16" s="348">
        <f t="shared" si="26"/>
        <v>189107511.31800023</v>
      </c>
      <c r="AV16" s="791" t="s">
        <v>1871</v>
      </c>
      <c r="AW16" s="1454">
        <f>AR16</f>
        <v>0</v>
      </c>
      <c r="AX16" s="1454">
        <f t="shared" ref="AX16" si="41">AS16</f>
        <v>61799840.300000072</v>
      </c>
      <c r="AY16" s="1454">
        <f t="shared" ref="AY16:AZ16" si="42">AT16</f>
        <v>127307671.01800016</v>
      </c>
      <c r="AZ16" s="1454">
        <f t="shared" si="42"/>
        <v>189107511.31800023</v>
      </c>
    </row>
    <row r="17" spans="1:52" s="20" customFormat="1" ht="45" outlineLevel="1" x14ac:dyDescent="0.2">
      <c r="A17" s="1449" t="s">
        <v>41</v>
      </c>
      <c r="B17" s="223" t="s">
        <v>73</v>
      </c>
      <c r="C17" s="22"/>
      <c r="D17" s="23">
        <v>17096</v>
      </c>
      <c r="E17" s="23">
        <v>20884</v>
      </c>
      <c r="F17" s="23">
        <f>SUM(D17:E17)</f>
        <v>37980</v>
      </c>
      <c r="G17" s="24" t="s">
        <v>43</v>
      </c>
      <c r="H17" s="73">
        <f>'Item23-24-25.1-FCDFGeral'!H5</f>
        <v>47999896.992322735</v>
      </c>
      <c r="I17" s="73">
        <f>'Item23-24-25.1-FCDFGeral'!I5</f>
        <v>50925902.361684501</v>
      </c>
      <c r="J17" s="73">
        <f>'Item23-24-25.1-FCDFGeral'!J5</f>
        <v>10293303.096732035</v>
      </c>
      <c r="K17" s="73">
        <f>'Item23-24-25.1-FCDFGeral'!K5</f>
        <v>109219102.45073928</v>
      </c>
      <c r="L17" s="73">
        <f>'Item23-24-25.1-FCDFGeral'!L5</f>
        <v>0</v>
      </c>
      <c r="M17" s="73">
        <f>'Item23-24-25.1-FCDFGeral'!M5</f>
        <v>109219102.45073928</v>
      </c>
      <c r="N17" s="73">
        <f>'Item23-24-25.1-FCDFGeral'!N5</f>
        <v>311999330.4500978</v>
      </c>
      <c r="O17" s="73">
        <f>'Item23-24-25.1-FCDFGeral'!O5</f>
        <v>331018365.35094929</v>
      </c>
      <c r="P17" s="73">
        <f>'Item23-24-25.1-FCDFGeral'!P5</f>
        <v>66906470.128758229</v>
      </c>
      <c r="Q17" s="73">
        <f>'Item23-24-25.1-FCDFGeral'!Q5</f>
        <v>709924165.92980528</v>
      </c>
      <c r="R17" s="73">
        <f>'Item23-24-25.1-FCDFGeral'!R5</f>
        <v>0</v>
      </c>
      <c r="S17" s="73">
        <f>'Item23-24-25.1-FCDFGeral'!S5</f>
        <v>709924165.92980528</v>
      </c>
      <c r="T17" s="73">
        <f>'Item23-24-25.1-FCDFGeral'!T5</f>
        <v>395166703.22060007</v>
      </c>
      <c r="U17" s="73">
        <f>'Item23-24-25.1-FCDFGeral'!U5</f>
        <v>365373725.4349699</v>
      </c>
      <c r="V17" s="73">
        <f>'Item23-24-25.1-FCDFGeral'!V5</f>
        <v>82750231.107961953</v>
      </c>
      <c r="W17" s="73">
        <f>'Item23-24-25.1-FCDFGeral'!W5</f>
        <v>843290659.76353192</v>
      </c>
      <c r="X17" s="73">
        <f>'Item23-24-25.1-FCDFGeral'!X5</f>
        <v>0</v>
      </c>
      <c r="Y17" s="73">
        <f>'Item23-24-25.1-FCDFGeral'!Y5</f>
        <v>843290659.76353192</v>
      </c>
      <c r="Z17" s="73">
        <f>'Item23-24-25.1-FCDFGeral'!Z5</f>
        <v>395166700.22060007</v>
      </c>
      <c r="AA17" s="73">
        <f>'Item23-24-25.1-FCDFGeral'!AA5</f>
        <v>365373722.4349699</v>
      </c>
      <c r="AB17" s="73">
        <f>'Item23-24-25.1-FCDFGeral'!AB5</f>
        <v>82750228.107961953</v>
      </c>
      <c r="AC17" s="73">
        <f>'Item23-24-25.1-FCDFGeral'!AC5</f>
        <v>843290650.76353192</v>
      </c>
      <c r="AD17" s="73">
        <f>'Item23-24-25.1-FCDFGeral'!AD5</f>
        <v>0</v>
      </c>
      <c r="AE17" s="73">
        <f>'Item23-24-25.1-FCDFGeral'!AE5</f>
        <v>843290650.76353192</v>
      </c>
      <c r="AF17" s="216">
        <f t="shared" si="30"/>
        <v>395166700.22060007</v>
      </c>
      <c r="AG17" s="216">
        <f t="shared" si="30"/>
        <v>365373722.4349699</v>
      </c>
      <c r="AH17" s="216">
        <f t="shared" si="30"/>
        <v>82750228.107961953</v>
      </c>
      <c r="AI17" s="216">
        <f t="shared" si="31"/>
        <v>843290650.76353192</v>
      </c>
      <c r="AJ17" s="216">
        <f t="shared" si="32"/>
        <v>0</v>
      </c>
      <c r="AK17" s="216">
        <f t="shared" si="33"/>
        <v>843290650.76353192</v>
      </c>
      <c r="AL17" s="71">
        <f>N17+Z17</f>
        <v>707166030.67069793</v>
      </c>
      <c r="AM17" s="71">
        <f>O17+AA17</f>
        <v>696392087.78591919</v>
      </c>
      <c r="AN17" s="342">
        <f>P17+AB17</f>
        <v>149656698.23672017</v>
      </c>
      <c r="AO17" s="342">
        <f t="shared" si="21"/>
        <v>1553214816.6933372</v>
      </c>
      <c r="AP17" s="342">
        <f t="shared" si="22"/>
        <v>0</v>
      </c>
      <c r="AQ17" s="342">
        <f t="shared" si="23"/>
        <v>1553214816.6933372</v>
      </c>
      <c r="AR17" s="348">
        <f t="shared" si="24"/>
        <v>109219102.45073928</v>
      </c>
      <c r="AS17" s="348">
        <f t="shared" si="25"/>
        <v>1553214825.6933372</v>
      </c>
      <c r="AT17" s="348">
        <f t="shared" si="40"/>
        <v>1686581301.5270638</v>
      </c>
      <c r="AU17" s="348">
        <f t="shared" si="26"/>
        <v>3239796127.2204008</v>
      </c>
      <c r="AV17" s="791" t="s">
        <v>74</v>
      </c>
      <c r="AW17" s="1454">
        <f t="shared" ref="AW17:AW19" si="43">AR17</f>
        <v>109219102.45073928</v>
      </c>
      <c r="AX17" s="1454">
        <f t="shared" ref="AX17:AX19" si="44">AS17</f>
        <v>1553214825.6933372</v>
      </c>
      <c r="AY17" s="1454">
        <f t="shared" ref="AY17:AY19" si="45">AT17</f>
        <v>1686581301.5270638</v>
      </c>
      <c r="AZ17" s="1454">
        <f t="shared" ref="AZ17:AZ19" si="46">AU17</f>
        <v>3239796127.2204008</v>
      </c>
    </row>
    <row r="18" spans="1:52" s="20" customFormat="1" ht="45" outlineLevel="1" x14ac:dyDescent="0.2">
      <c r="A18" s="1449" t="s">
        <v>41</v>
      </c>
      <c r="B18" s="223" t="s">
        <v>75</v>
      </c>
      <c r="C18" s="22"/>
      <c r="D18" s="23">
        <v>4567</v>
      </c>
      <c r="E18" s="23">
        <v>5547</v>
      </c>
      <c r="F18" s="23">
        <f>SUM(D18:E18)</f>
        <v>10114</v>
      </c>
      <c r="G18" s="24" t="s">
        <v>43</v>
      </c>
      <c r="H18" s="73">
        <f>'Item23-24-25.1-FCDFGeral'!H6</f>
        <v>19651687.458570644</v>
      </c>
      <c r="I18" s="73">
        <f>'Item23-24-25.1-FCDFGeral'!I6</f>
        <v>22126377.032105863</v>
      </c>
      <c r="J18" s="73">
        <f>'Item23-24-25.1-FCDFGeral'!J6</f>
        <v>4284936.1196356192</v>
      </c>
      <c r="K18" s="73">
        <f>'Item23-24-25.1-FCDFGeral'!K6</f>
        <v>46063000.610312127</v>
      </c>
      <c r="L18" s="73">
        <f>'Item23-24-25.1-FCDFGeral'!L6</f>
        <v>5349701.5018864255</v>
      </c>
      <c r="M18" s="73">
        <f>'Item23-24-25.1-FCDFGeral'!M6</f>
        <v>51412702.112198554</v>
      </c>
      <c r="N18" s="73">
        <f>'Item23-24-25.1-FCDFGeral'!N6</f>
        <v>127735968.48070918</v>
      </c>
      <c r="O18" s="73">
        <f>'Item23-24-25.1-FCDFGeral'!O6</f>
        <v>143821450.70868811</v>
      </c>
      <c r="P18" s="73">
        <f>'Item23-24-25.1-FCDFGeral'!P6</f>
        <v>27852084.777631525</v>
      </c>
      <c r="Q18" s="73">
        <f>'Item23-24-25.1-FCDFGeral'!Q6</f>
        <v>299409503.9670288</v>
      </c>
      <c r="R18" s="73">
        <f>'Item23-24-25.1-FCDFGeral'!R6</f>
        <v>34773059.762261763</v>
      </c>
      <c r="S18" s="73">
        <f>'Item23-24-25.1-FCDFGeral'!S6</f>
        <v>334182563.72929054</v>
      </c>
      <c r="T18" s="73">
        <f>'Item23-24-25.1-FCDFGeral'!T6</f>
        <v>143648629.61923492</v>
      </c>
      <c r="U18" s="73">
        <f>'Item23-24-25.1-FCDFGeral'!U6</f>
        <v>162334557.51358801</v>
      </c>
      <c r="V18" s="73">
        <f>'Item23-24-25.1-FCDFGeral'!V6</f>
        <v>31402717.755344659</v>
      </c>
      <c r="W18" s="73">
        <f>'Item23-24-25.1-FCDFGeral'!W6</f>
        <v>337385904.88816762</v>
      </c>
      <c r="X18" s="73">
        <f>'Item23-24-25.1-FCDFGeral'!X6</f>
        <v>39104900.850781329</v>
      </c>
      <c r="Y18" s="73">
        <f>'Item23-24-25.1-FCDFGeral'!Y6</f>
        <v>376490805.73894894</v>
      </c>
      <c r="Z18" s="73">
        <f>'Item23-24-25.1-FCDFGeral'!Z6</f>
        <v>143648629.61923492</v>
      </c>
      <c r="AA18" s="73">
        <f>'Item23-24-25.1-FCDFGeral'!AA6</f>
        <v>162334557.51358801</v>
      </c>
      <c r="AB18" s="73">
        <f>'Item23-24-25.1-FCDFGeral'!AB6</f>
        <v>31402717.755344659</v>
      </c>
      <c r="AC18" s="73">
        <f>'Item23-24-25.1-FCDFGeral'!AC6</f>
        <v>337385904.88816762</v>
      </c>
      <c r="AD18" s="73">
        <f>'Item23-24-25.1-FCDFGeral'!AD6</f>
        <v>39104900.850781329</v>
      </c>
      <c r="AE18" s="73">
        <f>'Item23-24-25.1-FCDFGeral'!AE6</f>
        <v>376490805.73894894</v>
      </c>
      <c r="AF18" s="216">
        <f t="shared" si="30"/>
        <v>143648629.61923492</v>
      </c>
      <c r="AG18" s="216">
        <f t="shared" si="30"/>
        <v>162334557.51358801</v>
      </c>
      <c r="AH18" s="216">
        <f t="shared" si="30"/>
        <v>31402717.755344659</v>
      </c>
      <c r="AI18" s="216">
        <f t="shared" si="31"/>
        <v>337385904.88816762</v>
      </c>
      <c r="AJ18" s="216">
        <f t="shared" si="32"/>
        <v>39104900.850781329</v>
      </c>
      <c r="AK18" s="216">
        <f t="shared" si="33"/>
        <v>376490805.73894894</v>
      </c>
      <c r="AL18" s="71">
        <f>N18+Z18</f>
        <v>271384598.09994411</v>
      </c>
      <c r="AM18" s="71">
        <f>O18+AA18</f>
        <v>306156008.22227609</v>
      </c>
      <c r="AN18" s="342">
        <f>P18+AB18</f>
        <v>59254802.53297618</v>
      </c>
      <c r="AO18" s="342">
        <f t="shared" si="21"/>
        <v>636795408.85519648</v>
      </c>
      <c r="AP18" s="342">
        <f t="shared" si="22"/>
        <v>73877960.6130431</v>
      </c>
      <c r="AQ18" s="342">
        <f t="shared" si="23"/>
        <v>710673369.46823955</v>
      </c>
      <c r="AR18" s="348">
        <f t="shared" si="24"/>
        <v>51412702.112198554</v>
      </c>
      <c r="AS18" s="348">
        <f t="shared" si="25"/>
        <v>710673369.46823955</v>
      </c>
      <c r="AT18" s="348">
        <f t="shared" si="40"/>
        <v>752981611.47789788</v>
      </c>
      <c r="AU18" s="348">
        <f t="shared" si="26"/>
        <v>1463654980.9461374</v>
      </c>
      <c r="AV18" s="791" t="s">
        <v>74</v>
      </c>
      <c r="AW18" s="1454">
        <f t="shared" si="43"/>
        <v>51412702.112198554</v>
      </c>
      <c r="AX18" s="1454">
        <f t="shared" si="44"/>
        <v>710673369.46823955</v>
      </c>
      <c r="AY18" s="1454">
        <f t="shared" si="45"/>
        <v>752981611.47789788</v>
      </c>
      <c r="AZ18" s="1454">
        <f t="shared" si="46"/>
        <v>1463654980.9461374</v>
      </c>
    </row>
    <row r="19" spans="1:52" s="20" customFormat="1" ht="33.75" outlineLevel="1" x14ac:dyDescent="0.2">
      <c r="A19" s="1450" t="s">
        <v>44</v>
      </c>
      <c r="B19" s="225" t="s">
        <v>76</v>
      </c>
      <c r="C19" s="22"/>
      <c r="D19" s="67">
        <v>154</v>
      </c>
      <c r="E19" s="67">
        <v>10687</v>
      </c>
      <c r="F19" s="23">
        <f>SUM(D19:E19)</f>
        <v>10841</v>
      </c>
      <c r="G19" s="24" t="s">
        <v>43</v>
      </c>
      <c r="H19" s="73">
        <f>'Item 25. ReajEXT'!J31</f>
        <v>426087.56978692778</v>
      </c>
      <c r="I19" s="73">
        <f>'Item 25. ReajEXT'!K31</f>
        <v>20764252.905145109</v>
      </c>
      <c r="J19" s="73">
        <f>'Item 25. ReajEXT'!L31</f>
        <v>13080393.504402936</v>
      </c>
      <c r="K19" s="342">
        <f>H19+I19+J19</f>
        <v>34270733.979334973</v>
      </c>
      <c r="L19" s="73">
        <f>'Item 25. ReajEXT'!J33</f>
        <v>44739.194827627412</v>
      </c>
      <c r="M19" s="342">
        <f>K19+L19</f>
        <v>34315473.174162604</v>
      </c>
      <c r="N19" s="73">
        <f>'Item 25. ReajEXT'!J35</f>
        <v>2769569.2036150307</v>
      </c>
      <c r="O19" s="73">
        <f>'Item 25. ReajEXT'!K35</f>
        <v>134967643.88344321</v>
      </c>
      <c r="P19" s="73">
        <f>'Item 25. ReajEXT'!L35</f>
        <v>85022557.778619081</v>
      </c>
      <c r="Q19" s="73">
        <f>N19+O19+P19</f>
        <v>222759770.86567733</v>
      </c>
      <c r="R19" s="73">
        <f>'Item 25. ReajEXT'!J37</f>
        <v>290804.76637957821</v>
      </c>
      <c r="S19" s="73">
        <f>SUM(Q19:R19)</f>
        <v>223050575.63205689</v>
      </c>
      <c r="T19" s="216">
        <f>'Item 25. ReajEXT'!O31</f>
        <v>3088068.7475653244</v>
      </c>
      <c r="U19" s="216">
        <f>'Item 25. ReajEXT'!P31</f>
        <v>152290309.10116547</v>
      </c>
      <c r="V19" s="216">
        <f>'Item 25. ReajEXT'!Q31</f>
        <v>126990452.98332471</v>
      </c>
      <c r="W19" s="73">
        <f>SUM(T19:V19)</f>
        <v>282368830.83205551</v>
      </c>
      <c r="X19" s="73">
        <f>'Item 25. ReajEXT'!J37+'Item 25. ReajEXT'!O33</f>
        <v>615051.98487393721</v>
      </c>
      <c r="Y19" s="73">
        <f>SUM(W19:X19)</f>
        <v>282983882.81692946</v>
      </c>
      <c r="Z19" s="73">
        <f>'Item 25. ReajEXT'!O35</f>
        <v>3088068.7475653244</v>
      </c>
      <c r="AA19" s="73">
        <f>'Item 25. ReajEXT'!P35</f>
        <v>152290309.10116547</v>
      </c>
      <c r="AB19" s="73">
        <f>'Item 25. ReajEXT'!Q35</f>
        <v>126990452.98332471</v>
      </c>
      <c r="AC19" s="73">
        <f>SUM(Z19:AB19)</f>
        <v>282368830.83205551</v>
      </c>
      <c r="AD19" s="73">
        <f>'Item 25. ReajEXT'!J37+'Item 25. ReajEXT'!O37</f>
        <v>615051.98487393721</v>
      </c>
      <c r="AE19" s="73">
        <f>SUM(AC19:AD19)</f>
        <v>282983882.81692946</v>
      </c>
      <c r="AF19" s="216">
        <f t="shared" si="30"/>
        <v>3088068.7475653244</v>
      </c>
      <c r="AG19" s="216">
        <f t="shared" si="30"/>
        <v>152290309.10116547</v>
      </c>
      <c r="AH19" s="216">
        <f t="shared" si="30"/>
        <v>126990452.98332471</v>
      </c>
      <c r="AI19" s="216">
        <f>AF19+AG19+AH19</f>
        <v>282368830.83205551</v>
      </c>
      <c r="AJ19" s="216">
        <f t="shared" si="32"/>
        <v>615051.98487393721</v>
      </c>
      <c r="AK19" s="216">
        <f t="shared" si="33"/>
        <v>282983882.81692946</v>
      </c>
      <c r="AL19" s="71">
        <f>N19+Z19</f>
        <v>5857637.9511803556</v>
      </c>
      <c r="AM19" s="71">
        <f>O19+AA19</f>
        <v>287257952.98460865</v>
      </c>
      <c r="AN19" s="342">
        <f>P19+AB19</f>
        <v>212013010.76194379</v>
      </c>
      <c r="AO19" s="342">
        <f t="shared" si="21"/>
        <v>505128601.69773281</v>
      </c>
      <c r="AP19" s="342">
        <f t="shared" si="22"/>
        <v>905856.75125351548</v>
      </c>
      <c r="AQ19" s="342">
        <f t="shared" si="23"/>
        <v>506034458.44898629</v>
      </c>
      <c r="AR19" s="348">
        <f t="shared" si="24"/>
        <v>34315473.174162604</v>
      </c>
      <c r="AS19" s="348">
        <f t="shared" si="25"/>
        <v>506034458.44898635</v>
      </c>
      <c r="AT19" s="348">
        <f t="shared" si="40"/>
        <v>565967765.63385892</v>
      </c>
      <c r="AU19" s="348">
        <f t="shared" si="26"/>
        <v>1072002224.0828452</v>
      </c>
      <c r="AV19" s="791" t="s">
        <v>77</v>
      </c>
      <c r="AW19" s="1454">
        <f t="shared" si="43"/>
        <v>34315473.174162604</v>
      </c>
      <c r="AX19" s="1454">
        <f t="shared" si="44"/>
        <v>506034458.44898635</v>
      </c>
      <c r="AY19" s="1454">
        <f t="shared" si="45"/>
        <v>565967765.63385892</v>
      </c>
      <c r="AZ19" s="1454">
        <f t="shared" si="46"/>
        <v>1072002224.0828452</v>
      </c>
    </row>
    <row r="20" spans="1:52" s="529" customFormat="1" ht="18.75" outlineLevel="1" x14ac:dyDescent="0.25">
      <c r="A20" s="525"/>
      <c r="B20" s="526"/>
      <c r="C20" s="387"/>
      <c r="D20" s="527"/>
      <c r="E20" s="527"/>
      <c r="F20" s="527"/>
      <c r="G20" s="528"/>
      <c r="H20" s="790">
        <f t="shared" ref="H20:AU20" si="47">SUM(H5:H19)</f>
        <v>68085117.697888047</v>
      </c>
      <c r="I20" s="790">
        <f t="shared" si="47"/>
        <v>93831266.419765472</v>
      </c>
      <c r="J20" s="790">
        <f t="shared" si="47"/>
        <v>27658632.72077059</v>
      </c>
      <c r="K20" s="790">
        <f t="shared" si="47"/>
        <v>189575016.83842412</v>
      </c>
      <c r="L20" s="790">
        <f t="shared" si="47"/>
        <v>5396175.6406837227</v>
      </c>
      <c r="M20" s="790">
        <f t="shared" si="47"/>
        <v>194971192.47910783</v>
      </c>
      <c r="N20" s="790">
        <f t="shared" si="47"/>
        <v>442534673.20264399</v>
      </c>
      <c r="O20" s="790">
        <f t="shared" si="47"/>
        <v>609871307.80001068</v>
      </c>
      <c r="P20" s="790">
        <f t="shared" si="47"/>
        <v>179781112.68500882</v>
      </c>
      <c r="Q20" s="790">
        <f t="shared" si="47"/>
        <v>1232187093.6876633</v>
      </c>
      <c r="R20" s="790">
        <f t="shared" si="47"/>
        <v>35070809.514561974</v>
      </c>
      <c r="S20" s="790">
        <f t="shared" si="47"/>
        <v>1267257903.2022254</v>
      </c>
      <c r="T20" s="790">
        <f t="shared" si="47"/>
        <v>2237279575.4728508</v>
      </c>
      <c r="U20" s="790">
        <f t="shared" si="47"/>
        <v>1716474822.2428768</v>
      </c>
      <c r="V20" s="790">
        <f t="shared" si="47"/>
        <v>761239162.12668586</v>
      </c>
      <c r="W20" s="790">
        <f t="shared" si="47"/>
        <v>4714993559.8424129</v>
      </c>
      <c r="X20" s="790">
        <f t="shared" si="47"/>
        <v>401809845.55960655</v>
      </c>
      <c r="Y20" s="790">
        <f t="shared" si="47"/>
        <v>5116803405.4020205</v>
      </c>
      <c r="Z20" s="790">
        <f t="shared" si="47"/>
        <v>2873519125.660419</v>
      </c>
      <c r="AA20" s="790">
        <f t="shared" si="47"/>
        <v>1966882092.533452</v>
      </c>
      <c r="AB20" s="790">
        <f t="shared" si="47"/>
        <v>863858903.0347209</v>
      </c>
      <c r="AC20" s="790">
        <f t="shared" si="47"/>
        <v>5704260121.228591</v>
      </c>
      <c r="AD20" s="790">
        <f t="shared" si="47"/>
        <v>674674957.02914488</v>
      </c>
      <c r="AE20" s="790">
        <f t="shared" si="47"/>
        <v>6378935078.2577353</v>
      </c>
      <c r="AF20" s="790">
        <f t="shared" si="47"/>
        <v>2873519125.660419</v>
      </c>
      <c r="AG20" s="790">
        <f t="shared" si="47"/>
        <v>1966882092.533452</v>
      </c>
      <c r="AH20" s="790">
        <f t="shared" si="47"/>
        <v>864110935.34756112</v>
      </c>
      <c r="AI20" s="790">
        <f t="shared" si="47"/>
        <v>5704512153.5414314</v>
      </c>
      <c r="AJ20" s="790">
        <f t="shared" si="47"/>
        <v>674674957.02914488</v>
      </c>
      <c r="AK20" s="790">
        <f t="shared" si="47"/>
        <v>6379187110.5705757</v>
      </c>
      <c r="AL20" s="790">
        <f t="shared" si="47"/>
        <v>3379707634.3720636</v>
      </c>
      <c r="AM20" s="790">
        <f t="shared" si="47"/>
        <v>2576753400.3334627</v>
      </c>
      <c r="AN20" s="790">
        <f t="shared" si="47"/>
        <v>1043640015.7197297</v>
      </c>
      <c r="AO20" s="790">
        <f t="shared" si="47"/>
        <v>6936447214.916256</v>
      </c>
      <c r="AP20" s="790">
        <f t="shared" si="47"/>
        <v>709745766.54370689</v>
      </c>
      <c r="AQ20" s="790">
        <f t="shared" si="47"/>
        <v>7646192981.4599609</v>
      </c>
      <c r="AR20" s="790">
        <f t="shared" si="47"/>
        <v>194971192.47910783</v>
      </c>
      <c r="AS20" s="790">
        <f t="shared" si="47"/>
        <v>6384061308.6042452</v>
      </c>
      <c r="AT20" s="790">
        <f t="shared" si="47"/>
        <v>12758122188.828312</v>
      </c>
      <c r="AU20" s="790">
        <f t="shared" si="47"/>
        <v>19142183497.432556</v>
      </c>
    </row>
    <row r="21" spans="1:52" ht="14.25" customHeight="1" x14ac:dyDescent="0.25">
      <c r="C21"/>
      <c r="D21"/>
      <c r="E21"/>
      <c r="F21"/>
      <c r="N21" s="14"/>
      <c r="AR21" s="969"/>
      <c r="AS21" s="969"/>
      <c r="AT21" s="969"/>
      <c r="AU21" s="969"/>
    </row>
    <row r="22" spans="1:52" s="17" customFormat="1" ht="14.25" customHeight="1" x14ac:dyDescent="0.25">
      <c r="A22" s="221"/>
      <c r="C22"/>
      <c r="D22"/>
      <c r="E22"/>
      <c r="F22"/>
      <c r="G22" s="1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970"/>
      <c r="AS22" s="969"/>
      <c r="AT22" s="969"/>
      <c r="AU22" s="969"/>
      <c r="AV22" s="1"/>
      <c r="AW22" s="1"/>
      <c r="AX22" s="1"/>
      <c r="AY22" s="1"/>
    </row>
    <row r="23" spans="1:52" s="677" customFormat="1" ht="42" x14ac:dyDescent="0.35">
      <c r="A23" s="676" t="s">
        <v>78</v>
      </c>
      <c r="C23" s="678"/>
      <c r="D23" s="678"/>
      <c r="E23" s="678"/>
      <c r="F23" s="678"/>
      <c r="G23" s="679"/>
      <c r="H23" s="680">
        <f t="shared" ref="H23:AT23" si="48">H20-H17-H18-H19</f>
        <v>7445.677207738976</v>
      </c>
      <c r="I23" s="680">
        <f t="shared" si="48"/>
        <v>14734.120829999447</v>
      </c>
      <c r="J23" s="680">
        <f t="shared" si="48"/>
        <v>0</v>
      </c>
      <c r="K23" s="680">
        <f t="shared" si="48"/>
        <v>22179.798037737608</v>
      </c>
      <c r="L23" s="680">
        <f t="shared" si="48"/>
        <v>1734.94396966973</v>
      </c>
      <c r="M23" s="680">
        <f t="shared" si="48"/>
        <v>23914.742007389665</v>
      </c>
      <c r="N23" s="680">
        <f t="shared" si="48"/>
        <v>29805.06822198024</v>
      </c>
      <c r="O23" s="680">
        <f t="shared" si="48"/>
        <v>63847.856930077076</v>
      </c>
      <c r="P23" s="680">
        <f t="shared" si="48"/>
        <v>0</v>
      </c>
      <c r="Q23" s="680">
        <f t="shared" si="48"/>
        <v>93652.925151914358</v>
      </c>
      <c r="R23" s="680">
        <f t="shared" si="48"/>
        <v>6944.9859206320834</v>
      </c>
      <c r="S23" s="680">
        <f t="shared" si="48"/>
        <v>100597.91107273102</v>
      </c>
      <c r="T23" s="680">
        <f t="shared" si="48"/>
        <v>1695376173.8854504</v>
      </c>
      <c r="U23" s="680">
        <f t="shared" si="48"/>
        <v>1036476230.1931534</v>
      </c>
      <c r="V23" s="680">
        <f t="shared" si="48"/>
        <v>520095760.28005463</v>
      </c>
      <c r="W23" s="680">
        <f t="shared" si="48"/>
        <v>3251948164.3586583</v>
      </c>
      <c r="X23" s="680">
        <f t="shared" si="48"/>
        <v>362089892.72395128</v>
      </c>
      <c r="Y23" s="680">
        <f t="shared" si="48"/>
        <v>3614038057.0826106</v>
      </c>
      <c r="Z23" s="680">
        <f t="shared" si="48"/>
        <v>2331615727.0730186</v>
      </c>
      <c r="AA23" s="680">
        <f t="shared" si="48"/>
        <v>1286883503.4837286</v>
      </c>
      <c r="AB23" s="680">
        <f t="shared" si="48"/>
        <v>622715504.18808961</v>
      </c>
      <c r="AC23" s="680">
        <f t="shared" si="48"/>
        <v>4241214734.7448363</v>
      </c>
      <c r="AD23" s="680">
        <f t="shared" si="48"/>
        <v>634955004.19348967</v>
      </c>
      <c r="AE23" s="680">
        <f t="shared" si="48"/>
        <v>4876169738.9383249</v>
      </c>
      <c r="AF23" s="680">
        <f t="shared" si="48"/>
        <v>2331615727.0730186</v>
      </c>
      <c r="AG23" s="680">
        <f t="shared" si="48"/>
        <v>1286883503.4837286</v>
      </c>
      <c r="AH23" s="680">
        <f t="shared" si="48"/>
        <v>622967536.50092983</v>
      </c>
      <c r="AI23" s="680">
        <f t="shared" si="48"/>
        <v>4241466767.0576768</v>
      </c>
      <c r="AJ23" s="680">
        <f t="shared" si="48"/>
        <v>634955004.19348967</v>
      </c>
      <c r="AK23" s="680">
        <f t="shared" si="48"/>
        <v>4876421771.2511654</v>
      </c>
      <c r="AL23" s="680">
        <f t="shared" si="48"/>
        <v>2395299367.6502409</v>
      </c>
      <c r="AM23" s="680">
        <f t="shared" si="48"/>
        <v>1286947351.3406587</v>
      </c>
      <c r="AN23" s="680">
        <f t="shared" si="48"/>
        <v>622715504.18808949</v>
      </c>
      <c r="AO23" s="680">
        <f t="shared" si="48"/>
        <v>4241308387.6699886</v>
      </c>
      <c r="AP23" s="680">
        <f t="shared" si="48"/>
        <v>634961949.17941034</v>
      </c>
      <c r="AQ23" s="680">
        <f t="shared" si="48"/>
        <v>4876270336.8493977</v>
      </c>
      <c r="AR23" s="680">
        <f t="shared" si="48"/>
        <v>23914.742007389665</v>
      </c>
      <c r="AS23" s="680">
        <f t="shared" si="48"/>
        <v>3614138654.9936814</v>
      </c>
      <c r="AT23" s="680">
        <f t="shared" si="48"/>
        <v>9752591510.1894913</v>
      </c>
      <c r="AU23" s="680"/>
      <c r="AV23" s="680"/>
      <c r="AW23" s="680"/>
      <c r="AX23" s="680"/>
      <c r="AY23" s="680"/>
    </row>
    <row r="24" spans="1:52" s="17" customFormat="1" ht="14.25" customHeight="1" x14ac:dyDescent="0.25">
      <c r="A24" s="221"/>
      <c r="C24"/>
      <c r="D24"/>
      <c r="E24"/>
      <c r="F24"/>
      <c r="G24" s="1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5"/>
      <c r="AS24" s="16"/>
      <c r="AT24" s="16"/>
      <c r="AU24" s="16"/>
      <c r="AV24" s="1"/>
      <c r="AW24" s="1"/>
      <c r="AX24" s="1"/>
      <c r="AY24" s="1"/>
    </row>
    <row r="25" spans="1:52" s="17" customFormat="1" ht="14.25" customHeight="1" x14ac:dyDescent="0.25">
      <c r="A25" s="681" t="s">
        <v>79</v>
      </c>
      <c r="C25"/>
      <c r="D25"/>
      <c r="E25"/>
      <c r="F25"/>
      <c r="G25" s="1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682">
        <v>4374690235</v>
      </c>
      <c r="X25" s="682">
        <v>539423740</v>
      </c>
      <c r="Y25" s="682">
        <f>W25+X25</f>
        <v>4914113975</v>
      </c>
      <c r="Z25" s="1"/>
      <c r="AA25" s="1"/>
      <c r="AB25" s="1"/>
      <c r="AC25" s="686">
        <v>5478960815</v>
      </c>
      <c r="AD25" s="686">
        <v>708859381</v>
      </c>
      <c r="AE25" s="686">
        <f>AC25+AD25</f>
        <v>6187820196</v>
      </c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5"/>
      <c r="AS25" s="16"/>
      <c r="AT25" s="16"/>
      <c r="AU25" s="16"/>
      <c r="AV25" s="1"/>
      <c r="AW25" s="1"/>
      <c r="AX25" s="1"/>
      <c r="AY25" s="1"/>
    </row>
    <row r="26" spans="1:52" s="17" customFormat="1" ht="14.25" customHeight="1" x14ac:dyDescent="0.25">
      <c r="A26" s="681" t="s">
        <v>80</v>
      </c>
      <c r="C26"/>
      <c r="D26"/>
      <c r="E26"/>
      <c r="F26"/>
      <c r="G26" s="1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682">
        <f>W25-'Consolidado-CriaCargos'!W5</f>
        <v>3829031390</v>
      </c>
      <c r="X26" s="682">
        <f>X25-'Consolidado-CriaCargos'!X5</f>
        <v>539423740</v>
      </c>
      <c r="Y26" s="682">
        <f>Y25-'Consolidado-CriaCargos'!Y5</f>
        <v>4368455130</v>
      </c>
      <c r="Z26" s="1"/>
      <c r="AA26" s="1"/>
      <c r="AB26" s="1"/>
      <c r="AC26" s="686">
        <f>AC25-'Consolidado-CriaCargos'!AC5</f>
        <v>4751415688.333333</v>
      </c>
      <c r="AD26" s="686">
        <f>AD25-'Consolidado-CriaCargos'!AD5</f>
        <v>708859381</v>
      </c>
      <c r="AE26" s="686">
        <f>AC26+AD26</f>
        <v>5460275069.333333</v>
      </c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5"/>
      <c r="AS26" s="16"/>
      <c r="AT26" s="16"/>
      <c r="AU26" s="16"/>
      <c r="AV26" s="1"/>
      <c r="AW26" s="1"/>
      <c r="AX26" s="1"/>
      <c r="AY26" s="1"/>
    </row>
    <row r="27" spans="1:52" s="17" customFormat="1" ht="14.25" customHeight="1" x14ac:dyDescent="0.25">
      <c r="A27" s="221"/>
      <c r="AV27" s="1"/>
      <c r="AW27" s="1"/>
      <c r="AX27" s="1"/>
      <c r="AY27" s="1"/>
    </row>
    <row r="28" spans="1:52" s="17" customFormat="1" ht="14.25" customHeight="1" x14ac:dyDescent="0.25">
      <c r="A28" s="684" t="s">
        <v>81</v>
      </c>
      <c r="W28" s="683">
        <f>W26-W23</f>
        <v>577083225.64134169</v>
      </c>
      <c r="X28" s="683">
        <f t="shared" ref="X28:Y28" si="49">X26-X23</f>
        <v>177333847.27604872</v>
      </c>
      <c r="Y28" s="683">
        <f t="shared" si="49"/>
        <v>754417072.91738939</v>
      </c>
      <c r="AC28" s="683">
        <f>AC26-AC23</f>
        <v>510200953.58849669</v>
      </c>
      <c r="AD28" s="683">
        <f t="shared" ref="AD28:AE28" si="50">AD26-AD23</f>
        <v>73904376.806510329</v>
      </c>
      <c r="AE28" s="683">
        <f t="shared" si="50"/>
        <v>584105330.39500809</v>
      </c>
      <c r="AV28" s="1"/>
      <c r="AW28" s="1"/>
      <c r="AX28" s="1"/>
      <c r="AY28" s="1"/>
    </row>
  </sheetData>
  <mergeCells count="16">
    <mergeCell ref="G2:G4"/>
    <mergeCell ref="H2:S2"/>
    <mergeCell ref="AL2:AQ2"/>
    <mergeCell ref="AR2:AT2"/>
    <mergeCell ref="H3:M3"/>
    <mergeCell ref="N3:S3"/>
    <mergeCell ref="T3:Y3"/>
    <mergeCell ref="Z3:AE3"/>
    <mergeCell ref="AF3:AK3"/>
    <mergeCell ref="AL3:AQ3"/>
    <mergeCell ref="T2:AE2"/>
    <mergeCell ref="A7:A8"/>
    <mergeCell ref="A10:A13"/>
    <mergeCell ref="B2:B4"/>
    <mergeCell ref="C2:C4"/>
    <mergeCell ref="D2:F2"/>
  </mergeCells>
  <conditionalFormatting sqref="W28:Y28">
    <cfRule type="colorScale" priority="2">
      <colorScale>
        <cfvo type="num" val="0"/>
        <cfvo type="num" val="1"/>
        <color rgb="FFFF0000"/>
        <color rgb="FF00B0F0"/>
      </colorScale>
    </cfRule>
  </conditionalFormatting>
  <conditionalFormatting sqref="AC28:AE28">
    <cfRule type="colorScale" priority="1">
      <colorScale>
        <cfvo type="num" val="0"/>
        <cfvo type="num" val="1"/>
        <color rgb="FFFF0000"/>
        <color rgb="FF00B0F0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6811B-5A9F-48EF-AD0C-DF988E49A469}">
  <sheetPr>
    <tabColor theme="2"/>
  </sheetPr>
  <dimension ref="A6"/>
  <sheetViews>
    <sheetView showGridLines="0" workbookViewId="0">
      <selection activeCell="A6" sqref="A6"/>
    </sheetView>
  </sheetViews>
  <sheetFormatPr defaultRowHeight="15" x14ac:dyDescent="0.25"/>
  <cols>
    <col min="1" max="1" width="33.42578125" bestFit="1" customWidth="1"/>
  </cols>
  <sheetData>
    <row r="6" spans="1:1" x14ac:dyDescent="0.25">
      <c r="A6" s="1430" t="s">
        <v>1837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8FCFF-8C92-43E5-80BF-056820962149}">
  <sheetPr>
    <tabColor theme="2"/>
  </sheetPr>
  <dimension ref="A6"/>
  <sheetViews>
    <sheetView showGridLines="0" workbookViewId="0">
      <selection activeCell="A6" sqref="A6"/>
    </sheetView>
  </sheetViews>
  <sheetFormatPr defaultRowHeight="15" x14ac:dyDescent="0.25"/>
  <cols>
    <col min="1" max="1" width="33.5703125" bestFit="1" customWidth="1"/>
  </cols>
  <sheetData>
    <row r="6" spans="1:1" x14ac:dyDescent="0.25">
      <c r="A6" s="1430" t="s">
        <v>1837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944D8-4218-43EA-864A-F5487F4E22DD}">
  <dimension ref="A2:O80"/>
  <sheetViews>
    <sheetView showGridLines="0" topLeftCell="A58" workbookViewId="0">
      <selection activeCell="H79" sqref="H79:H80"/>
    </sheetView>
  </sheetViews>
  <sheetFormatPr defaultColWidth="8.85546875" defaultRowHeight="15" x14ac:dyDescent="0.25"/>
  <cols>
    <col min="3" max="3" width="20.140625" customWidth="1"/>
    <col min="4" max="4" width="13.140625" bestFit="1" customWidth="1"/>
    <col min="8" max="8" width="15.85546875" customWidth="1"/>
    <col min="11" max="11" width="26.5703125" customWidth="1"/>
    <col min="12" max="12" width="23.42578125" bestFit="1" customWidth="1"/>
    <col min="13" max="15" width="10.140625" bestFit="1" customWidth="1"/>
  </cols>
  <sheetData>
    <row r="2" spans="1:15" ht="15" customHeight="1" x14ac:dyDescent="0.25">
      <c r="A2" s="1356" t="s">
        <v>54</v>
      </c>
      <c r="C2" s="1246" t="s">
        <v>429</v>
      </c>
      <c r="D2" s="1246"/>
      <c r="K2" s="1357" t="s">
        <v>430</v>
      </c>
      <c r="L2" s="1358"/>
    </row>
    <row r="3" spans="1:15" ht="15.75" x14ac:dyDescent="0.25">
      <c r="A3" s="1356"/>
      <c r="C3" s="310"/>
      <c r="D3" s="700"/>
      <c r="F3" s="352">
        <v>2025</v>
      </c>
      <c r="G3" s="353"/>
      <c r="H3" s="353"/>
      <c r="K3" s="916" t="s">
        <v>101</v>
      </c>
      <c r="L3" s="916" t="s">
        <v>431</v>
      </c>
    </row>
    <row r="4" spans="1:15" ht="15.75" x14ac:dyDescent="0.25">
      <c r="A4" s="1356"/>
      <c r="C4" s="354" t="s">
        <v>432</v>
      </c>
      <c r="D4" s="355">
        <v>172955.92000000013</v>
      </c>
      <c r="F4" s="917" t="s">
        <v>433</v>
      </c>
      <c r="G4" s="917">
        <v>8</v>
      </c>
      <c r="H4" s="918" t="s">
        <v>172</v>
      </c>
      <c r="K4" s="919">
        <v>2025</v>
      </c>
      <c r="L4" s="920"/>
    </row>
    <row r="5" spans="1:15" ht="15.75" x14ac:dyDescent="0.25">
      <c r="A5" s="1356"/>
      <c r="C5" s="353" t="s">
        <v>434</v>
      </c>
      <c r="D5" s="355">
        <v>265.22218024100539</v>
      </c>
      <c r="F5" s="921" t="s">
        <v>435</v>
      </c>
      <c r="G5" s="921"/>
      <c r="H5" s="922">
        <v>1275217.6722910772</v>
      </c>
      <c r="K5" s="919">
        <v>2026</v>
      </c>
      <c r="L5" s="920">
        <v>16755350.374304038</v>
      </c>
    </row>
    <row r="6" spans="1:15" ht="15.75" x14ac:dyDescent="0.25">
      <c r="A6" s="1356"/>
      <c r="C6" s="353" t="s">
        <v>172</v>
      </c>
      <c r="D6" s="355">
        <v>173221.14218024112</v>
      </c>
      <c r="F6" s="921" t="s">
        <v>436</v>
      </c>
      <c r="G6" s="921"/>
      <c r="H6" s="922">
        <v>2685410.9907804201</v>
      </c>
      <c r="K6" s="919">
        <v>2027</v>
      </c>
      <c r="L6" s="920">
        <v>17007382.68714425</v>
      </c>
    </row>
    <row r="7" spans="1:15" ht="15.75" x14ac:dyDescent="0.25">
      <c r="A7" s="1356"/>
      <c r="C7" s="353"/>
      <c r="D7" s="355"/>
    </row>
    <row r="8" spans="1:15" ht="15.75" x14ac:dyDescent="0.25">
      <c r="A8" s="1356"/>
      <c r="C8" s="354" t="s">
        <v>437</v>
      </c>
      <c r="D8" s="355">
        <v>193299.14000000004</v>
      </c>
    </row>
    <row r="9" spans="1:15" ht="15.75" x14ac:dyDescent="0.25">
      <c r="A9" s="1356"/>
      <c r="C9" s="353" t="s">
        <v>434</v>
      </c>
      <c r="D9" s="355">
        <v>296.41783495766617</v>
      </c>
      <c r="F9" s="352">
        <v>2026</v>
      </c>
    </row>
    <row r="10" spans="1:15" ht="15.75" x14ac:dyDescent="0.25">
      <c r="A10" s="1356"/>
      <c r="C10" s="353" t="s">
        <v>172</v>
      </c>
      <c r="D10" s="355">
        <v>193595.5578349577</v>
      </c>
      <c r="F10" s="917" t="s">
        <v>433</v>
      </c>
      <c r="G10" s="917">
        <v>1</v>
      </c>
      <c r="H10" s="918" t="s">
        <v>172</v>
      </c>
    </row>
    <row r="11" spans="1:15" ht="15.75" x14ac:dyDescent="0.25">
      <c r="A11" s="1356"/>
      <c r="C11" s="353"/>
      <c r="D11" s="355"/>
      <c r="F11" s="921" t="s">
        <v>435</v>
      </c>
      <c r="G11" s="921"/>
      <c r="H11" s="922">
        <v>2930184.9418288982</v>
      </c>
    </row>
    <row r="12" spans="1:15" ht="16.5" thickBot="1" x14ac:dyDescent="0.3">
      <c r="A12" s="1356"/>
      <c r="C12" s="354" t="s">
        <v>438</v>
      </c>
      <c r="D12" s="355">
        <v>193299.14000000004</v>
      </c>
      <c r="F12" s="921" t="s">
        <v>436</v>
      </c>
      <c r="G12" s="921"/>
      <c r="H12" s="922">
        <v>2930184.9418288982</v>
      </c>
      <c r="K12" s="1359" t="s">
        <v>450</v>
      </c>
      <c r="L12" s="1359"/>
      <c r="M12" s="1359"/>
      <c r="N12" s="1359"/>
      <c r="O12" s="1359"/>
    </row>
    <row r="13" spans="1:15" ht="16.5" thickBot="1" x14ac:dyDescent="0.3">
      <c r="A13" s="1356"/>
      <c r="C13" s="353" t="s">
        <v>434</v>
      </c>
      <c r="D13" s="355">
        <v>296.41783495766617</v>
      </c>
      <c r="K13" s="345" t="s">
        <v>451</v>
      </c>
      <c r="L13" s="346">
        <v>2026</v>
      </c>
      <c r="M13" s="347">
        <v>2027</v>
      </c>
      <c r="O13" s="346">
        <v>2029</v>
      </c>
    </row>
    <row r="14" spans="1:15" ht="16.5" thickBot="1" x14ac:dyDescent="0.3">
      <c r="A14" s="1356"/>
      <c r="C14" s="353" t="s">
        <v>172</v>
      </c>
      <c r="D14" s="355">
        <v>193595.5578349577</v>
      </c>
      <c r="K14" s="701" t="s">
        <v>452</v>
      </c>
      <c r="L14" s="1431">
        <v>16775350</v>
      </c>
      <c r="M14" s="1431">
        <v>17007383</v>
      </c>
      <c r="O14" s="702">
        <v>18029121</v>
      </c>
    </row>
    <row r="15" spans="1:15" ht="15.75" x14ac:dyDescent="0.25">
      <c r="A15" s="1356"/>
      <c r="D15" s="688"/>
      <c r="F15" s="352">
        <v>2027</v>
      </c>
    </row>
    <row r="16" spans="1:15" ht="15.75" x14ac:dyDescent="0.25">
      <c r="A16" s="1356"/>
      <c r="C16" s="354" t="s">
        <v>439</v>
      </c>
      <c r="D16" s="355">
        <v>193299.14000000004</v>
      </c>
      <c r="F16" s="917" t="s">
        <v>433</v>
      </c>
      <c r="G16" s="917">
        <v>1</v>
      </c>
      <c r="H16" s="918" t="s">
        <v>172</v>
      </c>
    </row>
    <row r="17" spans="1:8" ht="15.75" x14ac:dyDescent="0.25">
      <c r="A17" s="1356"/>
      <c r="C17" s="353" t="s">
        <v>434</v>
      </c>
      <c r="D17" s="355">
        <v>296.41783495766617</v>
      </c>
      <c r="F17" s="921" t="s">
        <v>435</v>
      </c>
      <c r="G17" s="921"/>
      <c r="H17" s="922">
        <v>3001271.2780482038</v>
      </c>
    </row>
    <row r="18" spans="1:8" ht="15.75" x14ac:dyDescent="0.25">
      <c r="A18" s="1356"/>
      <c r="C18" s="353" t="s">
        <v>172</v>
      </c>
      <c r="D18" s="355">
        <v>193595.5578349577</v>
      </c>
      <c r="F18" s="921" t="s">
        <v>436</v>
      </c>
      <c r="G18" s="921"/>
      <c r="H18" s="922">
        <v>3001271.2780482038</v>
      </c>
    </row>
    <row r="19" spans="1:8" x14ac:dyDescent="0.25">
      <c r="D19" s="688"/>
    </row>
    <row r="20" spans="1:8" x14ac:dyDescent="0.25">
      <c r="D20" s="688"/>
    </row>
    <row r="21" spans="1:8" x14ac:dyDescent="0.25">
      <c r="A21" s="1356" t="s">
        <v>55</v>
      </c>
      <c r="C21" s="1246" t="s">
        <v>429</v>
      </c>
      <c r="D21" s="1246"/>
    </row>
    <row r="22" spans="1:8" ht="15.75" x14ac:dyDescent="0.25">
      <c r="A22" s="1356"/>
      <c r="C22" s="310"/>
      <c r="D22" s="700"/>
      <c r="F22" s="352">
        <v>2025</v>
      </c>
      <c r="G22" s="353"/>
      <c r="H22" s="355"/>
    </row>
    <row r="23" spans="1:8" ht="15.75" x14ac:dyDescent="0.25">
      <c r="A23" s="1356"/>
      <c r="C23" s="354" t="s">
        <v>432</v>
      </c>
      <c r="D23" s="355">
        <v>648687.61000000429</v>
      </c>
      <c r="F23" s="917" t="s">
        <v>433</v>
      </c>
      <c r="G23" s="917">
        <v>8</v>
      </c>
      <c r="H23" s="918" t="s">
        <v>172</v>
      </c>
    </row>
    <row r="24" spans="1:8" ht="15.75" x14ac:dyDescent="0.25">
      <c r="A24" s="1356"/>
      <c r="C24" s="353" t="s">
        <v>434</v>
      </c>
      <c r="D24" s="355">
        <v>994.74098498350349</v>
      </c>
      <c r="F24" s="921" t="s">
        <v>435</v>
      </c>
      <c r="G24" s="921"/>
      <c r="H24" s="922">
        <v>4996674.4773079921</v>
      </c>
    </row>
    <row r="25" spans="1:8" ht="15.75" x14ac:dyDescent="0.25">
      <c r="A25" s="1356"/>
      <c r="C25" s="353" t="s">
        <v>172</v>
      </c>
      <c r="D25" s="355">
        <v>649682.3509849878</v>
      </c>
      <c r="F25" s="921" t="s">
        <v>436</v>
      </c>
      <c r="G25" s="921"/>
      <c r="H25" s="922">
        <v>10522222.872435313</v>
      </c>
    </row>
    <row r="26" spans="1:8" ht="15.75" x14ac:dyDescent="0.25">
      <c r="A26" s="1356"/>
      <c r="C26" s="353"/>
      <c r="D26" s="355"/>
    </row>
    <row r="27" spans="1:8" ht="15.75" x14ac:dyDescent="0.25">
      <c r="A27" s="1356"/>
      <c r="C27" s="354" t="s">
        <v>437</v>
      </c>
      <c r="D27" s="355">
        <v>689403.7499999929</v>
      </c>
    </row>
    <row r="28" spans="1:8" ht="15.75" x14ac:dyDescent="0.25">
      <c r="A28" s="1356"/>
      <c r="C28" s="353" t="s">
        <v>434</v>
      </c>
      <c r="D28" s="355">
        <v>1057.1778383840403</v>
      </c>
      <c r="F28" s="352">
        <v>2026</v>
      </c>
    </row>
    <row r="29" spans="1:8" ht="15.75" x14ac:dyDescent="0.25">
      <c r="A29" s="1356"/>
      <c r="C29" s="353" t="s">
        <v>172</v>
      </c>
      <c r="D29" s="355">
        <v>690460.92783837696</v>
      </c>
      <c r="F29" s="917" t="s">
        <v>433</v>
      </c>
      <c r="G29" s="917">
        <v>1</v>
      </c>
      <c r="H29" s="918" t="s">
        <v>172</v>
      </c>
    </row>
    <row r="30" spans="1:8" ht="15.75" x14ac:dyDescent="0.25">
      <c r="A30" s="1356"/>
      <c r="C30" s="353"/>
      <c r="D30" s="355"/>
      <c r="F30" s="921" t="s">
        <v>435</v>
      </c>
      <c r="G30" s="921"/>
      <c r="H30" s="922">
        <v>11034032.751593359</v>
      </c>
    </row>
    <row r="31" spans="1:8" ht="15.75" x14ac:dyDescent="0.25">
      <c r="A31" s="1356"/>
      <c r="C31" s="354" t="s">
        <v>438</v>
      </c>
      <c r="D31" s="355">
        <v>689403.7499999929</v>
      </c>
      <c r="F31" s="921" t="s">
        <v>436</v>
      </c>
      <c r="G31" s="921"/>
      <c r="H31" s="922">
        <v>11034032.751593359</v>
      </c>
    </row>
    <row r="32" spans="1:8" ht="15.75" x14ac:dyDescent="0.25">
      <c r="A32" s="1356"/>
      <c r="C32" s="353" t="s">
        <v>434</v>
      </c>
      <c r="D32" s="355">
        <v>1057.1778383840403</v>
      </c>
    </row>
    <row r="33" spans="1:8" ht="15.75" x14ac:dyDescent="0.25">
      <c r="A33" s="1356"/>
      <c r="C33" s="353" t="s">
        <v>172</v>
      </c>
      <c r="D33" s="355">
        <v>690460.92783837696</v>
      </c>
    </row>
    <row r="34" spans="1:8" ht="15.75" x14ac:dyDescent="0.25">
      <c r="A34" s="1356"/>
      <c r="D34" s="688"/>
      <c r="F34" s="352">
        <v>2027</v>
      </c>
    </row>
    <row r="35" spans="1:8" ht="15.75" x14ac:dyDescent="0.25">
      <c r="A35" s="1356"/>
      <c r="C35" s="354" t="s">
        <v>439</v>
      </c>
      <c r="D35" s="355">
        <v>689403.7499999929</v>
      </c>
      <c r="F35" s="917" t="s">
        <v>433</v>
      </c>
      <c r="G35" s="917">
        <v>1</v>
      </c>
      <c r="H35" s="918" t="s">
        <v>172</v>
      </c>
    </row>
    <row r="36" spans="1:8" ht="15.75" x14ac:dyDescent="0.25">
      <c r="A36" s="1356"/>
      <c r="C36" s="353" t="s">
        <v>434</v>
      </c>
      <c r="D36" s="355">
        <v>1057.1778383840403</v>
      </c>
      <c r="F36" s="921" t="s">
        <v>435</v>
      </c>
      <c r="G36" s="921"/>
      <c r="H36" s="922">
        <v>11182670.664223962</v>
      </c>
    </row>
    <row r="37" spans="1:8" ht="15.75" x14ac:dyDescent="0.25">
      <c r="A37" s="1356"/>
      <c r="C37" s="353" t="s">
        <v>172</v>
      </c>
      <c r="D37" s="355">
        <v>690460.92783837696</v>
      </c>
      <c r="F37" s="921" t="s">
        <v>436</v>
      </c>
      <c r="G37" s="921"/>
      <c r="H37" s="922">
        <v>11182670.664223962</v>
      </c>
    </row>
    <row r="38" spans="1:8" x14ac:dyDescent="0.25">
      <c r="D38" s="688"/>
    </row>
    <row r="39" spans="1:8" x14ac:dyDescent="0.25">
      <c r="D39" s="688"/>
    </row>
    <row r="40" spans="1:8" x14ac:dyDescent="0.25">
      <c r="A40" s="1356" t="s">
        <v>56</v>
      </c>
      <c r="C40" s="1246" t="s">
        <v>429</v>
      </c>
      <c r="D40" s="1246"/>
    </row>
    <row r="41" spans="1:8" ht="15.75" x14ac:dyDescent="0.25">
      <c r="A41" s="1356"/>
      <c r="C41" s="310"/>
      <c r="D41" s="700"/>
      <c r="F41" s="352">
        <v>2025</v>
      </c>
      <c r="G41" s="353"/>
      <c r="H41" s="355"/>
    </row>
    <row r="42" spans="1:8" ht="15.75" x14ac:dyDescent="0.25">
      <c r="A42" s="1356"/>
      <c r="C42" s="354" t="s">
        <v>432</v>
      </c>
      <c r="D42" s="355">
        <v>168118.79000000015</v>
      </c>
      <c r="F42" s="356" t="s">
        <v>433</v>
      </c>
      <c r="G42" s="356">
        <v>8</v>
      </c>
      <c r="H42" s="918" t="s">
        <v>172</v>
      </c>
    </row>
    <row r="43" spans="1:8" ht="15.75" x14ac:dyDescent="0.25">
      <c r="A43" s="1356"/>
      <c r="C43" s="353" t="s">
        <v>434</v>
      </c>
      <c r="D43" s="355">
        <v>257.80460144573107</v>
      </c>
      <c r="F43" s="357" t="s">
        <v>435</v>
      </c>
      <c r="G43" s="357"/>
      <c r="H43" s="358">
        <v>1272593.6695296199</v>
      </c>
    </row>
    <row r="44" spans="1:8" ht="15.75" x14ac:dyDescent="0.25">
      <c r="A44" s="1356"/>
      <c r="C44" s="353" t="s">
        <v>172</v>
      </c>
      <c r="D44" s="355">
        <v>168376.59460144589</v>
      </c>
      <c r="F44" s="357" t="s">
        <v>436</v>
      </c>
      <c r="G44" s="357"/>
      <c r="H44" s="358">
        <v>2679885.2472085049</v>
      </c>
    </row>
    <row r="45" spans="1:8" ht="15.75" x14ac:dyDescent="0.25">
      <c r="A45" s="1356"/>
      <c r="C45" s="353"/>
      <c r="D45" s="355"/>
    </row>
    <row r="46" spans="1:8" ht="15.75" x14ac:dyDescent="0.25">
      <c r="A46" s="1356"/>
      <c r="C46" s="354" t="s">
        <v>437</v>
      </c>
      <c r="D46" s="355">
        <v>177124.54000000033</v>
      </c>
    </row>
    <row r="47" spans="1:8" ht="15.75" x14ac:dyDescent="0.25">
      <c r="A47" s="1356"/>
      <c r="C47" s="353" t="s">
        <v>434</v>
      </c>
      <c r="D47" s="355">
        <v>271.61462107215078</v>
      </c>
      <c r="F47" s="352">
        <v>2026</v>
      </c>
    </row>
    <row r="48" spans="1:8" ht="15.75" x14ac:dyDescent="0.25">
      <c r="A48" s="1356"/>
      <c r="C48" s="353" t="s">
        <v>172</v>
      </c>
      <c r="D48" s="355">
        <v>177396.15462107249</v>
      </c>
      <c r="F48" s="917" t="s">
        <v>433</v>
      </c>
      <c r="G48" s="917">
        <v>1</v>
      </c>
      <c r="H48" s="918" t="s">
        <v>172</v>
      </c>
    </row>
    <row r="49" spans="1:8" ht="15.75" x14ac:dyDescent="0.25">
      <c r="A49" s="1356"/>
      <c r="C49" s="353"/>
      <c r="D49" s="355"/>
      <c r="F49" s="921" t="s">
        <v>435</v>
      </c>
      <c r="G49" s="921"/>
      <c r="H49" s="922">
        <v>2791132.6808817796</v>
      </c>
    </row>
    <row r="50" spans="1:8" ht="15.75" x14ac:dyDescent="0.25">
      <c r="A50" s="1356"/>
      <c r="C50" s="354" t="s">
        <v>438</v>
      </c>
      <c r="D50" s="355">
        <v>177124.54000000033</v>
      </c>
      <c r="F50" s="921" t="s">
        <v>436</v>
      </c>
      <c r="G50" s="921"/>
      <c r="H50" s="922">
        <v>2791132.6808817796</v>
      </c>
    </row>
    <row r="51" spans="1:8" ht="15.75" x14ac:dyDescent="0.25">
      <c r="A51" s="1356"/>
      <c r="C51" s="353" t="s">
        <v>434</v>
      </c>
      <c r="D51" s="355">
        <v>271.61462107215078</v>
      </c>
    </row>
    <row r="52" spans="1:8" ht="15.75" x14ac:dyDescent="0.25">
      <c r="A52" s="1356"/>
      <c r="C52" s="353" t="s">
        <v>172</v>
      </c>
      <c r="D52" s="355">
        <v>177396.15462107249</v>
      </c>
    </row>
    <row r="53" spans="1:8" ht="15.75" x14ac:dyDescent="0.25">
      <c r="A53" s="1356"/>
      <c r="D53" s="688"/>
      <c r="F53" s="352">
        <v>2027</v>
      </c>
    </row>
    <row r="54" spans="1:8" ht="15.75" x14ac:dyDescent="0.25">
      <c r="A54" s="1356"/>
      <c r="C54" s="354" t="s">
        <v>439</v>
      </c>
      <c r="D54" s="355">
        <v>177124.54000000033</v>
      </c>
      <c r="F54" s="917" t="s">
        <v>433</v>
      </c>
      <c r="G54" s="917">
        <v>1</v>
      </c>
      <c r="H54" s="918" t="s">
        <v>172</v>
      </c>
    </row>
    <row r="55" spans="1:8" ht="15.75" x14ac:dyDescent="0.25">
      <c r="A55" s="1356"/>
      <c r="C55" s="353" t="s">
        <v>434</v>
      </c>
      <c r="D55" s="355">
        <v>271.61462107215078</v>
      </c>
      <c r="F55" s="921" t="s">
        <v>435</v>
      </c>
      <c r="G55" s="921"/>
      <c r="H55" s="922">
        <v>2823440.744872082</v>
      </c>
    </row>
    <row r="56" spans="1:8" ht="15.75" x14ac:dyDescent="0.25">
      <c r="A56" s="1356"/>
      <c r="C56" s="353" t="s">
        <v>172</v>
      </c>
      <c r="D56" s="355">
        <v>177396.15462107249</v>
      </c>
      <c r="F56" s="921" t="s">
        <v>436</v>
      </c>
      <c r="G56" s="921"/>
      <c r="H56" s="922">
        <v>2823440.744872082</v>
      </c>
    </row>
    <row r="57" spans="1:8" x14ac:dyDescent="0.25">
      <c r="D57" s="688"/>
    </row>
    <row r="58" spans="1:8" x14ac:dyDescent="0.25">
      <c r="D58" s="688"/>
    </row>
    <row r="59" spans="1:8" x14ac:dyDescent="0.25">
      <c r="A59" s="1356" t="s">
        <v>172</v>
      </c>
      <c r="C59" s="1246" t="s">
        <v>429</v>
      </c>
      <c r="D59" s="1246"/>
    </row>
    <row r="60" spans="1:8" ht="15.75" x14ac:dyDescent="0.25">
      <c r="A60" s="1356"/>
      <c r="C60" s="310"/>
      <c r="D60" s="700"/>
      <c r="F60" s="352">
        <v>2025</v>
      </c>
      <c r="G60" s="353"/>
      <c r="H60" s="355"/>
    </row>
    <row r="61" spans="1:8" ht="15.75" x14ac:dyDescent="0.25">
      <c r="A61" s="1356"/>
      <c r="C61" s="354" t="s">
        <v>432</v>
      </c>
      <c r="D61" s="355">
        <v>989762.32000000787</v>
      </c>
      <c r="F61" s="917" t="s">
        <v>433</v>
      </c>
      <c r="G61" s="917">
        <v>8</v>
      </c>
      <c r="H61" s="918" t="s">
        <v>172</v>
      </c>
    </row>
    <row r="62" spans="1:8" ht="15.75" x14ac:dyDescent="0.25">
      <c r="A62" s="1356"/>
      <c r="C62" s="353" t="s">
        <v>434</v>
      </c>
      <c r="D62" s="355">
        <v>1517.767766670245</v>
      </c>
      <c r="F62" s="921" t="s">
        <v>435</v>
      </c>
      <c r="G62" s="921"/>
      <c r="H62" s="922">
        <v>7544485.8191286894</v>
      </c>
    </row>
    <row r="63" spans="1:8" ht="15.75" x14ac:dyDescent="0.25">
      <c r="A63" s="1356"/>
      <c r="C63" s="353" t="s">
        <v>172</v>
      </c>
      <c r="D63" s="355">
        <v>991280.08776667807</v>
      </c>
      <c r="F63" s="921" t="s">
        <v>436</v>
      </c>
      <c r="G63" s="921"/>
      <c r="H63" s="922">
        <v>15887519.110424239</v>
      </c>
    </row>
    <row r="64" spans="1:8" ht="15.75" x14ac:dyDescent="0.25">
      <c r="A64" s="1356"/>
      <c r="C64" s="353"/>
      <c r="D64" s="355"/>
    </row>
    <row r="65" spans="1:8" ht="15.75" x14ac:dyDescent="0.25">
      <c r="A65" s="1356"/>
      <c r="C65" s="354" t="s">
        <v>437</v>
      </c>
      <c r="D65" s="355">
        <v>1059827.4299999918</v>
      </c>
    </row>
    <row r="66" spans="1:8" ht="15.75" x14ac:dyDescent="0.25">
      <c r="A66" s="1356"/>
      <c r="C66" s="353" t="s">
        <v>434</v>
      </c>
      <c r="D66" s="355">
        <v>1625.2102944138551</v>
      </c>
      <c r="F66" s="352">
        <v>2026</v>
      </c>
    </row>
    <row r="67" spans="1:8" ht="15.75" x14ac:dyDescent="0.25">
      <c r="A67" s="1356"/>
      <c r="C67" s="353" t="s">
        <v>172</v>
      </c>
      <c r="D67" s="355">
        <v>1061452.6402944056</v>
      </c>
      <c r="F67" s="917" t="s">
        <v>433</v>
      </c>
      <c r="G67" s="917">
        <v>4</v>
      </c>
      <c r="H67" s="918" t="s">
        <v>172</v>
      </c>
    </row>
    <row r="68" spans="1:8" ht="15.75" x14ac:dyDescent="0.25">
      <c r="A68" s="1356"/>
      <c r="C68" s="353"/>
      <c r="D68" s="355"/>
      <c r="F68" s="921" t="s">
        <v>435</v>
      </c>
      <c r="G68" s="921"/>
      <c r="H68" s="1432">
        <f>H69/13*10.33</f>
        <v>13314059.182043133</v>
      </c>
    </row>
    <row r="69" spans="1:8" ht="15.75" x14ac:dyDescent="0.25">
      <c r="A69" s="1356"/>
      <c r="C69" s="354" t="s">
        <v>438</v>
      </c>
      <c r="D69" s="355">
        <v>1059827.4299999918</v>
      </c>
      <c r="F69" s="921" t="s">
        <v>436</v>
      </c>
      <c r="G69" s="921"/>
      <c r="H69" s="1432">
        <v>16755350.374304038</v>
      </c>
    </row>
    <row r="70" spans="1:8" ht="15.75" x14ac:dyDescent="0.25">
      <c r="A70" s="1356"/>
      <c r="C70" s="353" t="s">
        <v>434</v>
      </c>
      <c r="D70" s="355">
        <v>1625.2102944138551</v>
      </c>
    </row>
    <row r="71" spans="1:8" ht="15.75" x14ac:dyDescent="0.25">
      <c r="A71" s="1356"/>
      <c r="C71" s="353" t="s">
        <v>172</v>
      </c>
      <c r="D71" s="355">
        <v>1061452.6402944056</v>
      </c>
    </row>
    <row r="72" spans="1:8" ht="15.75" x14ac:dyDescent="0.25">
      <c r="A72" s="1356"/>
      <c r="D72" s="688"/>
      <c r="F72" s="352">
        <v>2027</v>
      </c>
    </row>
    <row r="73" spans="1:8" ht="15.75" x14ac:dyDescent="0.25">
      <c r="A73" s="1356"/>
      <c r="C73" s="354" t="s">
        <v>439</v>
      </c>
      <c r="D73" s="355">
        <v>1059827.4299999918</v>
      </c>
      <c r="F73" s="917" t="s">
        <v>433</v>
      </c>
      <c r="G73" s="917">
        <v>1</v>
      </c>
      <c r="H73" s="918" t="s">
        <v>172</v>
      </c>
    </row>
    <row r="74" spans="1:8" ht="15.75" x14ac:dyDescent="0.25">
      <c r="A74" s="1356"/>
      <c r="C74" s="353" t="s">
        <v>434</v>
      </c>
      <c r="D74" s="355">
        <v>1625.2102944138551</v>
      </c>
      <c r="F74" s="921" t="s">
        <v>435</v>
      </c>
      <c r="G74" s="921"/>
      <c r="H74" s="922">
        <v>17007382.68714425</v>
      </c>
    </row>
    <row r="75" spans="1:8" ht="15.75" x14ac:dyDescent="0.25">
      <c r="A75" s="1356"/>
      <c r="C75" s="353" t="s">
        <v>172</v>
      </c>
      <c r="D75" s="355">
        <v>1061452.6402944056</v>
      </c>
      <c r="F75" s="921" t="s">
        <v>436</v>
      </c>
      <c r="G75" s="921"/>
      <c r="H75" s="1432">
        <v>17007382.68714425</v>
      </c>
    </row>
    <row r="76" spans="1:8" ht="15.75" x14ac:dyDescent="0.25">
      <c r="A76" s="986"/>
      <c r="C76" s="353"/>
      <c r="D76" s="355"/>
      <c r="F76" s="1433"/>
      <c r="G76" s="1433"/>
      <c r="H76" s="1434"/>
    </row>
    <row r="77" spans="1:8" ht="15.75" x14ac:dyDescent="0.25">
      <c r="F77" s="352">
        <v>2028</v>
      </c>
    </row>
    <row r="78" spans="1:8" ht="16.5" thickBot="1" x14ac:dyDescent="0.3">
      <c r="F78" s="917" t="s">
        <v>433</v>
      </c>
      <c r="G78" s="917">
        <v>1</v>
      </c>
    </row>
    <row r="79" spans="1:8" ht="16.5" thickBot="1" x14ac:dyDescent="0.3">
      <c r="F79" s="921" t="s">
        <v>435</v>
      </c>
      <c r="G79" s="921"/>
      <c r="H79" s="1435">
        <v>17510802</v>
      </c>
    </row>
    <row r="80" spans="1:8" ht="16.5" thickBot="1" x14ac:dyDescent="0.3">
      <c r="F80" s="921" t="s">
        <v>436</v>
      </c>
      <c r="G80" s="921"/>
      <c r="H80" s="1435">
        <v>17510802</v>
      </c>
    </row>
  </sheetData>
  <mergeCells count="10">
    <mergeCell ref="A59:A75"/>
    <mergeCell ref="C59:D59"/>
    <mergeCell ref="A2:A18"/>
    <mergeCell ref="C2:D2"/>
    <mergeCell ref="K2:L2"/>
    <mergeCell ref="A21:A37"/>
    <mergeCell ref="C21:D21"/>
    <mergeCell ref="A40:A56"/>
    <mergeCell ref="C40:D40"/>
    <mergeCell ref="K12:O1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D4E4-DC7A-4E7F-8A35-2E7DB1F707C3}">
  <dimension ref="A3:AH631"/>
  <sheetViews>
    <sheetView showGridLines="0" zoomScale="85" zoomScaleNormal="85" workbookViewId="0">
      <selection activeCell="F23" sqref="F23"/>
    </sheetView>
  </sheetViews>
  <sheetFormatPr defaultRowHeight="15" x14ac:dyDescent="0.25"/>
  <cols>
    <col min="1" max="1" width="8.42578125" bestFit="1" customWidth="1"/>
    <col min="2" max="2" width="40.85546875" bestFit="1" customWidth="1"/>
    <col min="3" max="3" width="25.5703125" bestFit="1" customWidth="1"/>
    <col min="4" max="4" width="27.28515625" bestFit="1" customWidth="1"/>
    <col min="5" max="5" width="25.5703125" bestFit="1" customWidth="1"/>
    <col min="6" max="6" width="17" bestFit="1" customWidth="1"/>
    <col min="7" max="7" width="12" style="162" bestFit="1" customWidth="1"/>
    <col min="8" max="8" width="46.7109375" bestFit="1" customWidth="1"/>
    <col min="9" max="9" width="47.5703125" bestFit="1" customWidth="1"/>
    <col min="10" max="10" width="17.7109375" bestFit="1" customWidth="1"/>
    <col min="11" max="11" width="10.85546875" bestFit="1" customWidth="1"/>
    <col min="12" max="12" width="7.28515625" bestFit="1" customWidth="1"/>
    <col min="13" max="13" width="8.85546875" bestFit="1" customWidth="1"/>
    <col min="14" max="14" width="7.28515625" bestFit="1" customWidth="1"/>
    <col min="15" max="15" width="8.28515625" bestFit="1" customWidth="1"/>
    <col min="16" max="16" width="8.42578125" bestFit="1" customWidth="1"/>
    <col min="17" max="17" width="21.7109375" bestFit="1" customWidth="1"/>
    <col min="19" max="19" width="35.5703125" bestFit="1" customWidth="1"/>
    <col min="20" max="20" width="42.7109375" bestFit="1" customWidth="1"/>
    <col min="21" max="21" width="8.7109375" bestFit="1" customWidth="1"/>
    <col min="22" max="22" width="7.28515625" bestFit="1" customWidth="1"/>
    <col min="23" max="23" width="15.28515625" bestFit="1" customWidth="1"/>
    <col min="24" max="24" width="6.28515625" bestFit="1" customWidth="1"/>
    <col min="25" max="25" width="8.7109375" bestFit="1" customWidth="1"/>
    <col min="26" max="26" width="10.85546875" bestFit="1" customWidth="1"/>
    <col min="27" max="27" width="8.5703125" bestFit="1" customWidth="1"/>
    <col min="28" max="28" width="14.140625" customWidth="1"/>
    <col min="29" max="29" width="21.140625" bestFit="1" customWidth="1"/>
    <col min="30" max="30" width="17.28515625" customWidth="1"/>
    <col min="31" max="31" width="15.5703125" hidden="1" customWidth="1"/>
    <col min="32" max="32" width="20.28515625" customWidth="1"/>
    <col min="33" max="33" width="8.140625" bestFit="1" customWidth="1"/>
    <col min="34" max="34" width="12.28515625" bestFit="1" customWidth="1"/>
  </cols>
  <sheetData>
    <row r="3" spans="1:34" x14ac:dyDescent="0.25">
      <c r="G3"/>
    </row>
    <row r="4" spans="1:34" x14ac:dyDescent="0.25">
      <c r="C4" s="923" t="s">
        <v>1838</v>
      </c>
      <c r="D4" s="923" t="s">
        <v>1840</v>
      </c>
      <c r="E4" s="923" t="s">
        <v>1839</v>
      </c>
      <c r="H4" s="162"/>
      <c r="I4" s="162"/>
      <c r="J4" s="162"/>
    </row>
    <row r="5" spans="1:34" ht="21" x14ac:dyDescent="0.35">
      <c r="A5" s="924" t="s">
        <v>440</v>
      </c>
      <c r="B5" s="925">
        <f>COUNT('Item14-Anist.PDI'!W12:W620)</f>
        <v>609</v>
      </c>
      <c r="C5" s="926">
        <f>E8</f>
        <v>61799840.300000072</v>
      </c>
      <c r="D5" s="1425">
        <f>C5*1.03</f>
        <v>63653835.509000078</v>
      </c>
      <c r="E5" s="1425">
        <f>D5</f>
        <v>63653835.509000078</v>
      </c>
      <c r="H5" s="162"/>
      <c r="I5" s="162"/>
      <c r="J5" s="162"/>
    </row>
    <row r="6" spans="1:34" x14ac:dyDescent="0.25">
      <c r="H6" s="162"/>
      <c r="I6" s="162"/>
      <c r="J6" s="162"/>
    </row>
    <row r="7" spans="1:34" s="1" customFormat="1" ht="75" x14ac:dyDescent="0.25">
      <c r="A7" s="1426" t="s">
        <v>441</v>
      </c>
      <c r="B7" s="1426" t="s">
        <v>442</v>
      </c>
      <c r="C7" s="1426" t="s">
        <v>443</v>
      </c>
      <c r="D7" s="1426" t="s">
        <v>444</v>
      </c>
      <c r="E7" s="1426" t="s">
        <v>445</v>
      </c>
      <c r="F7" s="927" t="s">
        <v>446</v>
      </c>
      <c r="G7" s="927" t="s">
        <v>447</v>
      </c>
      <c r="H7" s="927" t="s">
        <v>448</v>
      </c>
      <c r="I7" s="927" t="s">
        <v>449</v>
      </c>
    </row>
    <row r="8" spans="1:34" x14ac:dyDescent="0.25">
      <c r="A8" s="928"/>
      <c r="B8" s="929">
        <f>SMALL('Item14-Anist.PDI'!AF12:AF620,1)</f>
        <v>5411.3266666666659</v>
      </c>
      <c r="C8" s="929">
        <f>LARGE('Item14-Anist.PDI'!AF12:AF620,1)</f>
        <v>350000</v>
      </c>
      <c r="D8" s="929">
        <f>AVERAGE('Item14-Anist.PDI'!AF12:AF620)</f>
        <v>101477.57027914625</v>
      </c>
      <c r="E8" s="930">
        <f>'Item14-Anist.PDI'!AF622</f>
        <v>61799840.300000072</v>
      </c>
      <c r="F8" s="931">
        <f>B5-G8-H8</f>
        <v>207</v>
      </c>
      <c r="G8" s="932">
        <f>COUNTIF('Item14-Anist.PDI'!AF12:AF620,"&lt;100000,00")</f>
        <v>402</v>
      </c>
      <c r="H8" s="932">
        <f>COUNTIF('Item14-Anist.PDI'!AF12:AF620,"&gt;3500000,01")</f>
        <v>0</v>
      </c>
      <c r="I8" s="932">
        <f>H8+G8+F8</f>
        <v>609</v>
      </c>
    </row>
    <row r="11" spans="1:34" ht="72" customHeight="1" x14ac:dyDescent="0.25">
      <c r="A11" s="993" t="s">
        <v>861</v>
      </c>
      <c r="B11" s="993" t="s">
        <v>862</v>
      </c>
      <c r="C11" s="993" t="s">
        <v>863</v>
      </c>
      <c r="D11" s="993" t="s">
        <v>864</v>
      </c>
      <c r="E11" s="993" t="s">
        <v>865</v>
      </c>
      <c r="F11" s="993" t="s">
        <v>866</v>
      </c>
      <c r="G11" s="993" t="s">
        <v>867</v>
      </c>
      <c r="H11" s="993" t="s">
        <v>868</v>
      </c>
      <c r="I11" s="993" t="s">
        <v>869</v>
      </c>
      <c r="J11" s="994" t="s">
        <v>870</v>
      </c>
      <c r="K11" s="994" t="s">
        <v>871</v>
      </c>
      <c r="L11" s="993" t="s">
        <v>872</v>
      </c>
      <c r="M11" s="993" t="s">
        <v>873</v>
      </c>
      <c r="N11" s="993" t="s">
        <v>874</v>
      </c>
      <c r="O11" s="993" t="s">
        <v>875</v>
      </c>
      <c r="P11" s="993" t="s">
        <v>876</v>
      </c>
      <c r="Q11" s="993" t="s">
        <v>877</v>
      </c>
      <c r="R11" s="993" t="s">
        <v>878</v>
      </c>
      <c r="S11" s="993" t="s">
        <v>226</v>
      </c>
      <c r="T11" s="993" t="s">
        <v>879</v>
      </c>
      <c r="U11" s="995" t="s">
        <v>880</v>
      </c>
      <c r="V11" s="995" t="s">
        <v>309</v>
      </c>
      <c r="W11" s="994" t="s">
        <v>881</v>
      </c>
      <c r="X11" s="993" t="s">
        <v>882</v>
      </c>
      <c r="Y11" s="993" t="s">
        <v>883</v>
      </c>
      <c r="Z11" s="993" t="s">
        <v>884</v>
      </c>
      <c r="AA11" s="993" t="s">
        <v>885</v>
      </c>
      <c r="AB11" s="996" t="s">
        <v>886</v>
      </c>
      <c r="AC11" s="993" t="s">
        <v>887</v>
      </c>
      <c r="AD11" s="993" t="s">
        <v>888</v>
      </c>
      <c r="AE11" s="993" t="s">
        <v>889</v>
      </c>
      <c r="AF11" s="997" t="s">
        <v>890</v>
      </c>
      <c r="AG11" s="998" t="s">
        <v>891</v>
      </c>
      <c r="AH11" s="998" t="s">
        <v>892</v>
      </c>
    </row>
    <row r="12" spans="1:34" x14ac:dyDescent="0.25">
      <c r="A12" s="999">
        <v>20114</v>
      </c>
      <c r="B12" s="999" t="s">
        <v>893</v>
      </c>
      <c r="C12" s="999" t="s">
        <v>414</v>
      </c>
      <c r="D12" s="999" t="s">
        <v>894</v>
      </c>
      <c r="E12" s="999" t="s">
        <v>895</v>
      </c>
      <c r="F12" s="999">
        <v>3197576</v>
      </c>
      <c r="G12" s="1000">
        <v>8452717172</v>
      </c>
      <c r="H12" s="999" t="s">
        <v>896</v>
      </c>
      <c r="I12" s="999" t="s">
        <v>897</v>
      </c>
      <c r="J12" s="1001">
        <v>44018</v>
      </c>
      <c r="K12" s="1001">
        <v>45835</v>
      </c>
      <c r="L12" s="1000">
        <f>DATEDIF(J12,K12, "m")</f>
        <v>59</v>
      </c>
      <c r="M12" s="1002">
        <f>L12/12</f>
        <v>4.916666666666667</v>
      </c>
      <c r="N12" s="1000">
        <v>4</v>
      </c>
      <c r="O12" s="1000">
        <v>10</v>
      </c>
      <c r="P12" s="1000">
        <v>43</v>
      </c>
      <c r="Q12" s="999" t="s">
        <v>898</v>
      </c>
      <c r="R12" s="999" t="s">
        <v>899</v>
      </c>
      <c r="S12" s="999" t="s">
        <v>900</v>
      </c>
      <c r="T12" s="999" t="s">
        <v>901</v>
      </c>
      <c r="U12" s="1000" t="s">
        <v>55</v>
      </c>
      <c r="V12" s="1000" t="s">
        <v>902</v>
      </c>
      <c r="W12" s="1003">
        <v>18150</v>
      </c>
      <c r="X12" s="1000" t="s">
        <v>903</v>
      </c>
      <c r="Y12" s="1000">
        <v>75</v>
      </c>
      <c r="Z12" s="1000" t="s">
        <v>904</v>
      </c>
      <c r="AA12" s="1000" t="s">
        <v>905</v>
      </c>
      <c r="AB12" s="1000" t="s">
        <v>906</v>
      </c>
      <c r="AC12" s="1000" t="s">
        <v>907</v>
      </c>
      <c r="AD12" s="1004">
        <v>4077.36</v>
      </c>
      <c r="AE12" s="1004">
        <f t="shared" ref="AE12:AE17" si="0">AD12*M12</f>
        <v>20047.02</v>
      </c>
      <c r="AF12" s="1004">
        <f>AE12</f>
        <v>20047.02</v>
      </c>
      <c r="AG12" s="1005">
        <f t="shared" ref="AG12:AG17" si="1">AF12/AD12</f>
        <v>4.916666666666667</v>
      </c>
      <c r="AH12" s="1005">
        <f t="shared" ref="AH12:AH17" si="2">AF12/(AD12+1000)</f>
        <v>3.948315660106827</v>
      </c>
    </row>
    <row r="13" spans="1:34" x14ac:dyDescent="0.25">
      <c r="A13" s="999">
        <v>20114</v>
      </c>
      <c r="B13" s="999" t="s">
        <v>893</v>
      </c>
      <c r="C13" s="999" t="s">
        <v>414</v>
      </c>
      <c r="D13" s="999" t="s">
        <v>894</v>
      </c>
      <c r="E13" s="999" t="s">
        <v>895</v>
      </c>
      <c r="F13" s="999">
        <v>1725793</v>
      </c>
      <c r="G13" s="1000">
        <v>69641560891</v>
      </c>
      <c r="H13" s="999" t="s">
        <v>908</v>
      </c>
      <c r="I13" s="999" t="s">
        <v>897</v>
      </c>
      <c r="J13" s="1001">
        <v>40006</v>
      </c>
      <c r="K13" s="1001">
        <v>45835</v>
      </c>
      <c r="L13" s="1000">
        <f t="shared" ref="L13:L17" si="3">DATEDIF(J13,K13, "m")</f>
        <v>191</v>
      </c>
      <c r="M13" s="1002">
        <f t="shared" ref="M13:M17" si="4">L13/12</f>
        <v>15.916666666666666</v>
      </c>
      <c r="N13" s="1000">
        <v>15</v>
      </c>
      <c r="O13" s="1000">
        <v>15</v>
      </c>
      <c r="P13" s="1000">
        <v>43</v>
      </c>
      <c r="Q13" s="999" t="s">
        <v>898</v>
      </c>
      <c r="R13" s="999" t="s">
        <v>899</v>
      </c>
      <c r="S13" s="999" t="s">
        <v>900</v>
      </c>
      <c r="T13" s="999" t="s">
        <v>909</v>
      </c>
      <c r="U13" s="1000" t="s">
        <v>55</v>
      </c>
      <c r="V13" s="1000" t="s">
        <v>910</v>
      </c>
      <c r="W13" s="1003">
        <v>18197</v>
      </c>
      <c r="X13" s="1000" t="s">
        <v>903</v>
      </c>
      <c r="Y13" s="1000">
        <v>75</v>
      </c>
      <c r="Z13" s="1000" t="s">
        <v>904</v>
      </c>
      <c r="AA13" s="1000" t="s">
        <v>905</v>
      </c>
      <c r="AB13" s="1000" t="s">
        <v>911</v>
      </c>
      <c r="AC13" s="1000" t="s">
        <v>907</v>
      </c>
      <c r="AD13" s="1004">
        <v>5333.97</v>
      </c>
      <c r="AE13" s="1004">
        <f t="shared" si="0"/>
        <v>84899.022500000006</v>
      </c>
      <c r="AF13" s="1004">
        <f t="shared" ref="AF13:AF17" si="5">AE13</f>
        <v>84899.022500000006</v>
      </c>
      <c r="AG13" s="1005">
        <f t="shared" si="1"/>
        <v>15.916666666666668</v>
      </c>
      <c r="AH13" s="1005">
        <f t="shared" si="2"/>
        <v>13.403761385039715</v>
      </c>
    </row>
    <row r="14" spans="1:34" x14ac:dyDescent="0.25">
      <c r="A14" s="999">
        <v>20114</v>
      </c>
      <c r="B14" s="999" t="s">
        <v>893</v>
      </c>
      <c r="C14" s="999" t="s">
        <v>414</v>
      </c>
      <c r="D14" s="999" t="s">
        <v>894</v>
      </c>
      <c r="E14" s="999" t="s">
        <v>895</v>
      </c>
      <c r="F14" s="999">
        <v>1720968</v>
      </c>
      <c r="G14" s="1000">
        <v>24487899168</v>
      </c>
      <c r="H14" s="999" t="s">
        <v>912</v>
      </c>
      <c r="I14" s="999" t="s">
        <v>897</v>
      </c>
      <c r="J14" s="1001">
        <v>40017</v>
      </c>
      <c r="K14" s="1001">
        <v>45835</v>
      </c>
      <c r="L14" s="1000">
        <f t="shared" si="3"/>
        <v>191</v>
      </c>
      <c r="M14" s="1002">
        <f t="shared" si="4"/>
        <v>15.916666666666666</v>
      </c>
      <c r="N14" s="1000">
        <v>15</v>
      </c>
      <c r="O14" s="1000">
        <v>15</v>
      </c>
      <c r="P14" s="1000">
        <v>43</v>
      </c>
      <c r="Q14" s="999" t="s">
        <v>898</v>
      </c>
      <c r="R14" s="999" t="s">
        <v>899</v>
      </c>
      <c r="S14" s="999" t="s">
        <v>900</v>
      </c>
      <c r="T14" s="999" t="s">
        <v>913</v>
      </c>
      <c r="U14" s="1000" t="s">
        <v>55</v>
      </c>
      <c r="V14" s="1000" t="s">
        <v>914</v>
      </c>
      <c r="W14" s="1003">
        <v>18349</v>
      </c>
      <c r="X14" s="1000" t="s">
        <v>903</v>
      </c>
      <c r="Y14" s="1000">
        <v>75</v>
      </c>
      <c r="Z14" s="1000" t="s">
        <v>904</v>
      </c>
      <c r="AA14" s="1000" t="s">
        <v>905</v>
      </c>
      <c r="AB14" s="1000" t="s">
        <v>911</v>
      </c>
      <c r="AC14" s="1000" t="s">
        <v>907</v>
      </c>
      <c r="AD14" s="1004">
        <v>5333.97</v>
      </c>
      <c r="AE14" s="1004">
        <f t="shared" si="0"/>
        <v>84899.022500000006</v>
      </c>
      <c r="AF14" s="1004">
        <f t="shared" si="5"/>
        <v>84899.022500000006</v>
      </c>
      <c r="AG14" s="1005">
        <f t="shared" si="1"/>
        <v>15.916666666666668</v>
      </c>
      <c r="AH14" s="1005">
        <f t="shared" si="2"/>
        <v>13.403761385039715</v>
      </c>
    </row>
    <row r="15" spans="1:34" x14ac:dyDescent="0.25">
      <c r="A15" s="999">
        <v>20114</v>
      </c>
      <c r="B15" s="999" t="s">
        <v>893</v>
      </c>
      <c r="C15" s="999" t="s">
        <v>414</v>
      </c>
      <c r="D15" s="999" t="s">
        <v>894</v>
      </c>
      <c r="E15" s="999" t="s">
        <v>895</v>
      </c>
      <c r="F15" s="999">
        <v>1731828</v>
      </c>
      <c r="G15" s="1000">
        <v>15025209153</v>
      </c>
      <c r="H15" s="999" t="s">
        <v>915</v>
      </c>
      <c r="I15" s="999" t="s">
        <v>897</v>
      </c>
      <c r="J15" s="1001">
        <v>40086</v>
      </c>
      <c r="K15" s="1001">
        <v>45835</v>
      </c>
      <c r="L15" s="1000">
        <f t="shared" si="3"/>
        <v>188</v>
      </c>
      <c r="M15" s="1002">
        <f t="shared" si="4"/>
        <v>15.666666666666666</v>
      </c>
      <c r="N15" s="1000">
        <v>15</v>
      </c>
      <c r="O15" s="1000">
        <v>15</v>
      </c>
      <c r="P15" s="1000">
        <v>43</v>
      </c>
      <c r="Q15" s="999" t="s">
        <v>898</v>
      </c>
      <c r="R15" s="999" t="s">
        <v>899</v>
      </c>
      <c r="S15" s="999" t="s">
        <v>900</v>
      </c>
      <c r="T15" s="999" t="s">
        <v>916</v>
      </c>
      <c r="U15" s="1000" t="s">
        <v>55</v>
      </c>
      <c r="V15" s="1000" t="s">
        <v>910</v>
      </c>
      <c r="W15" s="1003">
        <v>16568</v>
      </c>
      <c r="X15" s="1000" t="s">
        <v>903</v>
      </c>
      <c r="Y15" s="1000">
        <v>79</v>
      </c>
      <c r="Z15" s="1000" t="s">
        <v>904</v>
      </c>
      <c r="AA15" s="1000" t="s">
        <v>905</v>
      </c>
      <c r="AB15" s="1000" t="s">
        <v>911</v>
      </c>
      <c r="AC15" s="1000" t="s">
        <v>907</v>
      </c>
      <c r="AD15" s="1004">
        <v>5333.97</v>
      </c>
      <c r="AE15" s="1004">
        <f t="shared" si="0"/>
        <v>83565.53</v>
      </c>
      <c r="AF15" s="1004">
        <f t="shared" si="5"/>
        <v>83565.53</v>
      </c>
      <c r="AG15" s="1005">
        <f t="shared" si="1"/>
        <v>15.666666666666666</v>
      </c>
      <c r="AH15" s="1005">
        <f t="shared" si="2"/>
        <v>13.193231101505059</v>
      </c>
    </row>
    <row r="16" spans="1:34" x14ac:dyDescent="0.25">
      <c r="A16" s="999">
        <v>20114</v>
      </c>
      <c r="B16" s="999" t="s">
        <v>893</v>
      </c>
      <c r="C16" s="999" t="s">
        <v>414</v>
      </c>
      <c r="D16" s="999" t="s">
        <v>894</v>
      </c>
      <c r="E16" s="999" t="s">
        <v>895</v>
      </c>
      <c r="F16" s="999">
        <v>1721014</v>
      </c>
      <c r="G16" s="1000">
        <v>11366346149</v>
      </c>
      <c r="H16" s="999" t="s">
        <v>917</v>
      </c>
      <c r="I16" s="999" t="s">
        <v>897</v>
      </c>
      <c r="J16" s="1001">
        <v>40001</v>
      </c>
      <c r="K16" s="1001">
        <v>45835</v>
      </c>
      <c r="L16" s="1000">
        <f t="shared" si="3"/>
        <v>191</v>
      </c>
      <c r="M16" s="1002">
        <f t="shared" si="4"/>
        <v>15.916666666666666</v>
      </c>
      <c r="N16" s="1000">
        <v>15</v>
      </c>
      <c r="O16" s="1000">
        <v>15</v>
      </c>
      <c r="P16" s="1000">
        <v>43</v>
      </c>
      <c r="Q16" s="999" t="s">
        <v>898</v>
      </c>
      <c r="R16" s="999" t="s">
        <v>899</v>
      </c>
      <c r="S16" s="999" t="s">
        <v>900</v>
      </c>
      <c r="T16" s="999" t="s">
        <v>918</v>
      </c>
      <c r="U16" s="1000" t="s">
        <v>55</v>
      </c>
      <c r="V16" s="1000" t="s">
        <v>910</v>
      </c>
      <c r="W16" s="1003">
        <v>17817</v>
      </c>
      <c r="X16" s="1000" t="s">
        <v>903</v>
      </c>
      <c r="Y16" s="1000">
        <v>76</v>
      </c>
      <c r="Z16" s="1000" t="s">
        <v>904</v>
      </c>
      <c r="AA16" s="1000" t="s">
        <v>905</v>
      </c>
      <c r="AB16" s="1000" t="s">
        <v>911</v>
      </c>
      <c r="AC16" s="1000" t="s">
        <v>907</v>
      </c>
      <c r="AD16" s="1004">
        <v>5333.97</v>
      </c>
      <c r="AE16" s="1004">
        <f t="shared" si="0"/>
        <v>84899.022500000006</v>
      </c>
      <c r="AF16" s="1004">
        <f t="shared" si="5"/>
        <v>84899.022500000006</v>
      </c>
      <c r="AG16" s="1005">
        <f t="shared" si="1"/>
        <v>15.916666666666668</v>
      </c>
      <c r="AH16" s="1005">
        <f t="shared" si="2"/>
        <v>13.403761385039715</v>
      </c>
    </row>
    <row r="17" spans="1:34" x14ac:dyDescent="0.25">
      <c r="A17" s="999">
        <v>20114</v>
      </c>
      <c r="B17" s="999" t="s">
        <v>893</v>
      </c>
      <c r="C17" s="999" t="s">
        <v>414</v>
      </c>
      <c r="D17" s="999" t="s">
        <v>894</v>
      </c>
      <c r="E17" s="999" t="s">
        <v>895</v>
      </c>
      <c r="F17" s="999">
        <v>3045327</v>
      </c>
      <c r="G17" s="1000">
        <v>67747760868</v>
      </c>
      <c r="H17" s="999" t="s">
        <v>919</v>
      </c>
      <c r="I17" s="999" t="s">
        <v>920</v>
      </c>
      <c r="J17" s="1001">
        <v>43234</v>
      </c>
      <c r="K17" s="1001">
        <v>45835</v>
      </c>
      <c r="L17" s="1000">
        <f t="shared" si="3"/>
        <v>85</v>
      </c>
      <c r="M17" s="1002">
        <f t="shared" si="4"/>
        <v>7.083333333333333</v>
      </c>
      <c r="N17" s="1000">
        <v>7</v>
      </c>
      <c r="O17" s="1000">
        <v>10</v>
      </c>
      <c r="P17" s="1000">
        <v>43</v>
      </c>
      <c r="Q17" s="999" t="s">
        <v>898</v>
      </c>
      <c r="R17" s="999" t="s">
        <v>899</v>
      </c>
      <c r="S17" s="999" t="s">
        <v>900</v>
      </c>
      <c r="T17" s="999" t="s">
        <v>913</v>
      </c>
      <c r="U17" s="1000" t="s">
        <v>55</v>
      </c>
      <c r="V17" s="1000" t="s">
        <v>921</v>
      </c>
      <c r="W17" s="1003">
        <v>13041</v>
      </c>
      <c r="X17" s="1000" t="s">
        <v>903</v>
      </c>
      <c r="Y17" s="1000">
        <v>89</v>
      </c>
      <c r="Z17" s="1000" t="s">
        <v>904</v>
      </c>
      <c r="AA17" s="1000" t="s">
        <v>905</v>
      </c>
      <c r="AB17" s="1000" t="s">
        <v>906</v>
      </c>
      <c r="AC17" s="1000" t="s">
        <v>907</v>
      </c>
      <c r="AD17" s="1004">
        <v>4711.53</v>
      </c>
      <c r="AE17" s="1004">
        <f t="shared" si="0"/>
        <v>33373.337499999994</v>
      </c>
      <c r="AF17" s="1004">
        <f t="shared" si="5"/>
        <v>33373.337499999994</v>
      </c>
      <c r="AG17" s="1005">
        <f t="shared" si="1"/>
        <v>7.0833333333333321</v>
      </c>
      <c r="AH17" s="1005">
        <f t="shared" si="2"/>
        <v>5.8431519225146316</v>
      </c>
    </row>
    <row r="18" spans="1:34" x14ac:dyDescent="0.25">
      <c r="A18" s="999">
        <v>20114</v>
      </c>
      <c r="B18" s="999" t="s">
        <v>893</v>
      </c>
      <c r="C18" s="999" t="s">
        <v>414</v>
      </c>
      <c r="D18" s="999" t="s">
        <v>894</v>
      </c>
      <c r="E18" s="999" t="s">
        <v>895</v>
      </c>
      <c r="F18" s="999">
        <v>666356</v>
      </c>
      <c r="G18" s="1000">
        <v>752738615</v>
      </c>
      <c r="H18" s="999" t="s">
        <v>923</v>
      </c>
      <c r="I18" s="999" t="s">
        <v>897</v>
      </c>
      <c r="J18" s="1001">
        <v>40036</v>
      </c>
      <c r="K18" s="1001">
        <v>45835</v>
      </c>
      <c r="L18" s="1000">
        <f t="shared" ref="L18:L49" si="6">DATEDIF(J18,K18, "m")</f>
        <v>190</v>
      </c>
      <c r="M18" s="1002">
        <f t="shared" ref="M18:M49" si="7">L18/12</f>
        <v>15.833333333333334</v>
      </c>
      <c r="N18" s="1000">
        <v>15</v>
      </c>
      <c r="O18" s="1000">
        <v>15</v>
      </c>
      <c r="P18" s="1000">
        <v>43</v>
      </c>
      <c r="Q18" s="999" t="s">
        <v>898</v>
      </c>
      <c r="R18" s="999" t="s">
        <v>899</v>
      </c>
      <c r="S18" s="999" t="s">
        <v>900</v>
      </c>
      <c r="T18" s="999" t="s">
        <v>924</v>
      </c>
      <c r="U18" s="1000" t="s">
        <v>54</v>
      </c>
      <c r="V18" s="1000" t="s">
        <v>921</v>
      </c>
      <c r="W18" s="1003">
        <v>12793</v>
      </c>
      <c r="X18" s="1000" t="s">
        <v>903</v>
      </c>
      <c r="Y18" s="1000">
        <v>90</v>
      </c>
      <c r="Z18" s="1000" t="s">
        <v>904</v>
      </c>
      <c r="AA18" s="1000" t="s">
        <v>905</v>
      </c>
      <c r="AB18" s="1000" t="s">
        <v>925</v>
      </c>
      <c r="AC18" s="1000" t="s">
        <v>907</v>
      </c>
      <c r="AD18" s="1004">
        <v>17672.88</v>
      </c>
      <c r="AE18" s="1004">
        <f t="shared" ref="AE18:AE49" si="8">AD18*M18</f>
        <v>279820.60000000003</v>
      </c>
      <c r="AF18" s="1004">
        <f t="shared" ref="AF18:AF49" si="9">AE18</f>
        <v>279820.60000000003</v>
      </c>
      <c r="AG18" s="1005">
        <f>AF18/AD18</f>
        <v>15.833333333333334</v>
      </c>
      <c r="AH18" s="1005">
        <f t="shared" ref="AH18:AH49" si="10">AF18/(AD18+1000)</f>
        <v>14.985401287857043</v>
      </c>
    </row>
    <row r="19" spans="1:34" x14ac:dyDescent="0.25">
      <c r="A19" s="999">
        <v>20114</v>
      </c>
      <c r="B19" s="999" t="s">
        <v>893</v>
      </c>
      <c r="C19" s="999" t="s">
        <v>414</v>
      </c>
      <c r="D19" s="999" t="s">
        <v>894</v>
      </c>
      <c r="E19" s="999" t="s">
        <v>895</v>
      </c>
      <c r="F19" s="999">
        <v>1789362</v>
      </c>
      <c r="G19" s="1000">
        <v>26616750191</v>
      </c>
      <c r="H19" s="999" t="s">
        <v>928</v>
      </c>
      <c r="I19" s="999" t="s">
        <v>897</v>
      </c>
      <c r="J19" s="1001">
        <v>40297</v>
      </c>
      <c r="K19" s="1001">
        <v>45835</v>
      </c>
      <c r="L19" s="1000">
        <f t="shared" si="6"/>
        <v>181</v>
      </c>
      <c r="M19" s="1002">
        <f t="shared" si="7"/>
        <v>15.083333333333334</v>
      </c>
      <c r="N19" s="1000">
        <v>15</v>
      </c>
      <c r="O19" s="1000">
        <v>15</v>
      </c>
      <c r="P19" s="1000">
        <v>43</v>
      </c>
      <c r="Q19" s="999" t="s">
        <v>898</v>
      </c>
      <c r="R19" s="999" t="s">
        <v>899</v>
      </c>
      <c r="S19" s="999" t="s">
        <v>900</v>
      </c>
      <c r="T19" s="999" t="s">
        <v>929</v>
      </c>
      <c r="U19" s="1000" t="s">
        <v>55</v>
      </c>
      <c r="V19" s="1000" t="s">
        <v>902</v>
      </c>
      <c r="W19" s="1003">
        <v>16910</v>
      </c>
      <c r="X19" s="1000" t="s">
        <v>930</v>
      </c>
      <c r="Y19" s="1000">
        <v>78</v>
      </c>
      <c r="Z19" s="1000" t="s">
        <v>904</v>
      </c>
      <c r="AA19" s="1000" t="s">
        <v>905</v>
      </c>
      <c r="AB19" s="1000" t="s">
        <v>911</v>
      </c>
      <c r="AC19" s="1000" t="s">
        <v>907</v>
      </c>
      <c r="AD19" s="1004">
        <v>5333.97</v>
      </c>
      <c r="AE19" s="1004">
        <f t="shared" si="8"/>
        <v>80454.047500000001</v>
      </c>
      <c r="AF19" s="1004">
        <f t="shared" si="9"/>
        <v>80454.047500000001</v>
      </c>
      <c r="AG19" s="1005">
        <f t="shared" ref="AG19:AG65" si="11">AF19/AD19</f>
        <v>15.083333333333332</v>
      </c>
      <c r="AH19" s="1005">
        <f t="shared" si="10"/>
        <v>12.701993773257531</v>
      </c>
    </row>
    <row r="20" spans="1:34" x14ac:dyDescent="0.25">
      <c r="A20" s="999">
        <v>20114</v>
      </c>
      <c r="B20" s="999" t="s">
        <v>893</v>
      </c>
      <c r="C20" s="999" t="s">
        <v>414</v>
      </c>
      <c r="D20" s="999" t="s">
        <v>894</v>
      </c>
      <c r="E20" s="999" t="s">
        <v>895</v>
      </c>
      <c r="F20" s="999">
        <v>1717540</v>
      </c>
      <c r="G20" s="1000">
        <v>9117903149</v>
      </c>
      <c r="H20" s="999" t="s">
        <v>931</v>
      </c>
      <c r="I20" s="999" t="s">
        <v>897</v>
      </c>
      <c r="J20" s="1001">
        <v>40016</v>
      </c>
      <c r="K20" s="1001">
        <v>45835</v>
      </c>
      <c r="L20" s="1000">
        <f t="shared" si="6"/>
        <v>191</v>
      </c>
      <c r="M20" s="1002">
        <f t="shared" si="7"/>
        <v>15.916666666666666</v>
      </c>
      <c r="N20" s="1000">
        <v>15</v>
      </c>
      <c r="O20" s="1000">
        <v>15</v>
      </c>
      <c r="P20" s="1000">
        <v>43</v>
      </c>
      <c r="Q20" s="999" t="s">
        <v>898</v>
      </c>
      <c r="R20" s="999" t="s">
        <v>899</v>
      </c>
      <c r="S20" s="999" t="s">
        <v>900</v>
      </c>
      <c r="T20" s="999" t="s">
        <v>909</v>
      </c>
      <c r="U20" s="1000" t="s">
        <v>55</v>
      </c>
      <c r="V20" s="1000" t="s">
        <v>914</v>
      </c>
      <c r="W20" s="1003">
        <v>15554</v>
      </c>
      <c r="X20" s="1000" t="s">
        <v>903</v>
      </c>
      <c r="Y20" s="1000">
        <v>82</v>
      </c>
      <c r="Z20" s="1000" t="s">
        <v>904</v>
      </c>
      <c r="AA20" s="1000" t="s">
        <v>905</v>
      </c>
      <c r="AB20" s="1000" t="s">
        <v>911</v>
      </c>
      <c r="AC20" s="1000" t="s">
        <v>907</v>
      </c>
      <c r="AD20" s="1004">
        <v>5333.97</v>
      </c>
      <c r="AE20" s="1004">
        <f t="shared" si="8"/>
        <v>84899.022500000006</v>
      </c>
      <c r="AF20" s="1004">
        <f t="shared" si="9"/>
        <v>84899.022500000006</v>
      </c>
      <c r="AG20" s="1005">
        <f t="shared" si="11"/>
        <v>15.916666666666668</v>
      </c>
      <c r="AH20" s="1005">
        <f t="shared" si="10"/>
        <v>13.403761385039715</v>
      </c>
    </row>
    <row r="21" spans="1:34" x14ac:dyDescent="0.25">
      <c r="A21" s="999">
        <v>20114</v>
      </c>
      <c r="B21" s="999" t="s">
        <v>893</v>
      </c>
      <c r="C21" s="999" t="s">
        <v>414</v>
      </c>
      <c r="D21" s="999" t="s">
        <v>894</v>
      </c>
      <c r="E21" s="999" t="s">
        <v>895</v>
      </c>
      <c r="F21" s="999">
        <v>1717610</v>
      </c>
      <c r="G21" s="1000">
        <v>11531444172</v>
      </c>
      <c r="H21" s="999" t="s">
        <v>932</v>
      </c>
      <c r="I21" s="999" t="s">
        <v>897</v>
      </c>
      <c r="J21" s="1001">
        <v>40021</v>
      </c>
      <c r="K21" s="1001">
        <v>45835</v>
      </c>
      <c r="L21" s="1000">
        <f t="shared" si="6"/>
        <v>191</v>
      </c>
      <c r="M21" s="1002">
        <f t="shared" si="7"/>
        <v>15.916666666666666</v>
      </c>
      <c r="N21" s="1000">
        <v>15</v>
      </c>
      <c r="O21" s="1000">
        <v>15</v>
      </c>
      <c r="P21" s="1000">
        <v>43</v>
      </c>
      <c r="Q21" s="999" t="s">
        <v>898</v>
      </c>
      <c r="R21" s="999" t="s">
        <v>899</v>
      </c>
      <c r="S21" s="999" t="s">
        <v>900</v>
      </c>
      <c r="T21" s="999" t="s">
        <v>909</v>
      </c>
      <c r="U21" s="1000" t="s">
        <v>55</v>
      </c>
      <c r="V21" s="1000" t="s">
        <v>914</v>
      </c>
      <c r="W21" s="1003">
        <v>16227</v>
      </c>
      <c r="X21" s="1000" t="s">
        <v>903</v>
      </c>
      <c r="Y21" s="1000">
        <v>80</v>
      </c>
      <c r="Z21" s="1000" t="s">
        <v>904</v>
      </c>
      <c r="AA21" s="1000" t="s">
        <v>905</v>
      </c>
      <c r="AB21" s="1000" t="s">
        <v>911</v>
      </c>
      <c r="AC21" s="1000" t="s">
        <v>907</v>
      </c>
      <c r="AD21" s="1004">
        <v>5333.97</v>
      </c>
      <c r="AE21" s="1004">
        <f t="shared" si="8"/>
        <v>84899.022500000006</v>
      </c>
      <c r="AF21" s="1004">
        <f t="shared" si="9"/>
        <v>84899.022500000006</v>
      </c>
      <c r="AG21" s="1005">
        <f t="shared" si="11"/>
        <v>15.916666666666668</v>
      </c>
      <c r="AH21" s="1005">
        <f t="shared" si="10"/>
        <v>13.403761385039715</v>
      </c>
    </row>
    <row r="22" spans="1:34" x14ac:dyDescent="0.25">
      <c r="A22" s="999">
        <v>32396</v>
      </c>
      <c r="B22" s="999" t="s">
        <v>933</v>
      </c>
      <c r="C22" s="999" t="s">
        <v>934</v>
      </c>
      <c r="D22" s="999" t="s">
        <v>935</v>
      </c>
      <c r="E22" s="999" t="s">
        <v>895</v>
      </c>
      <c r="F22" s="999">
        <v>1974932</v>
      </c>
      <c r="G22" s="1000">
        <v>36494291791</v>
      </c>
      <c r="H22" s="999" t="s">
        <v>936</v>
      </c>
      <c r="I22" s="999" t="s">
        <v>897</v>
      </c>
      <c r="J22" s="1001">
        <v>41204</v>
      </c>
      <c r="K22" s="1001">
        <v>45835</v>
      </c>
      <c r="L22" s="1000">
        <f t="shared" si="6"/>
        <v>152</v>
      </c>
      <c r="M22" s="1002">
        <f t="shared" si="7"/>
        <v>12.666666666666666</v>
      </c>
      <c r="N22" s="1000">
        <v>12</v>
      </c>
      <c r="O22" s="1000">
        <v>12</v>
      </c>
      <c r="P22" s="1000">
        <v>43</v>
      </c>
      <c r="Q22" s="999" t="s">
        <v>898</v>
      </c>
      <c r="R22" s="999" t="s">
        <v>899</v>
      </c>
      <c r="S22" s="999" t="s">
        <v>900</v>
      </c>
      <c r="T22" s="999" t="s">
        <v>937</v>
      </c>
      <c r="U22" s="1000"/>
      <c r="V22" s="1000" t="s">
        <v>914</v>
      </c>
      <c r="W22" s="1003">
        <v>16824</v>
      </c>
      <c r="X22" s="1000" t="s">
        <v>903</v>
      </c>
      <c r="Y22" s="1000">
        <v>79</v>
      </c>
      <c r="Z22" s="1000" t="s">
        <v>904</v>
      </c>
      <c r="AA22" s="1000" t="s">
        <v>905</v>
      </c>
      <c r="AB22" s="1000" t="s">
        <v>938</v>
      </c>
      <c r="AC22" s="1000" t="s">
        <v>907</v>
      </c>
      <c r="AD22" s="1004">
        <v>3813.57</v>
      </c>
      <c r="AE22" s="1004">
        <f t="shared" si="8"/>
        <v>48305.22</v>
      </c>
      <c r="AF22" s="1004">
        <f t="shared" si="9"/>
        <v>48305.22</v>
      </c>
      <c r="AG22" s="1005">
        <f t="shared" si="11"/>
        <v>12.666666666666666</v>
      </c>
      <c r="AH22" s="1005">
        <f t="shared" si="10"/>
        <v>10.035217104976141</v>
      </c>
    </row>
    <row r="23" spans="1:34" x14ac:dyDescent="0.25">
      <c r="A23" s="999">
        <v>32396</v>
      </c>
      <c r="B23" s="999" t="s">
        <v>933</v>
      </c>
      <c r="C23" s="999" t="s">
        <v>934</v>
      </c>
      <c r="D23" s="999" t="s">
        <v>935</v>
      </c>
      <c r="E23" s="999" t="s">
        <v>895</v>
      </c>
      <c r="F23" s="999">
        <v>1886553</v>
      </c>
      <c r="G23" s="1000">
        <v>21583625704</v>
      </c>
      <c r="H23" s="999" t="s">
        <v>939</v>
      </c>
      <c r="I23" s="999" t="s">
        <v>897</v>
      </c>
      <c r="J23" s="1001">
        <v>40779</v>
      </c>
      <c r="K23" s="1001">
        <v>45835</v>
      </c>
      <c r="L23" s="1000">
        <f t="shared" si="6"/>
        <v>166</v>
      </c>
      <c r="M23" s="1002">
        <f t="shared" si="7"/>
        <v>13.833333333333334</v>
      </c>
      <c r="N23" s="1000">
        <v>13</v>
      </c>
      <c r="O23" s="1000">
        <v>13</v>
      </c>
      <c r="P23" s="1000">
        <v>43</v>
      </c>
      <c r="Q23" s="999" t="s">
        <v>898</v>
      </c>
      <c r="R23" s="999" t="s">
        <v>899</v>
      </c>
      <c r="S23" s="999" t="s">
        <v>900</v>
      </c>
      <c r="T23" s="999" t="s">
        <v>940</v>
      </c>
      <c r="U23" s="1000" t="s">
        <v>55</v>
      </c>
      <c r="V23" s="1000" t="s">
        <v>914</v>
      </c>
      <c r="W23" s="1003">
        <v>17810</v>
      </c>
      <c r="X23" s="1000" t="s">
        <v>903</v>
      </c>
      <c r="Y23" s="1000">
        <v>76</v>
      </c>
      <c r="Z23" s="1000" t="s">
        <v>904</v>
      </c>
      <c r="AA23" s="1000" t="s">
        <v>905</v>
      </c>
      <c r="AB23" s="1000" t="s">
        <v>911</v>
      </c>
      <c r="AC23" s="1000" t="s">
        <v>907</v>
      </c>
      <c r="AD23" s="1004">
        <v>5333.97</v>
      </c>
      <c r="AE23" s="1004">
        <f t="shared" si="8"/>
        <v>73786.585000000006</v>
      </c>
      <c r="AF23" s="1004">
        <f t="shared" si="9"/>
        <v>73786.585000000006</v>
      </c>
      <c r="AG23" s="1005">
        <f t="shared" si="11"/>
        <v>13.833333333333334</v>
      </c>
      <c r="AH23" s="1005">
        <f t="shared" si="10"/>
        <v>11.649342355584254</v>
      </c>
    </row>
    <row r="24" spans="1:34" x14ac:dyDescent="0.25">
      <c r="A24" s="999">
        <v>32396</v>
      </c>
      <c r="B24" s="999" t="s">
        <v>933</v>
      </c>
      <c r="C24" s="999" t="s">
        <v>934</v>
      </c>
      <c r="D24" s="999" t="s">
        <v>935</v>
      </c>
      <c r="E24" s="999" t="s">
        <v>895</v>
      </c>
      <c r="F24" s="999">
        <v>1846822</v>
      </c>
      <c r="G24" s="1000">
        <v>9624368791</v>
      </c>
      <c r="H24" s="999" t="s">
        <v>941</v>
      </c>
      <c r="I24" s="999" t="s">
        <v>897</v>
      </c>
      <c r="J24" s="1001">
        <v>40582</v>
      </c>
      <c r="K24" s="1001">
        <v>45835</v>
      </c>
      <c r="L24" s="1000">
        <f t="shared" si="6"/>
        <v>172</v>
      </c>
      <c r="M24" s="1002">
        <f t="shared" si="7"/>
        <v>14.333333333333334</v>
      </c>
      <c r="N24" s="1000">
        <v>14</v>
      </c>
      <c r="O24" s="1000">
        <v>14</v>
      </c>
      <c r="P24" s="1000">
        <v>43</v>
      </c>
      <c r="Q24" s="999" t="s">
        <v>898</v>
      </c>
      <c r="R24" s="999" t="s">
        <v>899</v>
      </c>
      <c r="S24" s="999" t="s">
        <v>900</v>
      </c>
      <c r="T24" s="999" t="s">
        <v>942</v>
      </c>
      <c r="U24" s="1000" t="s">
        <v>54</v>
      </c>
      <c r="V24" s="1000" t="s">
        <v>914</v>
      </c>
      <c r="W24" s="1003">
        <v>15532</v>
      </c>
      <c r="X24" s="1000" t="s">
        <v>903</v>
      </c>
      <c r="Y24" s="1000">
        <v>82</v>
      </c>
      <c r="Z24" s="1000" t="s">
        <v>904</v>
      </c>
      <c r="AA24" s="1000" t="s">
        <v>905</v>
      </c>
      <c r="AB24" s="1000" t="s">
        <v>925</v>
      </c>
      <c r="AC24" s="1000" t="s">
        <v>907</v>
      </c>
      <c r="AD24" s="1004">
        <v>10126.049999999999</v>
      </c>
      <c r="AE24" s="1004">
        <f t="shared" si="8"/>
        <v>145140.04999999999</v>
      </c>
      <c r="AF24" s="1004">
        <f t="shared" si="9"/>
        <v>145140.04999999999</v>
      </c>
      <c r="AG24" s="1005">
        <f t="shared" si="11"/>
        <v>14.333333333333334</v>
      </c>
      <c r="AH24" s="1005">
        <f t="shared" si="10"/>
        <v>13.04506540955685</v>
      </c>
    </row>
    <row r="25" spans="1:34" x14ac:dyDescent="0.25">
      <c r="A25" s="999">
        <v>32396</v>
      </c>
      <c r="B25" s="999" t="s">
        <v>933</v>
      </c>
      <c r="C25" s="999" t="s">
        <v>934</v>
      </c>
      <c r="D25" s="999" t="s">
        <v>935</v>
      </c>
      <c r="E25" s="999" t="s">
        <v>895</v>
      </c>
      <c r="F25" s="999">
        <v>1859421</v>
      </c>
      <c r="G25" s="1000">
        <v>13428870697</v>
      </c>
      <c r="H25" s="999" t="s">
        <v>943</v>
      </c>
      <c r="I25" s="999" t="s">
        <v>897</v>
      </c>
      <c r="J25" s="1001">
        <v>40584</v>
      </c>
      <c r="K25" s="1001">
        <v>45835</v>
      </c>
      <c r="L25" s="1000">
        <f t="shared" si="6"/>
        <v>172</v>
      </c>
      <c r="M25" s="1002">
        <f t="shared" si="7"/>
        <v>14.333333333333334</v>
      </c>
      <c r="N25" s="1000">
        <v>14</v>
      </c>
      <c r="O25" s="1000">
        <v>14</v>
      </c>
      <c r="P25" s="1000">
        <v>43</v>
      </c>
      <c r="Q25" s="999" t="s">
        <v>898</v>
      </c>
      <c r="R25" s="999" t="s">
        <v>899</v>
      </c>
      <c r="S25" s="999" t="s">
        <v>900</v>
      </c>
      <c r="T25" s="999" t="s">
        <v>944</v>
      </c>
      <c r="U25" s="1000"/>
      <c r="V25" s="1000" t="s">
        <v>914</v>
      </c>
      <c r="W25" s="1003">
        <v>17762</v>
      </c>
      <c r="X25" s="1000" t="s">
        <v>903</v>
      </c>
      <c r="Y25" s="1000">
        <v>76</v>
      </c>
      <c r="Z25" s="1000" t="s">
        <v>904</v>
      </c>
      <c r="AA25" s="1000" t="s">
        <v>905</v>
      </c>
      <c r="AB25" s="1000" t="s">
        <v>938</v>
      </c>
      <c r="AC25" s="1000" t="s">
        <v>907</v>
      </c>
      <c r="AD25" s="1004">
        <v>3813.57</v>
      </c>
      <c r="AE25" s="1004">
        <f t="shared" si="8"/>
        <v>54661.170000000006</v>
      </c>
      <c r="AF25" s="1004">
        <f t="shared" si="9"/>
        <v>54661.170000000006</v>
      </c>
      <c r="AG25" s="1005">
        <f t="shared" si="11"/>
        <v>14.333333333333334</v>
      </c>
      <c r="AH25" s="1005">
        <f t="shared" si="10"/>
        <v>11.355640408262477</v>
      </c>
    </row>
    <row r="26" spans="1:34" x14ac:dyDescent="0.25">
      <c r="A26" s="999">
        <v>32396</v>
      </c>
      <c r="B26" s="999" t="s">
        <v>933</v>
      </c>
      <c r="C26" s="999" t="s">
        <v>934</v>
      </c>
      <c r="D26" s="999" t="s">
        <v>935</v>
      </c>
      <c r="E26" s="999" t="s">
        <v>895</v>
      </c>
      <c r="F26" s="999">
        <v>1891525</v>
      </c>
      <c r="G26" s="1000">
        <v>72650109734</v>
      </c>
      <c r="H26" s="999" t="s">
        <v>945</v>
      </c>
      <c r="I26" s="999" t="s">
        <v>897</v>
      </c>
      <c r="J26" s="1001">
        <v>40799</v>
      </c>
      <c r="K26" s="1001">
        <v>45835</v>
      </c>
      <c r="L26" s="1000">
        <f t="shared" si="6"/>
        <v>165</v>
      </c>
      <c r="M26" s="1002">
        <f t="shared" si="7"/>
        <v>13.75</v>
      </c>
      <c r="N26" s="1000">
        <v>13</v>
      </c>
      <c r="O26" s="1000">
        <v>13</v>
      </c>
      <c r="P26" s="1000">
        <v>43</v>
      </c>
      <c r="Q26" s="999" t="s">
        <v>898</v>
      </c>
      <c r="R26" s="999" t="s">
        <v>899</v>
      </c>
      <c r="S26" s="999" t="s">
        <v>900</v>
      </c>
      <c r="T26" s="999" t="s">
        <v>946</v>
      </c>
      <c r="U26" s="1000"/>
      <c r="V26" s="1000" t="s">
        <v>910</v>
      </c>
      <c r="W26" s="1003">
        <v>17729</v>
      </c>
      <c r="X26" s="1000" t="s">
        <v>903</v>
      </c>
      <c r="Y26" s="1000">
        <v>76</v>
      </c>
      <c r="Z26" s="1000" t="s">
        <v>904</v>
      </c>
      <c r="AA26" s="1000" t="s">
        <v>905</v>
      </c>
      <c r="AB26" s="1000" t="s">
        <v>938</v>
      </c>
      <c r="AC26" s="1000" t="s">
        <v>907</v>
      </c>
      <c r="AD26" s="1004">
        <v>3813.57</v>
      </c>
      <c r="AE26" s="1004">
        <f t="shared" si="8"/>
        <v>52436.587500000001</v>
      </c>
      <c r="AF26" s="1004">
        <f t="shared" si="9"/>
        <v>52436.587500000001</v>
      </c>
      <c r="AG26" s="1005">
        <f t="shared" si="11"/>
        <v>13.75</v>
      </c>
      <c r="AH26" s="1005">
        <f t="shared" si="10"/>
        <v>10.893492252112258</v>
      </c>
    </row>
    <row r="27" spans="1:34" x14ac:dyDescent="0.25">
      <c r="A27" s="999">
        <v>32396</v>
      </c>
      <c r="B27" s="999" t="s">
        <v>933</v>
      </c>
      <c r="C27" s="999" t="s">
        <v>934</v>
      </c>
      <c r="D27" s="999" t="s">
        <v>935</v>
      </c>
      <c r="E27" s="999" t="s">
        <v>895</v>
      </c>
      <c r="F27" s="999">
        <v>1991685</v>
      </c>
      <c r="G27" s="1000">
        <v>45057672720</v>
      </c>
      <c r="H27" s="999" t="s">
        <v>947</v>
      </c>
      <c r="I27" s="999" t="s">
        <v>897</v>
      </c>
      <c r="J27" s="1001">
        <v>41292</v>
      </c>
      <c r="K27" s="1001">
        <v>45835</v>
      </c>
      <c r="L27" s="1000">
        <f t="shared" si="6"/>
        <v>149</v>
      </c>
      <c r="M27" s="1002">
        <f t="shared" si="7"/>
        <v>12.416666666666666</v>
      </c>
      <c r="N27" s="1000">
        <v>12</v>
      </c>
      <c r="O27" s="1000">
        <v>12</v>
      </c>
      <c r="P27" s="1000">
        <v>43</v>
      </c>
      <c r="Q27" s="999" t="s">
        <v>898</v>
      </c>
      <c r="R27" s="999" t="s">
        <v>899</v>
      </c>
      <c r="S27" s="999" t="s">
        <v>900</v>
      </c>
      <c r="T27" s="999" t="s">
        <v>948</v>
      </c>
      <c r="U27" s="1000"/>
      <c r="V27" s="1000" t="s">
        <v>914</v>
      </c>
      <c r="W27" s="1003">
        <v>16400</v>
      </c>
      <c r="X27" s="1000" t="s">
        <v>903</v>
      </c>
      <c r="Y27" s="1000">
        <v>80</v>
      </c>
      <c r="Z27" s="1000" t="s">
        <v>904</v>
      </c>
      <c r="AA27" s="1000" t="s">
        <v>905</v>
      </c>
      <c r="AB27" s="1000" t="s">
        <v>938</v>
      </c>
      <c r="AC27" s="1000" t="s">
        <v>907</v>
      </c>
      <c r="AD27" s="1004">
        <v>3813.57</v>
      </c>
      <c r="AE27" s="1004">
        <f t="shared" si="8"/>
        <v>47351.827499999999</v>
      </c>
      <c r="AF27" s="1004">
        <f t="shared" si="9"/>
        <v>47351.827499999999</v>
      </c>
      <c r="AG27" s="1005">
        <f t="shared" si="11"/>
        <v>12.416666666666666</v>
      </c>
      <c r="AH27" s="1005">
        <f t="shared" si="10"/>
        <v>9.83715360948319</v>
      </c>
    </row>
    <row r="28" spans="1:34" x14ac:dyDescent="0.25">
      <c r="A28" s="999">
        <v>32396</v>
      </c>
      <c r="B28" s="999" t="s">
        <v>933</v>
      </c>
      <c r="C28" s="999" t="s">
        <v>934</v>
      </c>
      <c r="D28" s="999" t="s">
        <v>935</v>
      </c>
      <c r="E28" s="999" t="s">
        <v>895</v>
      </c>
      <c r="F28" s="999">
        <v>172994</v>
      </c>
      <c r="G28" s="1000">
        <v>38655845191</v>
      </c>
      <c r="H28" s="999" t="s">
        <v>949</v>
      </c>
      <c r="I28" s="999" t="s">
        <v>897</v>
      </c>
      <c r="J28" s="1001">
        <v>40591</v>
      </c>
      <c r="K28" s="1001">
        <v>45835</v>
      </c>
      <c r="L28" s="1000">
        <f t="shared" si="6"/>
        <v>172</v>
      </c>
      <c r="M28" s="1002">
        <f t="shared" si="7"/>
        <v>14.333333333333334</v>
      </c>
      <c r="N28" s="1000">
        <v>14</v>
      </c>
      <c r="O28" s="1000">
        <v>14</v>
      </c>
      <c r="P28" s="1000">
        <v>43</v>
      </c>
      <c r="Q28" s="999" t="s">
        <v>898</v>
      </c>
      <c r="R28" s="999" t="s">
        <v>899</v>
      </c>
      <c r="S28" s="999" t="s">
        <v>900</v>
      </c>
      <c r="T28" s="999" t="s">
        <v>950</v>
      </c>
      <c r="U28" s="1000" t="s">
        <v>55</v>
      </c>
      <c r="V28" s="1000" t="s">
        <v>921</v>
      </c>
      <c r="W28" s="1003">
        <v>17513</v>
      </c>
      <c r="X28" s="1000" t="s">
        <v>930</v>
      </c>
      <c r="Y28" s="1000">
        <v>77</v>
      </c>
      <c r="Z28" s="1000" t="s">
        <v>904</v>
      </c>
      <c r="AA28" s="1000" t="s">
        <v>905</v>
      </c>
      <c r="AB28" s="1000" t="s">
        <v>951</v>
      </c>
      <c r="AC28" s="1000" t="s">
        <v>907</v>
      </c>
      <c r="AD28" s="1004">
        <v>4885.1000000000004</v>
      </c>
      <c r="AE28" s="1004">
        <f t="shared" si="8"/>
        <v>70019.766666666677</v>
      </c>
      <c r="AF28" s="1004">
        <f t="shared" si="9"/>
        <v>70019.766666666677</v>
      </c>
      <c r="AG28" s="1005">
        <f t="shared" si="11"/>
        <v>14.333333333333334</v>
      </c>
      <c r="AH28" s="1005">
        <f t="shared" si="10"/>
        <v>11.897804058837858</v>
      </c>
    </row>
    <row r="29" spans="1:34" x14ac:dyDescent="0.25">
      <c r="A29" s="999">
        <v>32396</v>
      </c>
      <c r="B29" s="999" t="s">
        <v>933</v>
      </c>
      <c r="C29" s="999" t="s">
        <v>934</v>
      </c>
      <c r="D29" s="999" t="s">
        <v>935</v>
      </c>
      <c r="E29" s="999" t="s">
        <v>895</v>
      </c>
      <c r="F29" s="999">
        <v>1846793</v>
      </c>
      <c r="G29" s="1000">
        <v>33496293772</v>
      </c>
      <c r="H29" s="999" t="s">
        <v>952</v>
      </c>
      <c r="I29" s="999" t="s">
        <v>897</v>
      </c>
      <c r="J29" s="1001">
        <v>40578</v>
      </c>
      <c r="K29" s="1001">
        <v>45835</v>
      </c>
      <c r="L29" s="1000">
        <f t="shared" si="6"/>
        <v>172</v>
      </c>
      <c r="M29" s="1002">
        <f t="shared" si="7"/>
        <v>14.333333333333334</v>
      </c>
      <c r="N29" s="1000">
        <v>14</v>
      </c>
      <c r="O29" s="1000">
        <v>14</v>
      </c>
      <c r="P29" s="1000">
        <v>43</v>
      </c>
      <c r="Q29" s="999" t="s">
        <v>898</v>
      </c>
      <c r="R29" s="999" t="s">
        <v>899</v>
      </c>
      <c r="S29" s="999" t="s">
        <v>900</v>
      </c>
      <c r="T29" s="999" t="s">
        <v>953</v>
      </c>
      <c r="U29" s="1000" t="s">
        <v>55</v>
      </c>
      <c r="V29" s="1000" t="s">
        <v>914</v>
      </c>
      <c r="W29" s="1003">
        <v>15372</v>
      </c>
      <c r="X29" s="1000" t="s">
        <v>903</v>
      </c>
      <c r="Y29" s="1000">
        <v>83</v>
      </c>
      <c r="Z29" s="1000" t="s">
        <v>904</v>
      </c>
      <c r="AA29" s="1000" t="s">
        <v>905</v>
      </c>
      <c r="AB29" s="1000" t="s">
        <v>911</v>
      </c>
      <c r="AC29" s="1000" t="s">
        <v>907</v>
      </c>
      <c r="AD29" s="1004">
        <v>5333.97</v>
      </c>
      <c r="AE29" s="1004">
        <f t="shared" si="8"/>
        <v>76453.570000000007</v>
      </c>
      <c r="AF29" s="1004">
        <f t="shared" si="9"/>
        <v>76453.570000000007</v>
      </c>
      <c r="AG29" s="1005">
        <f t="shared" si="11"/>
        <v>14.333333333333334</v>
      </c>
      <c r="AH29" s="1005">
        <f t="shared" si="10"/>
        <v>12.070402922653566</v>
      </c>
    </row>
    <row r="30" spans="1:34" x14ac:dyDescent="0.25">
      <c r="A30" s="999">
        <v>32396</v>
      </c>
      <c r="B30" s="999" t="s">
        <v>933</v>
      </c>
      <c r="C30" s="999" t="s">
        <v>934</v>
      </c>
      <c r="D30" s="999" t="s">
        <v>935</v>
      </c>
      <c r="E30" s="999" t="s">
        <v>895</v>
      </c>
      <c r="F30" s="999">
        <v>1889015</v>
      </c>
      <c r="G30" s="1000">
        <v>37834487787</v>
      </c>
      <c r="H30" s="999" t="s">
        <v>954</v>
      </c>
      <c r="I30" s="999" t="s">
        <v>897</v>
      </c>
      <c r="J30" s="1001">
        <v>40786</v>
      </c>
      <c r="K30" s="1001">
        <v>45835</v>
      </c>
      <c r="L30" s="1000">
        <f t="shared" si="6"/>
        <v>165</v>
      </c>
      <c r="M30" s="1002">
        <f t="shared" si="7"/>
        <v>13.75</v>
      </c>
      <c r="N30" s="1000">
        <v>13</v>
      </c>
      <c r="O30" s="1000">
        <v>13</v>
      </c>
      <c r="P30" s="1000">
        <v>43</v>
      </c>
      <c r="Q30" s="999" t="s">
        <v>898</v>
      </c>
      <c r="R30" s="999" t="s">
        <v>899</v>
      </c>
      <c r="S30" s="999" t="s">
        <v>900</v>
      </c>
      <c r="T30" s="999" t="s">
        <v>955</v>
      </c>
      <c r="U30" s="1000"/>
      <c r="V30" s="1000" t="s">
        <v>914</v>
      </c>
      <c r="W30" s="1003">
        <v>17180</v>
      </c>
      <c r="X30" s="1000" t="s">
        <v>903</v>
      </c>
      <c r="Y30" s="1000">
        <v>78</v>
      </c>
      <c r="Z30" s="1000" t="s">
        <v>904</v>
      </c>
      <c r="AA30" s="1000" t="s">
        <v>905</v>
      </c>
      <c r="AB30" s="1000" t="s">
        <v>938</v>
      </c>
      <c r="AC30" s="1000" t="s">
        <v>907</v>
      </c>
      <c r="AD30" s="1004">
        <v>3813.57</v>
      </c>
      <c r="AE30" s="1004">
        <f t="shared" si="8"/>
        <v>52436.587500000001</v>
      </c>
      <c r="AF30" s="1004">
        <f t="shared" si="9"/>
        <v>52436.587500000001</v>
      </c>
      <c r="AG30" s="1005">
        <f t="shared" si="11"/>
        <v>13.75</v>
      </c>
      <c r="AH30" s="1005">
        <f t="shared" si="10"/>
        <v>10.893492252112258</v>
      </c>
    </row>
    <row r="31" spans="1:34" x14ac:dyDescent="0.25">
      <c r="A31" s="999">
        <v>32396</v>
      </c>
      <c r="B31" s="999" t="s">
        <v>933</v>
      </c>
      <c r="C31" s="999" t="s">
        <v>934</v>
      </c>
      <c r="D31" s="999" t="s">
        <v>935</v>
      </c>
      <c r="E31" s="999" t="s">
        <v>895</v>
      </c>
      <c r="F31" s="999">
        <v>1948554</v>
      </c>
      <c r="G31" s="1000">
        <v>20773340610</v>
      </c>
      <c r="H31" s="999" t="s">
        <v>956</v>
      </c>
      <c r="I31" s="999" t="s">
        <v>897</v>
      </c>
      <c r="J31" s="1001">
        <v>41052</v>
      </c>
      <c r="K31" s="1001">
        <v>45835</v>
      </c>
      <c r="L31" s="1000">
        <f t="shared" si="6"/>
        <v>157</v>
      </c>
      <c r="M31" s="1002">
        <f t="shared" si="7"/>
        <v>13.083333333333334</v>
      </c>
      <c r="N31" s="1000">
        <v>13</v>
      </c>
      <c r="O31" s="1000">
        <v>13</v>
      </c>
      <c r="P31" s="1000">
        <v>43</v>
      </c>
      <c r="Q31" s="999" t="s">
        <v>898</v>
      </c>
      <c r="R31" s="999" t="s">
        <v>899</v>
      </c>
      <c r="S31" s="999" t="s">
        <v>900</v>
      </c>
      <c r="T31" s="999" t="s">
        <v>957</v>
      </c>
      <c r="U31" s="1000"/>
      <c r="V31" s="1000" t="s">
        <v>914</v>
      </c>
      <c r="W31" s="1003">
        <v>17010</v>
      </c>
      <c r="X31" s="1000" t="s">
        <v>903</v>
      </c>
      <c r="Y31" s="1000">
        <v>78</v>
      </c>
      <c r="Z31" s="1000" t="s">
        <v>904</v>
      </c>
      <c r="AA31" s="1000" t="s">
        <v>905</v>
      </c>
      <c r="AB31" s="1000" t="s">
        <v>938</v>
      </c>
      <c r="AC31" s="1000" t="s">
        <v>907</v>
      </c>
      <c r="AD31" s="1004">
        <v>3813.57</v>
      </c>
      <c r="AE31" s="1004">
        <f t="shared" si="8"/>
        <v>49894.207500000004</v>
      </c>
      <c r="AF31" s="1004">
        <f t="shared" si="9"/>
        <v>49894.207500000004</v>
      </c>
      <c r="AG31" s="1005">
        <f t="shared" si="11"/>
        <v>13.083333333333334</v>
      </c>
      <c r="AH31" s="1005">
        <f t="shared" si="10"/>
        <v>10.365322930797726</v>
      </c>
    </row>
    <row r="32" spans="1:34" x14ac:dyDescent="0.25">
      <c r="A32" s="999">
        <v>32396</v>
      </c>
      <c r="B32" s="999" t="s">
        <v>933</v>
      </c>
      <c r="C32" s="999" t="s">
        <v>934</v>
      </c>
      <c r="D32" s="999" t="s">
        <v>935</v>
      </c>
      <c r="E32" s="999" t="s">
        <v>895</v>
      </c>
      <c r="F32" s="999">
        <v>1032130</v>
      </c>
      <c r="G32" s="1000">
        <v>17555205653</v>
      </c>
      <c r="H32" s="999" t="s">
        <v>958</v>
      </c>
      <c r="I32" s="999" t="s">
        <v>897</v>
      </c>
      <c r="J32" s="1001">
        <v>41423</v>
      </c>
      <c r="K32" s="1001">
        <v>45835</v>
      </c>
      <c r="L32" s="1000">
        <f t="shared" si="6"/>
        <v>144</v>
      </c>
      <c r="M32" s="1002">
        <f t="shared" si="7"/>
        <v>12</v>
      </c>
      <c r="N32" s="1000">
        <v>12</v>
      </c>
      <c r="O32" s="1000">
        <v>12</v>
      </c>
      <c r="P32" s="1000">
        <v>43</v>
      </c>
      <c r="Q32" s="999" t="s">
        <v>898</v>
      </c>
      <c r="R32" s="999" t="s">
        <v>899</v>
      </c>
      <c r="S32" s="999" t="s">
        <v>900</v>
      </c>
      <c r="T32" s="999" t="s">
        <v>959</v>
      </c>
      <c r="U32" s="1000"/>
      <c r="V32" s="1000" t="s">
        <v>914</v>
      </c>
      <c r="W32" s="1003">
        <v>17426</v>
      </c>
      <c r="X32" s="1000" t="s">
        <v>903</v>
      </c>
      <c r="Y32" s="1000">
        <v>77</v>
      </c>
      <c r="Z32" s="1000" t="s">
        <v>904</v>
      </c>
      <c r="AA32" s="1000" t="s">
        <v>905</v>
      </c>
      <c r="AB32" s="1000" t="s">
        <v>938</v>
      </c>
      <c r="AC32" s="1000" t="s">
        <v>907</v>
      </c>
      <c r="AD32" s="1004">
        <v>3813.57</v>
      </c>
      <c r="AE32" s="1004">
        <f t="shared" si="8"/>
        <v>45762.840000000004</v>
      </c>
      <c r="AF32" s="1004">
        <f t="shared" si="9"/>
        <v>45762.840000000004</v>
      </c>
      <c r="AG32" s="1005">
        <f t="shared" si="11"/>
        <v>12</v>
      </c>
      <c r="AH32" s="1005">
        <f t="shared" si="10"/>
        <v>9.5070477836616085</v>
      </c>
    </row>
    <row r="33" spans="1:34" x14ac:dyDescent="0.25">
      <c r="A33" s="999">
        <v>32396</v>
      </c>
      <c r="B33" s="999" t="s">
        <v>933</v>
      </c>
      <c r="C33" s="999" t="s">
        <v>934</v>
      </c>
      <c r="D33" s="999" t="s">
        <v>935</v>
      </c>
      <c r="E33" s="999" t="s">
        <v>895</v>
      </c>
      <c r="F33" s="999">
        <v>1144897</v>
      </c>
      <c r="G33" s="1000">
        <v>16882547653</v>
      </c>
      <c r="H33" s="999" t="s">
        <v>960</v>
      </c>
      <c r="I33" s="999" t="s">
        <v>897</v>
      </c>
      <c r="J33" s="1001">
        <v>41823</v>
      </c>
      <c r="K33" s="1001">
        <v>45835</v>
      </c>
      <c r="L33" s="1000">
        <f t="shared" si="6"/>
        <v>131</v>
      </c>
      <c r="M33" s="1002">
        <f t="shared" si="7"/>
        <v>10.916666666666666</v>
      </c>
      <c r="N33" s="1000">
        <v>10</v>
      </c>
      <c r="O33" s="1000">
        <v>10</v>
      </c>
      <c r="P33" s="1000">
        <v>43</v>
      </c>
      <c r="Q33" s="999" t="s">
        <v>898</v>
      </c>
      <c r="R33" s="999" t="s">
        <v>899</v>
      </c>
      <c r="S33" s="999" t="s">
        <v>900</v>
      </c>
      <c r="T33" s="999" t="s">
        <v>957</v>
      </c>
      <c r="U33" s="1000"/>
      <c r="V33" s="1000" t="s">
        <v>914</v>
      </c>
      <c r="W33" s="1003">
        <v>16401</v>
      </c>
      <c r="X33" s="1000" t="s">
        <v>903</v>
      </c>
      <c r="Y33" s="1000">
        <v>80</v>
      </c>
      <c r="Z33" s="1000" t="s">
        <v>904</v>
      </c>
      <c r="AA33" s="1000" t="s">
        <v>905</v>
      </c>
      <c r="AB33" s="1000" t="s">
        <v>938</v>
      </c>
      <c r="AC33" s="1000" t="s">
        <v>907</v>
      </c>
      <c r="AD33" s="1004">
        <v>3813.57</v>
      </c>
      <c r="AE33" s="1004">
        <f t="shared" si="8"/>
        <v>41631.472499999996</v>
      </c>
      <c r="AF33" s="1004">
        <f t="shared" si="9"/>
        <v>41631.472499999996</v>
      </c>
      <c r="AG33" s="1005">
        <f t="shared" si="11"/>
        <v>10.916666666666666</v>
      </c>
      <c r="AH33" s="1005">
        <f t="shared" si="10"/>
        <v>8.6487726365254893</v>
      </c>
    </row>
    <row r="34" spans="1:34" x14ac:dyDescent="0.25">
      <c r="A34" s="999">
        <v>32396</v>
      </c>
      <c r="B34" s="999" t="s">
        <v>933</v>
      </c>
      <c r="C34" s="999" t="s">
        <v>934</v>
      </c>
      <c r="D34" s="999" t="s">
        <v>935</v>
      </c>
      <c r="E34" s="999" t="s">
        <v>895</v>
      </c>
      <c r="F34" s="999">
        <v>1948858</v>
      </c>
      <c r="G34" s="1000">
        <v>20535252668</v>
      </c>
      <c r="H34" s="999" t="s">
        <v>961</v>
      </c>
      <c r="I34" s="999" t="s">
        <v>897</v>
      </c>
      <c r="J34" s="1001">
        <v>41052</v>
      </c>
      <c r="K34" s="1001">
        <v>45835</v>
      </c>
      <c r="L34" s="1000">
        <f t="shared" si="6"/>
        <v>157</v>
      </c>
      <c r="M34" s="1002">
        <f t="shared" si="7"/>
        <v>13.083333333333334</v>
      </c>
      <c r="N34" s="1000">
        <v>13</v>
      </c>
      <c r="O34" s="1000">
        <v>13</v>
      </c>
      <c r="P34" s="1000">
        <v>43</v>
      </c>
      <c r="Q34" s="999" t="s">
        <v>898</v>
      </c>
      <c r="R34" s="999" t="s">
        <v>899</v>
      </c>
      <c r="S34" s="999" t="s">
        <v>900</v>
      </c>
      <c r="T34" s="999" t="s">
        <v>962</v>
      </c>
      <c r="U34" s="1000"/>
      <c r="V34" s="1000" t="s">
        <v>914</v>
      </c>
      <c r="W34" s="1003">
        <v>13670</v>
      </c>
      <c r="X34" s="1000" t="s">
        <v>903</v>
      </c>
      <c r="Y34" s="1000">
        <v>87</v>
      </c>
      <c r="Z34" s="1000" t="s">
        <v>904</v>
      </c>
      <c r="AA34" s="1000" t="s">
        <v>905</v>
      </c>
      <c r="AB34" s="1000" t="s">
        <v>938</v>
      </c>
      <c r="AC34" s="1000" t="s">
        <v>907</v>
      </c>
      <c r="AD34" s="1004">
        <v>3813.57</v>
      </c>
      <c r="AE34" s="1004">
        <f t="shared" si="8"/>
        <v>49894.207500000004</v>
      </c>
      <c r="AF34" s="1004">
        <f t="shared" si="9"/>
        <v>49894.207500000004</v>
      </c>
      <c r="AG34" s="1005">
        <f t="shared" si="11"/>
        <v>13.083333333333334</v>
      </c>
      <c r="AH34" s="1005">
        <f t="shared" si="10"/>
        <v>10.365322930797726</v>
      </c>
    </row>
    <row r="35" spans="1:34" x14ac:dyDescent="0.25">
      <c r="A35" s="999">
        <v>32396</v>
      </c>
      <c r="B35" s="999" t="s">
        <v>933</v>
      </c>
      <c r="C35" s="999" t="s">
        <v>934</v>
      </c>
      <c r="D35" s="999" t="s">
        <v>935</v>
      </c>
      <c r="E35" s="999" t="s">
        <v>895</v>
      </c>
      <c r="F35" s="999">
        <v>1854353</v>
      </c>
      <c r="G35" s="1000">
        <v>14061201620</v>
      </c>
      <c r="H35" s="999" t="s">
        <v>963</v>
      </c>
      <c r="I35" s="999" t="s">
        <v>897</v>
      </c>
      <c r="J35" s="1001">
        <v>40590</v>
      </c>
      <c r="K35" s="1001">
        <v>45835</v>
      </c>
      <c r="L35" s="1000">
        <f t="shared" si="6"/>
        <v>172</v>
      </c>
      <c r="M35" s="1002">
        <f t="shared" si="7"/>
        <v>14.333333333333334</v>
      </c>
      <c r="N35" s="1000">
        <v>14</v>
      </c>
      <c r="O35" s="1000">
        <v>14</v>
      </c>
      <c r="P35" s="1000">
        <v>43</v>
      </c>
      <c r="Q35" s="999" t="s">
        <v>898</v>
      </c>
      <c r="R35" s="999" t="s">
        <v>899</v>
      </c>
      <c r="S35" s="999" t="s">
        <v>900</v>
      </c>
      <c r="T35" s="999" t="s">
        <v>957</v>
      </c>
      <c r="U35" s="1000"/>
      <c r="V35" s="1000" t="s">
        <v>914</v>
      </c>
      <c r="W35" s="1003">
        <v>17775</v>
      </c>
      <c r="X35" s="1000" t="s">
        <v>903</v>
      </c>
      <c r="Y35" s="1000">
        <v>76</v>
      </c>
      <c r="Z35" s="1000" t="s">
        <v>904</v>
      </c>
      <c r="AA35" s="1000" t="s">
        <v>905</v>
      </c>
      <c r="AB35" s="1000" t="s">
        <v>938</v>
      </c>
      <c r="AC35" s="1000" t="s">
        <v>907</v>
      </c>
      <c r="AD35" s="1004">
        <v>3813.57</v>
      </c>
      <c r="AE35" s="1004">
        <f t="shared" si="8"/>
        <v>54661.170000000006</v>
      </c>
      <c r="AF35" s="1004">
        <f t="shared" si="9"/>
        <v>54661.170000000006</v>
      </c>
      <c r="AG35" s="1005">
        <f t="shared" si="11"/>
        <v>14.333333333333334</v>
      </c>
      <c r="AH35" s="1005">
        <f t="shared" si="10"/>
        <v>11.355640408262477</v>
      </c>
    </row>
    <row r="36" spans="1:34" x14ac:dyDescent="0.25">
      <c r="A36" s="999">
        <v>32396</v>
      </c>
      <c r="B36" s="999" t="s">
        <v>933</v>
      </c>
      <c r="C36" s="999" t="s">
        <v>934</v>
      </c>
      <c r="D36" s="999" t="s">
        <v>935</v>
      </c>
      <c r="E36" s="999" t="s">
        <v>895</v>
      </c>
      <c r="F36" s="999">
        <v>273377</v>
      </c>
      <c r="G36" s="1000">
        <v>4392701204</v>
      </c>
      <c r="H36" s="999" t="s">
        <v>964</v>
      </c>
      <c r="I36" s="999" t="s">
        <v>897</v>
      </c>
      <c r="J36" s="1001">
        <v>44221</v>
      </c>
      <c r="K36" s="1001">
        <v>45835</v>
      </c>
      <c r="L36" s="1000">
        <f t="shared" si="6"/>
        <v>53</v>
      </c>
      <c r="M36" s="1002">
        <f t="shared" si="7"/>
        <v>4.416666666666667</v>
      </c>
      <c r="N36" s="1000">
        <v>4</v>
      </c>
      <c r="O36" s="1000">
        <v>10</v>
      </c>
      <c r="P36" s="1000">
        <v>43</v>
      </c>
      <c r="Q36" s="999" t="s">
        <v>898</v>
      </c>
      <c r="R36" s="999" t="s">
        <v>899</v>
      </c>
      <c r="S36" s="999" t="s">
        <v>900</v>
      </c>
      <c r="T36" s="999" t="s">
        <v>965</v>
      </c>
      <c r="U36" s="1000" t="s">
        <v>54</v>
      </c>
      <c r="V36" s="1000" t="s">
        <v>910</v>
      </c>
      <c r="W36" s="1003">
        <v>18315</v>
      </c>
      <c r="X36" s="1000" t="s">
        <v>903</v>
      </c>
      <c r="Y36" s="1000">
        <v>75</v>
      </c>
      <c r="Z36" s="1000" t="s">
        <v>904</v>
      </c>
      <c r="AA36" s="1000" t="s">
        <v>905</v>
      </c>
      <c r="AB36" s="1000" t="s">
        <v>966</v>
      </c>
      <c r="AC36" s="1000" t="s">
        <v>907</v>
      </c>
      <c r="AD36" s="1004">
        <v>9000.94</v>
      </c>
      <c r="AE36" s="1004">
        <f t="shared" si="8"/>
        <v>39754.151666666672</v>
      </c>
      <c r="AF36" s="1004">
        <f t="shared" si="9"/>
        <v>39754.151666666672</v>
      </c>
      <c r="AG36" s="1005">
        <f t="shared" si="11"/>
        <v>4.416666666666667</v>
      </c>
      <c r="AH36" s="1005">
        <f t="shared" si="10"/>
        <v>3.9750415127644669</v>
      </c>
    </row>
    <row r="37" spans="1:34" x14ac:dyDescent="0.25">
      <c r="A37" s="999">
        <v>32396</v>
      </c>
      <c r="B37" s="999" t="s">
        <v>933</v>
      </c>
      <c r="C37" s="999" t="s">
        <v>934</v>
      </c>
      <c r="D37" s="999" t="s">
        <v>935</v>
      </c>
      <c r="E37" s="999" t="s">
        <v>895</v>
      </c>
      <c r="F37" s="999">
        <v>1842043</v>
      </c>
      <c r="G37" s="1000">
        <v>31606237772</v>
      </c>
      <c r="H37" s="999" t="s">
        <v>967</v>
      </c>
      <c r="I37" s="999" t="s">
        <v>897</v>
      </c>
      <c r="J37" s="1001">
        <v>40571</v>
      </c>
      <c r="K37" s="1001">
        <v>45835</v>
      </c>
      <c r="L37" s="1000">
        <f t="shared" si="6"/>
        <v>172</v>
      </c>
      <c r="M37" s="1002">
        <f t="shared" si="7"/>
        <v>14.333333333333334</v>
      </c>
      <c r="N37" s="1000">
        <v>14</v>
      </c>
      <c r="O37" s="1000">
        <v>14</v>
      </c>
      <c r="P37" s="1000">
        <v>43</v>
      </c>
      <c r="Q37" s="999" t="s">
        <v>898</v>
      </c>
      <c r="R37" s="999" t="s">
        <v>899</v>
      </c>
      <c r="S37" s="999" t="s">
        <v>900</v>
      </c>
      <c r="T37" s="999" t="s">
        <v>968</v>
      </c>
      <c r="U37" s="1000" t="s">
        <v>55</v>
      </c>
      <c r="V37" s="1000" t="s">
        <v>914</v>
      </c>
      <c r="W37" s="1003">
        <v>17058</v>
      </c>
      <c r="X37" s="1000" t="s">
        <v>903</v>
      </c>
      <c r="Y37" s="1000">
        <v>78</v>
      </c>
      <c r="Z37" s="1000" t="s">
        <v>904</v>
      </c>
      <c r="AA37" s="1000" t="s">
        <v>905</v>
      </c>
      <c r="AB37" s="1000" t="s">
        <v>911</v>
      </c>
      <c r="AC37" s="1000" t="s">
        <v>907</v>
      </c>
      <c r="AD37" s="1004">
        <v>5333.97</v>
      </c>
      <c r="AE37" s="1004">
        <f t="shared" si="8"/>
        <v>76453.570000000007</v>
      </c>
      <c r="AF37" s="1004">
        <f t="shared" si="9"/>
        <v>76453.570000000007</v>
      </c>
      <c r="AG37" s="1005">
        <f t="shared" si="11"/>
        <v>14.333333333333334</v>
      </c>
      <c r="AH37" s="1005">
        <f t="shared" si="10"/>
        <v>12.070402922653566</v>
      </c>
    </row>
    <row r="38" spans="1:34" x14ac:dyDescent="0.25">
      <c r="A38" s="999">
        <v>32396</v>
      </c>
      <c r="B38" s="999" t="s">
        <v>933</v>
      </c>
      <c r="C38" s="999" t="s">
        <v>934</v>
      </c>
      <c r="D38" s="999" t="s">
        <v>935</v>
      </c>
      <c r="E38" s="999" t="s">
        <v>895</v>
      </c>
      <c r="F38" s="999">
        <v>1842259</v>
      </c>
      <c r="G38" s="1000">
        <v>9749152700</v>
      </c>
      <c r="H38" s="999" t="s">
        <v>969</v>
      </c>
      <c r="I38" s="999" t="s">
        <v>897</v>
      </c>
      <c r="J38" s="1001">
        <v>40574</v>
      </c>
      <c r="K38" s="1001">
        <v>45835</v>
      </c>
      <c r="L38" s="1000">
        <f t="shared" si="6"/>
        <v>172</v>
      </c>
      <c r="M38" s="1002">
        <f t="shared" si="7"/>
        <v>14.333333333333334</v>
      </c>
      <c r="N38" s="1000">
        <v>14</v>
      </c>
      <c r="O38" s="1000">
        <v>14</v>
      </c>
      <c r="P38" s="1000">
        <v>43</v>
      </c>
      <c r="Q38" s="999" t="s">
        <v>898</v>
      </c>
      <c r="R38" s="999" t="s">
        <v>899</v>
      </c>
      <c r="S38" s="999" t="s">
        <v>900</v>
      </c>
      <c r="T38" s="999" t="s">
        <v>909</v>
      </c>
      <c r="U38" s="1000"/>
      <c r="V38" s="1000" t="s">
        <v>914</v>
      </c>
      <c r="W38" s="1003">
        <v>18106</v>
      </c>
      <c r="X38" s="1000" t="s">
        <v>903</v>
      </c>
      <c r="Y38" s="1000">
        <v>75</v>
      </c>
      <c r="Z38" s="1000" t="s">
        <v>904</v>
      </c>
      <c r="AA38" s="1000" t="s">
        <v>905</v>
      </c>
      <c r="AB38" s="1000" t="s">
        <v>938</v>
      </c>
      <c r="AC38" s="1000" t="s">
        <v>907</v>
      </c>
      <c r="AD38" s="1004">
        <v>3813.57</v>
      </c>
      <c r="AE38" s="1004">
        <f t="shared" si="8"/>
        <v>54661.170000000006</v>
      </c>
      <c r="AF38" s="1004">
        <f t="shared" si="9"/>
        <v>54661.170000000006</v>
      </c>
      <c r="AG38" s="1005">
        <f t="shared" si="11"/>
        <v>14.333333333333334</v>
      </c>
      <c r="AH38" s="1005">
        <f t="shared" si="10"/>
        <v>11.355640408262477</v>
      </c>
    </row>
    <row r="39" spans="1:34" x14ac:dyDescent="0.25">
      <c r="A39" s="999">
        <v>32396</v>
      </c>
      <c r="B39" s="999" t="s">
        <v>933</v>
      </c>
      <c r="C39" s="999" t="s">
        <v>934</v>
      </c>
      <c r="D39" s="999" t="s">
        <v>935</v>
      </c>
      <c r="E39" s="999" t="s">
        <v>895</v>
      </c>
      <c r="F39" s="999">
        <v>1951360</v>
      </c>
      <c r="G39" s="1000">
        <v>19552823749</v>
      </c>
      <c r="H39" s="999" t="s">
        <v>970</v>
      </c>
      <c r="I39" s="999" t="s">
        <v>897</v>
      </c>
      <c r="J39" s="1001">
        <v>41061</v>
      </c>
      <c r="K39" s="1001">
        <v>45835</v>
      </c>
      <c r="L39" s="1000">
        <f t="shared" si="6"/>
        <v>156</v>
      </c>
      <c r="M39" s="1002">
        <f t="shared" si="7"/>
        <v>13</v>
      </c>
      <c r="N39" s="1000">
        <v>13</v>
      </c>
      <c r="O39" s="1000">
        <v>13</v>
      </c>
      <c r="P39" s="1000">
        <v>43</v>
      </c>
      <c r="Q39" s="999" t="s">
        <v>898</v>
      </c>
      <c r="R39" s="999" t="s">
        <v>899</v>
      </c>
      <c r="S39" s="999" t="s">
        <v>900</v>
      </c>
      <c r="T39" s="999" t="s">
        <v>971</v>
      </c>
      <c r="U39" s="1000"/>
      <c r="V39" s="1000" t="s">
        <v>914</v>
      </c>
      <c r="W39" s="1003">
        <v>16271</v>
      </c>
      <c r="X39" s="1000" t="s">
        <v>903</v>
      </c>
      <c r="Y39" s="1000">
        <v>80</v>
      </c>
      <c r="Z39" s="1000" t="s">
        <v>904</v>
      </c>
      <c r="AA39" s="1000" t="s">
        <v>905</v>
      </c>
      <c r="AB39" s="1000" t="s">
        <v>938</v>
      </c>
      <c r="AC39" s="1000" t="s">
        <v>907</v>
      </c>
      <c r="AD39" s="1004">
        <v>3813.57</v>
      </c>
      <c r="AE39" s="1004">
        <f t="shared" si="8"/>
        <v>49576.41</v>
      </c>
      <c r="AF39" s="1004">
        <f t="shared" si="9"/>
        <v>49576.41</v>
      </c>
      <c r="AG39" s="1005">
        <f t="shared" si="11"/>
        <v>13</v>
      </c>
      <c r="AH39" s="1005">
        <f t="shared" si="10"/>
        <v>10.299301765633409</v>
      </c>
    </row>
    <row r="40" spans="1:34" x14ac:dyDescent="0.25">
      <c r="A40" s="999">
        <v>32396</v>
      </c>
      <c r="B40" s="999" t="s">
        <v>933</v>
      </c>
      <c r="C40" s="999" t="s">
        <v>934</v>
      </c>
      <c r="D40" s="999" t="s">
        <v>935</v>
      </c>
      <c r="E40" s="999" t="s">
        <v>895</v>
      </c>
      <c r="F40" s="999">
        <v>1950409</v>
      </c>
      <c r="G40" s="1000">
        <v>415146291</v>
      </c>
      <c r="H40" s="999" t="s">
        <v>972</v>
      </c>
      <c r="I40" s="999" t="s">
        <v>897</v>
      </c>
      <c r="J40" s="1001">
        <v>41052</v>
      </c>
      <c r="K40" s="1001">
        <v>45835</v>
      </c>
      <c r="L40" s="1000">
        <f t="shared" si="6"/>
        <v>157</v>
      </c>
      <c r="M40" s="1002">
        <f t="shared" si="7"/>
        <v>13.083333333333334</v>
      </c>
      <c r="N40" s="1000">
        <v>13</v>
      </c>
      <c r="O40" s="1000">
        <v>13</v>
      </c>
      <c r="P40" s="1000">
        <v>43</v>
      </c>
      <c r="Q40" s="999" t="s">
        <v>898</v>
      </c>
      <c r="R40" s="999" t="s">
        <v>899</v>
      </c>
      <c r="S40" s="999" t="s">
        <v>900</v>
      </c>
      <c r="T40" s="999" t="s">
        <v>973</v>
      </c>
      <c r="U40" s="1000" t="s">
        <v>55</v>
      </c>
      <c r="V40" s="1000" t="s">
        <v>914</v>
      </c>
      <c r="W40" s="1003">
        <v>16732</v>
      </c>
      <c r="X40" s="1000" t="s">
        <v>903</v>
      </c>
      <c r="Y40" s="1000">
        <v>79</v>
      </c>
      <c r="Z40" s="1000" t="s">
        <v>904</v>
      </c>
      <c r="AA40" s="1000" t="s">
        <v>905</v>
      </c>
      <c r="AB40" s="1000" t="s">
        <v>911</v>
      </c>
      <c r="AC40" s="1000" t="s">
        <v>907</v>
      </c>
      <c r="AD40" s="1004">
        <v>5333.97</v>
      </c>
      <c r="AE40" s="1004">
        <f t="shared" si="8"/>
        <v>69786.107500000013</v>
      </c>
      <c r="AF40" s="1004">
        <f t="shared" si="9"/>
        <v>69786.107500000013</v>
      </c>
      <c r="AG40" s="1005">
        <f t="shared" si="11"/>
        <v>13.083333333333336</v>
      </c>
      <c r="AH40" s="1005">
        <f t="shared" si="10"/>
        <v>11.017751504980291</v>
      </c>
    </row>
    <row r="41" spans="1:34" x14ac:dyDescent="0.25">
      <c r="A41" s="999">
        <v>32396</v>
      </c>
      <c r="B41" s="999" t="s">
        <v>933</v>
      </c>
      <c r="C41" s="999" t="s">
        <v>934</v>
      </c>
      <c r="D41" s="999" t="s">
        <v>935</v>
      </c>
      <c r="E41" s="999" t="s">
        <v>895</v>
      </c>
      <c r="F41" s="999">
        <v>1948789</v>
      </c>
      <c r="G41" s="1000">
        <v>21570949700</v>
      </c>
      <c r="H41" s="999" t="s">
        <v>974</v>
      </c>
      <c r="I41" s="999" t="s">
        <v>897</v>
      </c>
      <c r="J41" s="1001">
        <v>41047</v>
      </c>
      <c r="K41" s="1001">
        <v>45835</v>
      </c>
      <c r="L41" s="1000">
        <f t="shared" si="6"/>
        <v>157</v>
      </c>
      <c r="M41" s="1002">
        <f t="shared" si="7"/>
        <v>13.083333333333334</v>
      </c>
      <c r="N41" s="1000">
        <v>13</v>
      </c>
      <c r="O41" s="1000">
        <v>13</v>
      </c>
      <c r="P41" s="1000">
        <v>43</v>
      </c>
      <c r="Q41" s="999" t="s">
        <v>898</v>
      </c>
      <c r="R41" s="999" t="s">
        <v>899</v>
      </c>
      <c r="S41" s="999" t="s">
        <v>900</v>
      </c>
      <c r="T41" s="999" t="s">
        <v>975</v>
      </c>
      <c r="U41" s="1000" t="s">
        <v>55</v>
      </c>
      <c r="V41" s="1000" t="s">
        <v>914</v>
      </c>
      <c r="W41" s="1003">
        <v>17702</v>
      </c>
      <c r="X41" s="1000" t="s">
        <v>903</v>
      </c>
      <c r="Y41" s="1000">
        <v>76</v>
      </c>
      <c r="Z41" s="1000" t="s">
        <v>904</v>
      </c>
      <c r="AA41" s="1000" t="s">
        <v>905</v>
      </c>
      <c r="AB41" s="1000" t="s">
        <v>911</v>
      </c>
      <c r="AC41" s="1000" t="s">
        <v>907</v>
      </c>
      <c r="AD41" s="1004">
        <v>5333.97</v>
      </c>
      <c r="AE41" s="1004">
        <f t="shared" si="8"/>
        <v>69786.107500000013</v>
      </c>
      <c r="AF41" s="1004">
        <f t="shared" si="9"/>
        <v>69786.107500000013</v>
      </c>
      <c r="AG41" s="1005">
        <f t="shared" si="11"/>
        <v>13.083333333333336</v>
      </c>
      <c r="AH41" s="1005">
        <f t="shared" si="10"/>
        <v>11.017751504980291</v>
      </c>
    </row>
    <row r="42" spans="1:34" x14ac:dyDescent="0.25">
      <c r="A42" s="999">
        <v>32396</v>
      </c>
      <c r="B42" s="999" t="s">
        <v>933</v>
      </c>
      <c r="C42" s="999" t="s">
        <v>934</v>
      </c>
      <c r="D42" s="999" t="s">
        <v>935</v>
      </c>
      <c r="E42" s="999" t="s">
        <v>895</v>
      </c>
      <c r="F42" s="999">
        <v>1888970</v>
      </c>
      <c r="G42" s="1000">
        <v>17644178600</v>
      </c>
      <c r="H42" s="999" t="s">
        <v>976</v>
      </c>
      <c r="I42" s="999" t="s">
        <v>897</v>
      </c>
      <c r="J42" s="1001">
        <v>40784</v>
      </c>
      <c r="K42" s="1001">
        <v>45835</v>
      </c>
      <c r="L42" s="1000">
        <f t="shared" si="6"/>
        <v>165</v>
      </c>
      <c r="M42" s="1002">
        <f t="shared" si="7"/>
        <v>13.75</v>
      </c>
      <c r="N42" s="1000">
        <v>13</v>
      </c>
      <c r="O42" s="1000">
        <v>13</v>
      </c>
      <c r="P42" s="1000">
        <v>43</v>
      </c>
      <c r="Q42" s="999" t="s">
        <v>898</v>
      </c>
      <c r="R42" s="999" t="s">
        <v>899</v>
      </c>
      <c r="S42" s="999" t="s">
        <v>900</v>
      </c>
      <c r="T42" s="999" t="s">
        <v>977</v>
      </c>
      <c r="U42" s="1000"/>
      <c r="V42" s="1000" t="s">
        <v>914</v>
      </c>
      <c r="W42" s="1003">
        <v>17774</v>
      </c>
      <c r="X42" s="1000" t="s">
        <v>903</v>
      </c>
      <c r="Y42" s="1000">
        <v>76</v>
      </c>
      <c r="Z42" s="1000" t="s">
        <v>904</v>
      </c>
      <c r="AA42" s="1000" t="s">
        <v>905</v>
      </c>
      <c r="AB42" s="1000" t="s">
        <v>938</v>
      </c>
      <c r="AC42" s="1000" t="s">
        <v>907</v>
      </c>
      <c r="AD42" s="1004">
        <v>3813.57</v>
      </c>
      <c r="AE42" s="1004">
        <f t="shared" si="8"/>
        <v>52436.587500000001</v>
      </c>
      <c r="AF42" s="1004">
        <f t="shared" si="9"/>
        <v>52436.587500000001</v>
      </c>
      <c r="AG42" s="1005">
        <f t="shared" si="11"/>
        <v>13.75</v>
      </c>
      <c r="AH42" s="1005">
        <f t="shared" si="10"/>
        <v>10.893492252112258</v>
      </c>
    </row>
    <row r="43" spans="1:34" x14ac:dyDescent="0.25">
      <c r="A43" s="999">
        <v>32396</v>
      </c>
      <c r="B43" s="999" t="s">
        <v>933</v>
      </c>
      <c r="C43" s="999" t="s">
        <v>934</v>
      </c>
      <c r="D43" s="999" t="s">
        <v>935</v>
      </c>
      <c r="E43" s="999" t="s">
        <v>895</v>
      </c>
      <c r="F43" s="999">
        <v>1882734</v>
      </c>
      <c r="G43" s="1000">
        <v>25207911791</v>
      </c>
      <c r="H43" s="999" t="s">
        <v>978</v>
      </c>
      <c r="I43" s="999" t="s">
        <v>897</v>
      </c>
      <c r="J43" s="1001">
        <v>40746</v>
      </c>
      <c r="K43" s="1001">
        <v>45835</v>
      </c>
      <c r="L43" s="1000">
        <f t="shared" si="6"/>
        <v>167</v>
      </c>
      <c r="M43" s="1002">
        <f t="shared" si="7"/>
        <v>13.916666666666666</v>
      </c>
      <c r="N43" s="1000">
        <v>13</v>
      </c>
      <c r="O43" s="1000">
        <v>13</v>
      </c>
      <c r="P43" s="1000">
        <v>43</v>
      </c>
      <c r="Q43" s="999" t="s">
        <v>898</v>
      </c>
      <c r="R43" s="999" t="s">
        <v>899</v>
      </c>
      <c r="S43" s="999" t="s">
        <v>900</v>
      </c>
      <c r="T43" s="999" t="s">
        <v>979</v>
      </c>
      <c r="U43" s="1000" t="s">
        <v>55</v>
      </c>
      <c r="V43" s="1000" t="s">
        <v>914</v>
      </c>
      <c r="W43" s="1003">
        <v>18260</v>
      </c>
      <c r="X43" s="1000" t="s">
        <v>903</v>
      </c>
      <c r="Y43" s="1000">
        <v>75</v>
      </c>
      <c r="Z43" s="1000" t="s">
        <v>904</v>
      </c>
      <c r="AA43" s="1000" t="s">
        <v>905</v>
      </c>
      <c r="AB43" s="1000" t="s">
        <v>911</v>
      </c>
      <c r="AC43" s="1000" t="s">
        <v>907</v>
      </c>
      <c r="AD43" s="1004">
        <v>5333.97</v>
      </c>
      <c r="AE43" s="1004">
        <f t="shared" si="8"/>
        <v>74231.082500000004</v>
      </c>
      <c r="AF43" s="1004">
        <f t="shared" si="9"/>
        <v>74231.082500000004</v>
      </c>
      <c r="AG43" s="1005">
        <f t="shared" si="11"/>
        <v>13.916666666666666</v>
      </c>
      <c r="AH43" s="1005">
        <f t="shared" si="10"/>
        <v>11.719519116762473</v>
      </c>
    </row>
    <row r="44" spans="1:34" x14ac:dyDescent="0.25">
      <c r="A44" s="999">
        <v>32396</v>
      </c>
      <c r="B44" s="999" t="s">
        <v>933</v>
      </c>
      <c r="C44" s="999" t="s">
        <v>934</v>
      </c>
      <c r="D44" s="999" t="s">
        <v>935</v>
      </c>
      <c r="E44" s="999" t="s">
        <v>895</v>
      </c>
      <c r="F44" s="999">
        <v>1974232</v>
      </c>
      <c r="G44" s="1000">
        <v>1658484649</v>
      </c>
      <c r="H44" s="999" t="s">
        <v>980</v>
      </c>
      <c r="I44" s="999" t="s">
        <v>897</v>
      </c>
      <c r="J44" s="1001">
        <v>41187</v>
      </c>
      <c r="K44" s="1001">
        <v>45835</v>
      </c>
      <c r="L44" s="1000">
        <f t="shared" si="6"/>
        <v>152</v>
      </c>
      <c r="M44" s="1002">
        <f t="shared" si="7"/>
        <v>12.666666666666666</v>
      </c>
      <c r="N44" s="1000">
        <v>12</v>
      </c>
      <c r="O44" s="1000">
        <v>12</v>
      </c>
      <c r="P44" s="1000">
        <v>43</v>
      </c>
      <c r="Q44" s="999" t="s">
        <v>898</v>
      </c>
      <c r="R44" s="999" t="s">
        <v>899</v>
      </c>
      <c r="S44" s="999" t="s">
        <v>900</v>
      </c>
      <c r="T44" s="999" t="s">
        <v>940</v>
      </c>
      <c r="U44" s="1000" t="s">
        <v>54</v>
      </c>
      <c r="V44" s="1000" t="s">
        <v>914</v>
      </c>
      <c r="W44" s="1003">
        <v>15201</v>
      </c>
      <c r="X44" s="1000" t="s">
        <v>903</v>
      </c>
      <c r="Y44" s="1000">
        <v>83</v>
      </c>
      <c r="Z44" s="1000" t="s">
        <v>904</v>
      </c>
      <c r="AA44" s="1000" t="s">
        <v>905</v>
      </c>
      <c r="AB44" s="1000" t="s">
        <v>925</v>
      </c>
      <c r="AC44" s="1000" t="s">
        <v>907</v>
      </c>
      <c r="AD44" s="1004">
        <v>10126.049999999999</v>
      </c>
      <c r="AE44" s="1004">
        <f t="shared" si="8"/>
        <v>128263.29999999999</v>
      </c>
      <c r="AF44" s="1004">
        <f t="shared" si="9"/>
        <v>128263.29999999999</v>
      </c>
      <c r="AG44" s="1005">
        <f t="shared" si="11"/>
        <v>12.666666666666666</v>
      </c>
      <c r="AH44" s="1005">
        <f t="shared" si="10"/>
        <v>11.528197338678147</v>
      </c>
    </row>
    <row r="45" spans="1:34" x14ac:dyDescent="0.25">
      <c r="A45" s="999">
        <v>32396</v>
      </c>
      <c r="B45" s="999" t="s">
        <v>933</v>
      </c>
      <c r="C45" s="999" t="s">
        <v>934</v>
      </c>
      <c r="D45" s="999" t="s">
        <v>935</v>
      </c>
      <c r="E45" s="999" t="s">
        <v>895</v>
      </c>
      <c r="F45" s="999">
        <v>1951373</v>
      </c>
      <c r="G45" s="1000">
        <v>42099412715</v>
      </c>
      <c r="H45" s="999" t="s">
        <v>981</v>
      </c>
      <c r="I45" s="999" t="s">
        <v>897</v>
      </c>
      <c r="J45" s="1001">
        <v>41060</v>
      </c>
      <c r="K45" s="1001">
        <v>45835</v>
      </c>
      <c r="L45" s="1000">
        <f t="shared" si="6"/>
        <v>156</v>
      </c>
      <c r="M45" s="1002">
        <f t="shared" si="7"/>
        <v>13</v>
      </c>
      <c r="N45" s="1000">
        <v>13</v>
      </c>
      <c r="O45" s="1000">
        <v>13</v>
      </c>
      <c r="P45" s="1000">
        <v>43</v>
      </c>
      <c r="Q45" s="999" t="s">
        <v>898</v>
      </c>
      <c r="R45" s="999" t="s">
        <v>899</v>
      </c>
      <c r="S45" s="999" t="s">
        <v>900</v>
      </c>
      <c r="T45" s="999" t="s">
        <v>982</v>
      </c>
      <c r="U45" s="1000" t="s">
        <v>54</v>
      </c>
      <c r="V45" s="1000" t="s">
        <v>914</v>
      </c>
      <c r="W45" s="1003">
        <v>17645</v>
      </c>
      <c r="X45" s="1000" t="s">
        <v>903</v>
      </c>
      <c r="Y45" s="1000">
        <v>76</v>
      </c>
      <c r="Z45" s="1000" t="s">
        <v>904</v>
      </c>
      <c r="AA45" s="1000" t="s">
        <v>905</v>
      </c>
      <c r="AB45" s="1000" t="s">
        <v>925</v>
      </c>
      <c r="AC45" s="1000" t="s">
        <v>907</v>
      </c>
      <c r="AD45" s="1004">
        <v>13995.45</v>
      </c>
      <c r="AE45" s="1004">
        <f t="shared" si="8"/>
        <v>181940.85</v>
      </c>
      <c r="AF45" s="1004">
        <f t="shared" si="9"/>
        <v>181940.85</v>
      </c>
      <c r="AG45" s="1005">
        <f t="shared" si="11"/>
        <v>13</v>
      </c>
      <c r="AH45" s="1005">
        <f t="shared" si="10"/>
        <v>12.133070364677286</v>
      </c>
    </row>
    <row r="46" spans="1:34" x14ac:dyDescent="0.25">
      <c r="A46" s="999">
        <v>32396</v>
      </c>
      <c r="B46" s="999" t="s">
        <v>933</v>
      </c>
      <c r="C46" s="999" t="s">
        <v>934</v>
      </c>
      <c r="D46" s="999" t="s">
        <v>935</v>
      </c>
      <c r="E46" s="999" t="s">
        <v>895</v>
      </c>
      <c r="F46" s="999">
        <v>1882729</v>
      </c>
      <c r="G46" s="1000">
        <v>13039563653</v>
      </c>
      <c r="H46" s="999" t="s">
        <v>983</v>
      </c>
      <c r="I46" s="999" t="s">
        <v>897</v>
      </c>
      <c r="J46" s="1001">
        <v>40745</v>
      </c>
      <c r="K46" s="1001">
        <v>45835</v>
      </c>
      <c r="L46" s="1000">
        <f t="shared" si="6"/>
        <v>167</v>
      </c>
      <c r="M46" s="1002">
        <f t="shared" si="7"/>
        <v>13.916666666666666</v>
      </c>
      <c r="N46" s="1000">
        <v>13</v>
      </c>
      <c r="O46" s="1000">
        <v>13</v>
      </c>
      <c r="P46" s="1000">
        <v>43</v>
      </c>
      <c r="Q46" s="999" t="s">
        <v>898</v>
      </c>
      <c r="R46" s="999" t="s">
        <v>899</v>
      </c>
      <c r="S46" s="999" t="s">
        <v>900</v>
      </c>
      <c r="T46" s="999" t="s">
        <v>984</v>
      </c>
      <c r="U46" s="1000"/>
      <c r="V46" s="1000" t="s">
        <v>914</v>
      </c>
      <c r="W46" s="1003">
        <v>17399</v>
      </c>
      <c r="X46" s="1000" t="s">
        <v>903</v>
      </c>
      <c r="Y46" s="1000">
        <v>77</v>
      </c>
      <c r="Z46" s="1000" t="s">
        <v>904</v>
      </c>
      <c r="AA46" s="1000" t="s">
        <v>905</v>
      </c>
      <c r="AB46" s="1000" t="s">
        <v>938</v>
      </c>
      <c r="AC46" s="1000" t="s">
        <v>907</v>
      </c>
      <c r="AD46" s="1004">
        <v>3813.57</v>
      </c>
      <c r="AE46" s="1004">
        <f t="shared" si="8"/>
        <v>53072.182500000003</v>
      </c>
      <c r="AF46" s="1004">
        <f t="shared" si="9"/>
        <v>53072.182500000003</v>
      </c>
      <c r="AG46" s="1005">
        <f t="shared" si="11"/>
        <v>13.916666666666666</v>
      </c>
      <c r="AH46" s="1005">
        <f t="shared" si="10"/>
        <v>11.025534582440892</v>
      </c>
    </row>
    <row r="47" spans="1:34" x14ac:dyDescent="0.25">
      <c r="A47" s="999">
        <v>32396</v>
      </c>
      <c r="B47" s="999" t="s">
        <v>933</v>
      </c>
      <c r="C47" s="999" t="s">
        <v>934</v>
      </c>
      <c r="D47" s="999" t="s">
        <v>935</v>
      </c>
      <c r="E47" s="999" t="s">
        <v>895</v>
      </c>
      <c r="F47" s="999">
        <v>1233888</v>
      </c>
      <c r="G47" s="1000">
        <v>1652184600</v>
      </c>
      <c r="H47" s="999" t="s">
        <v>985</v>
      </c>
      <c r="I47" s="999" t="s">
        <v>897</v>
      </c>
      <c r="J47" s="1001">
        <v>42165</v>
      </c>
      <c r="K47" s="1001">
        <v>45835</v>
      </c>
      <c r="L47" s="1000">
        <f t="shared" si="6"/>
        <v>120</v>
      </c>
      <c r="M47" s="1002">
        <f t="shared" si="7"/>
        <v>10</v>
      </c>
      <c r="N47" s="1000">
        <v>10</v>
      </c>
      <c r="O47" s="1000">
        <v>10</v>
      </c>
      <c r="P47" s="1000">
        <v>43</v>
      </c>
      <c r="Q47" s="999" t="s">
        <v>898</v>
      </c>
      <c r="R47" s="999" t="s">
        <v>899</v>
      </c>
      <c r="S47" s="999" t="s">
        <v>900</v>
      </c>
      <c r="T47" s="999" t="s">
        <v>986</v>
      </c>
      <c r="U47" s="1000"/>
      <c r="V47" s="1000" t="s">
        <v>914</v>
      </c>
      <c r="W47" s="1003">
        <v>16892</v>
      </c>
      <c r="X47" s="1000" t="s">
        <v>903</v>
      </c>
      <c r="Y47" s="1000">
        <v>79</v>
      </c>
      <c r="Z47" s="1000" t="s">
        <v>904</v>
      </c>
      <c r="AA47" s="1000" t="s">
        <v>905</v>
      </c>
      <c r="AB47" s="1000" t="s">
        <v>938</v>
      </c>
      <c r="AC47" s="1000" t="s">
        <v>907</v>
      </c>
      <c r="AD47" s="1004">
        <v>3813.57</v>
      </c>
      <c r="AE47" s="1004">
        <f t="shared" si="8"/>
        <v>38135.700000000004</v>
      </c>
      <c r="AF47" s="1004">
        <f t="shared" si="9"/>
        <v>38135.700000000004</v>
      </c>
      <c r="AG47" s="1005">
        <f t="shared" si="11"/>
        <v>10</v>
      </c>
      <c r="AH47" s="1005">
        <f t="shared" si="10"/>
        <v>7.9225398197180068</v>
      </c>
    </row>
    <row r="48" spans="1:34" x14ac:dyDescent="0.25">
      <c r="A48" s="999">
        <v>32396</v>
      </c>
      <c r="B48" s="999" t="s">
        <v>933</v>
      </c>
      <c r="C48" s="999" t="s">
        <v>934</v>
      </c>
      <c r="D48" s="999" t="s">
        <v>935</v>
      </c>
      <c r="E48" s="999" t="s">
        <v>895</v>
      </c>
      <c r="F48" s="999">
        <v>1911934</v>
      </c>
      <c r="G48" s="1000">
        <v>31802257772</v>
      </c>
      <c r="H48" s="999" t="s">
        <v>987</v>
      </c>
      <c r="I48" s="999" t="s">
        <v>897</v>
      </c>
      <c r="J48" s="1001">
        <v>40928</v>
      </c>
      <c r="K48" s="1001">
        <v>45835</v>
      </c>
      <c r="L48" s="1000">
        <f t="shared" si="6"/>
        <v>161</v>
      </c>
      <c r="M48" s="1002">
        <f t="shared" si="7"/>
        <v>13.416666666666666</v>
      </c>
      <c r="N48" s="1000">
        <v>13</v>
      </c>
      <c r="O48" s="1000">
        <v>13</v>
      </c>
      <c r="P48" s="1000">
        <v>43</v>
      </c>
      <c r="Q48" s="999" t="s">
        <v>898</v>
      </c>
      <c r="R48" s="999" t="s">
        <v>899</v>
      </c>
      <c r="S48" s="999" t="s">
        <v>900</v>
      </c>
      <c r="T48" s="999" t="s">
        <v>959</v>
      </c>
      <c r="U48" s="1000"/>
      <c r="V48" s="1000" t="s">
        <v>910</v>
      </c>
      <c r="W48" s="1003">
        <v>17486</v>
      </c>
      <c r="X48" s="1000" t="s">
        <v>903</v>
      </c>
      <c r="Y48" s="1000">
        <v>77</v>
      </c>
      <c r="Z48" s="1000" t="s">
        <v>904</v>
      </c>
      <c r="AA48" s="1000" t="s">
        <v>905</v>
      </c>
      <c r="AB48" s="1000" t="s">
        <v>938</v>
      </c>
      <c r="AC48" s="1000" t="s">
        <v>907</v>
      </c>
      <c r="AD48" s="1004">
        <v>3813.57</v>
      </c>
      <c r="AE48" s="1004">
        <f t="shared" si="8"/>
        <v>51165.397499999999</v>
      </c>
      <c r="AF48" s="1004">
        <f t="shared" si="9"/>
        <v>51165.397499999999</v>
      </c>
      <c r="AG48" s="1005">
        <f t="shared" si="11"/>
        <v>13.416666666666666</v>
      </c>
      <c r="AH48" s="1005">
        <f t="shared" si="10"/>
        <v>10.62940759145499</v>
      </c>
    </row>
    <row r="49" spans="1:34" x14ac:dyDescent="0.25">
      <c r="A49" s="999">
        <v>32396</v>
      </c>
      <c r="B49" s="999" t="s">
        <v>933</v>
      </c>
      <c r="C49" s="999" t="s">
        <v>934</v>
      </c>
      <c r="D49" s="999" t="s">
        <v>935</v>
      </c>
      <c r="E49" s="999" t="s">
        <v>895</v>
      </c>
      <c r="F49" s="999">
        <v>1841612</v>
      </c>
      <c r="G49" s="1000">
        <v>28485122704</v>
      </c>
      <c r="H49" s="999" t="s">
        <v>988</v>
      </c>
      <c r="I49" s="999" t="s">
        <v>897</v>
      </c>
      <c r="J49" s="1001">
        <v>40575</v>
      </c>
      <c r="K49" s="1001">
        <v>45835</v>
      </c>
      <c r="L49" s="1000">
        <f t="shared" si="6"/>
        <v>172</v>
      </c>
      <c r="M49" s="1002">
        <f t="shared" si="7"/>
        <v>14.333333333333334</v>
      </c>
      <c r="N49" s="1000">
        <v>14</v>
      </c>
      <c r="O49" s="1000">
        <v>14</v>
      </c>
      <c r="P49" s="1000">
        <v>43</v>
      </c>
      <c r="Q49" s="999" t="s">
        <v>898</v>
      </c>
      <c r="R49" s="999" t="s">
        <v>899</v>
      </c>
      <c r="S49" s="999" t="s">
        <v>900</v>
      </c>
      <c r="T49" s="999" t="s">
        <v>989</v>
      </c>
      <c r="U49" s="1000" t="s">
        <v>54</v>
      </c>
      <c r="V49" s="1000" t="s">
        <v>914</v>
      </c>
      <c r="W49" s="1003">
        <v>18288</v>
      </c>
      <c r="X49" s="1000" t="s">
        <v>903</v>
      </c>
      <c r="Y49" s="1000">
        <v>75</v>
      </c>
      <c r="Z49" s="1000" t="s">
        <v>904</v>
      </c>
      <c r="AA49" s="1000" t="s">
        <v>905</v>
      </c>
      <c r="AB49" s="1000" t="s">
        <v>925</v>
      </c>
      <c r="AC49" s="1000" t="s">
        <v>907</v>
      </c>
      <c r="AD49" s="1004">
        <v>10126.049999999999</v>
      </c>
      <c r="AE49" s="1004">
        <f t="shared" si="8"/>
        <v>145140.04999999999</v>
      </c>
      <c r="AF49" s="1004">
        <f t="shared" si="9"/>
        <v>145140.04999999999</v>
      </c>
      <c r="AG49" s="1005">
        <f t="shared" si="11"/>
        <v>14.333333333333334</v>
      </c>
      <c r="AH49" s="1005">
        <f t="shared" si="10"/>
        <v>13.04506540955685</v>
      </c>
    </row>
    <row r="50" spans="1:34" x14ac:dyDescent="0.25">
      <c r="A50" s="999">
        <v>32396</v>
      </c>
      <c r="B50" s="999" t="s">
        <v>933</v>
      </c>
      <c r="C50" s="999" t="s">
        <v>934</v>
      </c>
      <c r="D50" s="999" t="s">
        <v>935</v>
      </c>
      <c r="E50" s="999" t="s">
        <v>895</v>
      </c>
      <c r="F50" s="999">
        <v>1846239</v>
      </c>
      <c r="G50" s="1000">
        <v>25217267704</v>
      </c>
      <c r="H50" s="999" t="s">
        <v>990</v>
      </c>
      <c r="I50" s="999" t="s">
        <v>897</v>
      </c>
      <c r="J50" s="1001">
        <v>40571</v>
      </c>
      <c r="K50" s="1001">
        <v>45835</v>
      </c>
      <c r="L50" s="1000">
        <f t="shared" ref="L50:L81" si="12">DATEDIF(J50,K50, "m")</f>
        <v>172</v>
      </c>
      <c r="M50" s="1002">
        <f t="shared" ref="M50:M81" si="13">L50/12</f>
        <v>14.333333333333334</v>
      </c>
      <c r="N50" s="1000">
        <v>14</v>
      </c>
      <c r="O50" s="1000">
        <v>14</v>
      </c>
      <c r="P50" s="1000">
        <v>43</v>
      </c>
      <c r="Q50" s="999" t="s">
        <v>898</v>
      </c>
      <c r="R50" s="999" t="s">
        <v>899</v>
      </c>
      <c r="S50" s="999" t="s">
        <v>900</v>
      </c>
      <c r="T50" s="999" t="s">
        <v>991</v>
      </c>
      <c r="U50" s="1000" t="s">
        <v>55</v>
      </c>
      <c r="V50" s="1000" t="s">
        <v>914</v>
      </c>
      <c r="W50" s="1003">
        <v>17963</v>
      </c>
      <c r="X50" s="1000" t="s">
        <v>903</v>
      </c>
      <c r="Y50" s="1000">
        <v>76</v>
      </c>
      <c r="Z50" s="1000" t="s">
        <v>904</v>
      </c>
      <c r="AA50" s="1000" t="s">
        <v>905</v>
      </c>
      <c r="AB50" s="1000" t="s">
        <v>911</v>
      </c>
      <c r="AC50" s="1000" t="s">
        <v>907</v>
      </c>
      <c r="AD50" s="1004">
        <v>5333.97</v>
      </c>
      <c r="AE50" s="1004">
        <f t="shared" ref="AE50:AE81" si="14">AD50*M50</f>
        <v>76453.570000000007</v>
      </c>
      <c r="AF50" s="1004">
        <f t="shared" ref="AF50:AF81" si="15">AE50</f>
        <v>76453.570000000007</v>
      </c>
      <c r="AG50" s="1005">
        <f t="shared" si="11"/>
        <v>14.333333333333334</v>
      </c>
      <c r="AH50" s="1005">
        <f t="shared" ref="AH50:AH72" si="16">AF50/(AD50+1000)</f>
        <v>12.070402922653566</v>
      </c>
    </row>
    <row r="51" spans="1:34" x14ac:dyDescent="0.25">
      <c r="A51" s="999">
        <v>32396</v>
      </c>
      <c r="B51" s="999" t="s">
        <v>933</v>
      </c>
      <c r="C51" s="999" t="s">
        <v>934</v>
      </c>
      <c r="D51" s="999" t="s">
        <v>935</v>
      </c>
      <c r="E51" s="999" t="s">
        <v>895</v>
      </c>
      <c r="F51" s="999">
        <v>1842747</v>
      </c>
      <c r="G51" s="1000">
        <v>46503501749</v>
      </c>
      <c r="H51" s="999" t="s">
        <v>992</v>
      </c>
      <c r="I51" s="999" t="s">
        <v>897</v>
      </c>
      <c r="J51" s="1001">
        <v>40571</v>
      </c>
      <c r="K51" s="1001">
        <v>45835</v>
      </c>
      <c r="L51" s="1000">
        <f t="shared" si="12"/>
        <v>172</v>
      </c>
      <c r="M51" s="1002">
        <f t="shared" si="13"/>
        <v>14.333333333333334</v>
      </c>
      <c r="N51" s="1000">
        <v>14</v>
      </c>
      <c r="O51" s="1000">
        <v>14</v>
      </c>
      <c r="P51" s="1000">
        <v>43</v>
      </c>
      <c r="Q51" s="999" t="s">
        <v>898</v>
      </c>
      <c r="R51" s="999" t="s">
        <v>899</v>
      </c>
      <c r="S51" s="999" t="s">
        <v>900</v>
      </c>
      <c r="T51" s="999" t="s">
        <v>968</v>
      </c>
      <c r="U51" s="1000" t="s">
        <v>55</v>
      </c>
      <c r="V51" s="1000" t="s">
        <v>914</v>
      </c>
      <c r="W51" s="1003">
        <v>17338</v>
      </c>
      <c r="X51" s="1000" t="s">
        <v>930</v>
      </c>
      <c r="Y51" s="1000">
        <v>77</v>
      </c>
      <c r="Z51" s="1000" t="s">
        <v>904</v>
      </c>
      <c r="AA51" s="1000" t="s">
        <v>905</v>
      </c>
      <c r="AB51" s="1000" t="s">
        <v>911</v>
      </c>
      <c r="AC51" s="1000" t="s">
        <v>907</v>
      </c>
      <c r="AD51" s="1004">
        <v>5333.97</v>
      </c>
      <c r="AE51" s="1004">
        <f t="shared" si="14"/>
        <v>76453.570000000007</v>
      </c>
      <c r="AF51" s="1004">
        <f t="shared" si="15"/>
        <v>76453.570000000007</v>
      </c>
      <c r="AG51" s="1005">
        <f t="shared" si="11"/>
        <v>14.333333333333334</v>
      </c>
      <c r="AH51" s="1005">
        <f t="shared" si="16"/>
        <v>12.070402922653566</v>
      </c>
    </row>
    <row r="52" spans="1:34" x14ac:dyDescent="0.25">
      <c r="A52" s="999">
        <v>32396</v>
      </c>
      <c r="B52" s="999" t="s">
        <v>933</v>
      </c>
      <c r="C52" s="999" t="s">
        <v>934</v>
      </c>
      <c r="D52" s="999" t="s">
        <v>935</v>
      </c>
      <c r="E52" s="999" t="s">
        <v>895</v>
      </c>
      <c r="F52" s="999">
        <v>1901681</v>
      </c>
      <c r="G52" s="1000">
        <v>21401470734</v>
      </c>
      <c r="H52" s="999" t="s">
        <v>993</v>
      </c>
      <c r="I52" s="999" t="s">
        <v>897</v>
      </c>
      <c r="J52" s="1001">
        <v>40863</v>
      </c>
      <c r="K52" s="1001">
        <v>45835</v>
      </c>
      <c r="L52" s="1000">
        <f t="shared" si="12"/>
        <v>163</v>
      </c>
      <c r="M52" s="1002">
        <f t="shared" si="13"/>
        <v>13.583333333333334</v>
      </c>
      <c r="N52" s="1000">
        <v>13</v>
      </c>
      <c r="O52" s="1000">
        <v>13</v>
      </c>
      <c r="P52" s="1000">
        <v>43</v>
      </c>
      <c r="Q52" s="999" t="s">
        <v>898</v>
      </c>
      <c r="R52" s="999" t="s">
        <v>899</v>
      </c>
      <c r="S52" s="999" t="s">
        <v>900</v>
      </c>
      <c r="T52" s="999" t="s">
        <v>994</v>
      </c>
      <c r="U52" s="1000"/>
      <c r="V52" s="1000" t="s">
        <v>914</v>
      </c>
      <c r="W52" s="1003">
        <v>17946</v>
      </c>
      <c r="X52" s="1000" t="s">
        <v>903</v>
      </c>
      <c r="Y52" s="1000">
        <v>76</v>
      </c>
      <c r="Z52" s="1000" t="s">
        <v>904</v>
      </c>
      <c r="AA52" s="1000" t="s">
        <v>905</v>
      </c>
      <c r="AB52" s="1000" t="s">
        <v>938</v>
      </c>
      <c r="AC52" s="1000" t="s">
        <v>907</v>
      </c>
      <c r="AD52" s="1004">
        <v>3813.57</v>
      </c>
      <c r="AE52" s="1004">
        <f t="shared" si="14"/>
        <v>51800.992500000008</v>
      </c>
      <c r="AF52" s="1004">
        <f t="shared" si="15"/>
        <v>51800.992500000008</v>
      </c>
      <c r="AG52" s="1005">
        <f t="shared" si="11"/>
        <v>13.583333333333334</v>
      </c>
      <c r="AH52" s="1005">
        <f t="shared" si="16"/>
        <v>10.761449921783626</v>
      </c>
    </row>
    <row r="53" spans="1:34" x14ac:dyDescent="0.25">
      <c r="A53" s="999">
        <v>32396</v>
      </c>
      <c r="B53" s="999" t="s">
        <v>933</v>
      </c>
      <c r="C53" s="999" t="s">
        <v>934</v>
      </c>
      <c r="D53" s="999" t="s">
        <v>935</v>
      </c>
      <c r="E53" s="999" t="s">
        <v>895</v>
      </c>
      <c r="F53" s="999">
        <v>1892051</v>
      </c>
      <c r="G53" s="1000">
        <v>25184229787</v>
      </c>
      <c r="H53" s="999" t="s">
        <v>995</v>
      </c>
      <c r="I53" s="999" t="s">
        <v>897</v>
      </c>
      <c r="J53" s="1001">
        <v>40805</v>
      </c>
      <c r="K53" s="1001">
        <v>45835</v>
      </c>
      <c r="L53" s="1000">
        <f t="shared" si="12"/>
        <v>165</v>
      </c>
      <c r="M53" s="1002">
        <f t="shared" si="13"/>
        <v>13.75</v>
      </c>
      <c r="N53" s="1000">
        <v>13</v>
      </c>
      <c r="O53" s="1000">
        <v>13</v>
      </c>
      <c r="P53" s="1000">
        <v>43</v>
      </c>
      <c r="Q53" s="999" t="s">
        <v>898</v>
      </c>
      <c r="R53" s="999" t="s">
        <v>899</v>
      </c>
      <c r="S53" s="999" t="s">
        <v>900</v>
      </c>
      <c r="T53" s="999" t="s">
        <v>996</v>
      </c>
      <c r="U53" s="1000"/>
      <c r="V53" s="1000" t="s">
        <v>914</v>
      </c>
      <c r="W53" s="1003">
        <v>17904</v>
      </c>
      <c r="X53" s="1000" t="s">
        <v>903</v>
      </c>
      <c r="Y53" s="1000">
        <v>76</v>
      </c>
      <c r="Z53" s="1000" t="s">
        <v>904</v>
      </c>
      <c r="AA53" s="1000" t="s">
        <v>905</v>
      </c>
      <c r="AB53" s="1000" t="s">
        <v>938</v>
      </c>
      <c r="AC53" s="1000" t="s">
        <v>907</v>
      </c>
      <c r="AD53" s="1004">
        <v>3813.57</v>
      </c>
      <c r="AE53" s="1004">
        <f t="shared" si="14"/>
        <v>52436.587500000001</v>
      </c>
      <c r="AF53" s="1004">
        <f t="shared" si="15"/>
        <v>52436.587500000001</v>
      </c>
      <c r="AG53" s="1005">
        <f t="shared" si="11"/>
        <v>13.75</v>
      </c>
      <c r="AH53" s="1005">
        <f t="shared" si="16"/>
        <v>10.893492252112258</v>
      </c>
    </row>
    <row r="54" spans="1:34" x14ac:dyDescent="0.25">
      <c r="A54" s="999">
        <v>32396</v>
      </c>
      <c r="B54" s="999" t="s">
        <v>933</v>
      </c>
      <c r="C54" s="999" t="s">
        <v>934</v>
      </c>
      <c r="D54" s="999" t="s">
        <v>935</v>
      </c>
      <c r="E54" s="999" t="s">
        <v>895</v>
      </c>
      <c r="F54" s="999">
        <v>1901808</v>
      </c>
      <c r="G54" s="1000">
        <v>36112909715</v>
      </c>
      <c r="H54" s="999" t="s">
        <v>997</v>
      </c>
      <c r="I54" s="999" t="s">
        <v>897</v>
      </c>
      <c r="J54" s="1001">
        <v>40863</v>
      </c>
      <c r="K54" s="1001">
        <v>45835</v>
      </c>
      <c r="L54" s="1000">
        <f t="shared" si="12"/>
        <v>163</v>
      </c>
      <c r="M54" s="1002">
        <f t="shared" si="13"/>
        <v>13.583333333333334</v>
      </c>
      <c r="N54" s="1000">
        <v>13</v>
      </c>
      <c r="O54" s="1000">
        <v>13</v>
      </c>
      <c r="P54" s="1000">
        <v>43</v>
      </c>
      <c r="Q54" s="999" t="s">
        <v>898</v>
      </c>
      <c r="R54" s="999" t="s">
        <v>899</v>
      </c>
      <c r="S54" s="999" t="s">
        <v>900</v>
      </c>
      <c r="T54" s="999" t="s">
        <v>968</v>
      </c>
      <c r="U54" s="1000" t="s">
        <v>55</v>
      </c>
      <c r="V54" s="1000" t="s">
        <v>914</v>
      </c>
      <c r="W54" s="1003">
        <v>17653</v>
      </c>
      <c r="X54" s="1000" t="s">
        <v>930</v>
      </c>
      <c r="Y54" s="1000">
        <v>76</v>
      </c>
      <c r="Z54" s="1000" t="s">
        <v>904</v>
      </c>
      <c r="AA54" s="1000" t="s">
        <v>905</v>
      </c>
      <c r="AB54" s="1000" t="s">
        <v>911</v>
      </c>
      <c r="AC54" s="1000" t="s">
        <v>907</v>
      </c>
      <c r="AD54" s="1004">
        <v>5333.97</v>
      </c>
      <c r="AE54" s="1004">
        <f t="shared" si="14"/>
        <v>72453.092500000013</v>
      </c>
      <c r="AF54" s="1004">
        <f t="shared" si="15"/>
        <v>72453.092500000013</v>
      </c>
      <c r="AG54" s="1005">
        <f t="shared" si="11"/>
        <v>13.583333333333336</v>
      </c>
      <c r="AH54" s="1005">
        <f t="shared" si="16"/>
        <v>11.4388120720496</v>
      </c>
    </row>
    <row r="55" spans="1:34" x14ac:dyDescent="0.25">
      <c r="A55" s="999">
        <v>32396</v>
      </c>
      <c r="B55" s="999" t="s">
        <v>933</v>
      </c>
      <c r="C55" s="999" t="s">
        <v>934</v>
      </c>
      <c r="D55" s="999" t="s">
        <v>935</v>
      </c>
      <c r="E55" s="999" t="s">
        <v>895</v>
      </c>
      <c r="F55" s="999">
        <v>1882550</v>
      </c>
      <c r="G55" s="1000">
        <v>24424048772</v>
      </c>
      <c r="H55" s="999" t="s">
        <v>998</v>
      </c>
      <c r="I55" s="999" t="s">
        <v>897</v>
      </c>
      <c r="J55" s="1001">
        <v>40744</v>
      </c>
      <c r="K55" s="1001">
        <v>45835</v>
      </c>
      <c r="L55" s="1000">
        <f t="shared" si="12"/>
        <v>167</v>
      </c>
      <c r="M55" s="1002">
        <f t="shared" si="13"/>
        <v>13.916666666666666</v>
      </c>
      <c r="N55" s="1000">
        <v>13</v>
      </c>
      <c r="O55" s="1000">
        <v>13</v>
      </c>
      <c r="P55" s="1000">
        <v>43</v>
      </c>
      <c r="Q55" s="999" t="s">
        <v>898</v>
      </c>
      <c r="R55" s="999" t="s">
        <v>899</v>
      </c>
      <c r="S55" s="999" t="s">
        <v>900</v>
      </c>
      <c r="T55" s="999" t="s">
        <v>999</v>
      </c>
      <c r="U55" s="1000"/>
      <c r="V55" s="1000" t="s">
        <v>914</v>
      </c>
      <c r="W55" s="1003">
        <v>15180</v>
      </c>
      <c r="X55" s="1000" t="s">
        <v>903</v>
      </c>
      <c r="Y55" s="1000">
        <v>83</v>
      </c>
      <c r="Z55" s="1000" t="s">
        <v>904</v>
      </c>
      <c r="AA55" s="1000" t="s">
        <v>905</v>
      </c>
      <c r="AB55" s="1000" t="s">
        <v>938</v>
      </c>
      <c r="AC55" s="1000" t="s">
        <v>907</v>
      </c>
      <c r="AD55" s="1004">
        <v>3813.57</v>
      </c>
      <c r="AE55" s="1004">
        <f t="shared" si="14"/>
        <v>53072.182500000003</v>
      </c>
      <c r="AF55" s="1004">
        <f t="shared" si="15"/>
        <v>53072.182500000003</v>
      </c>
      <c r="AG55" s="1005">
        <f t="shared" si="11"/>
        <v>13.916666666666666</v>
      </c>
      <c r="AH55" s="1005">
        <f t="shared" si="16"/>
        <v>11.025534582440892</v>
      </c>
    </row>
    <row r="56" spans="1:34" x14ac:dyDescent="0.25">
      <c r="A56" s="999">
        <v>32396</v>
      </c>
      <c r="B56" s="999" t="s">
        <v>933</v>
      </c>
      <c r="C56" s="999" t="s">
        <v>934</v>
      </c>
      <c r="D56" s="999" t="s">
        <v>935</v>
      </c>
      <c r="E56" s="999" t="s">
        <v>895</v>
      </c>
      <c r="F56" s="999">
        <v>1091864</v>
      </c>
      <c r="G56" s="1000">
        <v>20501633634</v>
      </c>
      <c r="H56" s="999" t="s">
        <v>1000</v>
      </c>
      <c r="I56" s="999" t="s">
        <v>897</v>
      </c>
      <c r="J56" s="1001">
        <v>41688</v>
      </c>
      <c r="K56" s="1001">
        <v>45835</v>
      </c>
      <c r="L56" s="1000">
        <f t="shared" si="12"/>
        <v>136</v>
      </c>
      <c r="M56" s="1002">
        <f t="shared" si="13"/>
        <v>11.333333333333334</v>
      </c>
      <c r="N56" s="1000">
        <v>11</v>
      </c>
      <c r="O56" s="1000">
        <v>11</v>
      </c>
      <c r="P56" s="1000">
        <v>43</v>
      </c>
      <c r="Q56" s="999" t="s">
        <v>898</v>
      </c>
      <c r="R56" s="999" t="s">
        <v>899</v>
      </c>
      <c r="S56" s="999" t="s">
        <v>900</v>
      </c>
      <c r="T56" s="999" t="s">
        <v>1001</v>
      </c>
      <c r="U56" s="1000"/>
      <c r="V56" s="1000" t="s">
        <v>914</v>
      </c>
      <c r="W56" s="1003">
        <v>18070</v>
      </c>
      <c r="X56" s="1000" t="s">
        <v>903</v>
      </c>
      <c r="Y56" s="1000">
        <v>75</v>
      </c>
      <c r="Z56" s="1000" t="s">
        <v>904</v>
      </c>
      <c r="AA56" s="1000" t="s">
        <v>905</v>
      </c>
      <c r="AB56" s="1000" t="s">
        <v>938</v>
      </c>
      <c r="AC56" s="1000" t="s">
        <v>907</v>
      </c>
      <c r="AD56" s="1004">
        <v>3813.57</v>
      </c>
      <c r="AE56" s="1004">
        <f t="shared" si="14"/>
        <v>43220.460000000006</v>
      </c>
      <c r="AF56" s="1004">
        <f t="shared" si="15"/>
        <v>43220.460000000006</v>
      </c>
      <c r="AG56" s="1005">
        <f t="shared" si="11"/>
        <v>11.333333333333334</v>
      </c>
      <c r="AH56" s="1005">
        <f t="shared" si="16"/>
        <v>8.9788784623470743</v>
      </c>
    </row>
    <row r="57" spans="1:34" x14ac:dyDescent="0.25">
      <c r="A57" s="999">
        <v>32396</v>
      </c>
      <c r="B57" s="999" t="s">
        <v>933</v>
      </c>
      <c r="C57" s="999" t="s">
        <v>934</v>
      </c>
      <c r="D57" s="999" t="s">
        <v>935</v>
      </c>
      <c r="E57" s="999" t="s">
        <v>895</v>
      </c>
      <c r="F57" s="999">
        <v>1854045</v>
      </c>
      <c r="G57" s="1000">
        <v>22970525615</v>
      </c>
      <c r="H57" s="999" t="s">
        <v>1002</v>
      </c>
      <c r="I57" s="999" t="s">
        <v>897</v>
      </c>
      <c r="J57" s="1001">
        <v>40576</v>
      </c>
      <c r="K57" s="1001">
        <v>45835</v>
      </c>
      <c r="L57" s="1000">
        <f t="shared" si="12"/>
        <v>172</v>
      </c>
      <c r="M57" s="1002">
        <f t="shared" si="13"/>
        <v>14.333333333333334</v>
      </c>
      <c r="N57" s="1000">
        <v>14</v>
      </c>
      <c r="O57" s="1000">
        <v>14</v>
      </c>
      <c r="P57" s="1000">
        <v>43</v>
      </c>
      <c r="Q57" s="999" t="s">
        <v>898</v>
      </c>
      <c r="R57" s="999" t="s">
        <v>899</v>
      </c>
      <c r="S57" s="999" t="s">
        <v>900</v>
      </c>
      <c r="T57" s="999" t="s">
        <v>968</v>
      </c>
      <c r="U57" s="1000"/>
      <c r="V57" s="1000" t="s">
        <v>914</v>
      </c>
      <c r="W57" s="1003">
        <v>18021</v>
      </c>
      <c r="X57" s="1000" t="s">
        <v>930</v>
      </c>
      <c r="Y57" s="1000">
        <v>75</v>
      </c>
      <c r="Z57" s="1000" t="s">
        <v>904</v>
      </c>
      <c r="AA57" s="1000" t="s">
        <v>905</v>
      </c>
      <c r="AB57" s="1000" t="s">
        <v>938</v>
      </c>
      <c r="AC57" s="1000" t="s">
        <v>907</v>
      </c>
      <c r="AD57" s="1004">
        <v>3813.57</v>
      </c>
      <c r="AE57" s="1004">
        <f t="shared" si="14"/>
        <v>54661.170000000006</v>
      </c>
      <c r="AF57" s="1004">
        <f t="shared" si="15"/>
        <v>54661.170000000006</v>
      </c>
      <c r="AG57" s="1005">
        <f t="shared" si="11"/>
        <v>14.333333333333334</v>
      </c>
      <c r="AH57" s="1005">
        <f t="shared" si="16"/>
        <v>11.355640408262477</v>
      </c>
    </row>
    <row r="58" spans="1:34" x14ac:dyDescent="0.25">
      <c r="A58" s="999">
        <v>32396</v>
      </c>
      <c r="B58" s="999" t="s">
        <v>933</v>
      </c>
      <c r="C58" s="999" t="s">
        <v>934</v>
      </c>
      <c r="D58" s="999" t="s">
        <v>935</v>
      </c>
      <c r="E58" s="999" t="s">
        <v>895</v>
      </c>
      <c r="F58" s="999">
        <v>1886932</v>
      </c>
      <c r="G58" s="1000">
        <v>10915958600</v>
      </c>
      <c r="H58" s="999" t="s">
        <v>1003</v>
      </c>
      <c r="I58" s="999" t="s">
        <v>897</v>
      </c>
      <c r="J58" s="1001">
        <v>40758</v>
      </c>
      <c r="K58" s="1001">
        <v>45835</v>
      </c>
      <c r="L58" s="1000">
        <f t="shared" si="12"/>
        <v>166</v>
      </c>
      <c r="M58" s="1002">
        <f t="shared" si="13"/>
        <v>13.833333333333334</v>
      </c>
      <c r="N58" s="1000">
        <v>13</v>
      </c>
      <c r="O58" s="1000">
        <v>13</v>
      </c>
      <c r="P58" s="1000">
        <v>43</v>
      </c>
      <c r="Q58" s="999" t="s">
        <v>898</v>
      </c>
      <c r="R58" s="999" t="s">
        <v>899</v>
      </c>
      <c r="S58" s="999" t="s">
        <v>900</v>
      </c>
      <c r="T58" s="999" t="s">
        <v>1004</v>
      </c>
      <c r="U58" s="1000"/>
      <c r="V58" s="1000" t="s">
        <v>914</v>
      </c>
      <c r="W58" s="1003">
        <v>17594</v>
      </c>
      <c r="X58" s="1000" t="s">
        <v>903</v>
      </c>
      <c r="Y58" s="1000">
        <v>77</v>
      </c>
      <c r="Z58" s="1000" t="s">
        <v>904</v>
      </c>
      <c r="AA58" s="1000" t="s">
        <v>905</v>
      </c>
      <c r="AB58" s="1000" t="s">
        <v>938</v>
      </c>
      <c r="AC58" s="1000" t="s">
        <v>907</v>
      </c>
      <c r="AD58" s="1004">
        <v>3813.57</v>
      </c>
      <c r="AE58" s="1004">
        <f t="shared" si="14"/>
        <v>52754.385000000002</v>
      </c>
      <c r="AF58" s="1004">
        <f t="shared" si="15"/>
        <v>52754.385000000002</v>
      </c>
      <c r="AG58" s="1005">
        <f t="shared" si="11"/>
        <v>13.833333333333334</v>
      </c>
      <c r="AH58" s="1005">
        <f t="shared" si="16"/>
        <v>10.959513417276575</v>
      </c>
    </row>
    <row r="59" spans="1:34" x14ac:dyDescent="0.25">
      <c r="A59" s="999">
        <v>32396</v>
      </c>
      <c r="B59" s="999" t="s">
        <v>933</v>
      </c>
      <c r="C59" s="999" t="s">
        <v>934</v>
      </c>
      <c r="D59" s="999" t="s">
        <v>935</v>
      </c>
      <c r="E59" s="999" t="s">
        <v>895</v>
      </c>
      <c r="F59" s="999">
        <v>1901886</v>
      </c>
      <c r="G59" s="1000">
        <v>37700278768</v>
      </c>
      <c r="H59" s="999" t="s">
        <v>1005</v>
      </c>
      <c r="I59" s="999" t="s">
        <v>897</v>
      </c>
      <c r="J59" s="1001">
        <v>40864</v>
      </c>
      <c r="K59" s="1001">
        <v>45835</v>
      </c>
      <c r="L59" s="1000">
        <f t="shared" si="12"/>
        <v>163</v>
      </c>
      <c r="M59" s="1002">
        <f t="shared" si="13"/>
        <v>13.583333333333334</v>
      </c>
      <c r="N59" s="1000">
        <v>13</v>
      </c>
      <c r="O59" s="1000">
        <v>13</v>
      </c>
      <c r="P59" s="1000">
        <v>43</v>
      </c>
      <c r="Q59" s="999" t="s">
        <v>898</v>
      </c>
      <c r="R59" s="999" t="s">
        <v>899</v>
      </c>
      <c r="S59" s="999" t="s">
        <v>900</v>
      </c>
      <c r="T59" s="999" t="s">
        <v>940</v>
      </c>
      <c r="U59" s="1000"/>
      <c r="V59" s="1000" t="s">
        <v>914</v>
      </c>
      <c r="W59" s="1003">
        <v>16871</v>
      </c>
      <c r="X59" s="1000" t="s">
        <v>903</v>
      </c>
      <c r="Y59" s="1000">
        <v>79</v>
      </c>
      <c r="Z59" s="1000" t="s">
        <v>904</v>
      </c>
      <c r="AA59" s="1000" t="s">
        <v>905</v>
      </c>
      <c r="AB59" s="1000" t="s">
        <v>938</v>
      </c>
      <c r="AC59" s="1000" t="s">
        <v>907</v>
      </c>
      <c r="AD59" s="1004">
        <v>3813.57</v>
      </c>
      <c r="AE59" s="1004">
        <f t="shared" si="14"/>
        <v>51800.992500000008</v>
      </c>
      <c r="AF59" s="1004">
        <f t="shared" si="15"/>
        <v>51800.992500000008</v>
      </c>
      <c r="AG59" s="1005">
        <f t="shared" si="11"/>
        <v>13.583333333333334</v>
      </c>
      <c r="AH59" s="1005">
        <f t="shared" si="16"/>
        <v>10.761449921783626</v>
      </c>
    </row>
    <row r="60" spans="1:34" x14ac:dyDescent="0.25">
      <c r="A60" s="999">
        <v>32396</v>
      </c>
      <c r="B60" s="999" t="s">
        <v>933</v>
      </c>
      <c r="C60" s="999" t="s">
        <v>934</v>
      </c>
      <c r="D60" s="999" t="s">
        <v>935</v>
      </c>
      <c r="E60" s="999" t="s">
        <v>895</v>
      </c>
      <c r="F60" s="999">
        <v>1949910</v>
      </c>
      <c r="G60" s="1000">
        <v>25407937620</v>
      </c>
      <c r="H60" s="999" t="s">
        <v>1006</v>
      </c>
      <c r="I60" s="999" t="s">
        <v>897</v>
      </c>
      <c r="J60" s="1001">
        <v>41059</v>
      </c>
      <c r="K60" s="1001">
        <v>45835</v>
      </c>
      <c r="L60" s="1000">
        <f t="shared" si="12"/>
        <v>156</v>
      </c>
      <c r="M60" s="1002">
        <f t="shared" si="13"/>
        <v>13</v>
      </c>
      <c r="N60" s="1000">
        <v>13</v>
      </c>
      <c r="O60" s="1000">
        <v>13</v>
      </c>
      <c r="P60" s="1000">
        <v>43</v>
      </c>
      <c r="Q60" s="999" t="s">
        <v>898</v>
      </c>
      <c r="R60" s="999" t="s">
        <v>899</v>
      </c>
      <c r="S60" s="999" t="s">
        <v>900</v>
      </c>
      <c r="T60" s="999" t="s">
        <v>1001</v>
      </c>
      <c r="U60" s="1000"/>
      <c r="V60" s="1000" t="s">
        <v>914</v>
      </c>
      <c r="W60" s="1003">
        <v>16666</v>
      </c>
      <c r="X60" s="1000" t="s">
        <v>903</v>
      </c>
      <c r="Y60" s="1000">
        <v>79</v>
      </c>
      <c r="Z60" s="1000" t="s">
        <v>904</v>
      </c>
      <c r="AA60" s="1000" t="s">
        <v>905</v>
      </c>
      <c r="AB60" s="1000" t="s">
        <v>938</v>
      </c>
      <c r="AC60" s="1000" t="s">
        <v>907</v>
      </c>
      <c r="AD60" s="1004">
        <v>3813.57</v>
      </c>
      <c r="AE60" s="1004">
        <f t="shared" si="14"/>
        <v>49576.41</v>
      </c>
      <c r="AF60" s="1004">
        <f t="shared" si="15"/>
        <v>49576.41</v>
      </c>
      <c r="AG60" s="1005">
        <f t="shared" si="11"/>
        <v>13</v>
      </c>
      <c r="AH60" s="1005">
        <f t="shared" si="16"/>
        <v>10.299301765633409</v>
      </c>
    </row>
    <row r="61" spans="1:34" x14ac:dyDescent="0.25">
      <c r="A61" s="999">
        <v>32396</v>
      </c>
      <c r="B61" s="999" t="s">
        <v>933</v>
      </c>
      <c r="C61" s="999" t="s">
        <v>934</v>
      </c>
      <c r="D61" s="999" t="s">
        <v>935</v>
      </c>
      <c r="E61" s="999" t="s">
        <v>895</v>
      </c>
      <c r="F61" s="999">
        <v>1846219</v>
      </c>
      <c r="G61" s="1000">
        <v>52648176772</v>
      </c>
      <c r="H61" s="999" t="s">
        <v>1007</v>
      </c>
      <c r="I61" s="999" t="s">
        <v>897</v>
      </c>
      <c r="J61" s="1001">
        <v>40581</v>
      </c>
      <c r="K61" s="1001">
        <v>45835</v>
      </c>
      <c r="L61" s="1000">
        <f t="shared" si="12"/>
        <v>172</v>
      </c>
      <c r="M61" s="1002">
        <f t="shared" si="13"/>
        <v>14.333333333333334</v>
      </c>
      <c r="N61" s="1000">
        <v>14</v>
      </c>
      <c r="O61" s="1000">
        <v>14</v>
      </c>
      <c r="P61" s="1000">
        <v>43</v>
      </c>
      <c r="Q61" s="999" t="s">
        <v>898</v>
      </c>
      <c r="R61" s="999" t="s">
        <v>899</v>
      </c>
      <c r="S61" s="999" t="s">
        <v>900</v>
      </c>
      <c r="T61" s="999" t="s">
        <v>968</v>
      </c>
      <c r="U61" s="1000"/>
      <c r="V61" s="1000" t="s">
        <v>914</v>
      </c>
      <c r="W61" s="1003">
        <v>15856</v>
      </c>
      <c r="X61" s="1000" t="s">
        <v>930</v>
      </c>
      <c r="Y61" s="1000">
        <v>81</v>
      </c>
      <c r="Z61" s="1000" t="s">
        <v>904</v>
      </c>
      <c r="AA61" s="1000" t="s">
        <v>905</v>
      </c>
      <c r="AB61" s="1000" t="s">
        <v>938</v>
      </c>
      <c r="AC61" s="1000" t="s">
        <v>907</v>
      </c>
      <c r="AD61" s="1004">
        <v>3813.57</v>
      </c>
      <c r="AE61" s="1004">
        <f t="shared" si="14"/>
        <v>54661.170000000006</v>
      </c>
      <c r="AF61" s="1004">
        <f t="shared" si="15"/>
        <v>54661.170000000006</v>
      </c>
      <c r="AG61" s="1005">
        <f t="shared" si="11"/>
        <v>14.333333333333334</v>
      </c>
      <c r="AH61" s="1005">
        <f t="shared" si="16"/>
        <v>11.355640408262477</v>
      </c>
    </row>
    <row r="62" spans="1:34" x14ac:dyDescent="0.25">
      <c r="A62" s="999">
        <v>32396</v>
      </c>
      <c r="B62" s="999" t="s">
        <v>933</v>
      </c>
      <c r="C62" s="999" t="s">
        <v>934</v>
      </c>
      <c r="D62" s="999" t="s">
        <v>935</v>
      </c>
      <c r="E62" s="999" t="s">
        <v>895</v>
      </c>
      <c r="F62" s="999">
        <v>1884111</v>
      </c>
      <c r="G62" s="1000">
        <v>24969273715</v>
      </c>
      <c r="H62" s="999" t="s">
        <v>1008</v>
      </c>
      <c r="I62" s="999" t="s">
        <v>897</v>
      </c>
      <c r="J62" s="1001">
        <v>40744</v>
      </c>
      <c r="K62" s="1001">
        <v>45835</v>
      </c>
      <c r="L62" s="1000">
        <f t="shared" si="12"/>
        <v>167</v>
      </c>
      <c r="M62" s="1002">
        <f t="shared" si="13"/>
        <v>13.916666666666666</v>
      </c>
      <c r="N62" s="1000">
        <v>13</v>
      </c>
      <c r="O62" s="1000">
        <v>13</v>
      </c>
      <c r="P62" s="1000">
        <v>43</v>
      </c>
      <c r="Q62" s="999" t="s">
        <v>898</v>
      </c>
      <c r="R62" s="999" t="s">
        <v>899</v>
      </c>
      <c r="S62" s="999" t="s">
        <v>900</v>
      </c>
      <c r="T62" s="999" t="s">
        <v>1009</v>
      </c>
      <c r="U62" s="1000"/>
      <c r="V62" s="1000" t="s">
        <v>914</v>
      </c>
      <c r="W62" s="1003">
        <v>16511</v>
      </c>
      <c r="X62" s="1000" t="s">
        <v>903</v>
      </c>
      <c r="Y62" s="1000">
        <v>80</v>
      </c>
      <c r="Z62" s="1000" t="s">
        <v>904</v>
      </c>
      <c r="AA62" s="1000" t="s">
        <v>905</v>
      </c>
      <c r="AB62" s="1000" t="s">
        <v>938</v>
      </c>
      <c r="AC62" s="1000" t="s">
        <v>907</v>
      </c>
      <c r="AD62" s="1004">
        <v>4128.17</v>
      </c>
      <c r="AE62" s="1004">
        <f t="shared" si="14"/>
        <v>57450.36583333333</v>
      </c>
      <c r="AF62" s="1004">
        <f t="shared" si="15"/>
        <v>57450.36583333333</v>
      </c>
      <c r="AG62" s="1005">
        <f t="shared" si="11"/>
        <v>13.916666666666666</v>
      </c>
      <c r="AH62" s="1005">
        <f t="shared" si="16"/>
        <v>11.202898077351829</v>
      </c>
    </row>
    <row r="63" spans="1:34" x14ac:dyDescent="0.25">
      <c r="A63" s="999">
        <v>32396</v>
      </c>
      <c r="B63" s="999" t="s">
        <v>933</v>
      </c>
      <c r="C63" s="999" t="s">
        <v>934</v>
      </c>
      <c r="D63" s="999" t="s">
        <v>935</v>
      </c>
      <c r="E63" s="999" t="s">
        <v>895</v>
      </c>
      <c r="F63" s="999">
        <v>1883814</v>
      </c>
      <c r="G63" s="1000">
        <v>25218336734</v>
      </c>
      <c r="H63" s="999" t="s">
        <v>1010</v>
      </c>
      <c r="I63" s="999" t="s">
        <v>897</v>
      </c>
      <c r="J63" s="1001">
        <v>40742</v>
      </c>
      <c r="K63" s="1001">
        <v>45835</v>
      </c>
      <c r="L63" s="1000">
        <f t="shared" si="12"/>
        <v>167</v>
      </c>
      <c r="M63" s="1002">
        <f t="shared" si="13"/>
        <v>13.916666666666666</v>
      </c>
      <c r="N63" s="1000">
        <v>13</v>
      </c>
      <c r="O63" s="1000">
        <v>13</v>
      </c>
      <c r="P63" s="1000">
        <v>43</v>
      </c>
      <c r="Q63" s="999" t="s">
        <v>898</v>
      </c>
      <c r="R63" s="999" t="s">
        <v>899</v>
      </c>
      <c r="S63" s="999" t="s">
        <v>900</v>
      </c>
      <c r="T63" s="999" t="s">
        <v>1011</v>
      </c>
      <c r="U63" s="1000"/>
      <c r="V63" s="1000" t="s">
        <v>914</v>
      </c>
      <c r="W63" s="1003">
        <v>17508</v>
      </c>
      <c r="X63" s="1000" t="s">
        <v>903</v>
      </c>
      <c r="Y63" s="1000">
        <v>77</v>
      </c>
      <c r="Z63" s="1000" t="s">
        <v>904</v>
      </c>
      <c r="AA63" s="1000" t="s">
        <v>905</v>
      </c>
      <c r="AB63" s="1000" t="s">
        <v>938</v>
      </c>
      <c r="AC63" s="1000" t="s">
        <v>907</v>
      </c>
      <c r="AD63" s="1004">
        <v>3813.57</v>
      </c>
      <c r="AE63" s="1004">
        <f t="shared" si="14"/>
        <v>53072.182500000003</v>
      </c>
      <c r="AF63" s="1004">
        <f t="shared" si="15"/>
        <v>53072.182500000003</v>
      </c>
      <c r="AG63" s="1005">
        <f t="shared" si="11"/>
        <v>13.916666666666666</v>
      </c>
      <c r="AH63" s="1005">
        <f t="shared" si="16"/>
        <v>11.025534582440892</v>
      </c>
    </row>
    <row r="64" spans="1:34" x14ac:dyDescent="0.25">
      <c r="A64" s="999">
        <v>32396</v>
      </c>
      <c r="B64" s="999" t="s">
        <v>933</v>
      </c>
      <c r="C64" s="999" t="s">
        <v>934</v>
      </c>
      <c r="D64" s="999" t="s">
        <v>935</v>
      </c>
      <c r="E64" s="999" t="s">
        <v>895</v>
      </c>
      <c r="F64" s="999">
        <v>1901921</v>
      </c>
      <c r="G64" s="1000">
        <v>19070012634</v>
      </c>
      <c r="H64" s="999" t="s">
        <v>1012</v>
      </c>
      <c r="I64" s="999" t="s">
        <v>897</v>
      </c>
      <c r="J64" s="1001">
        <v>40863</v>
      </c>
      <c r="K64" s="1001">
        <v>45835</v>
      </c>
      <c r="L64" s="1000">
        <f t="shared" si="12"/>
        <v>163</v>
      </c>
      <c r="M64" s="1002">
        <f t="shared" si="13"/>
        <v>13.583333333333334</v>
      </c>
      <c r="N64" s="1000">
        <v>13</v>
      </c>
      <c r="O64" s="1000">
        <v>13</v>
      </c>
      <c r="P64" s="1000">
        <v>43</v>
      </c>
      <c r="Q64" s="999" t="s">
        <v>898</v>
      </c>
      <c r="R64" s="999" t="s">
        <v>899</v>
      </c>
      <c r="S64" s="999" t="s">
        <v>900</v>
      </c>
      <c r="T64" s="999" t="s">
        <v>1013</v>
      </c>
      <c r="U64" s="1000"/>
      <c r="V64" s="1000" t="s">
        <v>914</v>
      </c>
      <c r="W64" s="1003">
        <v>18064</v>
      </c>
      <c r="X64" s="1000" t="s">
        <v>903</v>
      </c>
      <c r="Y64" s="1000">
        <v>75</v>
      </c>
      <c r="Z64" s="1000" t="s">
        <v>904</v>
      </c>
      <c r="AA64" s="1000" t="s">
        <v>905</v>
      </c>
      <c r="AB64" s="1000" t="s">
        <v>938</v>
      </c>
      <c r="AC64" s="1000" t="s">
        <v>907</v>
      </c>
      <c r="AD64" s="1004">
        <v>3813.57</v>
      </c>
      <c r="AE64" s="1004">
        <f t="shared" si="14"/>
        <v>51800.992500000008</v>
      </c>
      <c r="AF64" s="1004">
        <f t="shared" si="15"/>
        <v>51800.992500000008</v>
      </c>
      <c r="AG64" s="1005">
        <f t="shared" si="11"/>
        <v>13.583333333333334</v>
      </c>
      <c r="AH64" s="1005">
        <f t="shared" si="16"/>
        <v>10.761449921783626</v>
      </c>
    </row>
    <row r="65" spans="1:34" x14ac:dyDescent="0.25">
      <c r="A65" s="999">
        <v>32396</v>
      </c>
      <c r="B65" s="999" t="s">
        <v>933</v>
      </c>
      <c r="C65" s="999" t="s">
        <v>934</v>
      </c>
      <c r="D65" s="999" t="s">
        <v>935</v>
      </c>
      <c r="E65" s="999" t="s">
        <v>895</v>
      </c>
      <c r="F65" s="999">
        <v>1849029</v>
      </c>
      <c r="G65" s="1000">
        <v>41849353700</v>
      </c>
      <c r="H65" s="999" t="s">
        <v>1014</v>
      </c>
      <c r="I65" s="999" t="s">
        <v>897</v>
      </c>
      <c r="J65" s="1001">
        <v>40575</v>
      </c>
      <c r="K65" s="1001">
        <v>45835</v>
      </c>
      <c r="L65" s="1000">
        <f t="shared" si="12"/>
        <v>172</v>
      </c>
      <c r="M65" s="1002">
        <f t="shared" si="13"/>
        <v>14.333333333333334</v>
      </c>
      <c r="N65" s="1000">
        <v>14</v>
      </c>
      <c r="O65" s="1000">
        <v>14</v>
      </c>
      <c r="P65" s="1000">
        <v>43</v>
      </c>
      <c r="Q65" s="999" t="s">
        <v>898</v>
      </c>
      <c r="R65" s="999" t="s">
        <v>899</v>
      </c>
      <c r="S65" s="999" t="s">
        <v>900</v>
      </c>
      <c r="T65" s="999" t="s">
        <v>1013</v>
      </c>
      <c r="U65" s="1000"/>
      <c r="V65" s="1000" t="s">
        <v>914</v>
      </c>
      <c r="W65" s="1003">
        <v>15766</v>
      </c>
      <c r="X65" s="1000" t="s">
        <v>903</v>
      </c>
      <c r="Y65" s="1000">
        <v>82</v>
      </c>
      <c r="Z65" s="1000" t="s">
        <v>904</v>
      </c>
      <c r="AA65" s="1000" t="s">
        <v>905</v>
      </c>
      <c r="AB65" s="1000" t="s">
        <v>938</v>
      </c>
      <c r="AC65" s="1000" t="s">
        <v>907</v>
      </c>
      <c r="AD65" s="1004">
        <v>3813.57</v>
      </c>
      <c r="AE65" s="1004">
        <f t="shared" si="14"/>
        <v>54661.170000000006</v>
      </c>
      <c r="AF65" s="1004">
        <f t="shared" si="15"/>
        <v>54661.170000000006</v>
      </c>
      <c r="AG65" s="1005">
        <f t="shared" si="11"/>
        <v>14.333333333333334</v>
      </c>
      <c r="AH65" s="1005">
        <f t="shared" si="16"/>
        <v>11.355640408262477</v>
      </c>
    </row>
    <row r="66" spans="1:34" x14ac:dyDescent="0.25">
      <c r="A66" s="999">
        <v>32396</v>
      </c>
      <c r="B66" s="999" t="s">
        <v>933</v>
      </c>
      <c r="C66" s="999" t="s">
        <v>934</v>
      </c>
      <c r="D66" s="999" t="s">
        <v>935</v>
      </c>
      <c r="E66" s="999" t="s">
        <v>895</v>
      </c>
      <c r="F66" s="999">
        <v>1843266</v>
      </c>
      <c r="G66" s="1000">
        <v>19020724720</v>
      </c>
      <c r="H66" s="999" t="s">
        <v>1016</v>
      </c>
      <c r="I66" s="999" t="s">
        <v>897</v>
      </c>
      <c r="J66" s="1001">
        <v>40577</v>
      </c>
      <c r="K66" s="1001">
        <v>45835</v>
      </c>
      <c r="L66" s="1000">
        <f t="shared" si="12"/>
        <v>172</v>
      </c>
      <c r="M66" s="1002">
        <f t="shared" si="13"/>
        <v>14.333333333333334</v>
      </c>
      <c r="N66" s="1000">
        <v>14</v>
      </c>
      <c r="O66" s="1000">
        <v>14</v>
      </c>
      <c r="P66" s="1000">
        <v>43</v>
      </c>
      <c r="Q66" s="999" t="s">
        <v>898</v>
      </c>
      <c r="R66" s="999" t="s">
        <v>899</v>
      </c>
      <c r="S66" s="999" t="s">
        <v>900</v>
      </c>
      <c r="T66" s="999" t="s">
        <v>1017</v>
      </c>
      <c r="U66" s="1000"/>
      <c r="V66" s="1000" t="s">
        <v>914</v>
      </c>
      <c r="W66" s="1003">
        <v>11874</v>
      </c>
      <c r="X66" s="1000" t="s">
        <v>903</v>
      </c>
      <c r="Y66" s="1000">
        <v>92</v>
      </c>
      <c r="Z66" s="1000" t="s">
        <v>904</v>
      </c>
      <c r="AA66" s="1000" t="s">
        <v>905</v>
      </c>
      <c r="AB66" s="1000" t="s">
        <v>938</v>
      </c>
      <c r="AC66" s="1000" t="s">
        <v>907</v>
      </c>
      <c r="AD66" s="1004">
        <v>3813.57</v>
      </c>
      <c r="AE66" s="1004">
        <f t="shared" si="14"/>
        <v>54661.170000000006</v>
      </c>
      <c r="AF66" s="1004">
        <f t="shared" si="15"/>
        <v>54661.170000000006</v>
      </c>
      <c r="AG66" s="1005">
        <f t="shared" ref="AG66:AG121" si="17">AF66/AD66</f>
        <v>14.333333333333334</v>
      </c>
      <c r="AH66" s="1005">
        <f t="shared" si="16"/>
        <v>11.355640408262477</v>
      </c>
    </row>
    <row r="67" spans="1:34" x14ac:dyDescent="0.25">
      <c r="A67" s="999">
        <v>32396</v>
      </c>
      <c r="B67" s="999" t="s">
        <v>933</v>
      </c>
      <c r="C67" s="999" t="s">
        <v>934</v>
      </c>
      <c r="D67" s="999" t="s">
        <v>935</v>
      </c>
      <c r="E67" s="999" t="s">
        <v>895</v>
      </c>
      <c r="F67" s="999">
        <v>1950393</v>
      </c>
      <c r="G67" s="1000">
        <v>20219555672</v>
      </c>
      <c r="H67" s="999" t="s">
        <v>1018</v>
      </c>
      <c r="I67" s="999" t="s">
        <v>897</v>
      </c>
      <c r="J67" s="1001">
        <v>41059</v>
      </c>
      <c r="K67" s="1001">
        <v>45835</v>
      </c>
      <c r="L67" s="1000">
        <f t="shared" si="12"/>
        <v>156</v>
      </c>
      <c r="M67" s="1002">
        <f t="shared" si="13"/>
        <v>13</v>
      </c>
      <c r="N67" s="1000">
        <v>13</v>
      </c>
      <c r="O67" s="1000">
        <v>13</v>
      </c>
      <c r="P67" s="1000">
        <v>43</v>
      </c>
      <c r="Q67" s="999" t="s">
        <v>898</v>
      </c>
      <c r="R67" s="999" t="s">
        <v>899</v>
      </c>
      <c r="S67" s="999" t="s">
        <v>900</v>
      </c>
      <c r="T67" s="999" t="s">
        <v>1019</v>
      </c>
      <c r="U67" s="1000"/>
      <c r="V67" s="1000" t="s">
        <v>914</v>
      </c>
      <c r="W67" s="1003">
        <v>17758</v>
      </c>
      <c r="X67" s="1000" t="s">
        <v>903</v>
      </c>
      <c r="Y67" s="1000">
        <v>76</v>
      </c>
      <c r="Z67" s="1000" t="s">
        <v>904</v>
      </c>
      <c r="AA67" s="1000" t="s">
        <v>905</v>
      </c>
      <c r="AB67" s="1000" t="s">
        <v>938</v>
      </c>
      <c r="AC67" s="1000" t="s">
        <v>907</v>
      </c>
      <c r="AD67" s="1004">
        <v>3813.57</v>
      </c>
      <c r="AE67" s="1004">
        <f t="shared" si="14"/>
        <v>49576.41</v>
      </c>
      <c r="AF67" s="1004">
        <f t="shared" si="15"/>
        <v>49576.41</v>
      </c>
      <c r="AG67" s="1005">
        <f t="shared" si="17"/>
        <v>13</v>
      </c>
      <c r="AH67" s="1005">
        <f t="shared" si="16"/>
        <v>10.299301765633409</v>
      </c>
    </row>
    <row r="68" spans="1:34" x14ac:dyDescent="0.25">
      <c r="A68" s="999">
        <v>32396</v>
      </c>
      <c r="B68" s="999" t="s">
        <v>933</v>
      </c>
      <c r="C68" s="999" t="s">
        <v>934</v>
      </c>
      <c r="D68" s="999" t="s">
        <v>935</v>
      </c>
      <c r="E68" s="999" t="s">
        <v>895</v>
      </c>
      <c r="F68" s="999">
        <v>1883048</v>
      </c>
      <c r="G68" s="1000">
        <v>15709990744</v>
      </c>
      <c r="H68" s="999" t="s">
        <v>1020</v>
      </c>
      <c r="I68" s="999" t="s">
        <v>897</v>
      </c>
      <c r="J68" s="1001">
        <v>40742</v>
      </c>
      <c r="K68" s="1001">
        <v>45835</v>
      </c>
      <c r="L68" s="1000">
        <f t="shared" si="12"/>
        <v>167</v>
      </c>
      <c r="M68" s="1002">
        <f t="shared" si="13"/>
        <v>13.916666666666666</v>
      </c>
      <c r="N68" s="1000">
        <v>13</v>
      </c>
      <c r="O68" s="1000">
        <v>13</v>
      </c>
      <c r="P68" s="1000">
        <v>43</v>
      </c>
      <c r="Q68" s="999" t="s">
        <v>898</v>
      </c>
      <c r="R68" s="999" t="s">
        <v>899</v>
      </c>
      <c r="S68" s="999" t="s">
        <v>900</v>
      </c>
      <c r="T68" s="999" t="s">
        <v>1019</v>
      </c>
      <c r="U68" s="1000" t="s">
        <v>55</v>
      </c>
      <c r="V68" s="1000" t="s">
        <v>914</v>
      </c>
      <c r="W68" s="1003">
        <v>17210</v>
      </c>
      <c r="X68" s="1000" t="s">
        <v>903</v>
      </c>
      <c r="Y68" s="1000">
        <v>78</v>
      </c>
      <c r="Z68" s="1000" t="s">
        <v>904</v>
      </c>
      <c r="AA68" s="1000" t="s">
        <v>905</v>
      </c>
      <c r="AB68" s="1000" t="s">
        <v>911</v>
      </c>
      <c r="AC68" s="1000" t="s">
        <v>907</v>
      </c>
      <c r="AD68" s="1004">
        <v>5333.97</v>
      </c>
      <c r="AE68" s="1004">
        <f t="shared" si="14"/>
        <v>74231.082500000004</v>
      </c>
      <c r="AF68" s="1004">
        <f t="shared" si="15"/>
        <v>74231.082500000004</v>
      </c>
      <c r="AG68" s="1005">
        <f t="shared" si="17"/>
        <v>13.916666666666666</v>
      </c>
      <c r="AH68" s="1005">
        <f t="shared" si="16"/>
        <v>11.719519116762473</v>
      </c>
    </row>
    <row r="69" spans="1:34" x14ac:dyDescent="0.25">
      <c r="A69" s="999">
        <v>32396</v>
      </c>
      <c r="B69" s="999" t="s">
        <v>933</v>
      </c>
      <c r="C69" s="999" t="s">
        <v>934</v>
      </c>
      <c r="D69" s="999" t="s">
        <v>935</v>
      </c>
      <c r="E69" s="999" t="s">
        <v>895</v>
      </c>
      <c r="F69" s="999">
        <v>1904203</v>
      </c>
      <c r="G69" s="1000">
        <v>17555612615</v>
      </c>
      <c r="H69" s="999" t="s">
        <v>1021</v>
      </c>
      <c r="I69" s="999" t="s">
        <v>897</v>
      </c>
      <c r="J69" s="1001">
        <v>40882</v>
      </c>
      <c r="K69" s="1001">
        <v>45835</v>
      </c>
      <c r="L69" s="1000">
        <f t="shared" si="12"/>
        <v>162</v>
      </c>
      <c r="M69" s="1002">
        <f t="shared" si="13"/>
        <v>13.5</v>
      </c>
      <c r="N69" s="1000">
        <v>13</v>
      </c>
      <c r="O69" s="1000">
        <v>13</v>
      </c>
      <c r="P69" s="1000">
        <v>43</v>
      </c>
      <c r="Q69" s="999" t="s">
        <v>898</v>
      </c>
      <c r="R69" s="999" t="s">
        <v>899</v>
      </c>
      <c r="S69" s="999" t="s">
        <v>900</v>
      </c>
      <c r="T69" s="999" t="s">
        <v>1022</v>
      </c>
      <c r="U69" s="1000"/>
      <c r="V69" s="1000" t="s">
        <v>914</v>
      </c>
      <c r="W69" s="1003">
        <v>17098</v>
      </c>
      <c r="X69" s="1000" t="s">
        <v>903</v>
      </c>
      <c r="Y69" s="1000">
        <v>78</v>
      </c>
      <c r="Z69" s="1000" t="s">
        <v>904</v>
      </c>
      <c r="AA69" s="1000" t="s">
        <v>905</v>
      </c>
      <c r="AB69" s="1000" t="s">
        <v>938</v>
      </c>
      <c r="AC69" s="1000" t="s">
        <v>907</v>
      </c>
      <c r="AD69" s="1004">
        <v>3813.57</v>
      </c>
      <c r="AE69" s="1004">
        <f t="shared" si="14"/>
        <v>51483.195</v>
      </c>
      <c r="AF69" s="1004">
        <f t="shared" si="15"/>
        <v>51483.195</v>
      </c>
      <c r="AG69" s="1005">
        <f t="shared" si="17"/>
        <v>13.5</v>
      </c>
      <c r="AH69" s="1005">
        <f t="shared" si="16"/>
        <v>10.695428756619307</v>
      </c>
    </row>
    <row r="70" spans="1:34" x14ac:dyDescent="0.25">
      <c r="A70" s="999">
        <v>32396</v>
      </c>
      <c r="B70" s="999" t="s">
        <v>933</v>
      </c>
      <c r="C70" s="999" t="s">
        <v>934</v>
      </c>
      <c r="D70" s="999" t="s">
        <v>935</v>
      </c>
      <c r="E70" s="999" t="s">
        <v>895</v>
      </c>
      <c r="F70" s="999">
        <v>1846426</v>
      </c>
      <c r="G70" s="1000">
        <v>34337261753</v>
      </c>
      <c r="H70" s="999" t="s">
        <v>1023</v>
      </c>
      <c r="I70" s="999" t="s">
        <v>897</v>
      </c>
      <c r="J70" s="1001">
        <v>40575</v>
      </c>
      <c r="K70" s="1001">
        <v>45835</v>
      </c>
      <c r="L70" s="1000">
        <f t="shared" si="12"/>
        <v>172</v>
      </c>
      <c r="M70" s="1002">
        <f t="shared" si="13"/>
        <v>14.333333333333334</v>
      </c>
      <c r="N70" s="1000">
        <v>14</v>
      </c>
      <c r="O70" s="1000">
        <v>14</v>
      </c>
      <c r="P70" s="1000">
        <v>43</v>
      </c>
      <c r="Q70" s="999" t="s">
        <v>898</v>
      </c>
      <c r="R70" s="999" t="s">
        <v>899</v>
      </c>
      <c r="S70" s="999" t="s">
        <v>900</v>
      </c>
      <c r="T70" s="999" t="s">
        <v>1024</v>
      </c>
      <c r="U70" s="1000" t="s">
        <v>55</v>
      </c>
      <c r="V70" s="1000" t="s">
        <v>914</v>
      </c>
      <c r="W70" s="1003">
        <v>18037</v>
      </c>
      <c r="X70" s="1000" t="s">
        <v>903</v>
      </c>
      <c r="Y70" s="1000">
        <v>75</v>
      </c>
      <c r="Z70" s="1000" t="s">
        <v>904</v>
      </c>
      <c r="AA70" s="1000" t="s">
        <v>905</v>
      </c>
      <c r="AB70" s="1000" t="s">
        <v>911</v>
      </c>
      <c r="AC70" s="1000" t="s">
        <v>907</v>
      </c>
      <c r="AD70" s="1004">
        <v>5333.97</v>
      </c>
      <c r="AE70" s="1004">
        <f t="shared" si="14"/>
        <v>76453.570000000007</v>
      </c>
      <c r="AF70" s="1004">
        <f t="shared" si="15"/>
        <v>76453.570000000007</v>
      </c>
      <c r="AG70" s="1005">
        <f t="shared" si="17"/>
        <v>14.333333333333334</v>
      </c>
      <c r="AH70" s="1005">
        <f t="shared" si="16"/>
        <v>12.070402922653566</v>
      </c>
    </row>
    <row r="71" spans="1:34" x14ac:dyDescent="0.25">
      <c r="A71" s="999">
        <v>32396</v>
      </c>
      <c r="B71" s="999" t="s">
        <v>933</v>
      </c>
      <c r="C71" s="999" t="s">
        <v>934</v>
      </c>
      <c r="D71" s="999" t="s">
        <v>935</v>
      </c>
      <c r="E71" s="999" t="s">
        <v>895</v>
      </c>
      <c r="F71" s="999">
        <v>1163542</v>
      </c>
      <c r="G71" s="1000">
        <v>28305302768</v>
      </c>
      <c r="H71" s="999" t="s">
        <v>1025</v>
      </c>
      <c r="I71" s="999" t="s">
        <v>897</v>
      </c>
      <c r="J71" s="1001">
        <v>41892</v>
      </c>
      <c r="K71" s="1001">
        <v>45835</v>
      </c>
      <c r="L71" s="1000">
        <f t="shared" si="12"/>
        <v>129</v>
      </c>
      <c r="M71" s="1002">
        <f t="shared" si="13"/>
        <v>10.75</v>
      </c>
      <c r="N71" s="1000">
        <v>10</v>
      </c>
      <c r="O71" s="1000">
        <v>10</v>
      </c>
      <c r="P71" s="1000">
        <v>43</v>
      </c>
      <c r="Q71" s="999" t="s">
        <v>898</v>
      </c>
      <c r="R71" s="999" t="s">
        <v>899</v>
      </c>
      <c r="S71" s="999" t="s">
        <v>900</v>
      </c>
      <c r="T71" s="999" t="s">
        <v>937</v>
      </c>
      <c r="U71" s="1000"/>
      <c r="V71" s="1000" t="s">
        <v>914</v>
      </c>
      <c r="W71" s="1003">
        <v>16025</v>
      </c>
      <c r="X71" s="1000" t="s">
        <v>903</v>
      </c>
      <c r="Y71" s="1000">
        <v>81</v>
      </c>
      <c r="Z71" s="1000" t="s">
        <v>904</v>
      </c>
      <c r="AA71" s="1000" t="s">
        <v>905</v>
      </c>
      <c r="AB71" s="1000" t="s">
        <v>938</v>
      </c>
      <c r="AC71" s="1000" t="s">
        <v>907</v>
      </c>
      <c r="AD71" s="1004">
        <v>3813.57</v>
      </c>
      <c r="AE71" s="1004">
        <f t="shared" si="14"/>
        <v>40995.877500000002</v>
      </c>
      <c r="AF71" s="1004">
        <f t="shared" si="15"/>
        <v>40995.877500000002</v>
      </c>
      <c r="AG71" s="1005">
        <f t="shared" si="17"/>
        <v>10.75</v>
      </c>
      <c r="AH71" s="1005">
        <f t="shared" si="16"/>
        <v>8.5167303061968571</v>
      </c>
    </row>
    <row r="72" spans="1:34" x14ac:dyDescent="0.25">
      <c r="A72" s="999">
        <v>32396</v>
      </c>
      <c r="B72" s="999" t="s">
        <v>933</v>
      </c>
      <c r="C72" s="999" t="s">
        <v>934</v>
      </c>
      <c r="D72" s="999" t="s">
        <v>935</v>
      </c>
      <c r="E72" s="999" t="s">
        <v>895</v>
      </c>
      <c r="F72" s="999">
        <v>3312754</v>
      </c>
      <c r="G72" s="1000">
        <v>20774303620</v>
      </c>
      <c r="H72" s="999" t="s">
        <v>1026</v>
      </c>
      <c r="I72" s="999" t="s">
        <v>897</v>
      </c>
      <c r="J72" s="1001">
        <v>44837</v>
      </c>
      <c r="K72" s="1001">
        <v>45835</v>
      </c>
      <c r="L72" s="1000">
        <f t="shared" si="12"/>
        <v>32</v>
      </c>
      <c r="M72" s="1002">
        <f t="shared" si="13"/>
        <v>2.6666666666666665</v>
      </c>
      <c r="N72" s="1000">
        <v>2</v>
      </c>
      <c r="O72" s="1000">
        <v>10</v>
      </c>
      <c r="P72" s="1000">
        <v>43</v>
      </c>
      <c r="Q72" s="999" t="s">
        <v>898</v>
      </c>
      <c r="R72" s="999" t="s">
        <v>899</v>
      </c>
      <c r="S72" s="999" t="s">
        <v>900</v>
      </c>
      <c r="T72" s="999" t="s">
        <v>957</v>
      </c>
      <c r="U72" s="1000"/>
      <c r="V72" s="1000" t="s">
        <v>914</v>
      </c>
      <c r="W72" s="1003">
        <v>16492</v>
      </c>
      <c r="X72" s="1000" t="s">
        <v>903</v>
      </c>
      <c r="Y72" s="1000">
        <v>80</v>
      </c>
      <c r="Z72" s="1000" t="s">
        <v>904</v>
      </c>
      <c r="AA72" s="1000" t="s">
        <v>905</v>
      </c>
      <c r="AB72" s="1000" t="s">
        <v>938</v>
      </c>
      <c r="AC72" s="1000" t="s">
        <v>907</v>
      </c>
      <c r="AD72" s="1004">
        <v>3813.57</v>
      </c>
      <c r="AE72" s="1004">
        <f t="shared" si="14"/>
        <v>10169.52</v>
      </c>
      <c r="AF72" s="1004">
        <f t="shared" si="15"/>
        <v>10169.52</v>
      </c>
      <c r="AG72" s="1005">
        <f t="shared" si="17"/>
        <v>2.6666666666666665</v>
      </c>
      <c r="AH72" s="1005">
        <f t="shared" si="16"/>
        <v>2.112677285258135</v>
      </c>
    </row>
    <row r="73" spans="1:34" x14ac:dyDescent="0.25">
      <c r="A73" s="999">
        <v>32396</v>
      </c>
      <c r="B73" s="999" t="s">
        <v>933</v>
      </c>
      <c r="C73" s="999" t="s">
        <v>934</v>
      </c>
      <c r="D73" s="999" t="s">
        <v>935</v>
      </c>
      <c r="E73" s="999" t="s">
        <v>895</v>
      </c>
      <c r="F73" s="999">
        <v>1841846</v>
      </c>
      <c r="G73" s="1000">
        <v>22945873753</v>
      </c>
      <c r="H73" s="999" t="s">
        <v>1027</v>
      </c>
      <c r="I73" s="999" t="s">
        <v>897</v>
      </c>
      <c r="J73" s="1001">
        <v>40568</v>
      </c>
      <c r="K73" s="1001">
        <v>45835</v>
      </c>
      <c r="L73" s="1000">
        <f t="shared" si="12"/>
        <v>173</v>
      </c>
      <c r="M73" s="1002">
        <f t="shared" si="13"/>
        <v>14.416666666666666</v>
      </c>
      <c r="N73" s="1000">
        <v>14</v>
      </c>
      <c r="O73" s="1000">
        <v>14</v>
      </c>
      <c r="P73" s="1000">
        <v>43</v>
      </c>
      <c r="Q73" s="999" t="s">
        <v>898</v>
      </c>
      <c r="R73" s="999" t="s">
        <v>899</v>
      </c>
      <c r="S73" s="999" t="s">
        <v>900</v>
      </c>
      <c r="T73" s="999" t="s">
        <v>1028</v>
      </c>
      <c r="U73" s="1000" t="s">
        <v>54</v>
      </c>
      <c r="V73" s="1000" t="s">
        <v>914</v>
      </c>
      <c r="W73" s="1003">
        <v>15494</v>
      </c>
      <c r="X73" s="1000" t="s">
        <v>903</v>
      </c>
      <c r="Y73" s="1000">
        <v>82</v>
      </c>
      <c r="Z73" s="1000" t="s">
        <v>904</v>
      </c>
      <c r="AA73" s="1000" t="s">
        <v>905</v>
      </c>
      <c r="AB73" s="1000" t="s">
        <v>925</v>
      </c>
      <c r="AC73" s="1000" t="s">
        <v>907</v>
      </c>
      <c r="AD73" s="1004">
        <v>10126.049999999999</v>
      </c>
      <c r="AE73" s="1004">
        <f t="shared" ref="AE73:AE135" si="18">AD73*M73</f>
        <v>145983.88749999998</v>
      </c>
      <c r="AF73" s="1004">
        <f t="shared" si="15"/>
        <v>145983.88749999998</v>
      </c>
      <c r="AG73" s="1005">
        <f t="shared" si="17"/>
        <v>14.416666666666666</v>
      </c>
      <c r="AH73" s="1005">
        <f t="shared" ref="AH73:AH135" si="19">AF73/(AD73+1000)</f>
        <v>13.120908813100785</v>
      </c>
    </row>
    <row r="74" spans="1:34" x14ac:dyDescent="0.25">
      <c r="A74" s="999">
        <v>32396</v>
      </c>
      <c r="B74" s="999" t="s">
        <v>933</v>
      </c>
      <c r="C74" s="999" t="s">
        <v>934</v>
      </c>
      <c r="D74" s="999" t="s">
        <v>935</v>
      </c>
      <c r="E74" s="999" t="s">
        <v>895</v>
      </c>
      <c r="F74" s="999">
        <v>1950876</v>
      </c>
      <c r="G74" s="1000">
        <v>20223404691</v>
      </c>
      <c r="H74" s="999" t="s">
        <v>1029</v>
      </c>
      <c r="I74" s="999" t="s">
        <v>897</v>
      </c>
      <c r="J74" s="1001">
        <v>41059</v>
      </c>
      <c r="K74" s="1001">
        <v>45835</v>
      </c>
      <c r="L74" s="1000">
        <f t="shared" ref="L74:L136" si="20">DATEDIF(J74,K74, "m")</f>
        <v>156</v>
      </c>
      <c r="M74" s="1002">
        <f t="shared" ref="M74:M136" si="21">L74/12</f>
        <v>13</v>
      </c>
      <c r="N74" s="1000">
        <v>13</v>
      </c>
      <c r="O74" s="1000">
        <v>13</v>
      </c>
      <c r="P74" s="1000">
        <v>43</v>
      </c>
      <c r="Q74" s="999" t="s">
        <v>898</v>
      </c>
      <c r="R74" s="999" t="s">
        <v>899</v>
      </c>
      <c r="S74" s="999" t="s">
        <v>900</v>
      </c>
      <c r="T74" s="999" t="s">
        <v>1019</v>
      </c>
      <c r="U74" s="1000"/>
      <c r="V74" s="1000" t="s">
        <v>914</v>
      </c>
      <c r="W74" s="1003">
        <v>14545</v>
      </c>
      <c r="X74" s="1000" t="s">
        <v>903</v>
      </c>
      <c r="Y74" s="1000">
        <v>85</v>
      </c>
      <c r="Z74" s="1000" t="s">
        <v>904</v>
      </c>
      <c r="AA74" s="1000" t="s">
        <v>905</v>
      </c>
      <c r="AB74" s="1000" t="s">
        <v>938</v>
      </c>
      <c r="AC74" s="1000" t="s">
        <v>907</v>
      </c>
      <c r="AD74" s="1004">
        <v>3813.57</v>
      </c>
      <c r="AE74" s="1004">
        <f t="shared" si="18"/>
        <v>49576.41</v>
      </c>
      <c r="AF74" s="1004">
        <f t="shared" ref="AF74:AF136" si="22">AE74</f>
        <v>49576.41</v>
      </c>
      <c r="AG74" s="1005">
        <f t="shared" si="17"/>
        <v>13</v>
      </c>
      <c r="AH74" s="1005">
        <f t="shared" si="19"/>
        <v>10.299301765633409</v>
      </c>
    </row>
    <row r="75" spans="1:34" x14ac:dyDescent="0.25">
      <c r="A75" s="999">
        <v>32396</v>
      </c>
      <c r="B75" s="999" t="s">
        <v>933</v>
      </c>
      <c r="C75" s="999" t="s">
        <v>934</v>
      </c>
      <c r="D75" s="999" t="s">
        <v>935</v>
      </c>
      <c r="E75" s="999" t="s">
        <v>895</v>
      </c>
      <c r="F75" s="999">
        <v>1887078</v>
      </c>
      <c r="G75" s="1000">
        <v>10867236604</v>
      </c>
      <c r="H75" s="999" t="s">
        <v>1030</v>
      </c>
      <c r="I75" s="999" t="s">
        <v>897</v>
      </c>
      <c r="J75" s="1001">
        <v>40759</v>
      </c>
      <c r="K75" s="1001">
        <v>45835</v>
      </c>
      <c r="L75" s="1000">
        <f t="shared" si="20"/>
        <v>166</v>
      </c>
      <c r="M75" s="1002">
        <f t="shared" si="21"/>
        <v>13.833333333333334</v>
      </c>
      <c r="N75" s="1000">
        <v>13</v>
      </c>
      <c r="O75" s="1000">
        <v>13</v>
      </c>
      <c r="P75" s="1000">
        <v>43</v>
      </c>
      <c r="Q75" s="999" t="s">
        <v>898</v>
      </c>
      <c r="R75" s="999" t="s">
        <v>899</v>
      </c>
      <c r="S75" s="999" t="s">
        <v>900</v>
      </c>
      <c r="T75" s="999" t="s">
        <v>959</v>
      </c>
      <c r="U75" s="1000"/>
      <c r="V75" s="1000" t="s">
        <v>914</v>
      </c>
      <c r="W75" s="1003">
        <v>17411</v>
      </c>
      <c r="X75" s="1000" t="s">
        <v>903</v>
      </c>
      <c r="Y75" s="1000">
        <v>77</v>
      </c>
      <c r="Z75" s="1000" t="s">
        <v>904</v>
      </c>
      <c r="AA75" s="1000" t="s">
        <v>905</v>
      </c>
      <c r="AB75" s="1000" t="s">
        <v>938</v>
      </c>
      <c r="AC75" s="1000" t="s">
        <v>907</v>
      </c>
      <c r="AD75" s="1004">
        <v>3813.57</v>
      </c>
      <c r="AE75" s="1004">
        <f t="shared" si="18"/>
        <v>52754.385000000002</v>
      </c>
      <c r="AF75" s="1004">
        <f t="shared" si="22"/>
        <v>52754.385000000002</v>
      </c>
      <c r="AG75" s="1005">
        <f t="shared" si="17"/>
        <v>13.833333333333334</v>
      </c>
      <c r="AH75" s="1005">
        <f t="shared" si="19"/>
        <v>10.959513417276575</v>
      </c>
    </row>
    <row r="76" spans="1:34" x14ac:dyDescent="0.25">
      <c r="A76" s="999">
        <v>32396</v>
      </c>
      <c r="B76" s="999" t="s">
        <v>933</v>
      </c>
      <c r="C76" s="999" t="s">
        <v>934</v>
      </c>
      <c r="D76" s="999" t="s">
        <v>935</v>
      </c>
      <c r="E76" s="999" t="s">
        <v>895</v>
      </c>
      <c r="F76" s="999">
        <v>1854238</v>
      </c>
      <c r="G76" s="1000">
        <v>22226478604</v>
      </c>
      <c r="H76" s="999" t="s">
        <v>1031</v>
      </c>
      <c r="I76" s="999" t="s">
        <v>897</v>
      </c>
      <c r="J76" s="1001">
        <v>40589</v>
      </c>
      <c r="K76" s="1001">
        <v>45835</v>
      </c>
      <c r="L76" s="1000">
        <f t="shared" si="20"/>
        <v>172</v>
      </c>
      <c r="M76" s="1002">
        <f t="shared" si="21"/>
        <v>14.333333333333334</v>
      </c>
      <c r="N76" s="1000">
        <v>14</v>
      </c>
      <c r="O76" s="1000">
        <v>14</v>
      </c>
      <c r="P76" s="1000">
        <v>43</v>
      </c>
      <c r="Q76" s="999" t="s">
        <v>898</v>
      </c>
      <c r="R76" s="999" t="s">
        <v>899</v>
      </c>
      <c r="S76" s="999" t="s">
        <v>900</v>
      </c>
      <c r="T76" s="999" t="s">
        <v>1032</v>
      </c>
      <c r="U76" s="1000" t="s">
        <v>54</v>
      </c>
      <c r="V76" s="1000" t="s">
        <v>914</v>
      </c>
      <c r="W76" s="1003">
        <v>17703</v>
      </c>
      <c r="X76" s="1000" t="s">
        <v>903</v>
      </c>
      <c r="Y76" s="1000">
        <v>76</v>
      </c>
      <c r="Z76" s="1000" t="s">
        <v>904</v>
      </c>
      <c r="AA76" s="1000" t="s">
        <v>905</v>
      </c>
      <c r="AB76" s="1000" t="s">
        <v>925</v>
      </c>
      <c r="AC76" s="1000" t="s">
        <v>907</v>
      </c>
      <c r="AD76" s="1004">
        <v>10126.049999999999</v>
      </c>
      <c r="AE76" s="1004">
        <f t="shared" si="18"/>
        <v>145140.04999999999</v>
      </c>
      <c r="AF76" s="1004">
        <f t="shared" si="22"/>
        <v>145140.04999999999</v>
      </c>
      <c r="AG76" s="1005">
        <f t="shared" si="17"/>
        <v>14.333333333333334</v>
      </c>
      <c r="AH76" s="1005">
        <f t="shared" si="19"/>
        <v>13.04506540955685</v>
      </c>
    </row>
    <row r="77" spans="1:34" x14ac:dyDescent="0.25">
      <c r="A77" s="999">
        <v>32396</v>
      </c>
      <c r="B77" s="999" t="s">
        <v>933</v>
      </c>
      <c r="C77" s="999" t="s">
        <v>934</v>
      </c>
      <c r="D77" s="999" t="s">
        <v>935</v>
      </c>
      <c r="E77" s="999" t="s">
        <v>895</v>
      </c>
      <c r="F77" s="999">
        <v>1887094</v>
      </c>
      <c r="G77" s="1000">
        <v>19516878687</v>
      </c>
      <c r="H77" s="999" t="s">
        <v>1033</v>
      </c>
      <c r="I77" s="999" t="s">
        <v>897</v>
      </c>
      <c r="J77" s="1001">
        <v>40756</v>
      </c>
      <c r="K77" s="1001">
        <v>45835</v>
      </c>
      <c r="L77" s="1000">
        <f t="shared" si="20"/>
        <v>166</v>
      </c>
      <c r="M77" s="1002">
        <f t="shared" si="21"/>
        <v>13.833333333333334</v>
      </c>
      <c r="N77" s="1000">
        <v>13</v>
      </c>
      <c r="O77" s="1000">
        <v>13</v>
      </c>
      <c r="P77" s="1000">
        <v>43</v>
      </c>
      <c r="Q77" s="999" t="s">
        <v>898</v>
      </c>
      <c r="R77" s="999" t="s">
        <v>899</v>
      </c>
      <c r="S77" s="999" t="s">
        <v>900</v>
      </c>
      <c r="T77" s="999" t="s">
        <v>1034</v>
      </c>
      <c r="U77" s="1000"/>
      <c r="V77" s="1000" t="s">
        <v>914</v>
      </c>
      <c r="W77" s="1003">
        <v>17079</v>
      </c>
      <c r="X77" s="1000" t="s">
        <v>903</v>
      </c>
      <c r="Y77" s="1000">
        <v>78</v>
      </c>
      <c r="Z77" s="1000" t="s">
        <v>904</v>
      </c>
      <c r="AA77" s="1000" t="s">
        <v>905</v>
      </c>
      <c r="AB77" s="1000" t="s">
        <v>938</v>
      </c>
      <c r="AC77" s="1000" t="s">
        <v>907</v>
      </c>
      <c r="AD77" s="1004">
        <v>3813.57</v>
      </c>
      <c r="AE77" s="1004">
        <f t="shared" si="18"/>
        <v>52754.385000000002</v>
      </c>
      <c r="AF77" s="1004">
        <f t="shared" si="22"/>
        <v>52754.385000000002</v>
      </c>
      <c r="AG77" s="1005">
        <f t="shared" si="17"/>
        <v>13.833333333333334</v>
      </c>
      <c r="AH77" s="1005">
        <f t="shared" si="19"/>
        <v>10.959513417276575</v>
      </c>
    </row>
    <row r="78" spans="1:34" x14ac:dyDescent="0.25">
      <c r="A78" s="999">
        <v>32396</v>
      </c>
      <c r="B78" s="999" t="s">
        <v>933</v>
      </c>
      <c r="C78" s="999" t="s">
        <v>934</v>
      </c>
      <c r="D78" s="999" t="s">
        <v>935</v>
      </c>
      <c r="E78" s="999" t="s">
        <v>895</v>
      </c>
      <c r="F78" s="999">
        <v>1262707</v>
      </c>
      <c r="G78" s="1000">
        <v>8306656687</v>
      </c>
      <c r="H78" s="999" t="s">
        <v>1035</v>
      </c>
      <c r="I78" s="999" t="s">
        <v>897</v>
      </c>
      <c r="J78" s="1001">
        <v>42311</v>
      </c>
      <c r="K78" s="1001">
        <v>45835</v>
      </c>
      <c r="L78" s="1000">
        <f t="shared" si="20"/>
        <v>115</v>
      </c>
      <c r="M78" s="1002">
        <f t="shared" si="21"/>
        <v>9.5833333333333339</v>
      </c>
      <c r="N78" s="1000">
        <v>9</v>
      </c>
      <c r="O78" s="1000">
        <v>10</v>
      </c>
      <c r="P78" s="1000">
        <v>43</v>
      </c>
      <c r="Q78" s="999" t="s">
        <v>898</v>
      </c>
      <c r="R78" s="999" t="s">
        <v>899</v>
      </c>
      <c r="S78" s="999" t="s">
        <v>900</v>
      </c>
      <c r="T78" s="999" t="s">
        <v>955</v>
      </c>
      <c r="U78" s="1000"/>
      <c r="V78" s="1000" t="s">
        <v>914</v>
      </c>
      <c r="W78" s="1003">
        <v>15899</v>
      </c>
      <c r="X78" s="1000" t="s">
        <v>903</v>
      </c>
      <c r="Y78" s="1000">
        <v>81</v>
      </c>
      <c r="Z78" s="1000" t="s">
        <v>904</v>
      </c>
      <c r="AA78" s="1000" t="s">
        <v>905</v>
      </c>
      <c r="AB78" s="1000" t="s">
        <v>938</v>
      </c>
      <c r="AC78" s="1000" t="s">
        <v>907</v>
      </c>
      <c r="AD78" s="1004">
        <v>3813.57</v>
      </c>
      <c r="AE78" s="1004">
        <f t="shared" si="18"/>
        <v>36546.712500000001</v>
      </c>
      <c r="AF78" s="1004">
        <f t="shared" si="22"/>
        <v>36546.712500000001</v>
      </c>
      <c r="AG78" s="1005">
        <f t="shared" si="17"/>
        <v>9.5833333333333339</v>
      </c>
      <c r="AH78" s="1005">
        <f t="shared" si="19"/>
        <v>7.5924339938964227</v>
      </c>
    </row>
    <row r="79" spans="1:34" x14ac:dyDescent="0.25">
      <c r="A79" s="999">
        <v>32396</v>
      </c>
      <c r="B79" s="999" t="s">
        <v>933</v>
      </c>
      <c r="C79" s="999" t="s">
        <v>934</v>
      </c>
      <c r="D79" s="999" t="s">
        <v>935</v>
      </c>
      <c r="E79" s="999" t="s">
        <v>895</v>
      </c>
      <c r="F79" s="999">
        <v>1163056</v>
      </c>
      <c r="G79" s="1000">
        <v>20535635672</v>
      </c>
      <c r="H79" s="999" t="s">
        <v>1036</v>
      </c>
      <c r="I79" s="999" t="s">
        <v>897</v>
      </c>
      <c r="J79" s="1001">
        <v>41904</v>
      </c>
      <c r="K79" s="1001">
        <v>45835</v>
      </c>
      <c r="L79" s="1000">
        <f t="shared" si="20"/>
        <v>129</v>
      </c>
      <c r="M79" s="1002">
        <f t="shared" si="21"/>
        <v>10.75</v>
      </c>
      <c r="N79" s="1000">
        <v>10</v>
      </c>
      <c r="O79" s="1000">
        <v>10</v>
      </c>
      <c r="P79" s="1000">
        <v>43</v>
      </c>
      <c r="Q79" s="999" t="s">
        <v>898</v>
      </c>
      <c r="R79" s="999" t="s">
        <v>899</v>
      </c>
      <c r="S79" s="999" t="s">
        <v>900</v>
      </c>
      <c r="T79" s="999" t="s">
        <v>1037</v>
      </c>
      <c r="U79" s="1000"/>
      <c r="V79" s="1000" t="s">
        <v>914</v>
      </c>
      <c r="W79" s="1003">
        <v>16987</v>
      </c>
      <c r="X79" s="1000" t="s">
        <v>903</v>
      </c>
      <c r="Y79" s="1000">
        <v>78</v>
      </c>
      <c r="Z79" s="1000" t="s">
        <v>904</v>
      </c>
      <c r="AA79" s="1000" t="s">
        <v>905</v>
      </c>
      <c r="AB79" s="1000" t="s">
        <v>938</v>
      </c>
      <c r="AC79" s="1000" t="s">
        <v>907</v>
      </c>
      <c r="AD79" s="1004">
        <v>3813.57</v>
      </c>
      <c r="AE79" s="1004">
        <f t="shared" si="18"/>
        <v>40995.877500000002</v>
      </c>
      <c r="AF79" s="1004">
        <f t="shared" si="22"/>
        <v>40995.877500000002</v>
      </c>
      <c r="AG79" s="1005">
        <f t="shared" si="17"/>
        <v>10.75</v>
      </c>
      <c r="AH79" s="1005">
        <f t="shared" si="19"/>
        <v>8.5167303061968571</v>
      </c>
    </row>
    <row r="80" spans="1:34" x14ac:dyDescent="0.25">
      <c r="A80" s="999">
        <v>32396</v>
      </c>
      <c r="B80" s="999" t="s">
        <v>933</v>
      </c>
      <c r="C80" s="999" t="s">
        <v>934</v>
      </c>
      <c r="D80" s="999" t="s">
        <v>935</v>
      </c>
      <c r="E80" s="999" t="s">
        <v>895</v>
      </c>
      <c r="F80" s="999">
        <v>3247688</v>
      </c>
      <c r="G80" s="1000">
        <v>18983677791</v>
      </c>
      <c r="H80" s="999" t="s">
        <v>1038</v>
      </c>
      <c r="I80" s="999" t="s">
        <v>897</v>
      </c>
      <c r="J80" s="1001">
        <v>44397</v>
      </c>
      <c r="K80" s="1001">
        <v>45835</v>
      </c>
      <c r="L80" s="1000">
        <f t="shared" si="20"/>
        <v>47</v>
      </c>
      <c r="M80" s="1002">
        <f t="shared" si="21"/>
        <v>3.9166666666666665</v>
      </c>
      <c r="N80" s="1000">
        <v>3</v>
      </c>
      <c r="O80" s="1000">
        <v>10</v>
      </c>
      <c r="P80" s="1000">
        <v>43</v>
      </c>
      <c r="Q80" s="999" t="s">
        <v>898</v>
      </c>
      <c r="R80" s="999" t="s">
        <v>899</v>
      </c>
      <c r="S80" s="999" t="s">
        <v>900</v>
      </c>
      <c r="T80" s="999" t="s">
        <v>1039</v>
      </c>
      <c r="U80" s="1000"/>
      <c r="V80" s="1000" t="s">
        <v>914</v>
      </c>
      <c r="W80" s="1003">
        <v>17646</v>
      </c>
      <c r="X80" s="1000" t="s">
        <v>903</v>
      </c>
      <c r="Y80" s="1000">
        <v>76</v>
      </c>
      <c r="Z80" s="1000" t="s">
        <v>904</v>
      </c>
      <c r="AA80" s="1000" t="s">
        <v>905</v>
      </c>
      <c r="AB80" s="1000" t="s">
        <v>938</v>
      </c>
      <c r="AC80" s="1000" t="s">
        <v>907</v>
      </c>
      <c r="AD80" s="1004">
        <v>3813.57</v>
      </c>
      <c r="AE80" s="1004">
        <f t="shared" si="18"/>
        <v>14936.4825</v>
      </c>
      <c r="AF80" s="1004">
        <f t="shared" si="22"/>
        <v>14936.4825</v>
      </c>
      <c r="AG80" s="1005">
        <f t="shared" si="17"/>
        <v>3.9166666666666665</v>
      </c>
      <c r="AH80" s="1005">
        <f t="shared" si="19"/>
        <v>3.1029947627228855</v>
      </c>
    </row>
    <row r="81" spans="1:34" x14ac:dyDescent="0.25">
      <c r="A81" s="999">
        <v>32396</v>
      </c>
      <c r="B81" s="999" t="s">
        <v>933</v>
      </c>
      <c r="C81" s="999" t="s">
        <v>934</v>
      </c>
      <c r="D81" s="999" t="s">
        <v>935</v>
      </c>
      <c r="E81" s="999" t="s">
        <v>895</v>
      </c>
      <c r="F81" s="999">
        <v>1911947</v>
      </c>
      <c r="G81" s="1000">
        <v>42125960753</v>
      </c>
      <c r="H81" s="999" t="s">
        <v>1040</v>
      </c>
      <c r="I81" s="999" t="s">
        <v>897</v>
      </c>
      <c r="J81" s="1001">
        <v>40928</v>
      </c>
      <c r="K81" s="1001">
        <v>45835</v>
      </c>
      <c r="L81" s="1000">
        <f t="shared" si="20"/>
        <v>161</v>
      </c>
      <c r="M81" s="1002">
        <f t="shared" si="21"/>
        <v>13.416666666666666</v>
      </c>
      <c r="N81" s="1000">
        <v>13</v>
      </c>
      <c r="O81" s="1000">
        <v>13</v>
      </c>
      <c r="P81" s="1000">
        <v>43</v>
      </c>
      <c r="Q81" s="999" t="s">
        <v>898</v>
      </c>
      <c r="R81" s="999" t="s">
        <v>899</v>
      </c>
      <c r="S81" s="999" t="s">
        <v>900</v>
      </c>
      <c r="T81" s="999" t="s">
        <v>1001</v>
      </c>
      <c r="U81" s="1000"/>
      <c r="V81" s="1000" t="s">
        <v>914</v>
      </c>
      <c r="W81" s="1003">
        <v>17996</v>
      </c>
      <c r="X81" s="1000" t="s">
        <v>903</v>
      </c>
      <c r="Y81" s="1000">
        <v>76</v>
      </c>
      <c r="Z81" s="1000" t="s">
        <v>904</v>
      </c>
      <c r="AA81" s="1000" t="s">
        <v>905</v>
      </c>
      <c r="AB81" s="1000" t="s">
        <v>938</v>
      </c>
      <c r="AC81" s="1000" t="s">
        <v>907</v>
      </c>
      <c r="AD81" s="1004">
        <v>3813.57</v>
      </c>
      <c r="AE81" s="1004">
        <f t="shared" si="18"/>
        <v>51165.397499999999</v>
      </c>
      <c r="AF81" s="1004">
        <f t="shared" si="22"/>
        <v>51165.397499999999</v>
      </c>
      <c r="AG81" s="1005">
        <f t="shared" si="17"/>
        <v>13.416666666666666</v>
      </c>
      <c r="AH81" s="1005">
        <f t="shared" si="19"/>
        <v>10.62940759145499</v>
      </c>
    </row>
    <row r="82" spans="1:34" x14ac:dyDescent="0.25">
      <c r="A82" s="999">
        <v>32396</v>
      </c>
      <c r="B82" s="999" t="s">
        <v>933</v>
      </c>
      <c r="C82" s="999" t="s">
        <v>934</v>
      </c>
      <c r="D82" s="999" t="s">
        <v>935</v>
      </c>
      <c r="E82" s="999" t="s">
        <v>895</v>
      </c>
      <c r="F82" s="999">
        <v>1911969</v>
      </c>
      <c r="G82" s="1000">
        <v>8350302704</v>
      </c>
      <c r="H82" s="999" t="s">
        <v>1041</v>
      </c>
      <c r="I82" s="999" t="s">
        <v>897</v>
      </c>
      <c r="J82" s="1001">
        <v>40933</v>
      </c>
      <c r="K82" s="1001">
        <v>45835</v>
      </c>
      <c r="L82" s="1000">
        <f t="shared" si="20"/>
        <v>161</v>
      </c>
      <c r="M82" s="1002">
        <f t="shared" si="21"/>
        <v>13.416666666666666</v>
      </c>
      <c r="N82" s="1000">
        <v>13</v>
      </c>
      <c r="O82" s="1000">
        <v>13</v>
      </c>
      <c r="P82" s="1000">
        <v>43</v>
      </c>
      <c r="Q82" s="999" t="s">
        <v>898</v>
      </c>
      <c r="R82" s="999" t="s">
        <v>899</v>
      </c>
      <c r="S82" s="999" t="s">
        <v>900</v>
      </c>
      <c r="T82" s="999" t="s">
        <v>1042</v>
      </c>
      <c r="U82" s="1000" t="s">
        <v>54</v>
      </c>
      <c r="V82" s="1000" t="s">
        <v>914</v>
      </c>
      <c r="W82" s="1003">
        <v>15825</v>
      </c>
      <c r="X82" s="1000" t="s">
        <v>903</v>
      </c>
      <c r="Y82" s="1000">
        <v>81</v>
      </c>
      <c r="Z82" s="1000" t="s">
        <v>904</v>
      </c>
      <c r="AA82" s="1000" t="s">
        <v>905</v>
      </c>
      <c r="AB82" s="1000" t="s">
        <v>925</v>
      </c>
      <c r="AC82" s="1000" t="s">
        <v>907</v>
      </c>
      <c r="AD82" s="1004">
        <v>10126.049999999999</v>
      </c>
      <c r="AE82" s="1004">
        <f t="shared" si="18"/>
        <v>135857.83749999999</v>
      </c>
      <c r="AF82" s="1004">
        <f t="shared" si="22"/>
        <v>135857.83749999999</v>
      </c>
      <c r="AG82" s="1005">
        <f t="shared" si="17"/>
        <v>13.416666666666668</v>
      </c>
      <c r="AH82" s="1005">
        <f t="shared" si="19"/>
        <v>12.210787970573564</v>
      </c>
    </row>
    <row r="83" spans="1:34" x14ac:dyDescent="0.25">
      <c r="A83" s="999">
        <v>32396</v>
      </c>
      <c r="B83" s="999" t="s">
        <v>933</v>
      </c>
      <c r="C83" s="999" t="s">
        <v>934</v>
      </c>
      <c r="D83" s="999" t="s">
        <v>935</v>
      </c>
      <c r="E83" s="999" t="s">
        <v>895</v>
      </c>
      <c r="F83" s="999">
        <v>1904824</v>
      </c>
      <c r="G83" s="1000">
        <v>20537182691</v>
      </c>
      <c r="H83" s="999" t="s">
        <v>1043</v>
      </c>
      <c r="I83" s="999" t="s">
        <v>897</v>
      </c>
      <c r="J83" s="1001">
        <v>40876</v>
      </c>
      <c r="K83" s="1001">
        <v>45835</v>
      </c>
      <c r="L83" s="1000">
        <f t="shared" si="20"/>
        <v>162</v>
      </c>
      <c r="M83" s="1002">
        <f t="shared" si="21"/>
        <v>13.5</v>
      </c>
      <c r="N83" s="1000">
        <v>13</v>
      </c>
      <c r="O83" s="1000">
        <v>13</v>
      </c>
      <c r="P83" s="1000">
        <v>43</v>
      </c>
      <c r="Q83" s="999" t="s">
        <v>898</v>
      </c>
      <c r="R83" s="999" t="s">
        <v>899</v>
      </c>
      <c r="S83" s="999" t="s">
        <v>900</v>
      </c>
      <c r="T83" s="999" t="s">
        <v>1044</v>
      </c>
      <c r="U83" s="1000"/>
      <c r="V83" s="1000" t="s">
        <v>914</v>
      </c>
      <c r="W83" s="1003">
        <v>17717</v>
      </c>
      <c r="X83" s="1000" t="s">
        <v>930</v>
      </c>
      <c r="Y83" s="1000">
        <v>76</v>
      </c>
      <c r="Z83" s="1000" t="s">
        <v>904</v>
      </c>
      <c r="AA83" s="1000" t="s">
        <v>905</v>
      </c>
      <c r="AB83" s="1000" t="s">
        <v>938</v>
      </c>
      <c r="AC83" s="1000" t="s">
        <v>907</v>
      </c>
      <c r="AD83" s="1004">
        <v>3813.57</v>
      </c>
      <c r="AE83" s="1004">
        <f t="shared" si="18"/>
        <v>51483.195</v>
      </c>
      <c r="AF83" s="1004">
        <f t="shared" si="22"/>
        <v>51483.195</v>
      </c>
      <c r="AG83" s="1005">
        <f t="shared" si="17"/>
        <v>13.5</v>
      </c>
      <c r="AH83" s="1005">
        <f t="shared" si="19"/>
        <v>10.695428756619307</v>
      </c>
    </row>
    <row r="84" spans="1:34" x14ac:dyDescent="0.25">
      <c r="A84" s="999">
        <v>32396</v>
      </c>
      <c r="B84" s="999" t="s">
        <v>933</v>
      </c>
      <c r="C84" s="999" t="s">
        <v>934</v>
      </c>
      <c r="D84" s="999" t="s">
        <v>935</v>
      </c>
      <c r="E84" s="999" t="s">
        <v>895</v>
      </c>
      <c r="F84" s="999">
        <v>1901981</v>
      </c>
      <c r="G84" s="1000">
        <v>1292633620</v>
      </c>
      <c r="H84" s="999" t="s">
        <v>1045</v>
      </c>
      <c r="I84" s="999" t="s">
        <v>897</v>
      </c>
      <c r="J84" s="1001">
        <v>40865</v>
      </c>
      <c r="K84" s="1001">
        <v>45835</v>
      </c>
      <c r="L84" s="1000">
        <f t="shared" si="20"/>
        <v>163</v>
      </c>
      <c r="M84" s="1002">
        <f t="shared" si="21"/>
        <v>13.583333333333334</v>
      </c>
      <c r="N84" s="1000">
        <v>13</v>
      </c>
      <c r="O84" s="1000">
        <v>13</v>
      </c>
      <c r="P84" s="1000">
        <v>43</v>
      </c>
      <c r="Q84" s="999" t="s">
        <v>898</v>
      </c>
      <c r="R84" s="999" t="s">
        <v>899</v>
      </c>
      <c r="S84" s="999" t="s">
        <v>900</v>
      </c>
      <c r="T84" s="999" t="s">
        <v>1046</v>
      </c>
      <c r="U84" s="1000"/>
      <c r="V84" s="1000" t="s">
        <v>914</v>
      </c>
      <c r="W84" s="1003">
        <v>16773</v>
      </c>
      <c r="X84" s="1000" t="s">
        <v>903</v>
      </c>
      <c r="Y84" s="1000">
        <v>79</v>
      </c>
      <c r="Z84" s="1000" t="s">
        <v>904</v>
      </c>
      <c r="AA84" s="1000" t="s">
        <v>905</v>
      </c>
      <c r="AB84" s="1000" t="s">
        <v>938</v>
      </c>
      <c r="AC84" s="1000" t="s">
        <v>907</v>
      </c>
      <c r="AD84" s="1004">
        <v>3813.57</v>
      </c>
      <c r="AE84" s="1004">
        <f t="shared" si="18"/>
        <v>51800.992500000008</v>
      </c>
      <c r="AF84" s="1004">
        <f t="shared" si="22"/>
        <v>51800.992500000008</v>
      </c>
      <c r="AG84" s="1005">
        <f t="shared" si="17"/>
        <v>13.583333333333334</v>
      </c>
      <c r="AH84" s="1005">
        <f t="shared" si="19"/>
        <v>10.761449921783626</v>
      </c>
    </row>
    <row r="85" spans="1:34" x14ac:dyDescent="0.25">
      <c r="A85" s="999">
        <v>32396</v>
      </c>
      <c r="B85" s="999" t="s">
        <v>933</v>
      </c>
      <c r="C85" s="999" t="s">
        <v>934</v>
      </c>
      <c r="D85" s="999" t="s">
        <v>935</v>
      </c>
      <c r="E85" s="999" t="s">
        <v>895</v>
      </c>
      <c r="F85" s="999">
        <v>1883194</v>
      </c>
      <c r="G85" s="1000">
        <v>15724956772</v>
      </c>
      <c r="H85" s="999" t="s">
        <v>1047</v>
      </c>
      <c r="I85" s="999" t="s">
        <v>897</v>
      </c>
      <c r="J85" s="1001">
        <v>40743</v>
      </c>
      <c r="K85" s="1001">
        <v>45835</v>
      </c>
      <c r="L85" s="1000">
        <f t="shared" si="20"/>
        <v>167</v>
      </c>
      <c r="M85" s="1002">
        <f t="shared" si="21"/>
        <v>13.916666666666666</v>
      </c>
      <c r="N85" s="1000">
        <v>13</v>
      </c>
      <c r="O85" s="1000">
        <v>13</v>
      </c>
      <c r="P85" s="1000">
        <v>43</v>
      </c>
      <c r="Q85" s="999" t="s">
        <v>898</v>
      </c>
      <c r="R85" s="999" t="s">
        <v>899</v>
      </c>
      <c r="S85" s="999" t="s">
        <v>900</v>
      </c>
      <c r="T85" s="999" t="s">
        <v>1048</v>
      </c>
      <c r="U85" s="1000" t="s">
        <v>55</v>
      </c>
      <c r="V85" s="1000" t="s">
        <v>914</v>
      </c>
      <c r="W85" s="1003">
        <v>14273</v>
      </c>
      <c r="X85" s="1000" t="s">
        <v>903</v>
      </c>
      <c r="Y85" s="1000">
        <v>86</v>
      </c>
      <c r="Z85" s="1000" t="s">
        <v>904</v>
      </c>
      <c r="AA85" s="1000" t="s">
        <v>905</v>
      </c>
      <c r="AB85" s="1000" t="s">
        <v>911</v>
      </c>
      <c r="AC85" s="1000" t="s">
        <v>907</v>
      </c>
      <c r="AD85" s="1004">
        <v>5333.97</v>
      </c>
      <c r="AE85" s="1004">
        <f t="shared" si="18"/>
        <v>74231.082500000004</v>
      </c>
      <c r="AF85" s="1004">
        <f t="shared" si="22"/>
        <v>74231.082500000004</v>
      </c>
      <c r="AG85" s="1005">
        <f t="shared" si="17"/>
        <v>13.916666666666666</v>
      </c>
      <c r="AH85" s="1005">
        <f t="shared" si="19"/>
        <v>11.719519116762473</v>
      </c>
    </row>
    <row r="86" spans="1:34" x14ac:dyDescent="0.25">
      <c r="A86" s="999">
        <v>32396</v>
      </c>
      <c r="B86" s="999" t="s">
        <v>933</v>
      </c>
      <c r="C86" s="999" t="s">
        <v>934</v>
      </c>
      <c r="D86" s="999" t="s">
        <v>935</v>
      </c>
      <c r="E86" s="999" t="s">
        <v>895</v>
      </c>
      <c r="F86" s="999">
        <v>1950856</v>
      </c>
      <c r="G86" s="1000">
        <v>1439120200</v>
      </c>
      <c r="H86" s="999" t="s">
        <v>1049</v>
      </c>
      <c r="I86" s="999" t="s">
        <v>897</v>
      </c>
      <c r="J86" s="1001">
        <v>41058</v>
      </c>
      <c r="K86" s="1001">
        <v>45835</v>
      </c>
      <c r="L86" s="1000">
        <f t="shared" si="20"/>
        <v>156</v>
      </c>
      <c r="M86" s="1002">
        <f t="shared" si="21"/>
        <v>13</v>
      </c>
      <c r="N86" s="1000">
        <v>13</v>
      </c>
      <c r="O86" s="1000">
        <v>13</v>
      </c>
      <c r="P86" s="1000">
        <v>43</v>
      </c>
      <c r="Q86" s="999" t="s">
        <v>898</v>
      </c>
      <c r="R86" s="999" t="s">
        <v>899</v>
      </c>
      <c r="S86" s="999" t="s">
        <v>900</v>
      </c>
      <c r="T86" s="999" t="s">
        <v>1050</v>
      </c>
      <c r="U86" s="1000" t="s">
        <v>55</v>
      </c>
      <c r="V86" s="1000" t="s">
        <v>914</v>
      </c>
      <c r="W86" s="1003">
        <v>14621</v>
      </c>
      <c r="X86" s="1000" t="s">
        <v>903</v>
      </c>
      <c r="Y86" s="1000">
        <v>85</v>
      </c>
      <c r="Z86" s="1000" t="s">
        <v>904</v>
      </c>
      <c r="AA86" s="1000" t="s">
        <v>905</v>
      </c>
      <c r="AB86" s="1000" t="s">
        <v>911</v>
      </c>
      <c r="AC86" s="1000" t="s">
        <v>907</v>
      </c>
      <c r="AD86" s="1004">
        <v>5333.97</v>
      </c>
      <c r="AE86" s="1004">
        <f t="shared" si="18"/>
        <v>69341.61</v>
      </c>
      <c r="AF86" s="1004">
        <f t="shared" si="22"/>
        <v>69341.61</v>
      </c>
      <c r="AG86" s="1005">
        <f t="shared" si="17"/>
        <v>13</v>
      </c>
      <c r="AH86" s="1005">
        <f t="shared" si="19"/>
        <v>10.94757474380207</v>
      </c>
    </row>
    <row r="87" spans="1:34" x14ac:dyDescent="0.25">
      <c r="A87" s="999">
        <v>32396</v>
      </c>
      <c r="B87" s="999" t="s">
        <v>933</v>
      </c>
      <c r="C87" s="999" t="s">
        <v>934</v>
      </c>
      <c r="D87" s="999" t="s">
        <v>935</v>
      </c>
      <c r="E87" s="999" t="s">
        <v>895</v>
      </c>
      <c r="F87" s="999">
        <v>1265152</v>
      </c>
      <c r="G87" s="1000">
        <v>32797230787</v>
      </c>
      <c r="H87" s="999" t="s">
        <v>1051</v>
      </c>
      <c r="I87" s="999" t="s">
        <v>897</v>
      </c>
      <c r="J87" s="1001">
        <v>42291</v>
      </c>
      <c r="K87" s="1001">
        <v>45835</v>
      </c>
      <c r="L87" s="1000">
        <f t="shared" si="20"/>
        <v>116</v>
      </c>
      <c r="M87" s="1002">
        <f t="shared" si="21"/>
        <v>9.6666666666666661</v>
      </c>
      <c r="N87" s="1000">
        <v>9</v>
      </c>
      <c r="O87" s="1000">
        <v>10</v>
      </c>
      <c r="P87" s="1000">
        <v>43</v>
      </c>
      <c r="Q87" s="999" t="s">
        <v>898</v>
      </c>
      <c r="R87" s="999" t="s">
        <v>899</v>
      </c>
      <c r="S87" s="999" t="s">
        <v>900</v>
      </c>
      <c r="T87" s="999" t="s">
        <v>909</v>
      </c>
      <c r="U87" s="1000"/>
      <c r="V87" s="1000" t="s">
        <v>914</v>
      </c>
      <c r="W87" s="1003">
        <v>16897</v>
      </c>
      <c r="X87" s="1000" t="s">
        <v>903</v>
      </c>
      <c r="Y87" s="1000">
        <v>79</v>
      </c>
      <c r="Z87" s="1000" t="s">
        <v>904</v>
      </c>
      <c r="AA87" s="1000" t="s">
        <v>905</v>
      </c>
      <c r="AB87" s="1000" t="s">
        <v>938</v>
      </c>
      <c r="AC87" s="1000" t="s">
        <v>907</v>
      </c>
      <c r="AD87" s="1004">
        <v>3813.57</v>
      </c>
      <c r="AE87" s="1004">
        <f t="shared" si="18"/>
        <v>36864.51</v>
      </c>
      <c r="AF87" s="1004">
        <f t="shared" si="22"/>
        <v>36864.51</v>
      </c>
      <c r="AG87" s="1005">
        <f t="shared" si="17"/>
        <v>9.6666666666666661</v>
      </c>
      <c r="AH87" s="1005">
        <f t="shared" si="19"/>
        <v>7.6584551590607397</v>
      </c>
    </row>
    <row r="88" spans="1:34" x14ac:dyDescent="0.25">
      <c r="A88" s="999">
        <v>32396</v>
      </c>
      <c r="B88" s="999" t="s">
        <v>933</v>
      </c>
      <c r="C88" s="999" t="s">
        <v>934</v>
      </c>
      <c r="D88" s="999" t="s">
        <v>935</v>
      </c>
      <c r="E88" s="999" t="s">
        <v>895</v>
      </c>
      <c r="F88" s="999">
        <v>1846155</v>
      </c>
      <c r="G88" s="1000">
        <v>3585859704</v>
      </c>
      <c r="H88" s="999" t="s">
        <v>1052</v>
      </c>
      <c r="I88" s="999" t="s">
        <v>897</v>
      </c>
      <c r="J88" s="1001">
        <v>40570</v>
      </c>
      <c r="K88" s="1001">
        <v>45835</v>
      </c>
      <c r="L88" s="1000">
        <f t="shared" si="20"/>
        <v>173</v>
      </c>
      <c r="M88" s="1002">
        <f t="shared" si="21"/>
        <v>14.416666666666666</v>
      </c>
      <c r="N88" s="1000">
        <v>14</v>
      </c>
      <c r="O88" s="1000">
        <v>14</v>
      </c>
      <c r="P88" s="1000">
        <v>43</v>
      </c>
      <c r="Q88" s="999" t="s">
        <v>898</v>
      </c>
      <c r="R88" s="999" t="s">
        <v>899</v>
      </c>
      <c r="S88" s="999" t="s">
        <v>900</v>
      </c>
      <c r="T88" s="999" t="s">
        <v>982</v>
      </c>
      <c r="U88" s="1000" t="s">
        <v>54</v>
      </c>
      <c r="V88" s="1000" t="s">
        <v>914</v>
      </c>
      <c r="W88" s="1003">
        <v>15513</v>
      </c>
      <c r="X88" s="1000" t="s">
        <v>903</v>
      </c>
      <c r="Y88" s="1000">
        <v>82</v>
      </c>
      <c r="Z88" s="1000" t="s">
        <v>904</v>
      </c>
      <c r="AA88" s="1000" t="s">
        <v>905</v>
      </c>
      <c r="AB88" s="1000" t="s">
        <v>925</v>
      </c>
      <c r="AC88" s="1000" t="s">
        <v>907</v>
      </c>
      <c r="AD88" s="1004">
        <v>10126.049999999999</v>
      </c>
      <c r="AE88" s="1004">
        <f t="shared" si="18"/>
        <v>145983.88749999998</v>
      </c>
      <c r="AF88" s="1004">
        <f t="shared" si="22"/>
        <v>145983.88749999998</v>
      </c>
      <c r="AG88" s="1005">
        <f t="shared" si="17"/>
        <v>14.416666666666666</v>
      </c>
      <c r="AH88" s="1005">
        <f t="shared" si="19"/>
        <v>13.120908813100785</v>
      </c>
    </row>
    <row r="89" spans="1:34" x14ac:dyDescent="0.25">
      <c r="A89" s="999">
        <v>32396</v>
      </c>
      <c r="B89" s="999" t="s">
        <v>933</v>
      </c>
      <c r="C89" s="999" t="s">
        <v>934</v>
      </c>
      <c r="D89" s="999" t="s">
        <v>935</v>
      </c>
      <c r="E89" s="999" t="s">
        <v>895</v>
      </c>
      <c r="F89" s="999">
        <v>1848721</v>
      </c>
      <c r="G89" s="1000">
        <v>13775170634</v>
      </c>
      <c r="H89" s="999" t="s">
        <v>1053</v>
      </c>
      <c r="I89" s="999" t="s">
        <v>897</v>
      </c>
      <c r="J89" s="1001">
        <v>40575</v>
      </c>
      <c r="K89" s="1001">
        <v>45835</v>
      </c>
      <c r="L89" s="1000">
        <f t="shared" si="20"/>
        <v>172</v>
      </c>
      <c r="M89" s="1002">
        <f t="shared" si="21"/>
        <v>14.333333333333334</v>
      </c>
      <c r="N89" s="1000">
        <v>14</v>
      </c>
      <c r="O89" s="1000">
        <v>14</v>
      </c>
      <c r="P89" s="1000">
        <v>43</v>
      </c>
      <c r="Q89" s="999" t="s">
        <v>898</v>
      </c>
      <c r="R89" s="999" t="s">
        <v>899</v>
      </c>
      <c r="S89" s="999" t="s">
        <v>900</v>
      </c>
      <c r="T89" s="999" t="s">
        <v>1054</v>
      </c>
      <c r="U89" s="1000"/>
      <c r="V89" s="1000" t="s">
        <v>910</v>
      </c>
      <c r="W89" s="1003">
        <v>18118</v>
      </c>
      <c r="X89" s="1000" t="s">
        <v>903</v>
      </c>
      <c r="Y89" s="1000">
        <v>75</v>
      </c>
      <c r="Z89" s="1000" t="s">
        <v>904</v>
      </c>
      <c r="AA89" s="1000" t="s">
        <v>905</v>
      </c>
      <c r="AB89" s="1000" t="s">
        <v>938</v>
      </c>
      <c r="AC89" s="1000" t="s">
        <v>907</v>
      </c>
      <c r="AD89" s="1004">
        <v>3813.57</v>
      </c>
      <c r="AE89" s="1004">
        <f t="shared" si="18"/>
        <v>54661.170000000006</v>
      </c>
      <c r="AF89" s="1004">
        <f t="shared" si="22"/>
        <v>54661.170000000006</v>
      </c>
      <c r="AG89" s="1005">
        <f t="shared" si="17"/>
        <v>14.333333333333334</v>
      </c>
      <c r="AH89" s="1005">
        <f t="shared" si="19"/>
        <v>11.355640408262477</v>
      </c>
    </row>
    <row r="90" spans="1:34" x14ac:dyDescent="0.25">
      <c r="A90" s="999">
        <v>32396</v>
      </c>
      <c r="B90" s="999" t="s">
        <v>933</v>
      </c>
      <c r="C90" s="999" t="s">
        <v>934</v>
      </c>
      <c r="D90" s="999" t="s">
        <v>935</v>
      </c>
      <c r="E90" s="999" t="s">
        <v>895</v>
      </c>
      <c r="F90" s="999">
        <v>1887121</v>
      </c>
      <c r="G90" s="1000">
        <v>8770786615</v>
      </c>
      <c r="H90" s="999" t="s">
        <v>1055</v>
      </c>
      <c r="I90" s="999" t="s">
        <v>897</v>
      </c>
      <c r="J90" s="1001">
        <v>40764</v>
      </c>
      <c r="K90" s="1001">
        <v>45835</v>
      </c>
      <c r="L90" s="1000">
        <f t="shared" si="20"/>
        <v>166</v>
      </c>
      <c r="M90" s="1002">
        <f t="shared" si="21"/>
        <v>13.833333333333334</v>
      </c>
      <c r="N90" s="1000">
        <v>13</v>
      </c>
      <c r="O90" s="1000">
        <v>13</v>
      </c>
      <c r="P90" s="1000">
        <v>43</v>
      </c>
      <c r="Q90" s="999" t="s">
        <v>898</v>
      </c>
      <c r="R90" s="999" t="s">
        <v>899</v>
      </c>
      <c r="S90" s="999" t="s">
        <v>900</v>
      </c>
      <c r="T90" s="999" t="s">
        <v>1056</v>
      </c>
      <c r="U90" s="1000" t="s">
        <v>55</v>
      </c>
      <c r="V90" s="1000" t="s">
        <v>914</v>
      </c>
      <c r="W90" s="1003">
        <v>17674</v>
      </c>
      <c r="X90" s="1000" t="s">
        <v>903</v>
      </c>
      <c r="Y90" s="1000">
        <v>76</v>
      </c>
      <c r="Z90" s="1000" t="s">
        <v>904</v>
      </c>
      <c r="AA90" s="1000" t="s">
        <v>905</v>
      </c>
      <c r="AB90" s="1000" t="s">
        <v>911</v>
      </c>
      <c r="AC90" s="1000" t="s">
        <v>907</v>
      </c>
      <c r="AD90" s="1004">
        <v>5333.97</v>
      </c>
      <c r="AE90" s="1004">
        <f t="shared" si="18"/>
        <v>73786.585000000006</v>
      </c>
      <c r="AF90" s="1004">
        <f t="shared" si="22"/>
        <v>73786.585000000006</v>
      </c>
      <c r="AG90" s="1005">
        <f t="shared" si="17"/>
        <v>13.833333333333334</v>
      </c>
      <c r="AH90" s="1005">
        <f t="shared" si="19"/>
        <v>11.649342355584254</v>
      </c>
    </row>
    <row r="91" spans="1:34" x14ac:dyDescent="0.25">
      <c r="A91" s="999">
        <v>32396</v>
      </c>
      <c r="B91" s="999" t="s">
        <v>933</v>
      </c>
      <c r="C91" s="999" t="s">
        <v>934</v>
      </c>
      <c r="D91" s="999" t="s">
        <v>935</v>
      </c>
      <c r="E91" s="999" t="s">
        <v>895</v>
      </c>
      <c r="F91" s="999">
        <v>1911450</v>
      </c>
      <c r="G91" s="1000">
        <v>26991888753</v>
      </c>
      <c r="H91" s="999" t="s">
        <v>1057</v>
      </c>
      <c r="I91" s="999" t="s">
        <v>897</v>
      </c>
      <c r="J91" s="1001">
        <v>40926</v>
      </c>
      <c r="K91" s="1001">
        <v>45835</v>
      </c>
      <c r="L91" s="1000">
        <f t="shared" si="20"/>
        <v>161</v>
      </c>
      <c r="M91" s="1002">
        <f t="shared" si="21"/>
        <v>13.416666666666666</v>
      </c>
      <c r="N91" s="1000">
        <v>13</v>
      </c>
      <c r="O91" s="1000">
        <v>13</v>
      </c>
      <c r="P91" s="1000">
        <v>43</v>
      </c>
      <c r="Q91" s="999" t="s">
        <v>898</v>
      </c>
      <c r="R91" s="999" t="s">
        <v>899</v>
      </c>
      <c r="S91" s="999" t="s">
        <v>900</v>
      </c>
      <c r="T91" s="999" t="s">
        <v>1058</v>
      </c>
      <c r="U91" s="1000" t="s">
        <v>54</v>
      </c>
      <c r="V91" s="1000" t="s">
        <v>914</v>
      </c>
      <c r="W91" s="1003">
        <v>16763</v>
      </c>
      <c r="X91" s="1000" t="s">
        <v>903</v>
      </c>
      <c r="Y91" s="1000">
        <v>79</v>
      </c>
      <c r="Z91" s="1000" t="s">
        <v>904</v>
      </c>
      <c r="AA91" s="1000" t="s">
        <v>905</v>
      </c>
      <c r="AB91" s="1000" t="s">
        <v>925</v>
      </c>
      <c r="AC91" s="1000" t="s">
        <v>907</v>
      </c>
      <c r="AD91" s="1004">
        <v>10126.049999999999</v>
      </c>
      <c r="AE91" s="1004">
        <f t="shared" si="18"/>
        <v>135857.83749999999</v>
      </c>
      <c r="AF91" s="1004">
        <f t="shared" si="22"/>
        <v>135857.83749999999</v>
      </c>
      <c r="AG91" s="1005">
        <f t="shared" si="17"/>
        <v>13.416666666666668</v>
      </c>
      <c r="AH91" s="1005">
        <f t="shared" si="19"/>
        <v>12.210787970573564</v>
      </c>
    </row>
    <row r="92" spans="1:34" x14ac:dyDescent="0.25">
      <c r="A92" s="999">
        <v>32396</v>
      </c>
      <c r="B92" s="999" t="s">
        <v>933</v>
      </c>
      <c r="C92" s="999" t="s">
        <v>934</v>
      </c>
      <c r="D92" s="999" t="s">
        <v>935</v>
      </c>
      <c r="E92" s="999" t="s">
        <v>895</v>
      </c>
      <c r="F92" s="999">
        <v>1843178</v>
      </c>
      <c r="G92" s="1000">
        <v>9437070725</v>
      </c>
      <c r="H92" s="999" t="s">
        <v>1059</v>
      </c>
      <c r="I92" s="999" t="s">
        <v>897</v>
      </c>
      <c r="J92" s="1001">
        <v>40569</v>
      </c>
      <c r="K92" s="1001">
        <v>45835</v>
      </c>
      <c r="L92" s="1000">
        <f t="shared" si="20"/>
        <v>173</v>
      </c>
      <c r="M92" s="1002">
        <f t="shared" si="21"/>
        <v>14.416666666666666</v>
      </c>
      <c r="N92" s="1000">
        <v>14</v>
      </c>
      <c r="O92" s="1000">
        <v>14</v>
      </c>
      <c r="P92" s="1000">
        <v>43</v>
      </c>
      <c r="Q92" s="999" t="s">
        <v>898</v>
      </c>
      <c r="R92" s="999" t="s">
        <v>899</v>
      </c>
      <c r="S92" s="999" t="s">
        <v>900</v>
      </c>
      <c r="T92" s="999" t="s">
        <v>1060</v>
      </c>
      <c r="U92" s="1000" t="s">
        <v>55</v>
      </c>
      <c r="V92" s="1000" t="s">
        <v>914</v>
      </c>
      <c r="W92" s="1003">
        <v>15400</v>
      </c>
      <c r="X92" s="1000" t="s">
        <v>903</v>
      </c>
      <c r="Y92" s="1000">
        <v>83</v>
      </c>
      <c r="Z92" s="1000" t="s">
        <v>904</v>
      </c>
      <c r="AA92" s="1000" t="s">
        <v>905</v>
      </c>
      <c r="AB92" s="1000" t="s">
        <v>911</v>
      </c>
      <c r="AC92" s="1000" t="s">
        <v>907</v>
      </c>
      <c r="AD92" s="1004">
        <v>5333.97</v>
      </c>
      <c r="AE92" s="1004">
        <f t="shared" si="18"/>
        <v>76898.067500000005</v>
      </c>
      <c r="AF92" s="1004">
        <f t="shared" si="22"/>
        <v>76898.067500000005</v>
      </c>
      <c r="AG92" s="1005">
        <f t="shared" si="17"/>
        <v>14.416666666666666</v>
      </c>
      <c r="AH92" s="1005">
        <f t="shared" si="19"/>
        <v>12.140579683831783</v>
      </c>
    </row>
    <row r="93" spans="1:34" x14ac:dyDescent="0.25">
      <c r="A93" s="999">
        <v>32396</v>
      </c>
      <c r="B93" s="999" t="s">
        <v>933</v>
      </c>
      <c r="C93" s="999" t="s">
        <v>934</v>
      </c>
      <c r="D93" s="999" t="s">
        <v>935</v>
      </c>
      <c r="E93" s="999" t="s">
        <v>895</v>
      </c>
      <c r="F93" s="999">
        <v>1848524</v>
      </c>
      <c r="G93" s="1000">
        <v>1063758653</v>
      </c>
      <c r="H93" s="999" t="s">
        <v>1061</v>
      </c>
      <c r="I93" s="999" t="s">
        <v>897</v>
      </c>
      <c r="J93" s="1001">
        <v>40570</v>
      </c>
      <c r="K93" s="1001">
        <v>45835</v>
      </c>
      <c r="L93" s="1000">
        <f t="shared" si="20"/>
        <v>173</v>
      </c>
      <c r="M93" s="1002">
        <f t="shared" si="21"/>
        <v>14.416666666666666</v>
      </c>
      <c r="N93" s="1000">
        <v>14</v>
      </c>
      <c r="O93" s="1000">
        <v>14</v>
      </c>
      <c r="P93" s="1000">
        <v>43</v>
      </c>
      <c r="Q93" s="999" t="s">
        <v>898</v>
      </c>
      <c r="R93" s="999" t="s">
        <v>899</v>
      </c>
      <c r="S93" s="999" t="s">
        <v>900</v>
      </c>
      <c r="T93" s="999" t="s">
        <v>1062</v>
      </c>
      <c r="U93" s="1000" t="s">
        <v>55</v>
      </c>
      <c r="V93" s="1000" t="s">
        <v>914</v>
      </c>
      <c r="W93" s="1003">
        <v>16633</v>
      </c>
      <c r="X93" s="1000" t="s">
        <v>903</v>
      </c>
      <c r="Y93" s="1000">
        <v>79</v>
      </c>
      <c r="Z93" s="1000" t="s">
        <v>904</v>
      </c>
      <c r="AA93" s="1000" t="s">
        <v>905</v>
      </c>
      <c r="AB93" s="1000" t="s">
        <v>911</v>
      </c>
      <c r="AC93" s="1000" t="s">
        <v>907</v>
      </c>
      <c r="AD93" s="1004">
        <v>10605.39</v>
      </c>
      <c r="AE93" s="1004">
        <f t="shared" si="18"/>
        <v>152894.3725</v>
      </c>
      <c r="AF93" s="1004">
        <f t="shared" si="22"/>
        <v>152894.3725</v>
      </c>
      <c r="AG93" s="1005">
        <f t="shared" si="17"/>
        <v>14.416666666666668</v>
      </c>
      <c r="AH93" s="1005">
        <f t="shared" si="19"/>
        <v>13.174427787433254</v>
      </c>
    </row>
    <row r="94" spans="1:34" x14ac:dyDescent="0.25">
      <c r="A94" s="999">
        <v>32396</v>
      </c>
      <c r="B94" s="999" t="s">
        <v>933</v>
      </c>
      <c r="C94" s="999" t="s">
        <v>934</v>
      </c>
      <c r="D94" s="999" t="s">
        <v>935</v>
      </c>
      <c r="E94" s="999" t="s">
        <v>895</v>
      </c>
      <c r="F94" s="999">
        <v>1846456</v>
      </c>
      <c r="G94" s="1000">
        <v>39518450749</v>
      </c>
      <c r="H94" s="999" t="s">
        <v>1063</v>
      </c>
      <c r="I94" s="999" t="s">
        <v>897</v>
      </c>
      <c r="J94" s="1001">
        <v>40568</v>
      </c>
      <c r="K94" s="1001">
        <v>45835</v>
      </c>
      <c r="L94" s="1000">
        <f t="shared" si="20"/>
        <v>173</v>
      </c>
      <c r="M94" s="1002">
        <f t="shared" si="21"/>
        <v>14.416666666666666</v>
      </c>
      <c r="N94" s="1000">
        <v>14</v>
      </c>
      <c r="O94" s="1000">
        <v>14</v>
      </c>
      <c r="P94" s="1000">
        <v>43</v>
      </c>
      <c r="Q94" s="999" t="s">
        <v>898</v>
      </c>
      <c r="R94" s="999" t="s">
        <v>899</v>
      </c>
      <c r="S94" s="999" t="s">
        <v>900</v>
      </c>
      <c r="T94" s="999" t="s">
        <v>946</v>
      </c>
      <c r="U94" s="1000"/>
      <c r="V94" s="1000" t="s">
        <v>914</v>
      </c>
      <c r="W94" s="1003">
        <v>17540</v>
      </c>
      <c r="X94" s="1000" t="s">
        <v>903</v>
      </c>
      <c r="Y94" s="1000">
        <v>77</v>
      </c>
      <c r="Z94" s="1000" t="s">
        <v>904</v>
      </c>
      <c r="AA94" s="1000" t="s">
        <v>905</v>
      </c>
      <c r="AB94" s="1000" t="s">
        <v>938</v>
      </c>
      <c r="AC94" s="1000" t="s">
        <v>907</v>
      </c>
      <c r="AD94" s="1004">
        <v>3813.57</v>
      </c>
      <c r="AE94" s="1004">
        <f t="shared" si="18"/>
        <v>54978.967499999999</v>
      </c>
      <c r="AF94" s="1004">
        <f t="shared" si="22"/>
        <v>54978.967499999999</v>
      </c>
      <c r="AG94" s="1005">
        <f t="shared" si="17"/>
        <v>14.416666666666666</v>
      </c>
      <c r="AH94" s="1005">
        <f t="shared" si="19"/>
        <v>11.421661573426793</v>
      </c>
    </row>
    <row r="95" spans="1:34" x14ac:dyDescent="0.25">
      <c r="A95" s="999">
        <v>32396</v>
      </c>
      <c r="B95" s="999" t="s">
        <v>933</v>
      </c>
      <c r="C95" s="999" t="s">
        <v>934</v>
      </c>
      <c r="D95" s="999" t="s">
        <v>935</v>
      </c>
      <c r="E95" s="999" t="s">
        <v>895</v>
      </c>
      <c r="F95" s="999">
        <v>1952517</v>
      </c>
      <c r="G95" s="1000">
        <v>3241246272</v>
      </c>
      <c r="H95" s="999" t="s">
        <v>1064</v>
      </c>
      <c r="I95" s="999" t="s">
        <v>897</v>
      </c>
      <c r="J95" s="1001">
        <v>41052</v>
      </c>
      <c r="K95" s="1001">
        <v>45835</v>
      </c>
      <c r="L95" s="1000">
        <f t="shared" si="20"/>
        <v>157</v>
      </c>
      <c r="M95" s="1002">
        <f t="shared" si="21"/>
        <v>13.083333333333334</v>
      </c>
      <c r="N95" s="1000">
        <v>13</v>
      </c>
      <c r="O95" s="1000">
        <v>13</v>
      </c>
      <c r="P95" s="1000">
        <v>43</v>
      </c>
      <c r="Q95" s="999" t="s">
        <v>898</v>
      </c>
      <c r="R95" s="999" t="s">
        <v>899</v>
      </c>
      <c r="S95" s="999" t="s">
        <v>900</v>
      </c>
      <c r="T95" s="999" t="s">
        <v>1065</v>
      </c>
      <c r="U95" s="1000" t="s">
        <v>55</v>
      </c>
      <c r="V95" s="1000" t="s">
        <v>914</v>
      </c>
      <c r="W95" s="1003">
        <v>17396</v>
      </c>
      <c r="X95" s="1000" t="s">
        <v>903</v>
      </c>
      <c r="Y95" s="1000">
        <v>77</v>
      </c>
      <c r="Z95" s="1000" t="s">
        <v>904</v>
      </c>
      <c r="AA95" s="1000" t="s">
        <v>905</v>
      </c>
      <c r="AB95" s="1000" t="s">
        <v>911</v>
      </c>
      <c r="AC95" s="1000" t="s">
        <v>907</v>
      </c>
      <c r="AD95" s="1004">
        <v>5333.97</v>
      </c>
      <c r="AE95" s="1004">
        <f t="shared" si="18"/>
        <v>69786.107500000013</v>
      </c>
      <c r="AF95" s="1004">
        <f t="shared" si="22"/>
        <v>69786.107500000013</v>
      </c>
      <c r="AG95" s="1005">
        <f t="shared" si="17"/>
        <v>13.083333333333336</v>
      </c>
      <c r="AH95" s="1005">
        <f t="shared" si="19"/>
        <v>11.017751504980291</v>
      </c>
    </row>
    <row r="96" spans="1:34" x14ac:dyDescent="0.25">
      <c r="A96" s="999">
        <v>32396</v>
      </c>
      <c r="B96" s="999" t="s">
        <v>933</v>
      </c>
      <c r="C96" s="999" t="s">
        <v>934</v>
      </c>
      <c r="D96" s="999" t="s">
        <v>935</v>
      </c>
      <c r="E96" s="999" t="s">
        <v>895</v>
      </c>
      <c r="F96" s="999">
        <v>1092133</v>
      </c>
      <c r="G96" s="1000">
        <v>24991031753</v>
      </c>
      <c r="H96" s="999" t="s">
        <v>1066</v>
      </c>
      <c r="I96" s="999" t="s">
        <v>897</v>
      </c>
      <c r="J96" s="1001">
        <v>41673</v>
      </c>
      <c r="K96" s="1001">
        <v>45835</v>
      </c>
      <c r="L96" s="1000">
        <f t="shared" si="20"/>
        <v>136</v>
      </c>
      <c r="M96" s="1002">
        <f t="shared" si="21"/>
        <v>11.333333333333334</v>
      </c>
      <c r="N96" s="1000">
        <v>11</v>
      </c>
      <c r="O96" s="1000">
        <v>11</v>
      </c>
      <c r="P96" s="1000">
        <v>43</v>
      </c>
      <c r="Q96" s="999" t="s">
        <v>898</v>
      </c>
      <c r="R96" s="999" t="s">
        <v>899</v>
      </c>
      <c r="S96" s="999" t="s">
        <v>900</v>
      </c>
      <c r="T96" s="999" t="s">
        <v>1067</v>
      </c>
      <c r="U96" s="1000"/>
      <c r="V96" s="1000" t="s">
        <v>914</v>
      </c>
      <c r="W96" s="1003">
        <v>17990</v>
      </c>
      <c r="X96" s="1000" t="s">
        <v>903</v>
      </c>
      <c r="Y96" s="1000">
        <v>76</v>
      </c>
      <c r="Z96" s="1000" t="s">
        <v>904</v>
      </c>
      <c r="AA96" s="1000" t="s">
        <v>905</v>
      </c>
      <c r="AB96" s="1000" t="s">
        <v>938</v>
      </c>
      <c r="AC96" s="1000" t="s">
        <v>907</v>
      </c>
      <c r="AD96" s="1004">
        <v>3813.57</v>
      </c>
      <c r="AE96" s="1004">
        <f t="shared" si="18"/>
        <v>43220.460000000006</v>
      </c>
      <c r="AF96" s="1004">
        <f t="shared" si="22"/>
        <v>43220.460000000006</v>
      </c>
      <c r="AG96" s="1005">
        <f t="shared" si="17"/>
        <v>11.333333333333334</v>
      </c>
      <c r="AH96" s="1005">
        <f t="shared" si="19"/>
        <v>8.9788784623470743</v>
      </c>
    </row>
    <row r="97" spans="1:34" x14ac:dyDescent="0.25">
      <c r="A97" s="999">
        <v>32396</v>
      </c>
      <c r="B97" s="999" t="s">
        <v>933</v>
      </c>
      <c r="C97" s="999" t="s">
        <v>934</v>
      </c>
      <c r="D97" s="999" t="s">
        <v>935</v>
      </c>
      <c r="E97" s="999" t="s">
        <v>895</v>
      </c>
      <c r="F97" s="999">
        <v>1843354</v>
      </c>
      <c r="G97" s="1000">
        <v>15535509787</v>
      </c>
      <c r="H97" s="999" t="s">
        <v>1068</v>
      </c>
      <c r="I97" s="999" t="s">
        <v>897</v>
      </c>
      <c r="J97" s="1001">
        <v>40568</v>
      </c>
      <c r="K97" s="1001">
        <v>45835</v>
      </c>
      <c r="L97" s="1000">
        <f t="shared" si="20"/>
        <v>173</v>
      </c>
      <c r="M97" s="1002">
        <f t="shared" si="21"/>
        <v>14.416666666666666</v>
      </c>
      <c r="N97" s="1000">
        <v>14</v>
      </c>
      <c r="O97" s="1000">
        <v>14</v>
      </c>
      <c r="P97" s="1000">
        <v>43</v>
      </c>
      <c r="Q97" s="999" t="s">
        <v>898</v>
      </c>
      <c r="R97" s="999" t="s">
        <v>899</v>
      </c>
      <c r="S97" s="999" t="s">
        <v>900</v>
      </c>
      <c r="T97" s="999" t="s">
        <v>1060</v>
      </c>
      <c r="U97" s="1000" t="s">
        <v>55</v>
      </c>
      <c r="V97" s="1000" t="s">
        <v>914</v>
      </c>
      <c r="W97" s="1003">
        <v>17164</v>
      </c>
      <c r="X97" s="1000" t="s">
        <v>903</v>
      </c>
      <c r="Y97" s="1000">
        <v>78</v>
      </c>
      <c r="Z97" s="1000" t="s">
        <v>904</v>
      </c>
      <c r="AA97" s="1000" t="s">
        <v>905</v>
      </c>
      <c r="AB97" s="1000" t="s">
        <v>911</v>
      </c>
      <c r="AC97" s="1000" t="s">
        <v>907</v>
      </c>
      <c r="AD97" s="1004">
        <v>5566.34</v>
      </c>
      <c r="AE97" s="1004">
        <f t="shared" si="18"/>
        <v>80248.068333333329</v>
      </c>
      <c r="AF97" s="1004">
        <f t="shared" si="22"/>
        <v>80248.068333333329</v>
      </c>
      <c r="AG97" s="1005">
        <f t="shared" si="17"/>
        <v>14.416666666666666</v>
      </c>
      <c r="AH97" s="1005">
        <f t="shared" si="19"/>
        <v>12.221125974794685</v>
      </c>
    </row>
    <row r="98" spans="1:34" x14ac:dyDescent="0.25">
      <c r="A98" s="999">
        <v>32396</v>
      </c>
      <c r="B98" s="999" t="s">
        <v>933</v>
      </c>
      <c r="C98" s="999" t="s">
        <v>934</v>
      </c>
      <c r="D98" s="999" t="s">
        <v>935</v>
      </c>
      <c r="E98" s="999" t="s">
        <v>895</v>
      </c>
      <c r="F98" s="999">
        <v>1991572</v>
      </c>
      <c r="G98" s="1000">
        <v>28293452749</v>
      </c>
      <c r="H98" s="999" t="s">
        <v>1069</v>
      </c>
      <c r="I98" s="999" t="s">
        <v>920</v>
      </c>
      <c r="J98" s="1001">
        <v>41289</v>
      </c>
      <c r="K98" s="1001">
        <v>45835</v>
      </c>
      <c r="L98" s="1000">
        <f t="shared" si="20"/>
        <v>149</v>
      </c>
      <c r="M98" s="1002">
        <f t="shared" si="21"/>
        <v>12.416666666666666</v>
      </c>
      <c r="N98" s="1000">
        <v>12</v>
      </c>
      <c r="O98" s="1000">
        <v>12</v>
      </c>
      <c r="P98" s="1000">
        <v>43</v>
      </c>
      <c r="Q98" s="999" t="s">
        <v>898</v>
      </c>
      <c r="R98" s="999" t="s">
        <v>899</v>
      </c>
      <c r="S98" s="999" t="s">
        <v>900</v>
      </c>
      <c r="T98" s="999" t="s">
        <v>1019</v>
      </c>
      <c r="U98" s="1000"/>
      <c r="V98" s="1000" t="s">
        <v>914</v>
      </c>
      <c r="W98" s="1003">
        <v>16332</v>
      </c>
      <c r="X98" s="1000" t="s">
        <v>903</v>
      </c>
      <c r="Y98" s="1000">
        <v>80</v>
      </c>
      <c r="Z98" s="1000" t="s">
        <v>904</v>
      </c>
      <c r="AA98" s="1000" t="s">
        <v>905</v>
      </c>
      <c r="AB98" s="1000" t="s">
        <v>938</v>
      </c>
      <c r="AC98" s="1000" t="s">
        <v>907</v>
      </c>
      <c r="AD98" s="1004">
        <v>3813.57</v>
      </c>
      <c r="AE98" s="1004">
        <f t="shared" si="18"/>
        <v>47351.827499999999</v>
      </c>
      <c r="AF98" s="1004">
        <f t="shared" si="22"/>
        <v>47351.827499999999</v>
      </c>
      <c r="AG98" s="1005">
        <f t="shared" si="17"/>
        <v>12.416666666666666</v>
      </c>
      <c r="AH98" s="1005">
        <f t="shared" si="19"/>
        <v>9.83715360948319</v>
      </c>
    </row>
    <row r="99" spans="1:34" x14ac:dyDescent="0.25">
      <c r="A99" s="999">
        <v>32396</v>
      </c>
      <c r="B99" s="999" t="s">
        <v>933</v>
      </c>
      <c r="C99" s="999" t="s">
        <v>934</v>
      </c>
      <c r="D99" s="999" t="s">
        <v>935</v>
      </c>
      <c r="E99" s="999" t="s">
        <v>895</v>
      </c>
      <c r="F99" s="999">
        <v>1842074</v>
      </c>
      <c r="G99" s="1000">
        <v>19549016749</v>
      </c>
      <c r="H99" s="999" t="s">
        <v>1070</v>
      </c>
      <c r="I99" s="999" t="s">
        <v>897</v>
      </c>
      <c r="J99" s="1001">
        <v>40567</v>
      </c>
      <c r="K99" s="1001">
        <v>45835</v>
      </c>
      <c r="L99" s="1000">
        <f t="shared" si="20"/>
        <v>173</v>
      </c>
      <c r="M99" s="1002">
        <f t="shared" si="21"/>
        <v>14.416666666666666</v>
      </c>
      <c r="N99" s="1000">
        <v>14</v>
      </c>
      <c r="O99" s="1000">
        <v>14</v>
      </c>
      <c r="P99" s="1000">
        <v>43</v>
      </c>
      <c r="Q99" s="999" t="s">
        <v>898</v>
      </c>
      <c r="R99" s="999" t="s">
        <v>899</v>
      </c>
      <c r="S99" s="999" t="s">
        <v>900</v>
      </c>
      <c r="T99" s="999" t="s">
        <v>968</v>
      </c>
      <c r="U99" s="1000"/>
      <c r="V99" s="1000" t="s">
        <v>914</v>
      </c>
      <c r="W99" s="1003">
        <v>17773</v>
      </c>
      <c r="X99" s="1000" t="s">
        <v>903</v>
      </c>
      <c r="Y99" s="1000">
        <v>76</v>
      </c>
      <c r="Z99" s="1000" t="s">
        <v>904</v>
      </c>
      <c r="AA99" s="1000" t="s">
        <v>905</v>
      </c>
      <c r="AB99" s="1000" t="s">
        <v>938</v>
      </c>
      <c r="AC99" s="1000" t="s">
        <v>907</v>
      </c>
      <c r="AD99" s="1004">
        <v>3813.57</v>
      </c>
      <c r="AE99" s="1004">
        <f t="shared" si="18"/>
        <v>54978.967499999999</v>
      </c>
      <c r="AF99" s="1004">
        <f t="shared" si="22"/>
        <v>54978.967499999999</v>
      </c>
      <c r="AG99" s="1005">
        <f t="shared" si="17"/>
        <v>14.416666666666666</v>
      </c>
      <c r="AH99" s="1005">
        <f t="shared" si="19"/>
        <v>11.421661573426793</v>
      </c>
    </row>
    <row r="100" spans="1:34" x14ac:dyDescent="0.25">
      <c r="A100" s="999">
        <v>32396</v>
      </c>
      <c r="B100" s="999" t="s">
        <v>933</v>
      </c>
      <c r="C100" s="999" t="s">
        <v>934</v>
      </c>
      <c r="D100" s="999" t="s">
        <v>935</v>
      </c>
      <c r="E100" s="999" t="s">
        <v>895</v>
      </c>
      <c r="F100" s="999">
        <v>1887186</v>
      </c>
      <c r="G100" s="1000">
        <v>39961176715</v>
      </c>
      <c r="H100" s="999" t="s">
        <v>1071</v>
      </c>
      <c r="I100" s="999" t="s">
        <v>897</v>
      </c>
      <c r="J100" s="1001">
        <v>40764</v>
      </c>
      <c r="K100" s="1001">
        <v>45835</v>
      </c>
      <c r="L100" s="1000">
        <f t="shared" si="20"/>
        <v>166</v>
      </c>
      <c r="M100" s="1002">
        <f t="shared" si="21"/>
        <v>13.833333333333334</v>
      </c>
      <c r="N100" s="1000">
        <v>13</v>
      </c>
      <c r="O100" s="1000">
        <v>13</v>
      </c>
      <c r="P100" s="1000">
        <v>43</v>
      </c>
      <c r="Q100" s="999" t="s">
        <v>898</v>
      </c>
      <c r="R100" s="999" t="s">
        <v>899</v>
      </c>
      <c r="S100" s="999" t="s">
        <v>900</v>
      </c>
      <c r="T100" s="999" t="s">
        <v>1037</v>
      </c>
      <c r="U100" s="1000"/>
      <c r="V100" s="1000" t="s">
        <v>914</v>
      </c>
      <c r="W100" s="1003">
        <v>16637</v>
      </c>
      <c r="X100" s="1000" t="s">
        <v>903</v>
      </c>
      <c r="Y100" s="1000">
        <v>79</v>
      </c>
      <c r="Z100" s="1000" t="s">
        <v>904</v>
      </c>
      <c r="AA100" s="1000" t="s">
        <v>905</v>
      </c>
      <c r="AB100" s="1000" t="s">
        <v>938</v>
      </c>
      <c r="AC100" s="1000" t="s">
        <v>907</v>
      </c>
      <c r="AD100" s="1004">
        <v>3813.57</v>
      </c>
      <c r="AE100" s="1004">
        <f t="shared" si="18"/>
        <v>52754.385000000002</v>
      </c>
      <c r="AF100" s="1004">
        <f t="shared" si="22"/>
        <v>52754.385000000002</v>
      </c>
      <c r="AG100" s="1005">
        <f t="shared" si="17"/>
        <v>13.833333333333334</v>
      </c>
      <c r="AH100" s="1005">
        <f t="shared" si="19"/>
        <v>10.959513417276575</v>
      </c>
    </row>
    <row r="101" spans="1:34" x14ac:dyDescent="0.25">
      <c r="A101" s="999">
        <v>32396</v>
      </c>
      <c r="B101" s="999" t="s">
        <v>933</v>
      </c>
      <c r="C101" s="999" t="s">
        <v>934</v>
      </c>
      <c r="D101" s="999" t="s">
        <v>935</v>
      </c>
      <c r="E101" s="999" t="s">
        <v>895</v>
      </c>
      <c r="F101" s="999">
        <v>1949196</v>
      </c>
      <c r="G101" s="1000">
        <v>14229129653</v>
      </c>
      <c r="H101" s="999" t="s">
        <v>1072</v>
      </c>
      <c r="I101" s="999" t="s">
        <v>897</v>
      </c>
      <c r="J101" s="1001">
        <v>41054</v>
      </c>
      <c r="K101" s="1001">
        <v>45835</v>
      </c>
      <c r="L101" s="1000">
        <f t="shared" si="20"/>
        <v>157</v>
      </c>
      <c r="M101" s="1002">
        <f t="shared" si="21"/>
        <v>13.083333333333334</v>
      </c>
      <c r="N101" s="1000">
        <v>13</v>
      </c>
      <c r="O101" s="1000">
        <v>13</v>
      </c>
      <c r="P101" s="1000">
        <v>43</v>
      </c>
      <c r="Q101" s="999" t="s">
        <v>898</v>
      </c>
      <c r="R101" s="999" t="s">
        <v>899</v>
      </c>
      <c r="S101" s="999" t="s">
        <v>900</v>
      </c>
      <c r="T101" s="999" t="s">
        <v>1013</v>
      </c>
      <c r="U101" s="1000"/>
      <c r="V101" s="1000" t="s">
        <v>914</v>
      </c>
      <c r="W101" s="1003">
        <v>14378</v>
      </c>
      <c r="X101" s="1000" t="s">
        <v>903</v>
      </c>
      <c r="Y101" s="1000">
        <v>85</v>
      </c>
      <c r="Z101" s="1000" t="s">
        <v>904</v>
      </c>
      <c r="AA101" s="1000" t="s">
        <v>905</v>
      </c>
      <c r="AB101" s="1000" t="s">
        <v>938</v>
      </c>
      <c r="AC101" s="1000" t="s">
        <v>907</v>
      </c>
      <c r="AD101" s="1004">
        <v>3813.57</v>
      </c>
      <c r="AE101" s="1004">
        <f t="shared" si="18"/>
        <v>49894.207500000004</v>
      </c>
      <c r="AF101" s="1004">
        <f t="shared" si="22"/>
        <v>49894.207500000004</v>
      </c>
      <c r="AG101" s="1005">
        <f t="shared" si="17"/>
        <v>13.083333333333334</v>
      </c>
      <c r="AH101" s="1005">
        <f t="shared" si="19"/>
        <v>10.365322930797726</v>
      </c>
    </row>
    <row r="102" spans="1:34" x14ac:dyDescent="0.25">
      <c r="A102" s="999">
        <v>32396</v>
      </c>
      <c r="B102" s="999" t="s">
        <v>933</v>
      </c>
      <c r="C102" s="999" t="s">
        <v>934</v>
      </c>
      <c r="D102" s="999" t="s">
        <v>935</v>
      </c>
      <c r="E102" s="999" t="s">
        <v>895</v>
      </c>
      <c r="F102" s="999">
        <v>1963963</v>
      </c>
      <c r="G102" s="1000">
        <v>21411441753</v>
      </c>
      <c r="H102" s="999" t="s">
        <v>1073</v>
      </c>
      <c r="I102" s="999" t="s">
        <v>897</v>
      </c>
      <c r="J102" s="1001">
        <v>41138</v>
      </c>
      <c r="K102" s="1001">
        <v>45835</v>
      </c>
      <c r="L102" s="1000">
        <f t="shared" si="20"/>
        <v>154</v>
      </c>
      <c r="M102" s="1002">
        <f t="shared" si="21"/>
        <v>12.833333333333334</v>
      </c>
      <c r="N102" s="1000">
        <v>12</v>
      </c>
      <c r="O102" s="1000">
        <v>12</v>
      </c>
      <c r="P102" s="1000">
        <v>43</v>
      </c>
      <c r="Q102" s="999" t="s">
        <v>898</v>
      </c>
      <c r="R102" s="999" t="s">
        <v>899</v>
      </c>
      <c r="S102" s="999" t="s">
        <v>900</v>
      </c>
      <c r="T102" s="999" t="s">
        <v>1074</v>
      </c>
      <c r="U102" s="1000" t="s">
        <v>55</v>
      </c>
      <c r="V102" s="1000" t="s">
        <v>914</v>
      </c>
      <c r="W102" s="1003">
        <v>17842</v>
      </c>
      <c r="X102" s="1000" t="s">
        <v>903</v>
      </c>
      <c r="Y102" s="1000">
        <v>76</v>
      </c>
      <c r="Z102" s="1000" t="s">
        <v>904</v>
      </c>
      <c r="AA102" s="1000" t="s">
        <v>905</v>
      </c>
      <c r="AB102" s="1000" t="s">
        <v>911</v>
      </c>
      <c r="AC102" s="1000" t="s">
        <v>907</v>
      </c>
      <c r="AD102" s="1004">
        <v>5333.97</v>
      </c>
      <c r="AE102" s="1004">
        <f t="shared" si="18"/>
        <v>68452.615000000005</v>
      </c>
      <c r="AF102" s="1004">
        <f t="shared" si="22"/>
        <v>68452.615000000005</v>
      </c>
      <c r="AG102" s="1005">
        <f t="shared" si="17"/>
        <v>12.833333333333334</v>
      </c>
      <c r="AH102" s="1005">
        <f t="shared" si="19"/>
        <v>10.807221221445634</v>
      </c>
    </row>
    <row r="103" spans="1:34" x14ac:dyDescent="0.25">
      <c r="A103" s="999">
        <v>32396</v>
      </c>
      <c r="B103" s="999" t="s">
        <v>933</v>
      </c>
      <c r="C103" s="999" t="s">
        <v>934</v>
      </c>
      <c r="D103" s="999" t="s">
        <v>935</v>
      </c>
      <c r="E103" s="999" t="s">
        <v>895</v>
      </c>
      <c r="F103" s="999">
        <v>1890428</v>
      </c>
      <c r="G103" s="1000">
        <v>12810193649</v>
      </c>
      <c r="H103" s="999" t="s">
        <v>1075</v>
      </c>
      <c r="I103" s="999" t="s">
        <v>897</v>
      </c>
      <c r="J103" s="1001">
        <v>40787</v>
      </c>
      <c r="K103" s="1001">
        <v>45835</v>
      </c>
      <c r="L103" s="1000">
        <f t="shared" si="20"/>
        <v>165</v>
      </c>
      <c r="M103" s="1002">
        <f t="shared" si="21"/>
        <v>13.75</v>
      </c>
      <c r="N103" s="1000">
        <v>13</v>
      </c>
      <c r="O103" s="1000">
        <v>13</v>
      </c>
      <c r="P103" s="1000">
        <v>43</v>
      </c>
      <c r="Q103" s="999" t="s">
        <v>898</v>
      </c>
      <c r="R103" s="999" t="s">
        <v>899</v>
      </c>
      <c r="S103" s="999" t="s">
        <v>900</v>
      </c>
      <c r="T103" s="999" t="s">
        <v>1054</v>
      </c>
      <c r="U103" s="1000"/>
      <c r="V103" s="1000" t="s">
        <v>914</v>
      </c>
      <c r="W103" s="1003">
        <v>17846</v>
      </c>
      <c r="X103" s="1000" t="s">
        <v>903</v>
      </c>
      <c r="Y103" s="1000">
        <v>76</v>
      </c>
      <c r="Z103" s="1000" t="s">
        <v>904</v>
      </c>
      <c r="AA103" s="1000" t="s">
        <v>905</v>
      </c>
      <c r="AB103" s="1000" t="s">
        <v>938</v>
      </c>
      <c r="AC103" s="1000" t="s">
        <v>907</v>
      </c>
      <c r="AD103" s="1004">
        <v>3813.57</v>
      </c>
      <c r="AE103" s="1004">
        <f t="shared" si="18"/>
        <v>52436.587500000001</v>
      </c>
      <c r="AF103" s="1004">
        <f t="shared" si="22"/>
        <v>52436.587500000001</v>
      </c>
      <c r="AG103" s="1005">
        <f t="shared" si="17"/>
        <v>13.75</v>
      </c>
      <c r="AH103" s="1005">
        <f t="shared" si="19"/>
        <v>10.893492252112258</v>
      </c>
    </row>
    <row r="104" spans="1:34" x14ac:dyDescent="0.25">
      <c r="A104" s="999">
        <v>32396</v>
      </c>
      <c r="B104" s="999" t="s">
        <v>933</v>
      </c>
      <c r="C104" s="999" t="s">
        <v>934</v>
      </c>
      <c r="D104" s="999" t="s">
        <v>935</v>
      </c>
      <c r="E104" s="999" t="s">
        <v>895</v>
      </c>
      <c r="F104" s="999">
        <v>1915509</v>
      </c>
      <c r="G104" s="1000">
        <v>61828742791</v>
      </c>
      <c r="H104" s="999" t="s">
        <v>1076</v>
      </c>
      <c r="I104" s="999" t="s">
        <v>897</v>
      </c>
      <c r="J104" s="1001">
        <v>40946</v>
      </c>
      <c r="K104" s="1001">
        <v>45835</v>
      </c>
      <c r="L104" s="1000">
        <f t="shared" si="20"/>
        <v>160</v>
      </c>
      <c r="M104" s="1002">
        <f t="shared" si="21"/>
        <v>13.333333333333334</v>
      </c>
      <c r="N104" s="1000">
        <v>13</v>
      </c>
      <c r="O104" s="1000">
        <v>13</v>
      </c>
      <c r="P104" s="1000">
        <v>43</v>
      </c>
      <c r="Q104" s="999" t="s">
        <v>898</v>
      </c>
      <c r="R104" s="999" t="s">
        <v>899</v>
      </c>
      <c r="S104" s="999" t="s">
        <v>900</v>
      </c>
      <c r="T104" s="999" t="s">
        <v>968</v>
      </c>
      <c r="U104" s="1000" t="s">
        <v>55</v>
      </c>
      <c r="V104" s="1000" t="s">
        <v>914</v>
      </c>
      <c r="W104" s="1003">
        <v>17183</v>
      </c>
      <c r="X104" s="1000" t="s">
        <v>903</v>
      </c>
      <c r="Y104" s="1000">
        <v>78</v>
      </c>
      <c r="Z104" s="1000" t="s">
        <v>904</v>
      </c>
      <c r="AA104" s="1000" t="s">
        <v>905</v>
      </c>
      <c r="AB104" s="1000" t="s">
        <v>911</v>
      </c>
      <c r="AC104" s="1000" t="s">
        <v>907</v>
      </c>
      <c r="AD104" s="1004">
        <v>5333.97</v>
      </c>
      <c r="AE104" s="1004">
        <f t="shared" si="18"/>
        <v>71119.600000000006</v>
      </c>
      <c r="AF104" s="1004">
        <f t="shared" si="22"/>
        <v>71119.600000000006</v>
      </c>
      <c r="AG104" s="1005">
        <f t="shared" si="17"/>
        <v>13.333333333333334</v>
      </c>
      <c r="AH104" s="1005">
        <f t="shared" si="19"/>
        <v>11.228281788514945</v>
      </c>
    </row>
    <row r="105" spans="1:34" x14ac:dyDescent="0.25">
      <c r="A105" s="999">
        <v>32396</v>
      </c>
      <c r="B105" s="999" t="s">
        <v>933</v>
      </c>
      <c r="C105" s="999" t="s">
        <v>934</v>
      </c>
      <c r="D105" s="999" t="s">
        <v>935</v>
      </c>
      <c r="E105" s="999" t="s">
        <v>895</v>
      </c>
      <c r="F105" s="999">
        <v>1888682</v>
      </c>
      <c r="G105" s="1000">
        <v>9192611672</v>
      </c>
      <c r="H105" s="999" t="s">
        <v>1077</v>
      </c>
      <c r="I105" s="999" t="s">
        <v>897</v>
      </c>
      <c r="J105" s="1001">
        <v>40786</v>
      </c>
      <c r="K105" s="1001">
        <v>45835</v>
      </c>
      <c r="L105" s="1000">
        <f t="shared" si="20"/>
        <v>165</v>
      </c>
      <c r="M105" s="1002">
        <f t="shared" si="21"/>
        <v>13.75</v>
      </c>
      <c r="N105" s="1000">
        <v>13</v>
      </c>
      <c r="O105" s="1000">
        <v>13</v>
      </c>
      <c r="P105" s="1000">
        <v>43</v>
      </c>
      <c r="Q105" s="999" t="s">
        <v>898</v>
      </c>
      <c r="R105" s="999" t="s">
        <v>899</v>
      </c>
      <c r="S105" s="999" t="s">
        <v>900</v>
      </c>
      <c r="T105" s="999" t="s">
        <v>1078</v>
      </c>
      <c r="U105" s="1000"/>
      <c r="V105" s="1000" t="s">
        <v>914</v>
      </c>
      <c r="W105" s="1003">
        <v>17456</v>
      </c>
      <c r="X105" s="1000" t="s">
        <v>903</v>
      </c>
      <c r="Y105" s="1000">
        <v>77</v>
      </c>
      <c r="Z105" s="1000" t="s">
        <v>904</v>
      </c>
      <c r="AA105" s="1000" t="s">
        <v>905</v>
      </c>
      <c r="AB105" s="1000" t="s">
        <v>938</v>
      </c>
      <c r="AC105" s="1000" t="s">
        <v>907</v>
      </c>
      <c r="AD105" s="1004">
        <v>3813.57</v>
      </c>
      <c r="AE105" s="1004">
        <f t="shared" si="18"/>
        <v>52436.587500000001</v>
      </c>
      <c r="AF105" s="1004">
        <f t="shared" si="22"/>
        <v>52436.587500000001</v>
      </c>
      <c r="AG105" s="1005">
        <f t="shared" si="17"/>
        <v>13.75</v>
      </c>
      <c r="AH105" s="1005">
        <f t="shared" si="19"/>
        <v>10.893492252112258</v>
      </c>
    </row>
    <row r="106" spans="1:34" x14ac:dyDescent="0.25">
      <c r="A106" s="999">
        <v>32396</v>
      </c>
      <c r="B106" s="999" t="s">
        <v>933</v>
      </c>
      <c r="C106" s="999" t="s">
        <v>934</v>
      </c>
      <c r="D106" s="999" t="s">
        <v>935</v>
      </c>
      <c r="E106" s="999" t="s">
        <v>895</v>
      </c>
      <c r="F106" s="999">
        <v>1883569</v>
      </c>
      <c r="G106" s="1000">
        <v>31745946772</v>
      </c>
      <c r="H106" s="999" t="s">
        <v>1079</v>
      </c>
      <c r="I106" s="999" t="s">
        <v>897</v>
      </c>
      <c r="J106" s="1001">
        <v>40745</v>
      </c>
      <c r="K106" s="1001">
        <v>45835</v>
      </c>
      <c r="L106" s="1000">
        <f t="shared" si="20"/>
        <v>167</v>
      </c>
      <c r="M106" s="1002">
        <f t="shared" si="21"/>
        <v>13.916666666666666</v>
      </c>
      <c r="N106" s="1000">
        <v>13</v>
      </c>
      <c r="O106" s="1000">
        <v>13</v>
      </c>
      <c r="P106" s="1000">
        <v>43</v>
      </c>
      <c r="Q106" s="999" t="s">
        <v>898</v>
      </c>
      <c r="R106" s="999" t="s">
        <v>899</v>
      </c>
      <c r="S106" s="999" t="s">
        <v>900</v>
      </c>
      <c r="T106" s="999" t="s">
        <v>1080</v>
      </c>
      <c r="U106" s="1000"/>
      <c r="V106" s="1000" t="s">
        <v>914</v>
      </c>
      <c r="W106" s="1003">
        <v>17005</v>
      </c>
      <c r="X106" s="1000" t="s">
        <v>903</v>
      </c>
      <c r="Y106" s="1000">
        <v>78</v>
      </c>
      <c r="Z106" s="1000" t="s">
        <v>904</v>
      </c>
      <c r="AA106" s="1000" t="s">
        <v>905</v>
      </c>
      <c r="AB106" s="1000" t="s">
        <v>938</v>
      </c>
      <c r="AC106" s="1000" t="s">
        <v>907</v>
      </c>
      <c r="AD106" s="1004">
        <v>3813.57</v>
      </c>
      <c r="AE106" s="1004">
        <f t="shared" si="18"/>
        <v>53072.182500000003</v>
      </c>
      <c r="AF106" s="1004">
        <f t="shared" si="22"/>
        <v>53072.182500000003</v>
      </c>
      <c r="AG106" s="1005">
        <f t="shared" si="17"/>
        <v>13.916666666666666</v>
      </c>
      <c r="AH106" s="1005">
        <f t="shared" si="19"/>
        <v>11.025534582440892</v>
      </c>
    </row>
    <row r="107" spans="1:34" x14ac:dyDescent="0.25">
      <c r="A107" s="999">
        <v>32396</v>
      </c>
      <c r="B107" s="999" t="s">
        <v>933</v>
      </c>
      <c r="C107" s="999" t="s">
        <v>934</v>
      </c>
      <c r="D107" s="999" t="s">
        <v>935</v>
      </c>
      <c r="E107" s="999" t="s">
        <v>895</v>
      </c>
      <c r="F107" s="999">
        <v>1951335</v>
      </c>
      <c r="G107" s="1000">
        <v>11801042691</v>
      </c>
      <c r="H107" s="999" t="s">
        <v>1081</v>
      </c>
      <c r="I107" s="999" t="s">
        <v>897</v>
      </c>
      <c r="J107" s="1001">
        <v>41065</v>
      </c>
      <c r="K107" s="1001">
        <v>45835</v>
      </c>
      <c r="L107" s="1000">
        <f t="shared" si="20"/>
        <v>156</v>
      </c>
      <c r="M107" s="1002">
        <f t="shared" si="21"/>
        <v>13</v>
      </c>
      <c r="N107" s="1000">
        <v>13</v>
      </c>
      <c r="O107" s="1000">
        <v>13</v>
      </c>
      <c r="P107" s="1000">
        <v>43</v>
      </c>
      <c r="Q107" s="999" t="s">
        <v>898</v>
      </c>
      <c r="R107" s="999" t="s">
        <v>899</v>
      </c>
      <c r="S107" s="999" t="s">
        <v>900</v>
      </c>
      <c r="T107" s="999" t="s">
        <v>955</v>
      </c>
      <c r="U107" s="1000"/>
      <c r="V107" s="1000" t="s">
        <v>914</v>
      </c>
      <c r="W107" s="1003">
        <v>17269</v>
      </c>
      <c r="X107" s="1000" t="s">
        <v>903</v>
      </c>
      <c r="Y107" s="1000">
        <v>78</v>
      </c>
      <c r="Z107" s="1000" t="s">
        <v>904</v>
      </c>
      <c r="AA107" s="1000" t="s">
        <v>905</v>
      </c>
      <c r="AB107" s="1000" t="s">
        <v>938</v>
      </c>
      <c r="AC107" s="1000" t="s">
        <v>907</v>
      </c>
      <c r="AD107" s="1004">
        <v>3813.57</v>
      </c>
      <c r="AE107" s="1004">
        <f t="shared" si="18"/>
        <v>49576.41</v>
      </c>
      <c r="AF107" s="1004">
        <f t="shared" si="22"/>
        <v>49576.41</v>
      </c>
      <c r="AG107" s="1005">
        <f t="shared" si="17"/>
        <v>13</v>
      </c>
      <c r="AH107" s="1005">
        <f t="shared" si="19"/>
        <v>10.299301765633409</v>
      </c>
    </row>
    <row r="108" spans="1:34" x14ac:dyDescent="0.25">
      <c r="A108" s="999">
        <v>32396</v>
      </c>
      <c r="B108" s="999" t="s">
        <v>933</v>
      </c>
      <c r="C108" s="999" t="s">
        <v>934</v>
      </c>
      <c r="D108" s="999" t="s">
        <v>935</v>
      </c>
      <c r="E108" s="999" t="s">
        <v>895</v>
      </c>
      <c r="F108" s="999">
        <v>1425522</v>
      </c>
      <c r="G108" s="1000">
        <v>39456536734</v>
      </c>
      <c r="H108" s="999" t="s">
        <v>1082</v>
      </c>
      <c r="I108" s="999" t="s">
        <v>920</v>
      </c>
      <c r="J108" s="1001">
        <v>42990</v>
      </c>
      <c r="K108" s="1001">
        <v>45835</v>
      </c>
      <c r="L108" s="1000">
        <f t="shared" si="20"/>
        <v>93</v>
      </c>
      <c r="M108" s="1002">
        <f t="shared" si="21"/>
        <v>7.75</v>
      </c>
      <c r="N108" s="1000">
        <v>7</v>
      </c>
      <c r="O108" s="1000">
        <v>10</v>
      </c>
      <c r="P108" s="1000">
        <v>43</v>
      </c>
      <c r="Q108" s="999" t="s">
        <v>898</v>
      </c>
      <c r="R108" s="999" t="s">
        <v>899</v>
      </c>
      <c r="S108" s="999" t="s">
        <v>900</v>
      </c>
      <c r="T108" s="999" t="s">
        <v>957</v>
      </c>
      <c r="U108" s="1000"/>
      <c r="V108" s="1000" t="s">
        <v>914</v>
      </c>
      <c r="W108" s="1003">
        <v>18331</v>
      </c>
      <c r="X108" s="1000" t="s">
        <v>903</v>
      </c>
      <c r="Y108" s="1000">
        <v>75</v>
      </c>
      <c r="Z108" s="1000" t="s">
        <v>904</v>
      </c>
      <c r="AA108" s="1000" t="s">
        <v>905</v>
      </c>
      <c r="AB108" s="1000" t="s">
        <v>938</v>
      </c>
      <c r="AC108" s="1000" t="s">
        <v>907</v>
      </c>
      <c r="AD108" s="1004">
        <v>3813.57</v>
      </c>
      <c r="AE108" s="1004">
        <f t="shared" si="18"/>
        <v>29555.1675</v>
      </c>
      <c r="AF108" s="1004">
        <f t="shared" si="22"/>
        <v>29555.1675</v>
      </c>
      <c r="AG108" s="1005">
        <f t="shared" si="17"/>
        <v>7.7499999999999991</v>
      </c>
      <c r="AH108" s="1005">
        <f t="shared" si="19"/>
        <v>6.139968360281455</v>
      </c>
    </row>
    <row r="109" spans="1:34" x14ac:dyDescent="0.25">
      <c r="A109" s="999">
        <v>32396</v>
      </c>
      <c r="B109" s="999" t="s">
        <v>933</v>
      </c>
      <c r="C109" s="999" t="s">
        <v>934</v>
      </c>
      <c r="D109" s="999" t="s">
        <v>935</v>
      </c>
      <c r="E109" s="999" t="s">
        <v>895</v>
      </c>
      <c r="F109" s="999">
        <v>1146305</v>
      </c>
      <c r="G109" s="1000">
        <v>16202090634</v>
      </c>
      <c r="H109" s="999" t="s">
        <v>1083</v>
      </c>
      <c r="I109" s="999" t="s">
        <v>897</v>
      </c>
      <c r="J109" s="1001">
        <v>41823</v>
      </c>
      <c r="K109" s="1001">
        <v>45835</v>
      </c>
      <c r="L109" s="1000">
        <f t="shared" si="20"/>
        <v>131</v>
      </c>
      <c r="M109" s="1002">
        <f t="shared" si="21"/>
        <v>10.916666666666666</v>
      </c>
      <c r="N109" s="1000">
        <v>10</v>
      </c>
      <c r="O109" s="1000">
        <v>10</v>
      </c>
      <c r="P109" s="1000">
        <v>43</v>
      </c>
      <c r="Q109" s="999" t="s">
        <v>898</v>
      </c>
      <c r="R109" s="999" t="s">
        <v>899</v>
      </c>
      <c r="S109" s="999" t="s">
        <v>900</v>
      </c>
      <c r="T109" s="999" t="s">
        <v>957</v>
      </c>
      <c r="U109" s="1000"/>
      <c r="V109" s="1000" t="s">
        <v>914</v>
      </c>
      <c r="W109" s="1003">
        <v>17084</v>
      </c>
      <c r="X109" s="1000" t="s">
        <v>903</v>
      </c>
      <c r="Y109" s="1000">
        <v>78</v>
      </c>
      <c r="Z109" s="1000" t="s">
        <v>904</v>
      </c>
      <c r="AA109" s="1000" t="s">
        <v>905</v>
      </c>
      <c r="AB109" s="1000" t="s">
        <v>938</v>
      </c>
      <c r="AC109" s="1000" t="s">
        <v>907</v>
      </c>
      <c r="AD109" s="1004">
        <v>3813.57</v>
      </c>
      <c r="AE109" s="1004">
        <f t="shared" si="18"/>
        <v>41631.472499999996</v>
      </c>
      <c r="AF109" s="1004">
        <f t="shared" si="22"/>
        <v>41631.472499999996</v>
      </c>
      <c r="AG109" s="1005">
        <f t="shared" si="17"/>
        <v>10.916666666666666</v>
      </c>
      <c r="AH109" s="1005">
        <f t="shared" si="19"/>
        <v>8.6487726365254893</v>
      </c>
    </row>
    <row r="110" spans="1:34" x14ac:dyDescent="0.25">
      <c r="A110" s="999">
        <v>32396</v>
      </c>
      <c r="B110" s="999" t="s">
        <v>933</v>
      </c>
      <c r="C110" s="999" t="s">
        <v>934</v>
      </c>
      <c r="D110" s="999" t="s">
        <v>935</v>
      </c>
      <c r="E110" s="999" t="s">
        <v>895</v>
      </c>
      <c r="F110" s="999">
        <v>1902741</v>
      </c>
      <c r="G110" s="1000">
        <v>914762672</v>
      </c>
      <c r="H110" s="999" t="s">
        <v>1084</v>
      </c>
      <c r="I110" s="999" t="s">
        <v>897</v>
      </c>
      <c r="J110" s="1001">
        <v>40868</v>
      </c>
      <c r="K110" s="1001">
        <v>45835</v>
      </c>
      <c r="L110" s="1000">
        <f t="shared" si="20"/>
        <v>163</v>
      </c>
      <c r="M110" s="1002">
        <f t="shared" si="21"/>
        <v>13.583333333333334</v>
      </c>
      <c r="N110" s="1000">
        <v>13</v>
      </c>
      <c r="O110" s="1000">
        <v>13</v>
      </c>
      <c r="P110" s="1000">
        <v>43</v>
      </c>
      <c r="Q110" s="999" t="s">
        <v>898</v>
      </c>
      <c r="R110" s="999" t="s">
        <v>899</v>
      </c>
      <c r="S110" s="999" t="s">
        <v>900</v>
      </c>
      <c r="T110" s="999" t="s">
        <v>1085</v>
      </c>
      <c r="U110" s="1000"/>
      <c r="V110" s="1000" t="s">
        <v>914</v>
      </c>
      <c r="W110" s="1003">
        <v>16823</v>
      </c>
      <c r="X110" s="1000" t="s">
        <v>903</v>
      </c>
      <c r="Y110" s="1000">
        <v>79</v>
      </c>
      <c r="Z110" s="1000" t="s">
        <v>904</v>
      </c>
      <c r="AA110" s="1000" t="s">
        <v>905</v>
      </c>
      <c r="AB110" s="1000" t="s">
        <v>938</v>
      </c>
      <c r="AC110" s="1000" t="s">
        <v>907</v>
      </c>
      <c r="AD110" s="1004">
        <v>6471.37</v>
      </c>
      <c r="AE110" s="1004">
        <f t="shared" si="18"/>
        <v>87902.775833333333</v>
      </c>
      <c r="AF110" s="1004">
        <f t="shared" si="22"/>
        <v>87902.775833333333</v>
      </c>
      <c r="AG110" s="1005">
        <f t="shared" si="17"/>
        <v>13.583333333333334</v>
      </c>
      <c r="AH110" s="1005">
        <f t="shared" si="19"/>
        <v>11.765282114703639</v>
      </c>
    </row>
    <row r="111" spans="1:34" x14ac:dyDescent="0.25">
      <c r="A111" s="999">
        <v>32396</v>
      </c>
      <c r="B111" s="999" t="s">
        <v>933</v>
      </c>
      <c r="C111" s="999" t="s">
        <v>934</v>
      </c>
      <c r="D111" s="999" t="s">
        <v>935</v>
      </c>
      <c r="E111" s="999" t="s">
        <v>895</v>
      </c>
      <c r="F111" s="999">
        <v>1846385</v>
      </c>
      <c r="G111" s="1000">
        <v>32795467704</v>
      </c>
      <c r="H111" s="999" t="s">
        <v>1086</v>
      </c>
      <c r="I111" s="999" t="s">
        <v>897</v>
      </c>
      <c r="J111" s="1001">
        <v>40570</v>
      </c>
      <c r="K111" s="1001">
        <v>45835</v>
      </c>
      <c r="L111" s="1000">
        <f t="shared" si="20"/>
        <v>173</v>
      </c>
      <c r="M111" s="1002">
        <f t="shared" si="21"/>
        <v>14.416666666666666</v>
      </c>
      <c r="N111" s="1000">
        <v>14</v>
      </c>
      <c r="O111" s="1000">
        <v>14</v>
      </c>
      <c r="P111" s="1000">
        <v>43</v>
      </c>
      <c r="Q111" s="999" t="s">
        <v>898</v>
      </c>
      <c r="R111" s="999" t="s">
        <v>899</v>
      </c>
      <c r="S111" s="999" t="s">
        <v>900</v>
      </c>
      <c r="T111" s="999" t="s">
        <v>1087</v>
      </c>
      <c r="U111" s="1000" t="s">
        <v>55</v>
      </c>
      <c r="V111" s="1000" t="s">
        <v>914</v>
      </c>
      <c r="W111" s="1003">
        <v>16936</v>
      </c>
      <c r="X111" s="1000" t="s">
        <v>903</v>
      </c>
      <c r="Y111" s="1000">
        <v>78</v>
      </c>
      <c r="Z111" s="1000" t="s">
        <v>904</v>
      </c>
      <c r="AA111" s="1000" t="s">
        <v>905</v>
      </c>
      <c r="AB111" s="1000" t="s">
        <v>911</v>
      </c>
      <c r="AC111" s="1000" t="s">
        <v>907</v>
      </c>
      <c r="AD111" s="1004">
        <v>5333.97</v>
      </c>
      <c r="AE111" s="1004">
        <f t="shared" si="18"/>
        <v>76898.067500000005</v>
      </c>
      <c r="AF111" s="1004">
        <f t="shared" si="22"/>
        <v>76898.067500000005</v>
      </c>
      <c r="AG111" s="1005">
        <f t="shared" si="17"/>
        <v>14.416666666666666</v>
      </c>
      <c r="AH111" s="1005">
        <f t="shared" si="19"/>
        <v>12.140579683831783</v>
      </c>
    </row>
    <row r="112" spans="1:34" x14ac:dyDescent="0.25">
      <c r="A112" s="999">
        <v>32396</v>
      </c>
      <c r="B112" s="999" t="s">
        <v>933</v>
      </c>
      <c r="C112" s="999" t="s">
        <v>934</v>
      </c>
      <c r="D112" s="999" t="s">
        <v>935</v>
      </c>
      <c r="E112" s="999" t="s">
        <v>895</v>
      </c>
      <c r="F112" s="999">
        <v>1904907</v>
      </c>
      <c r="G112" s="1000">
        <v>13037803649</v>
      </c>
      <c r="H112" s="999" t="s">
        <v>1088</v>
      </c>
      <c r="I112" s="999" t="s">
        <v>897</v>
      </c>
      <c r="J112" s="1001">
        <v>40882</v>
      </c>
      <c r="K112" s="1001">
        <v>45835</v>
      </c>
      <c r="L112" s="1000">
        <f t="shared" si="20"/>
        <v>162</v>
      </c>
      <c r="M112" s="1002">
        <f t="shared" si="21"/>
        <v>13.5</v>
      </c>
      <c r="N112" s="1000">
        <v>13</v>
      </c>
      <c r="O112" s="1000">
        <v>13</v>
      </c>
      <c r="P112" s="1000">
        <v>43</v>
      </c>
      <c r="Q112" s="999" t="s">
        <v>898</v>
      </c>
      <c r="R112" s="999" t="s">
        <v>899</v>
      </c>
      <c r="S112" s="999" t="s">
        <v>900</v>
      </c>
      <c r="T112" s="999" t="s">
        <v>1067</v>
      </c>
      <c r="U112" s="1000"/>
      <c r="V112" s="1000" t="s">
        <v>914</v>
      </c>
      <c r="W112" s="1003">
        <v>17729</v>
      </c>
      <c r="X112" s="1000" t="s">
        <v>903</v>
      </c>
      <c r="Y112" s="1000">
        <v>76</v>
      </c>
      <c r="Z112" s="1000" t="s">
        <v>904</v>
      </c>
      <c r="AA112" s="1000" t="s">
        <v>905</v>
      </c>
      <c r="AB112" s="1000" t="s">
        <v>938</v>
      </c>
      <c r="AC112" s="1000" t="s">
        <v>907</v>
      </c>
      <c r="AD112" s="1004">
        <v>3813.57</v>
      </c>
      <c r="AE112" s="1004">
        <f t="shared" si="18"/>
        <v>51483.195</v>
      </c>
      <c r="AF112" s="1004">
        <f t="shared" si="22"/>
        <v>51483.195</v>
      </c>
      <c r="AG112" s="1005">
        <f t="shared" si="17"/>
        <v>13.5</v>
      </c>
      <c r="AH112" s="1005">
        <f t="shared" si="19"/>
        <v>10.695428756619307</v>
      </c>
    </row>
    <row r="113" spans="1:34" x14ac:dyDescent="0.25">
      <c r="A113" s="999">
        <v>32396</v>
      </c>
      <c r="B113" s="999" t="s">
        <v>933</v>
      </c>
      <c r="C113" s="999" t="s">
        <v>934</v>
      </c>
      <c r="D113" s="999" t="s">
        <v>935</v>
      </c>
      <c r="E113" s="999" t="s">
        <v>895</v>
      </c>
      <c r="F113" s="999">
        <v>1907832</v>
      </c>
      <c r="G113" s="1000">
        <v>20026153653</v>
      </c>
      <c r="H113" s="999" t="s">
        <v>1089</v>
      </c>
      <c r="I113" s="999" t="s">
        <v>897</v>
      </c>
      <c r="J113" s="1001">
        <v>40890</v>
      </c>
      <c r="K113" s="1001">
        <v>45835</v>
      </c>
      <c r="L113" s="1000">
        <f t="shared" si="20"/>
        <v>162</v>
      </c>
      <c r="M113" s="1002">
        <f t="shared" si="21"/>
        <v>13.5</v>
      </c>
      <c r="N113" s="1000">
        <v>13</v>
      </c>
      <c r="O113" s="1000">
        <v>13</v>
      </c>
      <c r="P113" s="1000">
        <v>43</v>
      </c>
      <c r="Q113" s="999" t="s">
        <v>898</v>
      </c>
      <c r="R113" s="999" t="s">
        <v>899</v>
      </c>
      <c r="S113" s="999" t="s">
        <v>900</v>
      </c>
      <c r="T113" s="999" t="s">
        <v>1090</v>
      </c>
      <c r="U113" s="1000"/>
      <c r="V113" s="1000" t="s">
        <v>914</v>
      </c>
      <c r="W113" s="1003">
        <v>17471</v>
      </c>
      <c r="X113" s="1000" t="s">
        <v>903</v>
      </c>
      <c r="Y113" s="1000">
        <v>77</v>
      </c>
      <c r="Z113" s="1000" t="s">
        <v>904</v>
      </c>
      <c r="AA113" s="1000" t="s">
        <v>905</v>
      </c>
      <c r="AB113" s="1000" t="s">
        <v>938</v>
      </c>
      <c r="AC113" s="1000" t="s">
        <v>907</v>
      </c>
      <c r="AD113" s="1004">
        <v>3813.57</v>
      </c>
      <c r="AE113" s="1004">
        <f t="shared" si="18"/>
        <v>51483.195</v>
      </c>
      <c r="AF113" s="1004">
        <f t="shared" si="22"/>
        <v>51483.195</v>
      </c>
      <c r="AG113" s="1005">
        <f t="shared" si="17"/>
        <v>13.5</v>
      </c>
      <c r="AH113" s="1005">
        <f t="shared" si="19"/>
        <v>10.695428756619307</v>
      </c>
    </row>
    <row r="114" spans="1:34" x14ac:dyDescent="0.25">
      <c r="A114" s="999">
        <v>32396</v>
      </c>
      <c r="B114" s="999" t="s">
        <v>933</v>
      </c>
      <c r="C114" s="999" t="s">
        <v>934</v>
      </c>
      <c r="D114" s="999" t="s">
        <v>935</v>
      </c>
      <c r="E114" s="999" t="s">
        <v>895</v>
      </c>
      <c r="F114" s="999">
        <v>1888450</v>
      </c>
      <c r="G114" s="1000">
        <v>20463120663</v>
      </c>
      <c r="H114" s="999" t="s">
        <v>1091</v>
      </c>
      <c r="I114" s="999" t="s">
        <v>897</v>
      </c>
      <c r="J114" s="1001">
        <v>40779</v>
      </c>
      <c r="K114" s="1001">
        <v>45835</v>
      </c>
      <c r="L114" s="1000">
        <f t="shared" si="20"/>
        <v>166</v>
      </c>
      <c r="M114" s="1002">
        <f t="shared" si="21"/>
        <v>13.833333333333334</v>
      </c>
      <c r="N114" s="1000">
        <v>13</v>
      </c>
      <c r="O114" s="1000">
        <v>13</v>
      </c>
      <c r="P114" s="1000">
        <v>43</v>
      </c>
      <c r="Q114" s="999" t="s">
        <v>898</v>
      </c>
      <c r="R114" s="999" t="s">
        <v>899</v>
      </c>
      <c r="S114" s="999" t="s">
        <v>900</v>
      </c>
      <c r="T114" s="999" t="s">
        <v>955</v>
      </c>
      <c r="U114" s="1000" t="s">
        <v>55</v>
      </c>
      <c r="V114" s="1000" t="s">
        <v>914</v>
      </c>
      <c r="W114" s="1003">
        <v>17543</v>
      </c>
      <c r="X114" s="1000" t="s">
        <v>903</v>
      </c>
      <c r="Y114" s="1000">
        <v>77</v>
      </c>
      <c r="Z114" s="1000" t="s">
        <v>904</v>
      </c>
      <c r="AA114" s="1000" t="s">
        <v>905</v>
      </c>
      <c r="AB114" s="1000" t="s">
        <v>911</v>
      </c>
      <c r="AC114" s="1000" t="s">
        <v>907</v>
      </c>
      <c r="AD114" s="1004">
        <v>5333.97</v>
      </c>
      <c r="AE114" s="1004">
        <f t="shared" si="18"/>
        <v>73786.585000000006</v>
      </c>
      <c r="AF114" s="1004">
        <f t="shared" si="22"/>
        <v>73786.585000000006</v>
      </c>
      <c r="AG114" s="1005">
        <f t="shared" si="17"/>
        <v>13.833333333333334</v>
      </c>
      <c r="AH114" s="1005">
        <f t="shared" si="19"/>
        <v>11.649342355584254</v>
      </c>
    </row>
    <row r="115" spans="1:34" x14ac:dyDescent="0.25">
      <c r="A115" s="999">
        <v>32396</v>
      </c>
      <c r="B115" s="999" t="s">
        <v>933</v>
      </c>
      <c r="C115" s="999" t="s">
        <v>934</v>
      </c>
      <c r="D115" s="999" t="s">
        <v>935</v>
      </c>
      <c r="E115" s="999" t="s">
        <v>895</v>
      </c>
      <c r="F115" s="999">
        <v>1853792</v>
      </c>
      <c r="G115" s="1000">
        <v>12807664687</v>
      </c>
      <c r="H115" s="999" t="s">
        <v>1092</v>
      </c>
      <c r="I115" s="999" t="s">
        <v>897</v>
      </c>
      <c r="J115" s="1001">
        <v>40574</v>
      </c>
      <c r="K115" s="1001">
        <v>45835</v>
      </c>
      <c r="L115" s="1000">
        <f t="shared" si="20"/>
        <v>172</v>
      </c>
      <c r="M115" s="1002">
        <f t="shared" si="21"/>
        <v>14.333333333333334</v>
      </c>
      <c r="N115" s="1000">
        <v>14</v>
      </c>
      <c r="O115" s="1000">
        <v>14</v>
      </c>
      <c r="P115" s="1000">
        <v>43</v>
      </c>
      <c r="Q115" s="999" t="s">
        <v>898</v>
      </c>
      <c r="R115" s="999" t="s">
        <v>899</v>
      </c>
      <c r="S115" s="999" t="s">
        <v>900</v>
      </c>
      <c r="T115" s="999" t="s">
        <v>1093</v>
      </c>
      <c r="U115" s="1000" t="s">
        <v>55</v>
      </c>
      <c r="V115" s="1000" t="s">
        <v>914</v>
      </c>
      <c r="W115" s="1003">
        <v>18250</v>
      </c>
      <c r="X115" s="1000" t="s">
        <v>903</v>
      </c>
      <c r="Y115" s="1000">
        <v>75</v>
      </c>
      <c r="Z115" s="1000" t="s">
        <v>904</v>
      </c>
      <c r="AA115" s="1000" t="s">
        <v>905</v>
      </c>
      <c r="AB115" s="1000" t="s">
        <v>911</v>
      </c>
      <c r="AC115" s="1000" t="s">
        <v>907</v>
      </c>
      <c r="AD115" s="1004">
        <v>5333.97</v>
      </c>
      <c r="AE115" s="1004">
        <f t="shared" si="18"/>
        <v>76453.570000000007</v>
      </c>
      <c r="AF115" s="1004">
        <f t="shared" si="22"/>
        <v>76453.570000000007</v>
      </c>
      <c r="AG115" s="1005">
        <f t="shared" si="17"/>
        <v>14.333333333333334</v>
      </c>
      <c r="AH115" s="1005">
        <f t="shared" si="19"/>
        <v>12.070402922653566</v>
      </c>
    </row>
    <row r="116" spans="1:34" x14ac:dyDescent="0.25">
      <c r="A116" s="999">
        <v>32396</v>
      </c>
      <c r="B116" s="999" t="s">
        <v>933</v>
      </c>
      <c r="C116" s="999" t="s">
        <v>934</v>
      </c>
      <c r="D116" s="999" t="s">
        <v>935</v>
      </c>
      <c r="E116" s="999" t="s">
        <v>895</v>
      </c>
      <c r="F116" s="999">
        <v>1948600</v>
      </c>
      <c r="G116" s="1000">
        <v>21881855600</v>
      </c>
      <c r="H116" s="999" t="s">
        <v>1094</v>
      </c>
      <c r="I116" s="999" t="s">
        <v>897</v>
      </c>
      <c r="J116" s="1001">
        <v>41052</v>
      </c>
      <c r="K116" s="1001">
        <v>45835</v>
      </c>
      <c r="L116" s="1000">
        <f t="shared" si="20"/>
        <v>157</v>
      </c>
      <c r="M116" s="1002">
        <f t="shared" si="21"/>
        <v>13.083333333333334</v>
      </c>
      <c r="N116" s="1000">
        <v>13</v>
      </c>
      <c r="O116" s="1000">
        <v>13</v>
      </c>
      <c r="P116" s="1000">
        <v>43</v>
      </c>
      <c r="Q116" s="999" t="s">
        <v>898</v>
      </c>
      <c r="R116" s="999" t="s">
        <v>899</v>
      </c>
      <c r="S116" s="999" t="s">
        <v>900</v>
      </c>
      <c r="T116" s="999" t="s">
        <v>1019</v>
      </c>
      <c r="U116" s="1000"/>
      <c r="V116" s="1000" t="s">
        <v>914</v>
      </c>
      <c r="W116" s="1003">
        <v>15080</v>
      </c>
      <c r="X116" s="1000" t="s">
        <v>903</v>
      </c>
      <c r="Y116" s="1000">
        <v>84</v>
      </c>
      <c r="Z116" s="1000" t="s">
        <v>904</v>
      </c>
      <c r="AA116" s="1000" t="s">
        <v>905</v>
      </c>
      <c r="AB116" s="1000" t="s">
        <v>938</v>
      </c>
      <c r="AC116" s="1000" t="s">
        <v>907</v>
      </c>
      <c r="AD116" s="1004">
        <v>3813.57</v>
      </c>
      <c r="AE116" s="1004">
        <f t="shared" si="18"/>
        <v>49894.207500000004</v>
      </c>
      <c r="AF116" s="1004">
        <f t="shared" si="22"/>
        <v>49894.207500000004</v>
      </c>
      <c r="AG116" s="1005">
        <f t="shared" si="17"/>
        <v>13.083333333333334</v>
      </c>
      <c r="AH116" s="1005">
        <f t="shared" si="19"/>
        <v>10.365322930797726</v>
      </c>
    </row>
    <row r="117" spans="1:34" x14ac:dyDescent="0.25">
      <c r="A117" s="999">
        <v>32396</v>
      </c>
      <c r="B117" s="999" t="s">
        <v>933</v>
      </c>
      <c r="C117" s="999" t="s">
        <v>934</v>
      </c>
      <c r="D117" s="999" t="s">
        <v>935</v>
      </c>
      <c r="E117" s="999" t="s">
        <v>895</v>
      </c>
      <c r="F117" s="999">
        <v>1949158</v>
      </c>
      <c r="G117" s="1000">
        <v>11802138668</v>
      </c>
      <c r="H117" s="999" t="s">
        <v>1095</v>
      </c>
      <c r="I117" s="999" t="s">
        <v>897</v>
      </c>
      <c r="J117" s="1001">
        <v>41052</v>
      </c>
      <c r="K117" s="1001">
        <v>45835</v>
      </c>
      <c r="L117" s="1000">
        <f t="shared" si="20"/>
        <v>157</v>
      </c>
      <c r="M117" s="1002">
        <f t="shared" si="21"/>
        <v>13.083333333333334</v>
      </c>
      <c r="N117" s="1000">
        <v>13</v>
      </c>
      <c r="O117" s="1000">
        <v>13</v>
      </c>
      <c r="P117" s="1000">
        <v>43</v>
      </c>
      <c r="Q117" s="999" t="s">
        <v>898</v>
      </c>
      <c r="R117" s="999" t="s">
        <v>899</v>
      </c>
      <c r="S117" s="999" t="s">
        <v>900</v>
      </c>
      <c r="T117" s="999" t="s">
        <v>1001</v>
      </c>
      <c r="U117" s="1000"/>
      <c r="V117" s="1000" t="s">
        <v>914</v>
      </c>
      <c r="W117" s="1003">
        <v>18266</v>
      </c>
      <c r="X117" s="1000" t="s">
        <v>903</v>
      </c>
      <c r="Y117" s="1000">
        <v>75</v>
      </c>
      <c r="Z117" s="1000" t="s">
        <v>904</v>
      </c>
      <c r="AA117" s="1000" t="s">
        <v>905</v>
      </c>
      <c r="AB117" s="1000" t="s">
        <v>938</v>
      </c>
      <c r="AC117" s="1000" t="s">
        <v>907</v>
      </c>
      <c r="AD117" s="1004">
        <v>3813.57</v>
      </c>
      <c r="AE117" s="1004">
        <f t="shared" si="18"/>
        <v>49894.207500000004</v>
      </c>
      <c r="AF117" s="1004">
        <f t="shared" si="22"/>
        <v>49894.207500000004</v>
      </c>
      <c r="AG117" s="1005">
        <f t="shared" si="17"/>
        <v>13.083333333333334</v>
      </c>
      <c r="AH117" s="1005">
        <f t="shared" si="19"/>
        <v>10.365322930797726</v>
      </c>
    </row>
    <row r="118" spans="1:34" x14ac:dyDescent="0.25">
      <c r="A118" s="999">
        <v>32396</v>
      </c>
      <c r="B118" s="999" t="s">
        <v>933</v>
      </c>
      <c r="C118" s="999" t="s">
        <v>934</v>
      </c>
      <c r="D118" s="999" t="s">
        <v>935</v>
      </c>
      <c r="E118" s="999" t="s">
        <v>895</v>
      </c>
      <c r="F118" s="999">
        <v>1902113</v>
      </c>
      <c r="G118" s="1000">
        <v>1658514653</v>
      </c>
      <c r="H118" s="999" t="s">
        <v>1096</v>
      </c>
      <c r="I118" s="999" t="s">
        <v>897</v>
      </c>
      <c r="J118" s="1001">
        <v>40869</v>
      </c>
      <c r="K118" s="1001">
        <v>45835</v>
      </c>
      <c r="L118" s="1000">
        <f t="shared" si="20"/>
        <v>163</v>
      </c>
      <c r="M118" s="1002">
        <f t="shared" si="21"/>
        <v>13.583333333333334</v>
      </c>
      <c r="N118" s="1000">
        <v>13</v>
      </c>
      <c r="O118" s="1000">
        <v>13</v>
      </c>
      <c r="P118" s="1000">
        <v>43</v>
      </c>
      <c r="Q118" s="999" t="s">
        <v>898</v>
      </c>
      <c r="R118" s="999" t="s">
        <v>899</v>
      </c>
      <c r="S118" s="999" t="s">
        <v>900</v>
      </c>
      <c r="T118" s="999" t="s">
        <v>1097</v>
      </c>
      <c r="U118" s="1000" t="s">
        <v>55</v>
      </c>
      <c r="V118" s="1000" t="s">
        <v>914</v>
      </c>
      <c r="W118" s="1003">
        <v>17633</v>
      </c>
      <c r="X118" s="1000" t="s">
        <v>903</v>
      </c>
      <c r="Y118" s="1000">
        <v>77</v>
      </c>
      <c r="Z118" s="1000" t="s">
        <v>904</v>
      </c>
      <c r="AA118" s="1000" t="s">
        <v>905</v>
      </c>
      <c r="AB118" s="1000" t="s">
        <v>911</v>
      </c>
      <c r="AC118" s="1000" t="s">
        <v>907</v>
      </c>
      <c r="AD118" s="1004">
        <v>5333.97</v>
      </c>
      <c r="AE118" s="1004">
        <f t="shared" si="18"/>
        <v>72453.092500000013</v>
      </c>
      <c r="AF118" s="1004">
        <f t="shared" si="22"/>
        <v>72453.092500000013</v>
      </c>
      <c r="AG118" s="1005">
        <f t="shared" si="17"/>
        <v>13.583333333333336</v>
      </c>
      <c r="AH118" s="1005">
        <f t="shared" si="19"/>
        <v>11.4388120720496</v>
      </c>
    </row>
    <row r="119" spans="1:34" x14ac:dyDescent="0.25">
      <c r="A119" s="999">
        <v>32396</v>
      </c>
      <c r="B119" s="999" t="s">
        <v>933</v>
      </c>
      <c r="C119" s="999" t="s">
        <v>934</v>
      </c>
      <c r="D119" s="999" t="s">
        <v>935</v>
      </c>
      <c r="E119" s="999" t="s">
        <v>895</v>
      </c>
      <c r="F119" s="999">
        <v>1949822</v>
      </c>
      <c r="G119" s="1000">
        <v>1061461653</v>
      </c>
      <c r="H119" s="999" t="s">
        <v>1098</v>
      </c>
      <c r="I119" s="999" t="s">
        <v>897</v>
      </c>
      <c r="J119" s="1001">
        <v>41057</v>
      </c>
      <c r="K119" s="1001">
        <v>45835</v>
      </c>
      <c r="L119" s="1000">
        <f t="shared" si="20"/>
        <v>156</v>
      </c>
      <c r="M119" s="1002">
        <f t="shared" si="21"/>
        <v>13</v>
      </c>
      <c r="N119" s="1000">
        <v>13</v>
      </c>
      <c r="O119" s="1000">
        <v>13</v>
      </c>
      <c r="P119" s="1000">
        <v>43</v>
      </c>
      <c r="Q119" s="999" t="s">
        <v>898</v>
      </c>
      <c r="R119" s="999" t="s">
        <v>899</v>
      </c>
      <c r="S119" s="999" t="s">
        <v>900</v>
      </c>
      <c r="T119" s="999" t="s">
        <v>940</v>
      </c>
      <c r="U119" s="1000"/>
      <c r="V119" s="1000" t="s">
        <v>914</v>
      </c>
      <c r="W119" s="1003">
        <v>16807</v>
      </c>
      <c r="X119" s="1000" t="s">
        <v>903</v>
      </c>
      <c r="Y119" s="1000">
        <v>79</v>
      </c>
      <c r="Z119" s="1000" t="s">
        <v>904</v>
      </c>
      <c r="AA119" s="1000" t="s">
        <v>905</v>
      </c>
      <c r="AB119" s="1000" t="s">
        <v>938</v>
      </c>
      <c r="AC119" s="1000" t="s">
        <v>907</v>
      </c>
      <c r="AD119" s="1004">
        <v>3813.57</v>
      </c>
      <c r="AE119" s="1004">
        <f t="shared" si="18"/>
        <v>49576.41</v>
      </c>
      <c r="AF119" s="1004">
        <f t="shared" si="22"/>
        <v>49576.41</v>
      </c>
      <c r="AG119" s="1005">
        <f t="shared" si="17"/>
        <v>13</v>
      </c>
      <c r="AH119" s="1005">
        <f t="shared" si="19"/>
        <v>10.299301765633409</v>
      </c>
    </row>
    <row r="120" spans="1:34" x14ac:dyDescent="0.25">
      <c r="A120" s="999">
        <v>32396</v>
      </c>
      <c r="B120" s="999" t="s">
        <v>933</v>
      </c>
      <c r="C120" s="999" t="s">
        <v>934</v>
      </c>
      <c r="D120" s="999" t="s">
        <v>935</v>
      </c>
      <c r="E120" s="999" t="s">
        <v>895</v>
      </c>
      <c r="F120" s="999">
        <v>1889753</v>
      </c>
      <c r="G120" s="1000">
        <v>31792537700</v>
      </c>
      <c r="H120" s="999" t="s">
        <v>1099</v>
      </c>
      <c r="I120" s="999" t="s">
        <v>897</v>
      </c>
      <c r="J120" s="1001">
        <v>40786</v>
      </c>
      <c r="K120" s="1001">
        <v>45835</v>
      </c>
      <c r="L120" s="1000">
        <f t="shared" si="20"/>
        <v>165</v>
      </c>
      <c r="M120" s="1002">
        <f t="shared" si="21"/>
        <v>13.75</v>
      </c>
      <c r="N120" s="1000">
        <v>13</v>
      </c>
      <c r="O120" s="1000">
        <v>13</v>
      </c>
      <c r="P120" s="1000">
        <v>43</v>
      </c>
      <c r="Q120" s="999" t="s">
        <v>898</v>
      </c>
      <c r="R120" s="999" t="s">
        <v>899</v>
      </c>
      <c r="S120" s="999" t="s">
        <v>900</v>
      </c>
      <c r="T120" s="999" t="s">
        <v>1100</v>
      </c>
      <c r="U120" s="1000"/>
      <c r="V120" s="1000" t="s">
        <v>914</v>
      </c>
      <c r="W120" s="1003">
        <v>16347</v>
      </c>
      <c r="X120" s="1000" t="s">
        <v>903</v>
      </c>
      <c r="Y120" s="1000">
        <v>80</v>
      </c>
      <c r="Z120" s="1000" t="s">
        <v>904</v>
      </c>
      <c r="AA120" s="1000" t="s">
        <v>905</v>
      </c>
      <c r="AB120" s="1000" t="s">
        <v>938</v>
      </c>
      <c r="AC120" s="1000" t="s">
        <v>907</v>
      </c>
      <c r="AD120" s="1004">
        <v>3813.57</v>
      </c>
      <c r="AE120" s="1004">
        <f t="shared" si="18"/>
        <v>52436.587500000001</v>
      </c>
      <c r="AF120" s="1004">
        <f t="shared" si="22"/>
        <v>52436.587500000001</v>
      </c>
      <c r="AG120" s="1005">
        <f t="shared" si="17"/>
        <v>13.75</v>
      </c>
      <c r="AH120" s="1005">
        <f t="shared" si="19"/>
        <v>10.893492252112258</v>
      </c>
    </row>
    <row r="121" spans="1:34" x14ac:dyDescent="0.25">
      <c r="A121" s="999">
        <v>32396</v>
      </c>
      <c r="B121" s="999" t="s">
        <v>933</v>
      </c>
      <c r="C121" s="999" t="s">
        <v>934</v>
      </c>
      <c r="D121" s="999" t="s">
        <v>935</v>
      </c>
      <c r="E121" s="999" t="s">
        <v>895</v>
      </c>
      <c r="F121" s="999">
        <v>1889600</v>
      </c>
      <c r="G121" s="1000">
        <v>16281047672</v>
      </c>
      <c r="H121" s="999" t="s">
        <v>1101</v>
      </c>
      <c r="I121" s="999" t="s">
        <v>897</v>
      </c>
      <c r="J121" s="1001">
        <v>40787</v>
      </c>
      <c r="K121" s="1001">
        <v>45835</v>
      </c>
      <c r="L121" s="1000">
        <f t="shared" si="20"/>
        <v>165</v>
      </c>
      <c r="M121" s="1002">
        <f t="shared" si="21"/>
        <v>13.75</v>
      </c>
      <c r="N121" s="1000">
        <v>13</v>
      </c>
      <c r="O121" s="1000">
        <v>13</v>
      </c>
      <c r="P121" s="1000">
        <v>43</v>
      </c>
      <c r="Q121" s="999" t="s">
        <v>898</v>
      </c>
      <c r="R121" s="999" t="s">
        <v>899</v>
      </c>
      <c r="S121" s="999" t="s">
        <v>900</v>
      </c>
      <c r="T121" s="999" t="s">
        <v>1102</v>
      </c>
      <c r="U121" s="1000"/>
      <c r="V121" s="1000" t="s">
        <v>914</v>
      </c>
      <c r="W121" s="1003">
        <v>18180</v>
      </c>
      <c r="X121" s="1000" t="s">
        <v>903</v>
      </c>
      <c r="Y121" s="1000">
        <v>75</v>
      </c>
      <c r="Z121" s="1000" t="s">
        <v>904</v>
      </c>
      <c r="AA121" s="1000" t="s">
        <v>905</v>
      </c>
      <c r="AB121" s="1000" t="s">
        <v>938</v>
      </c>
      <c r="AC121" s="1000" t="s">
        <v>907</v>
      </c>
      <c r="AD121" s="1004">
        <v>5079.97</v>
      </c>
      <c r="AE121" s="1004">
        <f t="shared" si="18"/>
        <v>69849.587500000009</v>
      </c>
      <c r="AF121" s="1004">
        <f t="shared" si="22"/>
        <v>69849.587500000009</v>
      </c>
      <c r="AG121" s="1005">
        <f t="shared" si="17"/>
        <v>13.750000000000002</v>
      </c>
      <c r="AH121" s="1005">
        <f t="shared" si="19"/>
        <v>11.488475683268176</v>
      </c>
    </row>
    <row r="122" spans="1:34" x14ac:dyDescent="0.25">
      <c r="A122" s="999">
        <v>32396</v>
      </c>
      <c r="B122" s="999" t="s">
        <v>933</v>
      </c>
      <c r="C122" s="999" t="s">
        <v>934</v>
      </c>
      <c r="D122" s="999" t="s">
        <v>935</v>
      </c>
      <c r="E122" s="999" t="s">
        <v>895</v>
      </c>
      <c r="F122" s="999">
        <v>1838982</v>
      </c>
      <c r="G122" s="1000">
        <v>3785432704</v>
      </c>
      <c r="H122" s="999" t="s">
        <v>1105</v>
      </c>
      <c r="I122" s="999" t="s">
        <v>897</v>
      </c>
      <c r="J122" s="1001">
        <v>40568</v>
      </c>
      <c r="K122" s="1001">
        <v>45835</v>
      </c>
      <c r="L122" s="1000">
        <f t="shared" si="20"/>
        <v>173</v>
      </c>
      <c r="M122" s="1002">
        <f t="shared" si="21"/>
        <v>14.416666666666666</v>
      </c>
      <c r="N122" s="1000">
        <v>14</v>
      </c>
      <c r="O122" s="1000">
        <v>14</v>
      </c>
      <c r="P122" s="1000">
        <v>43</v>
      </c>
      <c r="Q122" s="999" t="s">
        <v>898</v>
      </c>
      <c r="R122" s="999" t="s">
        <v>899</v>
      </c>
      <c r="S122" s="999" t="s">
        <v>900</v>
      </c>
      <c r="T122" s="999" t="s">
        <v>1106</v>
      </c>
      <c r="U122" s="1000" t="s">
        <v>54</v>
      </c>
      <c r="V122" s="1000" t="s">
        <v>914</v>
      </c>
      <c r="W122" s="1003">
        <v>16472</v>
      </c>
      <c r="X122" s="1000" t="s">
        <v>930</v>
      </c>
      <c r="Y122" s="1000">
        <v>80</v>
      </c>
      <c r="Z122" s="1000" t="s">
        <v>904</v>
      </c>
      <c r="AA122" s="1000" t="s">
        <v>905</v>
      </c>
      <c r="AB122" s="1000" t="s">
        <v>925</v>
      </c>
      <c r="AC122" s="1000" t="s">
        <v>907</v>
      </c>
      <c r="AD122" s="1004">
        <v>10126.049999999999</v>
      </c>
      <c r="AE122" s="1004">
        <f t="shared" si="18"/>
        <v>145983.88749999998</v>
      </c>
      <c r="AF122" s="1004">
        <f t="shared" si="22"/>
        <v>145983.88749999998</v>
      </c>
      <c r="AG122" s="1005">
        <f t="shared" ref="AG122:AG150" si="23">AF122/AD122</f>
        <v>14.416666666666666</v>
      </c>
      <c r="AH122" s="1005">
        <f t="shared" si="19"/>
        <v>13.120908813100785</v>
      </c>
    </row>
    <row r="123" spans="1:34" x14ac:dyDescent="0.25">
      <c r="A123" s="999">
        <v>32396</v>
      </c>
      <c r="B123" s="999" t="s">
        <v>933</v>
      </c>
      <c r="C123" s="999" t="s">
        <v>934</v>
      </c>
      <c r="D123" s="999" t="s">
        <v>935</v>
      </c>
      <c r="E123" s="999" t="s">
        <v>895</v>
      </c>
      <c r="F123" s="999">
        <v>1892457</v>
      </c>
      <c r="G123" s="1000">
        <v>12994413604</v>
      </c>
      <c r="H123" s="999" t="s">
        <v>1107</v>
      </c>
      <c r="I123" s="999" t="s">
        <v>897</v>
      </c>
      <c r="J123" s="1001">
        <v>40808</v>
      </c>
      <c r="K123" s="1001">
        <v>45835</v>
      </c>
      <c r="L123" s="1000">
        <f t="shared" si="20"/>
        <v>165</v>
      </c>
      <c r="M123" s="1002">
        <f t="shared" si="21"/>
        <v>13.75</v>
      </c>
      <c r="N123" s="1000">
        <v>13</v>
      </c>
      <c r="O123" s="1000">
        <v>13</v>
      </c>
      <c r="P123" s="1000">
        <v>43</v>
      </c>
      <c r="Q123" s="999" t="s">
        <v>898</v>
      </c>
      <c r="R123" s="999" t="s">
        <v>899</v>
      </c>
      <c r="S123" s="999" t="s">
        <v>900</v>
      </c>
      <c r="T123" s="999" t="s">
        <v>1044</v>
      </c>
      <c r="U123" s="1000"/>
      <c r="V123" s="1000" t="s">
        <v>914</v>
      </c>
      <c r="W123" s="1003">
        <v>16897</v>
      </c>
      <c r="X123" s="1000" t="s">
        <v>930</v>
      </c>
      <c r="Y123" s="1000">
        <v>79</v>
      </c>
      <c r="Z123" s="1000" t="s">
        <v>904</v>
      </c>
      <c r="AA123" s="1000" t="s">
        <v>905</v>
      </c>
      <c r="AB123" s="1000" t="s">
        <v>938</v>
      </c>
      <c r="AC123" s="1000" t="s">
        <v>907</v>
      </c>
      <c r="AD123" s="1004">
        <v>3813.57</v>
      </c>
      <c r="AE123" s="1004">
        <f t="shared" si="18"/>
        <v>52436.587500000001</v>
      </c>
      <c r="AF123" s="1004">
        <f t="shared" si="22"/>
        <v>52436.587500000001</v>
      </c>
      <c r="AG123" s="1005">
        <f t="shared" si="23"/>
        <v>13.75</v>
      </c>
      <c r="AH123" s="1005">
        <f t="shared" si="19"/>
        <v>10.893492252112258</v>
      </c>
    </row>
    <row r="124" spans="1:34" x14ac:dyDescent="0.25">
      <c r="A124" s="999">
        <v>32396</v>
      </c>
      <c r="B124" s="999" t="s">
        <v>933</v>
      </c>
      <c r="C124" s="999" t="s">
        <v>934</v>
      </c>
      <c r="D124" s="999" t="s">
        <v>935</v>
      </c>
      <c r="E124" s="999" t="s">
        <v>895</v>
      </c>
      <c r="F124" s="999">
        <v>1845914</v>
      </c>
      <c r="G124" s="1000">
        <v>17452880668</v>
      </c>
      <c r="H124" s="999" t="s">
        <v>1108</v>
      </c>
      <c r="I124" s="999" t="s">
        <v>897</v>
      </c>
      <c r="J124" s="1001">
        <v>40575</v>
      </c>
      <c r="K124" s="1001">
        <v>45835</v>
      </c>
      <c r="L124" s="1000">
        <f t="shared" si="20"/>
        <v>172</v>
      </c>
      <c r="M124" s="1002">
        <f t="shared" si="21"/>
        <v>14.333333333333334</v>
      </c>
      <c r="N124" s="1000">
        <v>14</v>
      </c>
      <c r="O124" s="1000">
        <v>14</v>
      </c>
      <c r="P124" s="1000">
        <v>43</v>
      </c>
      <c r="Q124" s="999" t="s">
        <v>898</v>
      </c>
      <c r="R124" s="999" t="s">
        <v>899</v>
      </c>
      <c r="S124" s="999" t="s">
        <v>900</v>
      </c>
      <c r="T124" s="999" t="s">
        <v>968</v>
      </c>
      <c r="U124" s="1000" t="s">
        <v>55</v>
      </c>
      <c r="V124" s="1000" t="s">
        <v>914</v>
      </c>
      <c r="W124" s="1003">
        <v>18204</v>
      </c>
      <c r="X124" s="1000" t="s">
        <v>930</v>
      </c>
      <c r="Y124" s="1000">
        <v>75</v>
      </c>
      <c r="Z124" s="1000" t="s">
        <v>904</v>
      </c>
      <c r="AA124" s="1000" t="s">
        <v>905</v>
      </c>
      <c r="AB124" s="1000" t="s">
        <v>911</v>
      </c>
      <c r="AC124" s="1000" t="s">
        <v>907</v>
      </c>
      <c r="AD124" s="1004">
        <v>5333.97</v>
      </c>
      <c r="AE124" s="1004">
        <f t="shared" si="18"/>
        <v>76453.570000000007</v>
      </c>
      <c r="AF124" s="1004">
        <f t="shared" si="22"/>
        <v>76453.570000000007</v>
      </c>
      <c r="AG124" s="1005">
        <f t="shared" si="23"/>
        <v>14.333333333333334</v>
      </c>
      <c r="AH124" s="1005">
        <f t="shared" si="19"/>
        <v>12.070402922653566</v>
      </c>
    </row>
    <row r="125" spans="1:34" x14ac:dyDescent="0.25">
      <c r="A125" s="999">
        <v>32396</v>
      </c>
      <c r="B125" s="999" t="s">
        <v>933</v>
      </c>
      <c r="C125" s="999" t="s">
        <v>934</v>
      </c>
      <c r="D125" s="999" t="s">
        <v>935</v>
      </c>
      <c r="E125" s="999" t="s">
        <v>895</v>
      </c>
      <c r="F125" s="999">
        <v>1033200</v>
      </c>
      <c r="G125" s="1000">
        <v>7482612653</v>
      </c>
      <c r="H125" s="999" t="s">
        <v>1109</v>
      </c>
      <c r="I125" s="999" t="s">
        <v>897</v>
      </c>
      <c r="J125" s="1001">
        <v>41425</v>
      </c>
      <c r="K125" s="1001">
        <v>45835</v>
      </c>
      <c r="L125" s="1000">
        <f t="shared" si="20"/>
        <v>144</v>
      </c>
      <c r="M125" s="1002">
        <f t="shared" si="21"/>
        <v>12</v>
      </c>
      <c r="N125" s="1000">
        <v>12</v>
      </c>
      <c r="O125" s="1000">
        <v>12</v>
      </c>
      <c r="P125" s="1000">
        <v>43</v>
      </c>
      <c r="Q125" s="999" t="s">
        <v>898</v>
      </c>
      <c r="R125" s="999" t="s">
        <v>899</v>
      </c>
      <c r="S125" s="999" t="s">
        <v>900</v>
      </c>
      <c r="T125" s="999" t="s">
        <v>968</v>
      </c>
      <c r="U125" s="1000" t="s">
        <v>55</v>
      </c>
      <c r="V125" s="1000" t="s">
        <v>914</v>
      </c>
      <c r="W125" s="1003">
        <v>17633</v>
      </c>
      <c r="X125" s="1000" t="s">
        <v>930</v>
      </c>
      <c r="Y125" s="1000">
        <v>77</v>
      </c>
      <c r="Z125" s="1000" t="s">
        <v>904</v>
      </c>
      <c r="AA125" s="1000" t="s">
        <v>905</v>
      </c>
      <c r="AB125" s="1000" t="s">
        <v>911</v>
      </c>
      <c r="AC125" s="1000" t="s">
        <v>907</v>
      </c>
      <c r="AD125" s="1004">
        <v>5333.97</v>
      </c>
      <c r="AE125" s="1004">
        <f t="shared" si="18"/>
        <v>64007.64</v>
      </c>
      <c r="AF125" s="1004">
        <f t="shared" si="22"/>
        <v>64007.64</v>
      </c>
      <c r="AG125" s="1005">
        <f t="shared" si="23"/>
        <v>12</v>
      </c>
      <c r="AH125" s="1005">
        <f t="shared" si="19"/>
        <v>10.105453609663449</v>
      </c>
    </row>
    <row r="126" spans="1:34" x14ac:dyDescent="0.25">
      <c r="A126" s="999">
        <v>32396</v>
      </c>
      <c r="B126" s="999" t="s">
        <v>933</v>
      </c>
      <c r="C126" s="999" t="s">
        <v>934</v>
      </c>
      <c r="D126" s="999" t="s">
        <v>935</v>
      </c>
      <c r="E126" s="999" t="s">
        <v>895</v>
      </c>
      <c r="F126" s="999">
        <v>1891967</v>
      </c>
      <c r="G126" s="1000">
        <v>17452848691</v>
      </c>
      <c r="H126" s="999" t="s">
        <v>1110</v>
      </c>
      <c r="I126" s="999" t="s">
        <v>897</v>
      </c>
      <c r="J126" s="1001">
        <v>40799</v>
      </c>
      <c r="K126" s="1001">
        <v>45835</v>
      </c>
      <c r="L126" s="1000">
        <f t="shared" si="20"/>
        <v>165</v>
      </c>
      <c r="M126" s="1002">
        <f t="shared" si="21"/>
        <v>13.75</v>
      </c>
      <c r="N126" s="1000">
        <v>13</v>
      </c>
      <c r="O126" s="1000">
        <v>13</v>
      </c>
      <c r="P126" s="1000">
        <v>43</v>
      </c>
      <c r="Q126" s="999" t="s">
        <v>898</v>
      </c>
      <c r="R126" s="999" t="s">
        <v>899</v>
      </c>
      <c r="S126" s="999" t="s">
        <v>900</v>
      </c>
      <c r="T126" s="999" t="s">
        <v>1111</v>
      </c>
      <c r="U126" s="1000" t="s">
        <v>55</v>
      </c>
      <c r="V126" s="1000" t="s">
        <v>914</v>
      </c>
      <c r="W126" s="1003">
        <v>18362</v>
      </c>
      <c r="X126" s="1000" t="s">
        <v>930</v>
      </c>
      <c r="Y126" s="1000">
        <v>75</v>
      </c>
      <c r="Z126" s="1000" t="s">
        <v>904</v>
      </c>
      <c r="AA126" s="1000" t="s">
        <v>905</v>
      </c>
      <c r="AB126" s="1000" t="s">
        <v>911</v>
      </c>
      <c r="AC126" s="1000" t="s">
        <v>907</v>
      </c>
      <c r="AD126" s="1004">
        <v>5333.97</v>
      </c>
      <c r="AE126" s="1004">
        <f t="shared" si="18"/>
        <v>73342.087500000009</v>
      </c>
      <c r="AF126" s="1004">
        <f t="shared" si="22"/>
        <v>73342.087500000009</v>
      </c>
      <c r="AG126" s="1005">
        <f t="shared" si="23"/>
        <v>13.750000000000002</v>
      </c>
      <c r="AH126" s="1005">
        <f t="shared" si="19"/>
        <v>11.579165594406037</v>
      </c>
    </row>
    <row r="127" spans="1:34" x14ac:dyDescent="0.25">
      <c r="A127" s="999">
        <v>32396</v>
      </c>
      <c r="B127" s="999" t="s">
        <v>933</v>
      </c>
      <c r="C127" s="999" t="s">
        <v>934</v>
      </c>
      <c r="D127" s="999" t="s">
        <v>935</v>
      </c>
      <c r="E127" s="999" t="s">
        <v>895</v>
      </c>
      <c r="F127" s="999">
        <v>1884171</v>
      </c>
      <c r="G127" s="1000">
        <v>36450960787</v>
      </c>
      <c r="H127" s="999" t="s">
        <v>1112</v>
      </c>
      <c r="I127" s="999" t="s">
        <v>897</v>
      </c>
      <c r="J127" s="1001">
        <v>40745</v>
      </c>
      <c r="K127" s="1001">
        <v>45835</v>
      </c>
      <c r="L127" s="1000">
        <f t="shared" si="20"/>
        <v>167</v>
      </c>
      <c r="M127" s="1002">
        <f t="shared" si="21"/>
        <v>13.916666666666666</v>
      </c>
      <c r="N127" s="1000">
        <v>13</v>
      </c>
      <c r="O127" s="1000">
        <v>13</v>
      </c>
      <c r="P127" s="1000">
        <v>43</v>
      </c>
      <c r="Q127" s="999" t="s">
        <v>898</v>
      </c>
      <c r="R127" s="999" t="s">
        <v>899</v>
      </c>
      <c r="S127" s="999" t="s">
        <v>900</v>
      </c>
      <c r="T127" s="999" t="s">
        <v>994</v>
      </c>
      <c r="U127" s="1000"/>
      <c r="V127" s="1000" t="s">
        <v>914</v>
      </c>
      <c r="W127" s="1003">
        <v>18328</v>
      </c>
      <c r="X127" s="1000" t="s">
        <v>930</v>
      </c>
      <c r="Y127" s="1000">
        <v>75</v>
      </c>
      <c r="Z127" s="1000" t="s">
        <v>904</v>
      </c>
      <c r="AA127" s="1000" t="s">
        <v>905</v>
      </c>
      <c r="AB127" s="1000" t="s">
        <v>938</v>
      </c>
      <c r="AC127" s="1000" t="s">
        <v>907</v>
      </c>
      <c r="AD127" s="1004">
        <v>3813.57</v>
      </c>
      <c r="AE127" s="1004">
        <f t="shared" si="18"/>
        <v>53072.182500000003</v>
      </c>
      <c r="AF127" s="1004">
        <f t="shared" si="22"/>
        <v>53072.182500000003</v>
      </c>
      <c r="AG127" s="1005">
        <f t="shared" si="23"/>
        <v>13.916666666666666</v>
      </c>
      <c r="AH127" s="1005">
        <f t="shared" si="19"/>
        <v>11.025534582440892</v>
      </c>
    </row>
    <row r="128" spans="1:34" x14ac:dyDescent="0.25">
      <c r="A128" s="999">
        <v>32396</v>
      </c>
      <c r="B128" s="999" t="s">
        <v>933</v>
      </c>
      <c r="C128" s="999" t="s">
        <v>934</v>
      </c>
      <c r="D128" s="999" t="s">
        <v>935</v>
      </c>
      <c r="E128" s="999" t="s">
        <v>895</v>
      </c>
      <c r="F128" s="999">
        <v>1888228</v>
      </c>
      <c r="G128" s="1000">
        <v>19545240725</v>
      </c>
      <c r="H128" s="999" t="s">
        <v>1113</v>
      </c>
      <c r="I128" s="999" t="s">
        <v>897</v>
      </c>
      <c r="J128" s="1001">
        <v>40779</v>
      </c>
      <c r="K128" s="1001">
        <v>45835</v>
      </c>
      <c r="L128" s="1000">
        <f t="shared" si="20"/>
        <v>166</v>
      </c>
      <c r="M128" s="1002">
        <f t="shared" si="21"/>
        <v>13.833333333333334</v>
      </c>
      <c r="N128" s="1000">
        <v>13</v>
      </c>
      <c r="O128" s="1000">
        <v>13</v>
      </c>
      <c r="P128" s="1000">
        <v>43</v>
      </c>
      <c r="Q128" s="999" t="s">
        <v>898</v>
      </c>
      <c r="R128" s="999" t="s">
        <v>899</v>
      </c>
      <c r="S128" s="999" t="s">
        <v>900</v>
      </c>
      <c r="T128" s="999" t="s">
        <v>1024</v>
      </c>
      <c r="U128" s="1000" t="s">
        <v>55</v>
      </c>
      <c r="V128" s="1000" t="s">
        <v>914</v>
      </c>
      <c r="W128" s="1003">
        <v>17773</v>
      </c>
      <c r="X128" s="1000" t="s">
        <v>903</v>
      </c>
      <c r="Y128" s="1000">
        <v>76</v>
      </c>
      <c r="Z128" s="1000" t="s">
        <v>904</v>
      </c>
      <c r="AA128" s="1000" t="s">
        <v>905</v>
      </c>
      <c r="AB128" s="1000" t="s">
        <v>911</v>
      </c>
      <c r="AC128" s="1000" t="s">
        <v>907</v>
      </c>
      <c r="AD128" s="1004">
        <v>5333.97</v>
      </c>
      <c r="AE128" s="1004">
        <f t="shared" si="18"/>
        <v>73786.585000000006</v>
      </c>
      <c r="AF128" s="1004">
        <f t="shared" si="22"/>
        <v>73786.585000000006</v>
      </c>
      <c r="AG128" s="1005">
        <f t="shared" si="23"/>
        <v>13.833333333333334</v>
      </c>
      <c r="AH128" s="1005">
        <f t="shared" si="19"/>
        <v>11.649342355584254</v>
      </c>
    </row>
    <row r="129" spans="1:34" x14ac:dyDescent="0.25">
      <c r="A129" s="999">
        <v>32396</v>
      </c>
      <c r="B129" s="999" t="s">
        <v>933</v>
      </c>
      <c r="C129" s="999" t="s">
        <v>934</v>
      </c>
      <c r="D129" s="999" t="s">
        <v>935</v>
      </c>
      <c r="E129" s="999" t="s">
        <v>895</v>
      </c>
      <c r="F129" s="999">
        <v>1887436</v>
      </c>
      <c r="G129" s="1000">
        <v>25989103700</v>
      </c>
      <c r="H129" s="999" t="s">
        <v>1114</v>
      </c>
      <c r="I129" s="999" t="s">
        <v>897</v>
      </c>
      <c r="J129" s="1001">
        <v>40770</v>
      </c>
      <c r="K129" s="1001">
        <v>45835</v>
      </c>
      <c r="L129" s="1000">
        <f t="shared" si="20"/>
        <v>166</v>
      </c>
      <c r="M129" s="1002">
        <f t="shared" si="21"/>
        <v>13.833333333333334</v>
      </c>
      <c r="N129" s="1000">
        <v>13</v>
      </c>
      <c r="O129" s="1000">
        <v>13</v>
      </c>
      <c r="P129" s="1000">
        <v>43</v>
      </c>
      <c r="Q129" s="999" t="s">
        <v>898</v>
      </c>
      <c r="R129" s="999" t="s">
        <v>899</v>
      </c>
      <c r="S129" s="999" t="s">
        <v>900</v>
      </c>
      <c r="T129" s="999" t="s">
        <v>1115</v>
      </c>
      <c r="U129" s="1000" t="s">
        <v>54</v>
      </c>
      <c r="V129" s="1000" t="s">
        <v>914</v>
      </c>
      <c r="W129" s="1003">
        <v>17928</v>
      </c>
      <c r="X129" s="1000" t="s">
        <v>903</v>
      </c>
      <c r="Y129" s="1000">
        <v>76</v>
      </c>
      <c r="Z129" s="1000" t="s">
        <v>904</v>
      </c>
      <c r="AA129" s="1000" t="s">
        <v>905</v>
      </c>
      <c r="AB129" s="1000" t="s">
        <v>925</v>
      </c>
      <c r="AC129" s="1000" t="s">
        <v>907</v>
      </c>
      <c r="AD129" s="1004">
        <v>10126.049999999999</v>
      </c>
      <c r="AE129" s="1004">
        <f t="shared" si="18"/>
        <v>140077.02499999999</v>
      </c>
      <c r="AF129" s="1004">
        <f t="shared" si="22"/>
        <v>140077.02499999999</v>
      </c>
      <c r="AG129" s="1005">
        <f t="shared" si="23"/>
        <v>13.833333333333334</v>
      </c>
      <c r="AH129" s="1005">
        <f t="shared" si="19"/>
        <v>12.59000498829324</v>
      </c>
    </row>
    <row r="130" spans="1:34" x14ac:dyDescent="0.25">
      <c r="A130" s="999">
        <v>32396</v>
      </c>
      <c r="B130" s="999" t="s">
        <v>933</v>
      </c>
      <c r="C130" s="999" t="s">
        <v>934</v>
      </c>
      <c r="D130" s="999" t="s">
        <v>935</v>
      </c>
      <c r="E130" s="999" t="s">
        <v>895</v>
      </c>
      <c r="F130" s="999">
        <v>1841754</v>
      </c>
      <c r="G130" s="1000">
        <v>38277760744</v>
      </c>
      <c r="H130" s="999" t="s">
        <v>1116</v>
      </c>
      <c r="I130" s="999" t="s">
        <v>897</v>
      </c>
      <c r="J130" s="1001">
        <v>40571</v>
      </c>
      <c r="K130" s="1001">
        <v>45835</v>
      </c>
      <c r="L130" s="1000">
        <f t="shared" si="20"/>
        <v>172</v>
      </c>
      <c r="M130" s="1002">
        <f t="shared" si="21"/>
        <v>14.333333333333334</v>
      </c>
      <c r="N130" s="1000">
        <v>14</v>
      </c>
      <c r="O130" s="1000">
        <v>14</v>
      </c>
      <c r="P130" s="1000">
        <v>43</v>
      </c>
      <c r="Q130" s="999" t="s">
        <v>898</v>
      </c>
      <c r="R130" s="999" t="s">
        <v>899</v>
      </c>
      <c r="S130" s="999" t="s">
        <v>900</v>
      </c>
      <c r="T130" s="999" t="s">
        <v>1115</v>
      </c>
      <c r="U130" s="1000" t="s">
        <v>54</v>
      </c>
      <c r="V130" s="1000" t="s">
        <v>914</v>
      </c>
      <c r="W130" s="1003">
        <v>18001</v>
      </c>
      <c r="X130" s="1000" t="s">
        <v>930</v>
      </c>
      <c r="Y130" s="1000">
        <v>76</v>
      </c>
      <c r="Z130" s="1000" t="s">
        <v>904</v>
      </c>
      <c r="AA130" s="1000" t="s">
        <v>905</v>
      </c>
      <c r="AB130" s="1000" t="s">
        <v>925</v>
      </c>
      <c r="AC130" s="1000" t="s">
        <v>907</v>
      </c>
      <c r="AD130" s="1004">
        <v>10126.049999999999</v>
      </c>
      <c r="AE130" s="1004">
        <f t="shared" si="18"/>
        <v>145140.04999999999</v>
      </c>
      <c r="AF130" s="1004">
        <f t="shared" si="22"/>
        <v>145140.04999999999</v>
      </c>
      <c r="AG130" s="1005">
        <f t="shared" si="23"/>
        <v>14.333333333333334</v>
      </c>
      <c r="AH130" s="1005">
        <f t="shared" si="19"/>
        <v>13.04506540955685</v>
      </c>
    </row>
    <row r="131" spans="1:34" x14ac:dyDescent="0.25">
      <c r="A131" s="999">
        <v>32396</v>
      </c>
      <c r="B131" s="999" t="s">
        <v>933</v>
      </c>
      <c r="C131" s="999" t="s">
        <v>934</v>
      </c>
      <c r="D131" s="999" t="s">
        <v>935</v>
      </c>
      <c r="E131" s="999" t="s">
        <v>895</v>
      </c>
      <c r="F131" s="999">
        <v>1891971</v>
      </c>
      <c r="G131" s="1000">
        <v>13981501691</v>
      </c>
      <c r="H131" s="999" t="s">
        <v>1117</v>
      </c>
      <c r="I131" s="999" t="s">
        <v>897</v>
      </c>
      <c r="J131" s="1001">
        <v>40798</v>
      </c>
      <c r="K131" s="1001">
        <v>45835</v>
      </c>
      <c r="L131" s="1000">
        <f t="shared" si="20"/>
        <v>165</v>
      </c>
      <c r="M131" s="1002">
        <f t="shared" si="21"/>
        <v>13.75</v>
      </c>
      <c r="N131" s="1000">
        <v>13</v>
      </c>
      <c r="O131" s="1000">
        <v>13</v>
      </c>
      <c r="P131" s="1000">
        <v>43</v>
      </c>
      <c r="Q131" s="999" t="s">
        <v>898</v>
      </c>
      <c r="R131" s="999" t="s">
        <v>899</v>
      </c>
      <c r="S131" s="999" t="s">
        <v>900</v>
      </c>
      <c r="T131" s="999" t="s">
        <v>1013</v>
      </c>
      <c r="U131" s="1000" t="s">
        <v>55</v>
      </c>
      <c r="V131" s="1000" t="s">
        <v>914</v>
      </c>
      <c r="W131" s="1003">
        <v>16532</v>
      </c>
      <c r="X131" s="1000" t="s">
        <v>903</v>
      </c>
      <c r="Y131" s="1000">
        <v>80</v>
      </c>
      <c r="Z131" s="1000" t="s">
        <v>904</v>
      </c>
      <c r="AA131" s="1000" t="s">
        <v>905</v>
      </c>
      <c r="AB131" s="1000" t="s">
        <v>911</v>
      </c>
      <c r="AC131" s="1000" t="s">
        <v>907</v>
      </c>
      <c r="AD131" s="1004">
        <v>5333.97</v>
      </c>
      <c r="AE131" s="1004">
        <f t="shared" si="18"/>
        <v>73342.087500000009</v>
      </c>
      <c r="AF131" s="1004">
        <f t="shared" si="22"/>
        <v>73342.087500000009</v>
      </c>
      <c r="AG131" s="1005">
        <f t="shared" si="23"/>
        <v>13.750000000000002</v>
      </c>
      <c r="AH131" s="1005">
        <f t="shared" si="19"/>
        <v>11.579165594406037</v>
      </c>
    </row>
    <row r="132" spans="1:34" x14ac:dyDescent="0.25">
      <c r="A132" s="999">
        <v>32396</v>
      </c>
      <c r="B132" s="999" t="s">
        <v>933</v>
      </c>
      <c r="C132" s="999" t="s">
        <v>934</v>
      </c>
      <c r="D132" s="999" t="s">
        <v>935</v>
      </c>
      <c r="E132" s="999" t="s">
        <v>895</v>
      </c>
      <c r="F132" s="999">
        <v>1980666</v>
      </c>
      <c r="G132" s="1000">
        <v>17870780782</v>
      </c>
      <c r="H132" s="999" t="s">
        <v>1118</v>
      </c>
      <c r="I132" s="999" t="s">
        <v>897</v>
      </c>
      <c r="J132" s="1001">
        <v>41214</v>
      </c>
      <c r="K132" s="1001">
        <v>45835</v>
      </c>
      <c r="L132" s="1000">
        <f t="shared" si="20"/>
        <v>151</v>
      </c>
      <c r="M132" s="1002">
        <f t="shared" si="21"/>
        <v>12.583333333333334</v>
      </c>
      <c r="N132" s="1000">
        <v>12</v>
      </c>
      <c r="O132" s="1000">
        <v>12</v>
      </c>
      <c r="P132" s="1000">
        <v>43</v>
      </c>
      <c r="Q132" s="999" t="s">
        <v>898</v>
      </c>
      <c r="R132" s="999" t="s">
        <v>899</v>
      </c>
      <c r="S132" s="999" t="s">
        <v>900</v>
      </c>
      <c r="T132" s="999" t="s">
        <v>1115</v>
      </c>
      <c r="U132" s="1000" t="s">
        <v>54</v>
      </c>
      <c r="V132" s="1000" t="s">
        <v>914</v>
      </c>
      <c r="W132" s="1003">
        <v>18200</v>
      </c>
      <c r="X132" s="1000" t="s">
        <v>930</v>
      </c>
      <c r="Y132" s="1000">
        <v>75</v>
      </c>
      <c r="Z132" s="1000" t="s">
        <v>904</v>
      </c>
      <c r="AA132" s="1000" t="s">
        <v>905</v>
      </c>
      <c r="AB132" s="1000" t="s">
        <v>925</v>
      </c>
      <c r="AC132" s="1000" t="s">
        <v>907</v>
      </c>
      <c r="AD132" s="1004">
        <v>10126.049999999999</v>
      </c>
      <c r="AE132" s="1004">
        <f t="shared" si="18"/>
        <v>127419.46249999999</v>
      </c>
      <c r="AF132" s="1004">
        <f t="shared" si="22"/>
        <v>127419.46249999999</v>
      </c>
      <c r="AG132" s="1005">
        <f t="shared" si="23"/>
        <v>12.583333333333334</v>
      </c>
      <c r="AH132" s="1005">
        <f t="shared" si="19"/>
        <v>11.452353935134212</v>
      </c>
    </row>
    <row r="133" spans="1:34" x14ac:dyDescent="0.25">
      <c r="A133" s="999">
        <v>32396</v>
      </c>
      <c r="B133" s="999" t="s">
        <v>933</v>
      </c>
      <c r="C133" s="999" t="s">
        <v>934</v>
      </c>
      <c r="D133" s="999" t="s">
        <v>935</v>
      </c>
      <c r="E133" s="999" t="s">
        <v>895</v>
      </c>
      <c r="F133" s="999">
        <v>1342476</v>
      </c>
      <c r="G133" s="1000">
        <v>5797128268</v>
      </c>
      <c r="H133" s="999" t="s">
        <v>1119</v>
      </c>
      <c r="I133" s="999" t="s">
        <v>897</v>
      </c>
      <c r="J133" s="1001">
        <v>42660</v>
      </c>
      <c r="K133" s="1001">
        <v>45835</v>
      </c>
      <c r="L133" s="1000">
        <f t="shared" si="20"/>
        <v>104</v>
      </c>
      <c r="M133" s="1002">
        <f t="shared" si="21"/>
        <v>8.6666666666666661</v>
      </c>
      <c r="N133" s="1000">
        <v>8</v>
      </c>
      <c r="O133" s="1000">
        <v>10</v>
      </c>
      <c r="P133" s="1000">
        <v>43</v>
      </c>
      <c r="Q133" s="999" t="s">
        <v>898</v>
      </c>
      <c r="R133" s="999" t="s">
        <v>899</v>
      </c>
      <c r="S133" s="999" t="s">
        <v>900</v>
      </c>
      <c r="T133" s="999" t="s">
        <v>1120</v>
      </c>
      <c r="U133" s="1000"/>
      <c r="V133" s="1000" t="s">
        <v>914</v>
      </c>
      <c r="W133" s="1003">
        <v>15524</v>
      </c>
      <c r="X133" s="1000" t="s">
        <v>903</v>
      </c>
      <c r="Y133" s="1000">
        <v>82</v>
      </c>
      <c r="Z133" s="1000" t="s">
        <v>904</v>
      </c>
      <c r="AA133" s="1000" t="s">
        <v>905</v>
      </c>
      <c r="AB133" s="1000" t="s">
        <v>938</v>
      </c>
      <c r="AC133" s="1000" t="s">
        <v>907</v>
      </c>
      <c r="AD133" s="1004">
        <v>3813.57</v>
      </c>
      <c r="AE133" s="1004">
        <f t="shared" si="18"/>
        <v>33050.94</v>
      </c>
      <c r="AF133" s="1004">
        <f t="shared" si="22"/>
        <v>33050.94</v>
      </c>
      <c r="AG133" s="1005">
        <f t="shared" si="23"/>
        <v>8.6666666666666661</v>
      </c>
      <c r="AH133" s="1005">
        <f t="shared" si="19"/>
        <v>6.8662011770889393</v>
      </c>
    </row>
    <row r="134" spans="1:34" x14ac:dyDescent="0.25">
      <c r="A134" s="999">
        <v>32396</v>
      </c>
      <c r="B134" s="999" t="s">
        <v>933</v>
      </c>
      <c r="C134" s="999" t="s">
        <v>934</v>
      </c>
      <c r="D134" s="999" t="s">
        <v>935</v>
      </c>
      <c r="E134" s="999" t="s">
        <v>895</v>
      </c>
      <c r="F134" s="999">
        <v>1884364</v>
      </c>
      <c r="G134" s="1000">
        <v>21584893753</v>
      </c>
      <c r="H134" s="999" t="s">
        <v>1121</v>
      </c>
      <c r="I134" s="999" t="s">
        <v>897</v>
      </c>
      <c r="J134" s="1001">
        <v>40744</v>
      </c>
      <c r="K134" s="1001">
        <v>45835</v>
      </c>
      <c r="L134" s="1000">
        <f t="shared" si="20"/>
        <v>167</v>
      </c>
      <c r="M134" s="1002">
        <f t="shared" si="21"/>
        <v>13.916666666666666</v>
      </c>
      <c r="N134" s="1000">
        <v>13</v>
      </c>
      <c r="O134" s="1000">
        <v>13</v>
      </c>
      <c r="P134" s="1000">
        <v>43</v>
      </c>
      <c r="Q134" s="999" t="s">
        <v>898</v>
      </c>
      <c r="R134" s="999" t="s">
        <v>899</v>
      </c>
      <c r="S134" s="999" t="s">
        <v>900</v>
      </c>
      <c r="T134" s="999" t="s">
        <v>1019</v>
      </c>
      <c r="U134" s="1000"/>
      <c r="V134" s="1000" t="s">
        <v>914</v>
      </c>
      <c r="W134" s="1003">
        <v>16597</v>
      </c>
      <c r="X134" s="1000" t="s">
        <v>903</v>
      </c>
      <c r="Y134" s="1000">
        <v>79</v>
      </c>
      <c r="Z134" s="1000" t="s">
        <v>904</v>
      </c>
      <c r="AA134" s="1000" t="s">
        <v>905</v>
      </c>
      <c r="AB134" s="1000" t="s">
        <v>938</v>
      </c>
      <c r="AC134" s="1000" t="s">
        <v>907</v>
      </c>
      <c r="AD134" s="1004">
        <v>3813.57</v>
      </c>
      <c r="AE134" s="1004">
        <f t="shared" si="18"/>
        <v>53072.182500000003</v>
      </c>
      <c r="AF134" s="1004">
        <f t="shared" si="22"/>
        <v>53072.182500000003</v>
      </c>
      <c r="AG134" s="1005">
        <f t="shared" si="23"/>
        <v>13.916666666666666</v>
      </c>
      <c r="AH134" s="1005">
        <f t="shared" si="19"/>
        <v>11.025534582440892</v>
      </c>
    </row>
    <row r="135" spans="1:34" x14ac:dyDescent="0.25">
      <c r="A135" s="999">
        <v>32396</v>
      </c>
      <c r="B135" s="999" t="s">
        <v>933</v>
      </c>
      <c r="C135" s="999" t="s">
        <v>934</v>
      </c>
      <c r="D135" s="999" t="s">
        <v>935</v>
      </c>
      <c r="E135" s="999" t="s">
        <v>895</v>
      </c>
      <c r="F135" s="999">
        <v>1948418</v>
      </c>
      <c r="G135" s="1000">
        <v>19067844691</v>
      </c>
      <c r="H135" s="999" t="s">
        <v>1122</v>
      </c>
      <c r="I135" s="999" t="s">
        <v>897</v>
      </c>
      <c r="J135" s="1001">
        <v>41052</v>
      </c>
      <c r="K135" s="1001">
        <v>45835</v>
      </c>
      <c r="L135" s="1000">
        <f t="shared" si="20"/>
        <v>157</v>
      </c>
      <c r="M135" s="1002">
        <f t="shared" si="21"/>
        <v>13.083333333333334</v>
      </c>
      <c r="N135" s="1000">
        <v>13</v>
      </c>
      <c r="O135" s="1000">
        <v>13</v>
      </c>
      <c r="P135" s="1000">
        <v>43</v>
      </c>
      <c r="Q135" s="999" t="s">
        <v>898</v>
      </c>
      <c r="R135" s="999" t="s">
        <v>899</v>
      </c>
      <c r="S135" s="999" t="s">
        <v>900</v>
      </c>
      <c r="T135" s="999" t="s">
        <v>1019</v>
      </c>
      <c r="U135" s="1000"/>
      <c r="V135" s="1000" t="s">
        <v>914</v>
      </c>
      <c r="W135" s="1003">
        <v>15836</v>
      </c>
      <c r="X135" s="1000" t="s">
        <v>903</v>
      </c>
      <c r="Y135" s="1000">
        <v>81</v>
      </c>
      <c r="Z135" s="1000" t="s">
        <v>904</v>
      </c>
      <c r="AA135" s="1000" t="s">
        <v>905</v>
      </c>
      <c r="AB135" s="1000" t="s">
        <v>938</v>
      </c>
      <c r="AC135" s="1000" t="s">
        <v>907</v>
      </c>
      <c r="AD135" s="1004">
        <v>3813.57</v>
      </c>
      <c r="AE135" s="1004">
        <f t="shared" si="18"/>
        <v>49894.207500000004</v>
      </c>
      <c r="AF135" s="1004">
        <f t="shared" si="22"/>
        <v>49894.207500000004</v>
      </c>
      <c r="AG135" s="1005">
        <f t="shared" si="23"/>
        <v>13.083333333333334</v>
      </c>
      <c r="AH135" s="1005">
        <f t="shared" si="19"/>
        <v>10.365322930797726</v>
      </c>
    </row>
    <row r="136" spans="1:34" x14ac:dyDescent="0.25">
      <c r="A136" s="999">
        <v>32396</v>
      </c>
      <c r="B136" s="999" t="s">
        <v>933</v>
      </c>
      <c r="C136" s="999" t="s">
        <v>934</v>
      </c>
      <c r="D136" s="999" t="s">
        <v>935</v>
      </c>
      <c r="E136" s="999" t="s">
        <v>895</v>
      </c>
      <c r="F136" s="999">
        <v>1884366</v>
      </c>
      <c r="G136" s="1000">
        <v>24163139753</v>
      </c>
      <c r="H136" s="999" t="s">
        <v>1123</v>
      </c>
      <c r="I136" s="999" t="s">
        <v>897</v>
      </c>
      <c r="J136" s="1001">
        <v>40749</v>
      </c>
      <c r="K136" s="1001">
        <v>45835</v>
      </c>
      <c r="L136" s="1000">
        <f t="shared" si="20"/>
        <v>167</v>
      </c>
      <c r="M136" s="1002">
        <f t="shared" si="21"/>
        <v>13.916666666666666</v>
      </c>
      <c r="N136" s="1000">
        <v>13</v>
      </c>
      <c r="O136" s="1000">
        <v>13</v>
      </c>
      <c r="P136" s="1000">
        <v>43</v>
      </c>
      <c r="Q136" s="999" t="s">
        <v>898</v>
      </c>
      <c r="R136" s="999" t="s">
        <v>899</v>
      </c>
      <c r="S136" s="999" t="s">
        <v>900</v>
      </c>
      <c r="T136" s="999" t="s">
        <v>1019</v>
      </c>
      <c r="U136" s="1000"/>
      <c r="V136" s="1000" t="s">
        <v>914</v>
      </c>
      <c r="W136" s="1003">
        <v>17424</v>
      </c>
      <c r="X136" s="1000" t="s">
        <v>903</v>
      </c>
      <c r="Y136" s="1000">
        <v>77</v>
      </c>
      <c r="Z136" s="1000" t="s">
        <v>904</v>
      </c>
      <c r="AA136" s="1000" t="s">
        <v>905</v>
      </c>
      <c r="AB136" s="1000" t="s">
        <v>938</v>
      </c>
      <c r="AC136" s="1000" t="s">
        <v>907</v>
      </c>
      <c r="AD136" s="1004">
        <v>3813.57</v>
      </c>
      <c r="AE136" s="1004">
        <f t="shared" ref="AE136:AE197" si="24">AD136*M136</f>
        <v>53072.182500000003</v>
      </c>
      <c r="AF136" s="1004">
        <f t="shared" si="22"/>
        <v>53072.182500000003</v>
      </c>
      <c r="AG136" s="1005">
        <f t="shared" si="23"/>
        <v>13.916666666666666</v>
      </c>
      <c r="AH136" s="1005">
        <f t="shared" ref="AH136:AH197" si="25">AF136/(AD136+1000)</f>
        <v>11.025534582440892</v>
      </c>
    </row>
    <row r="137" spans="1:34" x14ac:dyDescent="0.25">
      <c r="A137" s="999">
        <v>32396</v>
      </c>
      <c r="B137" s="999" t="s">
        <v>933</v>
      </c>
      <c r="C137" s="999" t="s">
        <v>934</v>
      </c>
      <c r="D137" s="999" t="s">
        <v>935</v>
      </c>
      <c r="E137" s="999" t="s">
        <v>895</v>
      </c>
      <c r="F137" s="999">
        <v>1846955</v>
      </c>
      <c r="G137" s="1000">
        <v>12640786687</v>
      </c>
      <c r="H137" s="999" t="s">
        <v>1124</v>
      </c>
      <c r="I137" s="999" t="s">
        <v>897</v>
      </c>
      <c r="J137" s="1001">
        <v>40571</v>
      </c>
      <c r="K137" s="1001">
        <v>45835</v>
      </c>
      <c r="L137" s="1000">
        <f t="shared" ref="L137:L198" si="26">DATEDIF(J137,K137, "m")</f>
        <v>172</v>
      </c>
      <c r="M137" s="1002">
        <f t="shared" ref="M137:M198" si="27">L137/12</f>
        <v>14.333333333333334</v>
      </c>
      <c r="N137" s="1000">
        <v>14</v>
      </c>
      <c r="O137" s="1000">
        <v>14</v>
      </c>
      <c r="P137" s="1000">
        <v>43</v>
      </c>
      <c r="Q137" s="999" t="s">
        <v>898</v>
      </c>
      <c r="R137" s="999" t="s">
        <v>899</v>
      </c>
      <c r="S137" s="999" t="s">
        <v>900</v>
      </c>
      <c r="T137" s="999" t="s">
        <v>1125</v>
      </c>
      <c r="U137" s="1000" t="s">
        <v>54</v>
      </c>
      <c r="V137" s="1000" t="s">
        <v>914</v>
      </c>
      <c r="W137" s="1003">
        <v>16141</v>
      </c>
      <c r="X137" s="1000" t="s">
        <v>903</v>
      </c>
      <c r="Y137" s="1000">
        <v>81</v>
      </c>
      <c r="Z137" s="1000" t="s">
        <v>904</v>
      </c>
      <c r="AA137" s="1000" t="s">
        <v>905</v>
      </c>
      <c r="AB137" s="1000" t="s">
        <v>925</v>
      </c>
      <c r="AC137" s="1000" t="s">
        <v>907</v>
      </c>
      <c r="AD137" s="1004">
        <v>10126.049999999999</v>
      </c>
      <c r="AE137" s="1004">
        <f t="shared" si="24"/>
        <v>145140.04999999999</v>
      </c>
      <c r="AF137" s="1004">
        <f t="shared" ref="AF137:AF198" si="28">AE137</f>
        <v>145140.04999999999</v>
      </c>
      <c r="AG137" s="1005">
        <f t="shared" si="23"/>
        <v>14.333333333333334</v>
      </c>
      <c r="AH137" s="1005">
        <f t="shared" si="25"/>
        <v>13.04506540955685</v>
      </c>
    </row>
    <row r="138" spans="1:34" x14ac:dyDescent="0.25">
      <c r="A138" s="999">
        <v>32396</v>
      </c>
      <c r="B138" s="999" t="s">
        <v>933</v>
      </c>
      <c r="C138" s="999" t="s">
        <v>934</v>
      </c>
      <c r="D138" s="999" t="s">
        <v>935</v>
      </c>
      <c r="E138" s="999" t="s">
        <v>895</v>
      </c>
      <c r="F138" s="999">
        <v>1904125</v>
      </c>
      <c r="G138" s="1000">
        <v>17646979600</v>
      </c>
      <c r="H138" s="999" t="s">
        <v>1126</v>
      </c>
      <c r="I138" s="999" t="s">
        <v>897</v>
      </c>
      <c r="J138" s="1001">
        <v>40882</v>
      </c>
      <c r="K138" s="1001">
        <v>45835</v>
      </c>
      <c r="L138" s="1000">
        <f t="shared" si="26"/>
        <v>162</v>
      </c>
      <c r="M138" s="1002">
        <f t="shared" si="27"/>
        <v>13.5</v>
      </c>
      <c r="N138" s="1000">
        <v>13</v>
      </c>
      <c r="O138" s="1000">
        <v>13</v>
      </c>
      <c r="P138" s="1000">
        <v>43</v>
      </c>
      <c r="Q138" s="999" t="s">
        <v>898</v>
      </c>
      <c r="R138" s="999" t="s">
        <v>899</v>
      </c>
      <c r="S138" s="999" t="s">
        <v>900</v>
      </c>
      <c r="T138" s="999" t="s">
        <v>1127</v>
      </c>
      <c r="U138" s="1000"/>
      <c r="V138" s="1000" t="s">
        <v>914</v>
      </c>
      <c r="W138" s="1003">
        <v>16426</v>
      </c>
      <c r="X138" s="1000" t="s">
        <v>903</v>
      </c>
      <c r="Y138" s="1000">
        <v>80</v>
      </c>
      <c r="Z138" s="1000" t="s">
        <v>904</v>
      </c>
      <c r="AA138" s="1000" t="s">
        <v>905</v>
      </c>
      <c r="AB138" s="1000" t="s">
        <v>938</v>
      </c>
      <c r="AC138" s="1000" t="s">
        <v>907</v>
      </c>
      <c r="AD138" s="1004">
        <v>3813.57</v>
      </c>
      <c r="AE138" s="1004">
        <f t="shared" si="24"/>
        <v>51483.195</v>
      </c>
      <c r="AF138" s="1004">
        <f t="shared" si="28"/>
        <v>51483.195</v>
      </c>
      <c r="AG138" s="1005">
        <f t="shared" si="23"/>
        <v>13.5</v>
      </c>
      <c r="AH138" s="1005">
        <f t="shared" si="25"/>
        <v>10.695428756619307</v>
      </c>
    </row>
    <row r="139" spans="1:34" x14ac:dyDescent="0.25">
      <c r="A139" s="999">
        <v>32396</v>
      </c>
      <c r="B139" s="999" t="s">
        <v>933</v>
      </c>
      <c r="C139" s="999" t="s">
        <v>934</v>
      </c>
      <c r="D139" s="999" t="s">
        <v>935</v>
      </c>
      <c r="E139" s="999" t="s">
        <v>895</v>
      </c>
      <c r="F139" s="999">
        <v>1846557</v>
      </c>
      <c r="G139" s="1000">
        <v>17393671700</v>
      </c>
      <c r="H139" s="999" t="s">
        <v>1128</v>
      </c>
      <c r="I139" s="999" t="s">
        <v>897</v>
      </c>
      <c r="J139" s="1001">
        <v>40571</v>
      </c>
      <c r="K139" s="1001">
        <v>45835</v>
      </c>
      <c r="L139" s="1000">
        <f t="shared" si="26"/>
        <v>172</v>
      </c>
      <c r="M139" s="1002">
        <f t="shared" si="27"/>
        <v>14.333333333333334</v>
      </c>
      <c r="N139" s="1000">
        <v>14</v>
      </c>
      <c r="O139" s="1000">
        <v>14</v>
      </c>
      <c r="P139" s="1000">
        <v>43</v>
      </c>
      <c r="Q139" s="999" t="s">
        <v>898</v>
      </c>
      <c r="R139" s="999" t="s">
        <v>899</v>
      </c>
      <c r="S139" s="999" t="s">
        <v>900</v>
      </c>
      <c r="T139" s="999" t="s">
        <v>940</v>
      </c>
      <c r="U139" s="1000"/>
      <c r="V139" s="1000" t="s">
        <v>914</v>
      </c>
      <c r="W139" s="1003">
        <v>18056</v>
      </c>
      <c r="X139" s="1000" t="s">
        <v>903</v>
      </c>
      <c r="Y139" s="1000">
        <v>75</v>
      </c>
      <c r="Z139" s="1000" t="s">
        <v>904</v>
      </c>
      <c r="AA139" s="1000" t="s">
        <v>905</v>
      </c>
      <c r="AB139" s="1000" t="s">
        <v>938</v>
      </c>
      <c r="AC139" s="1000" t="s">
        <v>907</v>
      </c>
      <c r="AD139" s="1004">
        <v>7706.27</v>
      </c>
      <c r="AE139" s="1004">
        <f t="shared" si="24"/>
        <v>110456.53666666668</v>
      </c>
      <c r="AF139" s="1004">
        <f t="shared" si="28"/>
        <v>110456.53666666668</v>
      </c>
      <c r="AG139" s="1005">
        <f t="shared" si="23"/>
        <v>14.333333333333334</v>
      </c>
      <c r="AH139" s="1005">
        <f t="shared" si="25"/>
        <v>12.687010242809684</v>
      </c>
    </row>
    <row r="140" spans="1:34" x14ac:dyDescent="0.25">
      <c r="A140" s="999">
        <v>32396</v>
      </c>
      <c r="B140" s="999" t="s">
        <v>933</v>
      </c>
      <c r="C140" s="999" t="s">
        <v>934</v>
      </c>
      <c r="D140" s="999" t="s">
        <v>935</v>
      </c>
      <c r="E140" s="999" t="s">
        <v>895</v>
      </c>
      <c r="F140" s="999">
        <v>1903148</v>
      </c>
      <c r="G140" s="1000">
        <v>25175920715</v>
      </c>
      <c r="H140" s="999" t="s">
        <v>1129</v>
      </c>
      <c r="I140" s="999" t="s">
        <v>897</v>
      </c>
      <c r="J140" s="1001">
        <v>40858</v>
      </c>
      <c r="K140" s="1001">
        <v>45835</v>
      </c>
      <c r="L140" s="1000">
        <f t="shared" si="26"/>
        <v>163</v>
      </c>
      <c r="M140" s="1002">
        <f t="shared" si="27"/>
        <v>13.583333333333334</v>
      </c>
      <c r="N140" s="1000">
        <v>13</v>
      </c>
      <c r="O140" s="1000">
        <v>13</v>
      </c>
      <c r="P140" s="1000">
        <v>43</v>
      </c>
      <c r="Q140" s="999" t="s">
        <v>898</v>
      </c>
      <c r="R140" s="999" t="s">
        <v>899</v>
      </c>
      <c r="S140" s="999" t="s">
        <v>900</v>
      </c>
      <c r="T140" s="999" t="s">
        <v>971</v>
      </c>
      <c r="U140" s="1000"/>
      <c r="V140" s="1000" t="s">
        <v>914</v>
      </c>
      <c r="W140" s="1003">
        <v>16027</v>
      </c>
      <c r="X140" s="1000" t="s">
        <v>903</v>
      </c>
      <c r="Y140" s="1000">
        <v>81</v>
      </c>
      <c r="Z140" s="1000" t="s">
        <v>904</v>
      </c>
      <c r="AA140" s="1000" t="s">
        <v>905</v>
      </c>
      <c r="AB140" s="1000" t="s">
        <v>938</v>
      </c>
      <c r="AC140" s="1000" t="s">
        <v>907</v>
      </c>
      <c r="AD140" s="1004">
        <v>3813.57</v>
      </c>
      <c r="AE140" s="1004">
        <f t="shared" si="24"/>
        <v>51800.992500000008</v>
      </c>
      <c r="AF140" s="1004">
        <f t="shared" si="28"/>
        <v>51800.992500000008</v>
      </c>
      <c r="AG140" s="1005">
        <f t="shared" si="23"/>
        <v>13.583333333333334</v>
      </c>
      <c r="AH140" s="1005">
        <f t="shared" si="25"/>
        <v>10.761449921783626</v>
      </c>
    </row>
    <row r="141" spans="1:34" x14ac:dyDescent="0.25">
      <c r="A141" s="999">
        <v>32396</v>
      </c>
      <c r="B141" s="999" t="s">
        <v>933</v>
      </c>
      <c r="C141" s="999" t="s">
        <v>934</v>
      </c>
      <c r="D141" s="999" t="s">
        <v>935</v>
      </c>
      <c r="E141" s="999" t="s">
        <v>895</v>
      </c>
      <c r="F141" s="999">
        <v>1846589</v>
      </c>
      <c r="G141" s="1000">
        <v>21401250700</v>
      </c>
      <c r="H141" s="999" t="s">
        <v>1130</v>
      </c>
      <c r="I141" s="999" t="s">
        <v>897</v>
      </c>
      <c r="J141" s="1001">
        <v>40574</v>
      </c>
      <c r="K141" s="1001">
        <v>45835</v>
      </c>
      <c r="L141" s="1000">
        <f t="shared" si="26"/>
        <v>172</v>
      </c>
      <c r="M141" s="1002">
        <f t="shared" si="27"/>
        <v>14.333333333333334</v>
      </c>
      <c r="N141" s="1000">
        <v>14</v>
      </c>
      <c r="O141" s="1000">
        <v>14</v>
      </c>
      <c r="P141" s="1000">
        <v>43</v>
      </c>
      <c r="Q141" s="999" t="s">
        <v>898</v>
      </c>
      <c r="R141" s="999" t="s">
        <v>899</v>
      </c>
      <c r="S141" s="999" t="s">
        <v>900</v>
      </c>
      <c r="T141" s="999" t="s">
        <v>1048</v>
      </c>
      <c r="U141" s="1000" t="s">
        <v>55</v>
      </c>
      <c r="V141" s="1000" t="s">
        <v>914</v>
      </c>
      <c r="W141" s="1003">
        <v>16712</v>
      </c>
      <c r="X141" s="1000" t="s">
        <v>903</v>
      </c>
      <c r="Y141" s="1000">
        <v>79</v>
      </c>
      <c r="Z141" s="1000" t="s">
        <v>904</v>
      </c>
      <c r="AA141" s="1000" t="s">
        <v>905</v>
      </c>
      <c r="AB141" s="1000" t="s">
        <v>911</v>
      </c>
      <c r="AC141" s="1000" t="s">
        <v>907</v>
      </c>
      <c r="AD141" s="1004">
        <v>5333.97</v>
      </c>
      <c r="AE141" s="1004">
        <f t="shared" si="24"/>
        <v>76453.570000000007</v>
      </c>
      <c r="AF141" s="1004">
        <f t="shared" si="28"/>
        <v>76453.570000000007</v>
      </c>
      <c r="AG141" s="1005">
        <f t="shared" si="23"/>
        <v>14.333333333333334</v>
      </c>
      <c r="AH141" s="1005">
        <f t="shared" si="25"/>
        <v>12.070402922653566</v>
      </c>
    </row>
    <row r="142" spans="1:34" x14ac:dyDescent="0.25">
      <c r="A142" s="999">
        <v>32396</v>
      </c>
      <c r="B142" s="999" t="s">
        <v>933</v>
      </c>
      <c r="C142" s="999" t="s">
        <v>934</v>
      </c>
      <c r="D142" s="999" t="s">
        <v>935</v>
      </c>
      <c r="E142" s="999" t="s">
        <v>895</v>
      </c>
      <c r="F142" s="999">
        <v>1950803</v>
      </c>
      <c r="G142" s="1000">
        <v>5756421220</v>
      </c>
      <c r="H142" s="999" t="s">
        <v>1131</v>
      </c>
      <c r="I142" s="999" t="s">
        <v>897</v>
      </c>
      <c r="J142" s="1001">
        <v>41052</v>
      </c>
      <c r="K142" s="1001">
        <v>45835</v>
      </c>
      <c r="L142" s="1000">
        <f t="shared" si="26"/>
        <v>157</v>
      </c>
      <c r="M142" s="1002">
        <f t="shared" si="27"/>
        <v>13.083333333333334</v>
      </c>
      <c r="N142" s="1000">
        <v>13</v>
      </c>
      <c r="O142" s="1000">
        <v>13</v>
      </c>
      <c r="P142" s="1000">
        <v>43</v>
      </c>
      <c r="Q142" s="999" t="s">
        <v>898</v>
      </c>
      <c r="R142" s="999" t="s">
        <v>899</v>
      </c>
      <c r="S142" s="999" t="s">
        <v>900</v>
      </c>
      <c r="T142" s="999" t="s">
        <v>1132</v>
      </c>
      <c r="U142" s="1000"/>
      <c r="V142" s="1000" t="s">
        <v>914</v>
      </c>
      <c r="W142" s="1003">
        <v>18273</v>
      </c>
      <c r="X142" s="1000" t="s">
        <v>903</v>
      </c>
      <c r="Y142" s="1000">
        <v>75</v>
      </c>
      <c r="Z142" s="1000" t="s">
        <v>904</v>
      </c>
      <c r="AA142" s="1000" t="s">
        <v>905</v>
      </c>
      <c r="AB142" s="1000" t="s">
        <v>938</v>
      </c>
      <c r="AC142" s="1000" t="s">
        <v>907</v>
      </c>
      <c r="AD142" s="1004">
        <v>3813.57</v>
      </c>
      <c r="AE142" s="1004">
        <f t="shared" si="24"/>
        <v>49894.207500000004</v>
      </c>
      <c r="AF142" s="1004">
        <f t="shared" si="28"/>
        <v>49894.207500000004</v>
      </c>
      <c r="AG142" s="1005">
        <f t="shared" si="23"/>
        <v>13.083333333333334</v>
      </c>
      <c r="AH142" s="1005">
        <f t="shared" si="25"/>
        <v>10.365322930797726</v>
      </c>
    </row>
    <row r="143" spans="1:34" x14ac:dyDescent="0.25">
      <c r="A143" s="999">
        <v>32396</v>
      </c>
      <c r="B143" s="999" t="s">
        <v>933</v>
      </c>
      <c r="C143" s="999" t="s">
        <v>934</v>
      </c>
      <c r="D143" s="999" t="s">
        <v>935</v>
      </c>
      <c r="E143" s="999" t="s">
        <v>895</v>
      </c>
      <c r="F143" s="999">
        <v>1887459</v>
      </c>
      <c r="G143" s="1000">
        <v>20349475687</v>
      </c>
      <c r="H143" s="999" t="s">
        <v>1133</v>
      </c>
      <c r="I143" s="999" t="s">
        <v>897</v>
      </c>
      <c r="J143" s="1001">
        <v>40756</v>
      </c>
      <c r="K143" s="1001">
        <v>45835</v>
      </c>
      <c r="L143" s="1000">
        <f t="shared" si="26"/>
        <v>166</v>
      </c>
      <c r="M143" s="1002">
        <f t="shared" si="27"/>
        <v>13.833333333333334</v>
      </c>
      <c r="N143" s="1000">
        <v>13</v>
      </c>
      <c r="O143" s="1000">
        <v>13</v>
      </c>
      <c r="P143" s="1000">
        <v>43</v>
      </c>
      <c r="Q143" s="999" t="s">
        <v>898</v>
      </c>
      <c r="R143" s="999" t="s">
        <v>899</v>
      </c>
      <c r="S143" s="999" t="s">
        <v>900</v>
      </c>
      <c r="T143" s="999" t="s">
        <v>1001</v>
      </c>
      <c r="U143" s="1000"/>
      <c r="V143" s="1000" t="s">
        <v>921</v>
      </c>
      <c r="W143" s="1003">
        <v>18102</v>
      </c>
      <c r="X143" s="1000" t="s">
        <v>903</v>
      </c>
      <c r="Y143" s="1000">
        <v>75</v>
      </c>
      <c r="Z143" s="1000" t="s">
        <v>904</v>
      </c>
      <c r="AA143" s="1000" t="s">
        <v>905</v>
      </c>
      <c r="AB143" s="1000" t="s">
        <v>1134</v>
      </c>
      <c r="AC143" s="1000" t="s">
        <v>907</v>
      </c>
      <c r="AD143" s="1004">
        <v>3417.68</v>
      </c>
      <c r="AE143" s="1004">
        <f t="shared" si="24"/>
        <v>47277.906666666669</v>
      </c>
      <c r="AF143" s="1004">
        <f t="shared" si="28"/>
        <v>47277.906666666669</v>
      </c>
      <c r="AG143" s="1005">
        <f t="shared" si="23"/>
        <v>13.833333333333336</v>
      </c>
      <c r="AH143" s="1005">
        <f t="shared" si="25"/>
        <v>10.701976301286347</v>
      </c>
    </row>
    <row r="144" spans="1:34" x14ac:dyDescent="0.25">
      <c r="A144" s="999">
        <v>32396</v>
      </c>
      <c r="B144" s="999" t="s">
        <v>933</v>
      </c>
      <c r="C144" s="999" t="s">
        <v>934</v>
      </c>
      <c r="D144" s="999" t="s">
        <v>935</v>
      </c>
      <c r="E144" s="999" t="s">
        <v>895</v>
      </c>
      <c r="F144" s="999">
        <v>1902161</v>
      </c>
      <c r="G144" s="1000">
        <v>14862751768</v>
      </c>
      <c r="H144" s="999" t="s">
        <v>1135</v>
      </c>
      <c r="I144" s="999" t="s">
        <v>897</v>
      </c>
      <c r="J144" s="1001">
        <v>40865</v>
      </c>
      <c r="K144" s="1001">
        <v>45835</v>
      </c>
      <c r="L144" s="1000">
        <f t="shared" si="26"/>
        <v>163</v>
      </c>
      <c r="M144" s="1002">
        <f t="shared" si="27"/>
        <v>13.583333333333334</v>
      </c>
      <c r="N144" s="1000">
        <v>13</v>
      </c>
      <c r="O144" s="1000">
        <v>13</v>
      </c>
      <c r="P144" s="1000">
        <v>43</v>
      </c>
      <c r="Q144" s="999" t="s">
        <v>898</v>
      </c>
      <c r="R144" s="999" t="s">
        <v>899</v>
      </c>
      <c r="S144" s="999" t="s">
        <v>900</v>
      </c>
      <c r="T144" s="999" t="s">
        <v>968</v>
      </c>
      <c r="U144" s="1000"/>
      <c r="V144" s="1000" t="s">
        <v>914</v>
      </c>
      <c r="W144" s="1003">
        <v>17033</v>
      </c>
      <c r="X144" s="1000" t="s">
        <v>903</v>
      </c>
      <c r="Y144" s="1000">
        <v>78</v>
      </c>
      <c r="Z144" s="1000" t="s">
        <v>904</v>
      </c>
      <c r="AA144" s="1000" t="s">
        <v>905</v>
      </c>
      <c r="AB144" s="1000" t="s">
        <v>938</v>
      </c>
      <c r="AC144" s="1000" t="s">
        <v>907</v>
      </c>
      <c r="AD144" s="1004">
        <v>3813.57</v>
      </c>
      <c r="AE144" s="1004">
        <f t="shared" si="24"/>
        <v>51800.992500000008</v>
      </c>
      <c r="AF144" s="1004">
        <f t="shared" si="28"/>
        <v>51800.992500000008</v>
      </c>
      <c r="AG144" s="1005">
        <f t="shared" si="23"/>
        <v>13.583333333333334</v>
      </c>
      <c r="AH144" s="1005">
        <f t="shared" si="25"/>
        <v>10.761449921783626</v>
      </c>
    </row>
    <row r="145" spans="1:34" x14ac:dyDescent="0.25">
      <c r="A145" s="999">
        <v>32396</v>
      </c>
      <c r="B145" s="999" t="s">
        <v>933</v>
      </c>
      <c r="C145" s="999" t="s">
        <v>934</v>
      </c>
      <c r="D145" s="999" t="s">
        <v>935</v>
      </c>
      <c r="E145" s="999" t="s">
        <v>895</v>
      </c>
      <c r="F145" s="999">
        <v>1911077</v>
      </c>
      <c r="G145" s="1000">
        <v>3994910749</v>
      </c>
      <c r="H145" s="999" t="s">
        <v>1136</v>
      </c>
      <c r="I145" s="999" t="s">
        <v>897</v>
      </c>
      <c r="J145" s="1001">
        <v>40924</v>
      </c>
      <c r="K145" s="1001">
        <v>45835</v>
      </c>
      <c r="L145" s="1000">
        <f t="shared" si="26"/>
        <v>161</v>
      </c>
      <c r="M145" s="1002">
        <f t="shared" si="27"/>
        <v>13.416666666666666</v>
      </c>
      <c r="N145" s="1000">
        <v>13</v>
      </c>
      <c r="O145" s="1000">
        <v>13</v>
      </c>
      <c r="P145" s="1000">
        <v>43</v>
      </c>
      <c r="Q145" s="999" t="s">
        <v>898</v>
      </c>
      <c r="R145" s="999" t="s">
        <v>899</v>
      </c>
      <c r="S145" s="999" t="s">
        <v>900</v>
      </c>
      <c r="T145" s="999" t="s">
        <v>982</v>
      </c>
      <c r="U145" s="1000" t="s">
        <v>54</v>
      </c>
      <c r="V145" s="1000" t="s">
        <v>914</v>
      </c>
      <c r="W145" s="1003">
        <v>16384</v>
      </c>
      <c r="X145" s="1000" t="s">
        <v>903</v>
      </c>
      <c r="Y145" s="1000">
        <v>80</v>
      </c>
      <c r="Z145" s="1000" t="s">
        <v>904</v>
      </c>
      <c r="AA145" s="1000" t="s">
        <v>905</v>
      </c>
      <c r="AB145" s="1000" t="s">
        <v>925</v>
      </c>
      <c r="AC145" s="1000" t="s">
        <v>907</v>
      </c>
      <c r="AD145" s="1004">
        <v>17229.7</v>
      </c>
      <c r="AE145" s="1004">
        <f t="shared" si="24"/>
        <v>231165.14166666666</v>
      </c>
      <c r="AF145" s="1004">
        <f t="shared" si="28"/>
        <v>231165.14166666666</v>
      </c>
      <c r="AG145" s="1005">
        <f t="shared" si="23"/>
        <v>13.416666666666666</v>
      </c>
      <c r="AH145" s="1005">
        <f t="shared" si="25"/>
        <v>12.680688199293826</v>
      </c>
    </row>
    <row r="146" spans="1:34" x14ac:dyDescent="0.25">
      <c r="A146" s="999">
        <v>32396</v>
      </c>
      <c r="B146" s="999" t="s">
        <v>933</v>
      </c>
      <c r="C146" s="999" t="s">
        <v>934</v>
      </c>
      <c r="D146" s="999" t="s">
        <v>935</v>
      </c>
      <c r="E146" s="999" t="s">
        <v>895</v>
      </c>
      <c r="F146" s="999">
        <v>1842917</v>
      </c>
      <c r="G146" s="1000">
        <v>9178570620</v>
      </c>
      <c r="H146" s="999" t="s">
        <v>1137</v>
      </c>
      <c r="I146" s="999" t="s">
        <v>897</v>
      </c>
      <c r="J146" s="1001">
        <v>40568</v>
      </c>
      <c r="K146" s="1001">
        <v>45835</v>
      </c>
      <c r="L146" s="1000">
        <f t="shared" si="26"/>
        <v>173</v>
      </c>
      <c r="M146" s="1002">
        <f t="shared" si="27"/>
        <v>14.416666666666666</v>
      </c>
      <c r="N146" s="1000">
        <v>14</v>
      </c>
      <c r="O146" s="1000">
        <v>14</v>
      </c>
      <c r="P146" s="1000">
        <v>43</v>
      </c>
      <c r="Q146" s="999" t="s">
        <v>898</v>
      </c>
      <c r="R146" s="999" t="s">
        <v>899</v>
      </c>
      <c r="S146" s="999" t="s">
        <v>900</v>
      </c>
      <c r="T146" s="999" t="s">
        <v>1138</v>
      </c>
      <c r="U146" s="1000" t="s">
        <v>54</v>
      </c>
      <c r="V146" s="1000" t="s">
        <v>914</v>
      </c>
      <c r="W146" s="1003">
        <v>16542</v>
      </c>
      <c r="X146" s="1000" t="s">
        <v>903</v>
      </c>
      <c r="Y146" s="1000">
        <v>80</v>
      </c>
      <c r="Z146" s="1000" t="s">
        <v>904</v>
      </c>
      <c r="AA146" s="1000" t="s">
        <v>905</v>
      </c>
      <c r="AB146" s="1000" t="s">
        <v>925</v>
      </c>
      <c r="AC146" s="1000" t="s">
        <v>907</v>
      </c>
      <c r="AD146" s="1004">
        <v>10126.049999999999</v>
      </c>
      <c r="AE146" s="1004">
        <f t="shared" si="24"/>
        <v>145983.88749999998</v>
      </c>
      <c r="AF146" s="1004">
        <f t="shared" si="28"/>
        <v>145983.88749999998</v>
      </c>
      <c r="AG146" s="1005">
        <f t="shared" si="23"/>
        <v>14.416666666666666</v>
      </c>
      <c r="AH146" s="1005">
        <f t="shared" si="25"/>
        <v>13.120908813100785</v>
      </c>
    </row>
    <row r="147" spans="1:34" x14ac:dyDescent="0.25">
      <c r="A147" s="999">
        <v>32396</v>
      </c>
      <c r="B147" s="999" t="s">
        <v>933</v>
      </c>
      <c r="C147" s="999" t="s">
        <v>934</v>
      </c>
      <c r="D147" s="999" t="s">
        <v>935</v>
      </c>
      <c r="E147" s="999" t="s">
        <v>895</v>
      </c>
      <c r="F147" s="999">
        <v>1903176</v>
      </c>
      <c r="G147" s="1000">
        <v>4618068787</v>
      </c>
      <c r="H147" s="999" t="s">
        <v>1139</v>
      </c>
      <c r="I147" s="999" t="s">
        <v>897</v>
      </c>
      <c r="J147" s="1001">
        <v>40870</v>
      </c>
      <c r="K147" s="1001">
        <v>45835</v>
      </c>
      <c r="L147" s="1000">
        <f t="shared" si="26"/>
        <v>163</v>
      </c>
      <c r="M147" s="1002">
        <f t="shared" si="27"/>
        <v>13.583333333333334</v>
      </c>
      <c r="N147" s="1000">
        <v>13</v>
      </c>
      <c r="O147" s="1000">
        <v>13</v>
      </c>
      <c r="P147" s="1000">
        <v>43</v>
      </c>
      <c r="Q147" s="999" t="s">
        <v>898</v>
      </c>
      <c r="R147" s="999" t="s">
        <v>899</v>
      </c>
      <c r="S147" s="999" t="s">
        <v>900</v>
      </c>
      <c r="T147" s="999" t="s">
        <v>982</v>
      </c>
      <c r="U147" s="1000" t="s">
        <v>54</v>
      </c>
      <c r="V147" s="1000" t="s">
        <v>914</v>
      </c>
      <c r="W147" s="1003">
        <v>16532</v>
      </c>
      <c r="X147" s="1000" t="s">
        <v>903</v>
      </c>
      <c r="Y147" s="1000">
        <v>80</v>
      </c>
      <c r="Z147" s="1000" t="s">
        <v>904</v>
      </c>
      <c r="AA147" s="1000" t="s">
        <v>905</v>
      </c>
      <c r="AB147" s="1000" t="s">
        <v>925</v>
      </c>
      <c r="AC147" s="1000" t="s">
        <v>907</v>
      </c>
      <c r="AD147" s="1004">
        <v>18372.3</v>
      </c>
      <c r="AE147" s="1004">
        <f t="shared" si="24"/>
        <v>249557.07500000001</v>
      </c>
      <c r="AF147" s="1004">
        <f t="shared" si="28"/>
        <v>249557.07500000001</v>
      </c>
      <c r="AG147" s="1005">
        <f t="shared" si="23"/>
        <v>13.583333333333334</v>
      </c>
      <c r="AH147" s="1005">
        <f t="shared" si="25"/>
        <v>12.882160352668501</v>
      </c>
    </row>
    <row r="148" spans="1:34" x14ac:dyDescent="0.25">
      <c r="A148" s="999">
        <v>32396</v>
      </c>
      <c r="B148" s="999" t="s">
        <v>933</v>
      </c>
      <c r="C148" s="999" t="s">
        <v>934</v>
      </c>
      <c r="D148" s="999" t="s">
        <v>935</v>
      </c>
      <c r="E148" s="999" t="s">
        <v>895</v>
      </c>
      <c r="F148" s="999">
        <v>1884519</v>
      </c>
      <c r="G148" s="1000">
        <v>27903621734</v>
      </c>
      <c r="H148" s="999" t="s">
        <v>1140</v>
      </c>
      <c r="I148" s="999" t="s">
        <v>897</v>
      </c>
      <c r="J148" s="1001">
        <v>40744</v>
      </c>
      <c r="K148" s="1001">
        <v>45835</v>
      </c>
      <c r="L148" s="1000">
        <f t="shared" si="26"/>
        <v>167</v>
      </c>
      <c r="M148" s="1002">
        <f t="shared" si="27"/>
        <v>13.916666666666666</v>
      </c>
      <c r="N148" s="1000">
        <v>13</v>
      </c>
      <c r="O148" s="1000">
        <v>13</v>
      </c>
      <c r="P148" s="1000">
        <v>43</v>
      </c>
      <c r="Q148" s="999" t="s">
        <v>898</v>
      </c>
      <c r="R148" s="999" t="s">
        <v>899</v>
      </c>
      <c r="S148" s="999" t="s">
        <v>900</v>
      </c>
      <c r="T148" s="999" t="s">
        <v>944</v>
      </c>
      <c r="U148" s="1000" t="s">
        <v>55</v>
      </c>
      <c r="V148" s="1000" t="s">
        <v>914</v>
      </c>
      <c r="W148" s="1003">
        <v>16117</v>
      </c>
      <c r="X148" s="1000" t="s">
        <v>903</v>
      </c>
      <c r="Y148" s="1000">
        <v>81</v>
      </c>
      <c r="Z148" s="1000" t="s">
        <v>904</v>
      </c>
      <c r="AA148" s="1000" t="s">
        <v>905</v>
      </c>
      <c r="AB148" s="1000" t="s">
        <v>911</v>
      </c>
      <c r="AC148" s="1000" t="s">
        <v>907</v>
      </c>
      <c r="AD148" s="1004">
        <v>5333.97</v>
      </c>
      <c r="AE148" s="1004">
        <f t="shared" si="24"/>
        <v>74231.082500000004</v>
      </c>
      <c r="AF148" s="1004">
        <f t="shared" si="28"/>
        <v>74231.082500000004</v>
      </c>
      <c r="AG148" s="1005">
        <f t="shared" si="23"/>
        <v>13.916666666666666</v>
      </c>
      <c r="AH148" s="1005">
        <f t="shared" si="25"/>
        <v>11.719519116762473</v>
      </c>
    </row>
    <row r="149" spans="1:34" x14ac:dyDescent="0.25">
      <c r="A149" s="999">
        <v>32396</v>
      </c>
      <c r="B149" s="999" t="s">
        <v>933</v>
      </c>
      <c r="C149" s="999" t="s">
        <v>934</v>
      </c>
      <c r="D149" s="999" t="s">
        <v>935</v>
      </c>
      <c r="E149" s="999" t="s">
        <v>895</v>
      </c>
      <c r="F149" s="999">
        <v>1284306</v>
      </c>
      <c r="G149" s="1000">
        <v>2507951249</v>
      </c>
      <c r="H149" s="999" t="s">
        <v>1141</v>
      </c>
      <c r="I149" s="999" t="s">
        <v>897</v>
      </c>
      <c r="J149" s="1001">
        <v>42380</v>
      </c>
      <c r="K149" s="1001">
        <v>45835</v>
      </c>
      <c r="L149" s="1000">
        <f t="shared" si="26"/>
        <v>113</v>
      </c>
      <c r="M149" s="1002">
        <f t="shared" si="27"/>
        <v>9.4166666666666661</v>
      </c>
      <c r="N149" s="1000">
        <v>9</v>
      </c>
      <c r="O149" s="1000">
        <v>10</v>
      </c>
      <c r="P149" s="1000">
        <v>43</v>
      </c>
      <c r="Q149" s="999" t="s">
        <v>898</v>
      </c>
      <c r="R149" s="999" t="s">
        <v>899</v>
      </c>
      <c r="S149" s="999" t="s">
        <v>900</v>
      </c>
      <c r="T149" s="999" t="s">
        <v>1142</v>
      </c>
      <c r="U149" s="1000"/>
      <c r="V149" s="1000" t="s">
        <v>910</v>
      </c>
      <c r="W149" s="1003">
        <v>15142</v>
      </c>
      <c r="X149" s="1000" t="s">
        <v>903</v>
      </c>
      <c r="Y149" s="1000">
        <v>83</v>
      </c>
      <c r="Z149" s="1000" t="s">
        <v>904</v>
      </c>
      <c r="AA149" s="1000" t="s">
        <v>905</v>
      </c>
      <c r="AB149" s="1000" t="s">
        <v>938</v>
      </c>
      <c r="AC149" s="1000" t="s">
        <v>907</v>
      </c>
      <c r="AD149" s="1004">
        <v>3813.57</v>
      </c>
      <c r="AE149" s="1004">
        <f t="shared" si="24"/>
        <v>35911.1175</v>
      </c>
      <c r="AF149" s="1004">
        <f t="shared" si="28"/>
        <v>35911.1175</v>
      </c>
      <c r="AG149" s="1005">
        <f t="shared" si="23"/>
        <v>9.4166666666666661</v>
      </c>
      <c r="AH149" s="1005">
        <f t="shared" si="25"/>
        <v>7.4603916635677887</v>
      </c>
    </row>
    <row r="150" spans="1:34" x14ac:dyDescent="0.25">
      <c r="A150" s="999">
        <v>32396</v>
      </c>
      <c r="B150" s="999" t="s">
        <v>933</v>
      </c>
      <c r="C150" s="999" t="s">
        <v>934</v>
      </c>
      <c r="D150" s="999" t="s">
        <v>935</v>
      </c>
      <c r="E150" s="999" t="s">
        <v>895</v>
      </c>
      <c r="F150" s="999">
        <v>1950507</v>
      </c>
      <c r="G150" s="1000">
        <v>13728083615</v>
      </c>
      <c r="H150" s="999" t="s">
        <v>1143</v>
      </c>
      <c r="I150" s="999" t="s">
        <v>897</v>
      </c>
      <c r="J150" s="1001">
        <v>41061</v>
      </c>
      <c r="K150" s="1001">
        <v>45835</v>
      </c>
      <c r="L150" s="1000">
        <f t="shared" si="26"/>
        <v>156</v>
      </c>
      <c r="M150" s="1002">
        <f t="shared" si="27"/>
        <v>13</v>
      </c>
      <c r="N150" s="1000">
        <v>13</v>
      </c>
      <c r="O150" s="1000">
        <v>13</v>
      </c>
      <c r="P150" s="1000">
        <v>43</v>
      </c>
      <c r="Q150" s="999" t="s">
        <v>898</v>
      </c>
      <c r="R150" s="999" t="s">
        <v>899</v>
      </c>
      <c r="S150" s="999" t="s">
        <v>900</v>
      </c>
      <c r="T150" s="999" t="s">
        <v>1144</v>
      </c>
      <c r="U150" s="1000"/>
      <c r="V150" s="1000" t="s">
        <v>914</v>
      </c>
      <c r="W150" s="1003">
        <v>14265</v>
      </c>
      <c r="X150" s="1000" t="s">
        <v>903</v>
      </c>
      <c r="Y150" s="1000">
        <v>86</v>
      </c>
      <c r="Z150" s="1000" t="s">
        <v>904</v>
      </c>
      <c r="AA150" s="1000" t="s">
        <v>905</v>
      </c>
      <c r="AB150" s="1000" t="s">
        <v>938</v>
      </c>
      <c r="AC150" s="1000" t="s">
        <v>907</v>
      </c>
      <c r="AD150" s="1004">
        <v>3813.57</v>
      </c>
      <c r="AE150" s="1004">
        <f t="shared" si="24"/>
        <v>49576.41</v>
      </c>
      <c r="AF150" s="1004">
        <f t="shared" si="28"/>
        <v>49576.41</v>
      </c>
      <c r="AG150" s="1005">
        <f t="shared" si="23"/>
        <v>13</v>
      </c>
      <c r="AH150" s="1005">
        <f t="shared" si="25"/>
        <v>10.299301765633409</v>
      </c>
    </row>
    <row r="151" spans="1:34" x14ac:dyDescent="0.25">
      <c r="A151" s="999">
        <v>32396</v>
      </c>
      <c r="B151" s="999" t="s">
        <v>933</v>
      </c>
      <c r="C151" s="999" t="s">
        <v>934</v>
      </c>
      <c r="D151" s="999" t="s">
        <v>935</v>
      </c>
      <c r="E151" s="999" t="s">
        <v>895</v>
      </c>
      <c r="F151" s="999">
        <v>1904902</v>
      </c>
      <c r="G151" s="1000">
        <v>20025394649</v>
      </c>
      <c r="H151" s="999" t="s">
        <v>1146</v>
      </c>
      <c r="I151" s="999" t="s">
        <v>897</v>
      </c>
      <c r="J151" s="1001">
        <v>40882</v>
      </c>
      <c r="K151" s="1001">
        <v>45835</v>
      </c>
      <c r="L151" s="1000">
        <f t="shared" si="26"/>
        <v>162</v>
      </c>
      <c r="M151" s="1002">
        <f t="shared" si="27"/>
        <v>13.5</v>
      </c>
      <c r="N151" s="1000">
        <v>13</v>
      </c>
      <c r="O151" s="1000">
        <v>13</v>
      </c>
      <c r="P151" s="1000">
        <v>43</v>
      </c>
      <c r="Q151" s="999" t="s">
        <v>898</v>
      </c>
      <c r="R151" s="999" t="s">
        <v>899</v>
      </c>
      <c r="S151" s="999" t="s">
        <v>900</v>
      </c>
      <c r="T151" s="999" t="s">
        <v>1127</v>
      </c>
      <c r="U151" s="1000"/>
      <c r="V151" s="1000" t="s">
        <v>914</v>
      </c>
      <c r="W151" s="1003">
        <v>16621</v>
      </c>
      <c r="X151" s="1000" t="s">
        <v>903</v>
      </c>
      <c r="Y151" s="1000">
        <v>79</v>
      </c>
      <c r="Z151" s="1000" t="s">
        <v>904</v>
      </c>
      <c r="AA151" s="1000" t="s">
        <v>905</v>
      </c>
      <c r="AB151" s="1000" t="s">
        <v>938</v>
      </c>
      <c r="AC151" s="1000" t="s">
        <v>907</v>
      </c>
      <c r="AD151" s="1004">
        <v>3813.57</v>
      </c>
      <c r="AE151" s="1004">
        <f t="shared" si="24"/>
        <v>51483.195</v>
      </c>
      <c r="AF151" s="1004">
        <f t="shared" si="28"/>
        <v>51483.195</v>
      </c>
      <c r="AG151" s="1005">
        <f>AF151/AD151</f>
        <v>13.5</v>
      </c>
      <c r="AH151" s="1005">
        <f t="shared" si="25"/>
        <v>10.695428756619307</v>
      </c>
    </row>
    <row r="152" spans="1:34" x14ac:dyDescent="0.25">
      <c r="A152" s="999">
        <v>32396</v>
      </c>
      <c r="B152" s="999" t="s">
        <v>933</v>
      </c>
      <c r="C152" s="999" t="s">
        <v>934</v>
      </c>
      <c r="D152" s="999" t="s">
        <v>935</v>
      </c>
      <c r="E152" s="999" t="s">
        <v>895</v>
      </c>
      <c r="F152" s="999">
        <v>1884595</v>
      </c>
      <c r="G152" s="1000">
        <v>39520480706</v>
      </c>
      <c r="H152" s="999" t="s">
        <v>1147</v>
      </c>
      <c r="I152" s="999" t="s">
        <v>897</v>
      </c>
      <c r="J152" s="1001">
        <v>40743</v>
      </c>
      <c r="K152" s="1001">
        <v>45835</v>
      </c>
      <c r="L152" s="1000">
        <f t="shared" si="26"/>
        <v>167</v>
      </c>
      <c r="M152" s="1002">
        <f t="shared" si="27"/>
        <v>13.916666666666666</v>
      </c>
      <c r="N152" s="1000">
        <v>13</v>
      </c>
      <c r="O152" s="1000">
        <v>13</v>
      </c>
      <c r="P152" s="1000">
        <v>43</v>
      </c>
      <c r="Q152" s="999" t="s">
        <v>898</v>
      </c>
      <c r="R152" s="999" t="s">
        <v>899</v>
      </c>
      <c r="S152" s="999" t="s">
        <v>900</v>
      </c>
      <c r="T152" s="999" t="s">
        <v>1037</v>
      </c>
      <c r="U152" s="1000"/>
      <c r="V152" s="1000" t="s">
        <v>914</v>
      </c>
      <c r="W152" s="1003">
        <v>18232</v>
      </c>
      <c r="X152" s="1000" t="s">
        <v>903</v>
      </c>
      <c r="Y152" s="1000">
        <v>75</v>
      </c>
      <c r="Z152" s="1000" t="s">
        <v>904</v>
      </c>
      <c r="AA152" s="1000" t="s">
        <v>905</v>
      </c>
      <c r="AB152" s="1000" t="s">
        <v>938</v>
      </c>
      <c r="AC152" s="1000" t="s">
        <v>907</v>
      </c>
      <c r="AD152" s="1004">
        <v>3813.57</v>
      </c>
      <c r="AE152" s="1004">
        <f t="shared" si="24"/>
        <v>53072.182500000003</v>
      </c>
      <c r="AF152" s="1004">
        <f t="shared" si="28"/>
        <v>53072.182500000003</v>
      </c>
      <c r="AG152" s="1005">
        <f>AF152/AD152</f>
        <v>13.916666666666666</v>
      </c>
      <c r="AH152" s="1005">
        <f t="shared" si="25"/>
        <v>11.025534582440892</v>
      </c>
    </row>
    <row r="153" spans="1:34" x14ac:dyDescent="0.25">
      <c r="A153" s="999">
        <v>32396</v>
      </c>
      <c r="B153" s="999" t="s">
        <v>933</v>
      </c>
      <c r="C153" s="999" t="s">
        <v>934</v>
      </c>
      <c r="D153" s="999" t="s">
        <v>935</v>
      </c>
      <c r="E153" s="999" t="s">
        <v>895</v>
      </c>
      <c r="F153" s="999">
        <v>1186872</v>
      </c>
      <c r="G153" s="1000">
        <v>34772448772</v>
      </c>
      <c r="H153" s="999" t="s">
        <v>1149</v>
      </c>
      <c r="I153" s="999" t="s">
        <v>897</v>
      </c>
      <c r="J153" s="1001">
        <v>42030</v>
      </c>
      <c r="K153" s="1001">
        <v>45835</v>
      </c>
      <c r="L153" s="1000">
        <f t="shared" si="26"/>
        <v>125</v>
      </c>
      <c r="M153" s="1002">
        <f t="shared" si="27"/>
        <v>10.416666666666666</v>
      </c>
      <c r="N153" s="1000">
        <v>10</v>
      </c>
      <c r="O153" s="1000">
        <v>10</v>
      </c>
      <c r="P153" s="1000">
        <v>43</v>
      </c>
      <c r="Q153" s="999" t="s">
        <v>898</v>
      </c>
      <c r="R153" s="999" t="s">
        <v>899</v>
      </c>
      <c r="S153" s="999" t="s">
        <v>900</v>
      </c>
      <c r="T153" s="999" t="s">
        <v>1150</v>
      </c>
      <c r="U153" s="1000" t="s">
        <v>55</v>
      </c>
      <c r="V153" s="1000" t="s">
        <v>914</v>
      </c>
      <c r="W153" s="1003">
        <v>15220</v>
      </c>
      <c r="X153" s="1000" t="s">
        <v>903</v>
      </c>
      <c r="Y153" s="1000">
        <v>83</v>
      </c>
      <c r="Z153" s="1000" t="s">
        <v>904</v>
      </c>
      <c r="AA153" s="1000" t="s">
        <v>905</v>
      </c>
      <c r="AB153" s="1000" t="s">
        <v>911</v>
      </c>
      <c r="AC153" s="1000" t="s">
        <v>907</v>
      </c>
      <c r="AD153" s="1004">
        <v>5333.97</v>
      </c>
      <c r="AE153" s="1004">
        <f t="shared" si="24"/>
        <v>55562.1875</v>
      </c>
      <c r="AF153" s="1004">
        <f t="shared" si="28"/>
        <v>55562.1875</v>
      </c>
      <c r="AG153" s="1005">
        <f t="shared" ref="AG153:AG216" si="29">AF153/AD153</f>
        <v>10.416666666666666</v>
      </c>
      <c r="AH153" s="1005">
        <f t="shared" si="25"/>
        <v>8.7720951472772999</v>
      </c>
    </row>
    <row r="154" spans="1:34" x14ac:dyDescent="0.25">
      <c r="A154" s="999">
        <v>32396</v>
      </c>
      <c r="B154" s="999" t="s">
        <v>933</v>
      </c>
      <c r="C154" s="999" t="s">
        <v>934</v>
      </c>
      <c r="D154" s="999" t="s">
        <v>935</v>
      </c>
      <c r="E154" s="999" t="s">
        <v>895</v>
      </c>
      <c r="F154" s="999">
        <v>1853841</v>
      </c>
      <c r="G154" s="1000">
        <v>10449442691</v>
      </c>
      <c r="H154" s="999" t="s">
        <v>1151</v>
      </c>
      <c r="I154" s="999" t="s">
        <v>897</v>
      </c>
      <c r="J154" s="1001">
        <v>40588</v>
      </c>
      <c r="K154" s="1001">
        <v>45835</v>
      </c>
      <c r="L154" s="1000">
        <f t="shared" si="26"/>
        <v>172</v>
      </c>
      <c r="M154" s="1002">
        <f t="shared" si="27"/>
        <v>14.333333333333334</v>
      </c>
      <c r="N154" s="1000">
        <v>14</v>
      </c>
      <c r="O154" s="1000">
        <v>14</v>
      </c>
      <c r="P154" s="1000">
        <v>43</v>
      </c>
      <c r="Q154" s="999" t="s">
        <v>898</v>
      </c>
      <c r="R154" s="999" t="s">
        <v>899</v>
      </c>
      <c r="S154" s="999" t="s">
        <v>900</v>
      </c>
      <c r="T154" s="999" t="s">
        <v>1152</v>
      </c>
      <c r="U154" s="1000" t="s">
        <v>55</v>
      </c>
      <c r="V154" s="1000" t="s">
        <v>914</v>
      </c>
      <c r="W154" s="1003">
        <v>17948</v>
      </c>
      <c r="X154" s="1000" t="s">
        <v>903</v>
      </c>
      <c r="Y154" s="1000">
        <v>76</v>
      </c>
      <c r="Z154" s="1000" t="s">
        <v>904</v>
      </c>
      <c r="AA154" s="1000" t="s">
        <v>905</v>
      </c>
      <c r="AB154" s="1000" t="s">
        <v>911</v>
      </c>
      <c r="AC154" s="1000" t="s">
        <v>907</v>
      </c>
      <c r="AD154" s="1004">
        <v>5333.97</v>
      </c>
      <c r="AE154" s="1004">
        <f t="shared" si="24"/>
        <v>76453.570000000007</v>
      </c>
      <c r="AF154" s="1004">
        <f t="shared" si="28"/>
        <v>76453.570000000007</v>
      </c>
      <c r="AG154" s="1005">
        <f t="shared" si="29"/>
        <v>14.333333333333334</v>
      </c>
      <c r="AH154" s="1005">
        <f t="shared" si="25"/>
        <v>12.070402922653566</v>
      </c>
    </row>
    <row r="155" spans="1:34" x14ac:dyDescent="0.25">
      <c r="A155" s="999">
        <v>32396</v>
      </c>
      <c r="B155" s="999" t="s">
        <v>933</v>
      </c>
      <c r="C155" s="999" t="s">
        <v>934</v>
      </c>
      <c r="D155" s="999" t="s">
        <v>935</v>
      </c>
      <c r="E155" s="999" t="s">
        <v>895</v>
      </c>
      <c r="F155" s="999">
        <v>1962593</v>
      </c>
      <c r="G155" s="1000">
        <v>20227140672</v>
      </c>
      <c r="H155" s="999" t="s">
        <v>1153</v>
      </c>
      <c r="I155" s="999" t="s">
        <v>897</v>
      </c>
      <c r="J155" s="1001">
        <v>41130</v>
      </c>
      <c r="K155" s="1001">
        <v>45835</v>
      </c>
      <c r="L155" s="1000">
        <f t="shared" si="26"/>
        <v>154</v>
      </c>
      <c r="M155" s="1002">
        <f t="shared" si="27"/>
        <v>12.833333333333334</v>
      </c>
      <c r="N155" s="1000">
        <v>12</v>
      </c>
      <c r="O155" s="1000">
        <v>12</v>
      </c>
      <c r="P155" s="1000">
        <v>43</v>
      </c>
      <c r="Q155" s="999" t="s">
        <v>898</v>
      </c>
      <c r="R155" s="999" t="s">
        <v>899</v>
      </c>
      <c r="S155" s="999" t="s">
        <v>900</v>
      </c>
      <c r="T155" s="999" t="s">
        <v>1154</v>
      </c>
      <c r="U155" s="1000"/>
      <c r="V155" s="1000" t="s">
        <v>914</v>
      </c>
      <c r="W155" s="1003">
        <v>17054</v>
      </c>
      <c r="X155" s="1000" t="s">
        <v>903</v>
      </c>
      <c r="Y155" s="1000">
        <v>78</v>
      </c>
      <c r="Z155" s="1000" t="s">
        <v>904</v>
      </c>
      <c r="AA155" s="1000" t="s">
        <v>905</v>
      </c>
      <c r="AB155" s="1000" t="s">
        <v>938</v>
      </c>
      <c r="AC155" s="1000" t="s">
        <v>907</v>
      </c>
      <c r="AD155" s="1004">
        <v>3813.57</v>
      </c>
      <c r="AE155" s="1004">
        <f t="shared" si="24"/>
        <v>48940.815000000002</v>
      </c>
      <c r="AF155" s="1004">
        <f t="shared" si="28"/>
        <v>48940.815000000002</v>
      </c>
      <c r="AG155" s="1005">
        <f t="shared" si="29"/>
        <v>12.833333333333334</v>
      </c>
      <c r="AH155" s="1005">
        <f t="shared" si="25"/>
        <v>10.167259435304775</v>
      </c>
    </row>
    <row r="156" spans="1:34" x14ac:dyDescent="0.25">
      <c r="A156" s="999">
        <v>32396</v>
      </c>
      <c r="B156" s="999" t="s">
        <v>933</v>
      </c>
      <c r="C156" s="999" t="s">
        <v>934</v>
      </c>
      <c r="D156" s="999" t="s">
        <v>935</v>
      </c>
      <c r="E156" s="999" t="s">
        <v>895</v>
      </c>
      <c r="F156" s="999">
        <v>1890063</v>
      </c>
      <c r="G156" s="1000">
        <v>25240382620</v>
      </c>
      <c r="H156" s="999" t="s">
        <v>1155</v>
      </c>
      <c r="I156" s="999" t="s">
        <v>897</v>
      </c>
      <c r="J156" s="1001">
        <v>40786</v>
      </c>
      <c r="K156" s="1001">
        <v>45835</v>
      </c>
      <c r="L156" s="1000">
        <f t="shared" si="26"/>
        <v>165</v>
      </c>
      <c r="M156" s="1002">
        <f t="shared" si="27"/>
        <v>13.75</v>
      </c>
      <c r="N156" s="1000">
        <v>13</v>
      </c>
      <c r="O156" s="1000">
        <v>13</v>
      </c>
      <c r="P156" s="1000">
        <v>43</v>
      </c>
      <c r="Q156" s="999" t="s">
        <v>898</v>
      </c>
      <c r="R156" s="999" t="s">
        <v>899</v>
      </c>
      <c r="S156" s="999" t="s">
        <v>900</v>
      </c>
      <c r="T156" s="999" t="s">
        <v>1150</v>
      </c>
      <c r="U156" s="1000" t="s">
        <v>55</v>
      </c>
      <c r="V156" s="1000" t="s">
        <v>914</v>
      </c>
      <c r="W156" s="1003">
        <v>18116</v>
      </c>
      <c r="X156" s="1000" t="s">
        <v>930</v>
      </c>
      <c r="Y156" s="1000">
        <v>75</v>
      </c>
      <c r="Z156" s="1000" t="s">
        <v>904</v>
      </c>
      <c r="AA156" s="1000" t="s">
        <v>905</v>
      </c>
      <c r="AB156" s="1000" t="s">
        <v>911</v>
      </c>
      <c r="AC156" s="1000" t="s">
        <v>907</v>
      </c>
      <c r="AD156" s="1004">
        <v>5333.97</v>
      </c>
      <c r="AE156" s="1004">
        <f t="shared" si="24"/>
        <v>73342.087500000009</v>
      </c>
      <c r="AF156" s="1004">
        <f t="shared" si="28"/>
        <v>73342.087500000009</v>
      </c>
      <c r="AG156" s="1005">
        <f t="shared" si="29"/>
        <v>13.750000000000002</v>
      </c>
      <c r="AH156" s="1005">
        <f t="shared" si="25"/>
        <v>11.579165594406037</v>
      </c>
    </row>
    <row r="157" spans="1:34" x14ac:dyDescent="0.25">
      <c r="A157" s="999">
        <v>32396</v>
      </c>
      <c r="B157" s="999" t="s">
        <v>933</v>
      </c>
      <c r="C157" s="999" t="s">
        <v>934</v>
      </c>
      <c r="D157" s="999" t="s">
        <v>935</v>
      </c>
      <c r="E157" s="999" t="s">
        <v>895</v>
      </c>
      <c r="F157" s="999">
        <v>1888789</v>
      </c>
      <c r="G157" s="1000">
        <v>17645921668</v>
      </c>
      <c r="H157" s="999" t="s">
        <v>1156</v>
      </c>
      <c r="I157" s="999" t="s">
        <v>897</v>
      </c>
      <c r="J157" s="1001">
        <v>40784</v>
      </c>
      <c r="K157" s="1001">
        <v>45835</v>
      </c>
      <c r="L157" s="1000">
        <f t="shared" si="26"/>
        <v>165</v>
      </c>
      <c r="M157" s="1002">
        <f t="shared" si="27"/>
        <v>13.75</v>
      </c>
      <c r="N157" s="1000">
        <v>13</v>
      </c>
      <c r="O157" s="1000">
        <v>13</v>
      </c>
      <c r="P157" s="1000">
        <v>43</v>
      </c>
      <c r="Q157" s="999" t="s">
        <v>898</v>
      </c>
      <c r="R157" s="999" t="s">
        <v>899</v>
      </c>
      <c r="S157" s="999" t="s">
        <v>900</v>
      </c>
      <c r="T157" s="999" t="s">
        <v>1157</v>
      </c>
      <c r="U157" s="1000"/>
      <c r="V157" s="1000" t="s">
        <v>914</v>
      </c>
      <c r="W157" s="1003">
        <v>15986</v>
      </c>
      <c r="X157" s="1000" t="s">
        <v>903</v>
      </c>
      <c r="Y157" s="1000">
        <v>81</v>
      </c>
      <c r="Z157" s="1000" t="s">
        <v>904</v>
      </c>
      <c r="AA157" s="1000" t="s">
        <v>905</v>
      </c>
      <c r="AB157" s="1000" t="s">
        <v>938</v>
      </c>
      <c r="AC157" s="1000" t="s">
        <v>907</v>
      </c>
      <c r="AD157" s="1004">
        <v>3813.57</v>
      </c>
      <c r="AE157" s="1004">
        <f t="shared" si="24"/>
        <v>52436.587500000001</v>
      </c>
      <c r="AF157" s="1004">
        <f t="shared" si="28"/>
        <v>52436.587500000001</v>
      </c>
      <c r="AG157" s="1005">
        <f t="shared" si="29"/>
        <v>13.75</v>
      </c>
      <c r="AH157" s="1005">
        <f t="shared" si="25"/>
        <v>10.893492252112258</v>
      </c>
    </row>
    <row r="158" spans="1:34" x14ac:dyDescent="0.25">
      <c r="A158" s="999">
        <v>32396</v>
      </c>
      <c r="B158" s="999" t="s">
        <v>933</v>
      </c>
      <c r="C158" s="999" t="s">
        <v>934</v>
      </c>
      <c r="D158" s="999" t="s">
        <v>935</v>
      </c>
      <c r="E158" s="999" t="s">
        <v>895</v>
      </c>
      <c r="F158" s="999">
        <v>1846261</v>
      </c>
      <c r="G158" s="1000">
        <v>11405619791</v>
      </c>
      <c r="H158" s="999" t="s">
        <v>1158</v>
      </c>
      <c r="I158" s="999" t="s">
        <v>897</v>
      </c>
      <c r="J158" s="1001">
        <v>40575</v>
      </c>
      <c r="K158" s="1001">
        <v>45835</v>
      </c>
      <c r="L158" s="1000">
        <f t="shared" si="26"/>
        <v>172</v>
      </c>
      <c r="M158" s="1002">
        <f t="shared" si="27"/>
        <v>14.333333333333334</v>
      </c>
      <c r="N158" s="1000">
        <v>14</v>
      </c>
      <c r="O158" s="1000">
        <v>14</v>
      </c>
      <c r="P158" s="1000">
        <v>43</v>
      </c>
      <c r="Q158" s="999" t="s">
        <v>898</v>
      </c>
      <c r="R158" s="999" t="s">
        <v>899</v>
      </c>
      <c r="S158" s="999" t="s">
        <v>900</v>
      </c>
      <c r="T158" s="999" t="s">
        <v>1058</v>
      </c>
      <c r="U158" s="1000" t="s">
        <v>55</v>
      </c>
      <c r="V158" s="1000" t="s">
        <v>914</v>
      </c>
      <c r="W158" s="1003">
        <v>17852</v>
      </c>
      <c r="X158" s="1000" t="s">
        <v>930</v>
      </c>
      <c r="Y158" s="1000">
        <v>76</v>
      </c>
      <c r="Z158" s="1000" t="s">
        <v>904</v>
      </c>
      <c r="AA158" s="1000" t="s">
        <v>905</v>
      </c>
      <c r="AB158" s="1000" t="s">
        <v>911</v>
      </c>
      <c r="AC158" s="1000" t="s">
        <v>907</v>
      </c>
      <c r="AD158" s="1004">
        <v>5333.97</v>
      </c>
      <c r="AE158" s="1004">
        <f t="shared" si="24"/>
        <v>76453.570000000007</v>
      </c>
      <c r="AF158" s="1004">
        <f t="shared" si="28"/>
        <v>76453.570000000007</v>
      </c>
      <c r="AG158" s="1005">
        <f t="shared" si="29"/>
        <v>14.333333333333334</v>
      </c>
      <c r="AH158" s="1005">
        <f t="shared" si="25"/>
        <v>12.070402922653566</v>
      </c>
    </row>
    <row r="159" spans="1:34" x14ac:dyDescent="0.25">
      <c r="A159" s="999">
        <v>32396</v>
      </c>
      <c r="B159" s="999" t="s">
        <v>933</v>
      </c>
      <c r="C159" s="999" t="s">
        <v>934</v>
      </c>
      <c r="D159" s="999" t="s">
        <v>935</v>
      </c>
      <c r="E159" s="999" t="s">
        <v>895</v>
      </c>
      <c r="F159" s="999">
        <v>1909534</v>
      </c>
      <c r="G159" s="1000">
        <v>21879893649</v>
      </c>
      <c r="H159" s="999" t="s">
        <v>1159</v>
      </c>
      <c r="I159" s="999" t="s">
        <v>897</v>
      </c>
      <c r="J159" s="1001">
        <v>40920</v>
      </c>
      <c r="K159" s="1001">
        <v>45835</v>
      </c>
      <c r="L159" s="1000">
        <f t="shared" si="26"/>
        <v>161</v>
      </c>
      <c r="M159" s="1002">
        <f t="shared" si="27"/>
        <v>13.416666666666666</v>
      </c>
      <c r="N159" s="1000">
        <v>13</v>
      </c>
      <c r="O159" s="1000">
        <v>13</v>
      </c>
      <c r="P159" s="1000">
        <v>43</v>
      </c>
      <c r="Q159" s="999" t="s">
        <v>898</v>
      </c>
      <c r="R159" s="999" t="s">
        <v>899</v>
      </c>
      <c r="S159" s="999" t="s">
        <v>900</v>
      </c>
      <c r="T159" s="999" t="s">
        <v>1019</v>
      </c>
      <c r="U159" s="1000"/>
      <c r="V159" s="1000" t="s">
        <v>914</v>
      </c>
      <c r="W159" s="1003">
        <v>16238</v>
      </c>
      <c r="X159" s="1000" t="s">
        <v>903</v>
      </c>
      <c r="Y159" s="1000">
        <v>80</v>
      </c>
      <c r="Z159" s="1000" t="s">
        <v>904</v>
      </c>
      <c r="AA159" s="1000" t="s">
        <v>905</v>
      </c>
      <c r="AB159" s="1000" t="s">
        <v>938</v>
      </c>
      <c r="AC159" s="1000" t="s">
        <v>907</v>
      </c>
      <c r="AD159" s="1004">
        <v>3813.57</v>
      </c>
      <c r="AE159" s="1004">
        <f t="shared" si="24"/>
        <v>51165.397499999999</v>
      </c>
      <c r="AF159" s="1004">
        <f t="shared" si="28"/>
        <v>51165.397499999999</v>
      </c>
      <c r="AG159" s="1005">
        <f t="shared" si="29"/>
        <v>13.416666666666666</v>
      </c>
      <c r="AH159" s="1005">
        <f t="shared" si="25"/>
        <v>10.62940759145499</v>
      </c>
    </row>
    <row r="160" spans="1:34" x14ac:dyDescent="0.25">
      <c r="A160" s="999">
        <v>32396</v>
      </c>
      <c r="B160" s="999" t="s">
        <v>933</v>
      </c>
      <c r="C160" s="999" t="s">
        <v>934</v>
      </c>
      <c r="D160" s="999" t="s">
        <v>935</v>
      </c>
      <c r="E160" s="999" t="s">
        <v>895</v>
      </c>
      <c r="F160" s="999">
        <v>1904176</v>
      </c>
      <c r="G160" s="1000">
        <v>20540922668</v>
      </c>
      <c r="H160" s="999" t="s">
        <v>1160</v>
      </c>
      <c r="I160" s="999" t="s">
        <v>897</v>
      </c>
      <c r="J160" s="1001">
        <v>40871</v>
      </c>
      <c r="K160" s="1001">
        <v>45835</v>
      </c>
      <c r="L160" s="1000">
        <f t="shared" si="26"/>
        <v>163</v>
      </c>
      <c r="M160" s="1002">
        <f t="shared" si="27"/>
        <v>13.583333333333334</v>
      </c>
      <c r="N160" s="1000">
        <v>13</v>
      </c>
      <c r="O160" s="1000">
        <v>13</v>
      </c>
      <c r="P160" s="1000">
        <v>43</v>
      </c>
      <c r="Q160" s="999" t="s">
        <v>898</v>
      </c>
      <c r="R160" s="999" t="s">
        <v>899</v>
      </c>
      <c r="S160" s="999" t="s">
        <v>900</v>
      </c>
      <c r="T160" s="999" t="s">
        <v>1144</v>
      </c>
      <c r="U160" s="1000"/>
      <c r="V160" s="1000" t="s">
        <v>914</v>
      </c>
      <c r="W160" s="1003">
        <v>16120</v>
      </c>
      <c r="X160" s="1000" t="s">
        <v>903</v>
      </c>
      <c r="Y160" s="1000">
        <v>81</v>
      </c>
      <c r="Z160" s="1000" t="s">
        <v>904</v>
      </c>
      <c r="AA160" s="1000" t="s">
        <v>905</v>
      </c>
      <c r="AB160" s="1000" t="s">
        <v>938</v>
      </c>
      <c r="AC160" s="1000" t="s">
        <v>907</v>
      </c>
      <c r="AD160" s="1004">
        <v>3813.57</v>
      </c>
      <c r="AE160" s="1004">
        <f t="shared" si="24"/>
        <v>51800.992500000008</v>
      </c>
      <c r="AF160" s="1004">
        <f t="shared" si="28"/>
        <v>51800.992500000008</v>
      </c>
      <c r="AG160" s="1005">
        <f t="shared" si="29"/>
        <v>13.583333333333334</v>
      </c>
      <c r="AH160" s="1005">
        <f t="shared" si="25"/>
        <v>10.761449921783626</v>
      </c>
    </row>
    <row r="161" spans="1:34" x14ac:dyDescent="0.25">
      <c r="A161" s="999">
        <v>32396</v>
      </c>
      <c r="B161" s="999" t="s">
        <v>933</v>
      </c>
      <c r="C161" s="999" t="s">
        <v>934</v>
      </c>
      <c r="D161" s="999" t="s">
        <v>935</v>
      </c>
      <c r="E161" s="999" t="s">
        <v>895</v>
      </c>
      <c r="F161" s="999">
        <v>1146329</v>
      </c>
      <c r="G161" s="1000">
        <v>14060906620</v>
      </c>
      <c r="H161" s="999" t="s">
        <v>1161</v>
      </c>
      <c r="I161" s="999" t="s">
        <v>897</v>
      </c>
      <c r="J161" s="1001">
        <v>41837</v>
      </c>
      <c r="K161" s="1001">
        <v>45835</v>
      </c>
      <c r="L161" s="1000">
        <f t="shared" si="26"/>
        <v>131</v>
      </c>
      <c r="M161" s="1002">
        <f t="shared" si="27"/>
        <v>10.916666666666666</v>
      </c>
      <c r="N161" s="1000">
        <v>10</v>
      </c>
      <c r="O161" s="1000">
        <v>10</v>
      </c>
      <c r="P161" s="1000">
        <v>43</v>
      </c>
      <c r="Q161" s="999" t="s">
        <v>898</v>
      </c>
      <c r="R161" s="999" t="s">
        <v>899</v>
      </c>
      <c r="S161" s="999" t="s">
        <v>900</v>
      </c>
      <c r="T161" s="999" t="s">
        <v>1054</v>
      </c>
      <c r="U161" s="1000"/>
      <c r="V161" s="1000" t="s">
        <v>914</v>
      </c>
      <c r="W161" s="1003">
        <v>18098</v>
      </c>
      <c r="X161" s="1000" t="s">
        <v>903</v>
      </c>
      <c r="Y161" s="1000">
        <v>75</v>
      </c>
      <c r="Z161" s="1000" t="s">
        <v>904</v>
      </c>
      <c r="AA161" s="1000" t="s">
        <v>905</v>
      </c>
      <c r="AB161" s="1000" t="s">
        <v>938</v>
      </c>
      <c r="AC161" s="1000" t="s">
        <v>907</v>
      </c>
      <c r="AD161" s="1004">
        <v>3813.57</v>
      </c>
      <c r="AE161" s="1004">
        <f t="shared" si="24"/>
        <v>41631.472499999996</v>
      </c>
      <c r="AF161" s="1004">
        <f t="shared" si="28"/>
        <v>41631.472499999996</v>
      </c>
      <c r="AG161" s="1005">
        <f t="shared" si="29"/>
        <v>10.916666666666666</v>
      </c>
      <c r="AH161" s="1005">
        <f t="shared" si="25"/>
        <v>8.6487726365254893</v>
      </c>
    </row>
    <row r="162" spans="1:34" x14ac:dyDescent="0.25">
      <c r="A162" s="999">
        <v>32396</v>
      </c>
      <c r="B162" s="999" t="s">
        <v>933</v>
      </c>
      <c r="C162" s="999" t="s">
        <v>934</v>
      </c>
      <c r="D162" s="999" t="s">
        <v>935</v>
      </c>
      <c r="E162" s="999" t="s">
        <v>895</v>
      </c>
      <c r="F162" s="999">
        <v>1911206</v>
      </c>
      <c r="G162" s="1000">
        <v>42231914891</v>
      </c>
      <c r="H162" s="999" t="s">
        <v>1162</v>
      </c>
      <c r="I162" s="999" t="s">
        <v>897</v>
      </c>
      <c r="J162" s="1001">
        <v>40924</v>
      </c>
      <c r="K162" s="1001">
        <v>45835</v>
      </c>
      <c r="L162" s="1000">
        <f t="shared" si="26"/>
        <v>161</v>
      </c>
      <c r="M162" s="1002">
        <f t="shared" si="27"/>
        <v>13.416666666666666</v>
      </c>
      <c r="N162" s="1000">
        <v>13</v>
      </c>
      <c r="O162" s="1000">
        <v>13</v>
      </c>
      <c r="P162" s="1000">
        <v>43</v>
      </c>
      <c r="Q162" s="999" t="s">
        <v>898</v>
      </c>
      <c r="R162" s="999" t="s">
        <v>899</v>
      </c>
      <c r="S162" s="999" t="s">
        <v>900</v>
      </c>
      <c r="T162" s="999" t="s">
        <v>1090</v>
      </c>
      <c r="U162" s="1000"/>
      <c r="V162" s="1000" t="s">
        <v>914</v>
      </c>
      <c r="W162" s="1003">
        <v>16517</v>
      </c>
      <c r="X162" s="1000" t="s">
        <v>903</v>
      </c>
      <c r="Y162" s="1000">
        <v>80</v>
      </c>
      <c r="Z162" s="1000" t="s">
        <v>904</v>
      </c>
      <c r="AA162" s="1000" t="s">
        <v>905</v>
      </c>
      <c r="AB162" s="1000" t="s">
        <v>938</v>
      </c>
      <c r="AC162" s="1000" t="s">
        <v>907</v>
      </c>
      <c r="AD162" s="1004">
        <v>3813.57</v>
      </c>
      <c r="AE162" s="1004">
        <f t="shared" si="24"/>
        <v>51165.397499999999</v>
      </c>
      <c r="AF162" s="1004">
        <f t="shared" si="28"/>
        <v>51165.397499999999</v>
      </c>
      <c r="AG162" s="1005">
        <f t="shared" si="29"/>
        <v>13.416666666666666</v>
      </c>
      <c r="AH162" s="1005">
        <f t="shared" si="25"/>
        <v>10.62940759145499</v>
      </c>
    </row>
    <row r="163" spans="1:34" x14ac:dyDescent="0.25">
      <c r="A163" s="999">
        <v>32396</v>
      </c>
      <c r="B163" s="999" t="s">
        <v>933</v>
      </c>
      <c r="C163" s="999" t="s">
        <v>934</v>
      </c>
      <c r="D163" s="999" t="s">
        <v>935</v>
      </c>
      <c r="E163" s="999" t="s">
        <v>895</v>
      </c>
      <c r="F163" s="999">
        <v>1991574</v>
      </c>
      <c r="G163" s="1000">
        <v>42139244753</v>
      </c>
      <c r="H163" s="999" t="s">
        <v>1163</v>
      </c>
      <c r="I163" s="999" t="s">
        <v>897</v>
      </c>
      <c r="J163" s="1001">
        <v>41289</v>
      </c>
      <c r="K163" s="1001">
        <v>45835</v>
      </c>
      <c r="L163" s="1000">
        <f t="shared" si="26"/>
        <v>149</v>
      </c>
      <c r="M163" s="1002">
        <f t="shared" si="27"/>
        <v>12.416666666666666</v>
      </c>
      <c r="N163" s="1000">
        <v>12</v>
      </c>
      <c r="O163" s="1000">
        <v>12</v>
      </c>
      <c r="P163" s="1000">
        <v>43</v>
      </c>
      <c r="Q163" s="999" t="s">
        <v>898</v>
      </c>
      <c r="R163" s="999" t="s">
        <v>899</v>
      </c>
      <c r="S163" s="999" t="s">
        <v>900</v>
      </c>
      <c r="T163" s="999" t="s">
        <v>968</v>
      </c>
      <c r="U163" s="1000"/>
      <c r="V163" s="1000" t="s">
        <v>914</v>
      </c>
      <c r="W163" s="1003">
        <v>15695</v>
      </c>
      <c r="X163" s="1000" t="s">
        <v>903</v>
      </c>
      <c r="Y163" s="1000">
        <v>82</v>
      </c>
      <c r="Z163" s="1000" t="s">
        <v>904</v>
      </c>
      <c r="AA163" s="1000" t="s">
        <v>905</v>
      </c>
      <c r="AB163" s="1000" t="s">
        <v>938</v>
      </c>
      <c r="AC163" s="1000" t="s">
        <v>907</v>
      </c>
      <c r="AD163" s="1004">
        <v>3813.57</v>
      </c>
      <c r="AE163" s="1004">
        <f t="shared" si="24"/>
        <v>47351.827499999999</v>
      </c>
      <c r="AF163" s="1004">
        <f t="shared" si="28"/>
        <v>47351.827499999999</v>
      </c>
      <c r="AG163" s="1005">
        <f t="shared" si="29"/>
        <v>12.416666666666666</v>
      </c>
      <c r="AH163" s="1005">
        <f t="shared" si="25"/>
        <v>9.83715360948319</v>
      </c>
    </row>
    <row r="164" spans="1:34" x14ac:dyDescent="0.25">
      <c r="A164" s="999">
        <v>32396</v>
      </c>
      <c r="B164" s="999" t="s">
        <v>933</v>
      </c>
      <c r="C164" s="999" t="s">
        <v>934</v>
      </c>
      <c r="D164" s="999" t="s">
        <v>935</v>
      </c>
      <c r="E164" s="999" t="s">
        <v>895</v>
      </c>
      <c r="F164" s="999">
        <v>1911853</v>
      </c>
      <c r="G164" s="1000">
        <v>12623512604</v>
      </c>
      <c r="H164" s="999" t="s">
        <v>1164</v>
      </c>
      <c r="I164" s="999" t="s">
        <v>897</v>
      </c>
      <c r="J164" s="1001">
        <v>40931</v>
      </c>
      <c r="K164" s="1001">
        <v>45835</v>
      </c>
      <c r="L164" s="1000">
        <f t="shared" si="26"/>
        <v>161</v>
      </c>
      <c r="M164" s="1002">
        <f t="shared" si="27"/>
        <v>13.416666666666666</v>
      </c>
      <c r="N164" s="1000">
        <v>13</v>
      </c>
      <c r="O164" s="1000">
        <v>13</v>
      </c>
      <c r="P164" s="1000">
        <v>43</v>
      </c>
      <c r="Q164" s="999" t="s">
        <v>898</v>
      </c>
      <c r="R164" s="999" t="s">
        <v>899</v>
      </c>
      <c r="S164" s="999" t="s">
        <v>900</v>
      </c>
      <c r="T164" s="999" t="s">
        <v>1013</v>
      </c>
      <c r="U164" s="1000"/>
      <c r="V164" s="1000" t="s">
        <v>914</v>
      </c>
      <c r="W164" s="1003">
        <v>17941</v>
      </c>
      <c r="X164" s="1000" t="s">
        <v>903</v>
      </c>
      <c r="Y164" s="1000">
        <v>76</v>
      </c>
      <c r="Z164" s="1000" t="s">
        <v>904</v>
      </c>
      <c r="AA164" s="1000" t="s">
        <v>905</v>
      </c>
      <c r="AB164" s="1000" t="s">
        <v>938</v>
      </c>
      <c r="AC164" s="1000" t="s">
        <v>907</v>
      </c>
      <c r="AD164" s="1004">
        <v>3813.57</v>
      </c>
      <c r="AE164" s="1004">
        <f t="shared" si="24"/>
        <v>51165.397499999999</v>
      </c>
      <c r="AF164" s="1004">
        <f t="shared" si="28"/>
        <v>51165.397499999999</v>
      </c>
      <c r="AG164" s="1005">
        <f t="shared" si="29"/>
        <v>13.416666666666666</v>
      </c>
      <c r="AH164" s="1005">
        <f t="shared" si="25"/>
        <v>10.62940759145499</v>
      </c>
    </row>
    <row r="165" spans="1:34" x14ac:dyDescent="0.25">
      <c r="A165" s="999">
        <v>21000</v>
      </c>
      <c r="B165" s="999" t="s">
        <v>1165</v>
      </c>
      <c r="C165" s="999" t="s">
        <v>1166</v>
      </c>
      <c r="D165" s="999" t="s">
        <v>894</v>
      </c>
      <c r="E165" s="999" t="s">
        <v>895</v>
      </c>
      <c r="F165" s="999">
        <v>1938286</v>
      </c>
      <c r="G165" s="1000">
        <v>41462319815</v>
      </c>
      <c r="H165" s="999" t="s">
        <v>1167</v>
      </c>
      <c r="I165" s="999" t="s">
        <v>920</v>
      </c>
      <c r="J165" s="1001">
        <v>41023</v>
      </c>
      <c r="K165" s="1001">
        <v>45835</v>
      </c>
      <c r="L165" s="1000">
        <f t="shared" si="26"/>
        <v>158</v>
      </c>
      <c r="M165" s="1002">
        <f t="shared" si="27"/>
        <v>13.166666666666666</v>
      </c>
      <c r="N165" s="1000">
        <v>13</v>
      </c>
      <c r="O165" s="1000">
        <v>13</v>
      </c>
      <c r="P165" s="1000">
        <v>43</v>
      </c>
      <c r="Q165" s="999" t="s">
        <v>898</v>
      </c>
      <c r="R165" s="999" t="s">
        <v>899</v>
      </c>
      <c r="S165" s="999" t="s">
        <v>900</v>
      </c>
      <c r="T165" s="999" t="s">
        <v>1168</v>
      </c>
      <c r="U165" s="1000" t="s">
        <v>55</v>
      </c>
      <c r="V165" s="1000" t="s">
        <v>914</v>
      </c>
      <c r="W165" s="1003">
        <v>14833</v>
      </c>
      <c r="X165" s="1000" t="s">
        <v>903</v>
      </c>
      <c r="Y165" s="1000">
        <v>84</v>
      </c>
      <c r="Z165" s="1000" t="s">
        <v>904</v>
      </c>
      <c r="AA165" s="1000" t="s">
        <v>1169</v>
      </c>
      <c r="AB165" s="1000" t="s">
        <v>911</v>
      </c>
      <c r="AC165" s="1000" t="s">
        <v>907</v>
      </c>
      <c r="AD165" s="1004">
        <v>5333.97</v>
      </c>
      <c r="AE165" s="1004">
        <f t="shared" si="24"/>
        <v>70230.604999999996</v>
      </c>
      <c r="AF165" s="1004">
        <f t="shared" si="28"/>
        <v>70230.604999999996</v>
      </c>
      <c r="AG165" s="1005">
        <f t="shared" si="29"/>
        <v>13.166666666666666</v>
      </c>
      <c r="AH165" s="1005">
        <f t="shared" si="25"/>
        <v>11.087928266158507</v>
      </c>
    </row>
    <row r="166" spans="1:34" x14ac:dyDescent="0.25">
      <c r="A166" s="999">
        <v>40301</v>
      </c>
      <c r="B166" s="999" t="s">
        <v>1170</v>
      </c>
      <c r="C166" s="999" t="s">
        <v>1171</v>
      </c>
      <c r="D166" s="999" t="s">
        <v>935</v>
      </c>
      <c r="E166" s="999" t="s">
        <v>895</v>
      </c>
      <c r="F166" s="999">
        <v>1828338</v>
      </c>
      <c r="G166" s="1000">
        <v>27430154620</v>
      </c>
      <c r="H166" s="999" t="s">
        <v>1172</v>
      </c>
      <c r="I166" s="999" t="s">
        <v>920</v>
      </c>
      <c r="J166" s="1001">
        <v>40504</v>
      </c>
      <c r="K166" s="1001">
        <v>45835</v>
      </c>
      <c r="L166" s="1000">
        <f t="shared" si="26"/>
        <v>175</v>
      </c>
      <c r="M166" s="1002">
        <f t="shared" si="27"/>
        <v>14.583333333333334</v>
      </c>
      <c r="N166" s="1000">
        <v>14</v>
      </c>
      <c r="O166" s="1000">
        <v>14</v>
      </c>
      <c r="P166" s="1000">
        <v>43</v>
      </c>
      <c r="Q166" s="999" t="s">
        <v>898</v>
      </c>
      <c r="R166" s="999" t="s">
        <v>899</v>
      </c>
      <c r="S166" s="999" t="s">
        <v>900</v>
      </c>
      <c r="T166" s="999" t="s">
        <v>1173</v>
      </c>
      <c r="U166" s="1000"/>
      <c r="V166" s="1000" t="s">
        <v>914</v>
      </c>
      <c r="W166" s="1003">
        <v>18082</v>
      </c>
      <c r="X166" s="1000" t="s">
        <v>903</v>
      </c>
      <c r="Y166" s="1000">
        <v>75</v>
      </c>
      <c r="Z166" s="1000" t="s">
        <v>904</v>
      </c>
      <c r="AA166" s="1000" t="s">
        <v>1174</v>
      </c>
      <c r="AB166" s="1000" t="s">
        <v>938</v>
      </c>
      <c r="AC166" s="1000" t="s">
        <v>907</v>
      </c>
      <c r="AD166" s="1004">
        <v>3813.57</v>
      </c>
      <c r="AE166" s="1004">
        <f t="shared" si="24"/>
        <v>55614.562500000007</v>
      </c>
      <c r="AF166" s="1004">
        <f t="shared" si="28"/>
        <v>55614.562500000007</v>
      </c>
      <c r="AG166" s="1005">
        <f t="shared" si="29"/>
        <v>14.583333333333334</v>
      </c>
      <c r="AH166" s="1005">
        <f t="shared" si="25"/>
        <v>11.553703903755427</v>
      </c>
    </row>
    <row r="167" spans="1:34" x14ac:dyDescent="0.25">
      <c r="A167" s="999">
        <v>36201</v>
      </c>
      <c r="B167" s="999" t="s">
        <v>1175</v>
      </c>
      <c r="C167" s="999" t="s">
        <v>1176</v>
      </c>
      <c r="D167" s="999" t="s">
        <v>1177</v>
      </c>
      <c r="E167" s="999" t="s">
        <v>895</v>
      </c>
      <c r="F167" s="999">
        <v>1227054</v>
      </c>
      <c r="G167" s="1000">
        <v>62997130700</v>
      </c>
      <c r="H167" s="999" t="s">
        <v>1178</v>
      </c>
      <c r="I167" s="999" t="s">
        <v>897</v>
      </c>
      <c r="J167" s="1001">
        <v>40918</v>
      </c>
      <c r="K167" s="1001">
        <v>45835</v>
      </c>
      <c r="L167" s="1000">
        <f t="shared" si="26"/>
        <v>161</v>
      </c>
      <c r="M167" s="1002">
        <f t="shared" si="27"/>
        <v>13.416666666666666</v>
      </c>
      <c r="N167" s="1000">
        <v>13</v>
      </c>
      <c r="O167" s="1000">
        <v>13</v>
      </c>
      <c r="P167" s="1000">
        <v>43</v>
      </c>
      <c r="Q167" s="999" t="s">
        <v>898</v>
      </c>
      <c r="R167" s="999" t="s">
        <v>899</v>
      </c>
      <c r="S167" s="999" t="s">
        <v>900</v>
      </c>
      <c r="T167" s="999" t="s">
        <v>994</v>
      </c>
      <c r="U167" s="1000"/>
      <c r="V167" s="1000" t="s">
        <v>921</v>
      </c>
      <c r="W167" s="1003">
        <v>17462</v>
      </c>
      <c r="X167" s="1000" t="s">
        <v>930</v>
      </c>
      <c r="Y167" s="1000">
        <v>77</v>
      </c>
      <c r="Z167" s="1000" t="s">
        <v>904</v>
      </c>
      <c r="AA167" s="1000" t="s">
        <v>1179</v>
      </c>
      <c r="AB167" s="1000" t="s">
        <v>1134</v>
      </c>
      <c r="AC167" s="1000" t="s">
        <v>907</v>
      </c>
      <c r="AD167" s="1004">
        <v>3735.91</v>
      </c>
      <c r="AE167" s="1004">
        <f t="shared" si="24"/>
        <v>50123.45916666666</v>
      </c>
      <c r="AF167" s="1004">
        <f t="shared" si="28"/>
        <v>50123.45916666666</v>
      </c>
      <c r="AG167" s="1005">
        <f t="shared" si="29"/>
        <v>13.416666666666666</v>
      </c>
      <c r="AH167" s="1005">
        <f t="shared" si="25"/>
        <v>10.583701794727235</v>
      </c>
    </row>
    <row r="168" spans="1:34" x14ac:dyDescent="0.25">
      <c r="A168" s="999">
        <v>36201</v>
      </c>
      <c r="B168" s="999" t="s">
        <v>1175</v>
      </c>
      <c r="C168" s="999" t="s">
        <v>1176</v>
      </c>
      <c r="D168" s="999" t="s">
        <v>1177</v>
      </c>
      <c r="E168" s="999" t="s">
        <v>895</v>
      </c>
      <c r="F168" s="999">
        <v>397401</v>
      </c>
      <c r="G168" s="1000">
        <v>40981029787</v>
      </c>
      <c r="H168" s="999" t="s">
        <v>1180</v>
      </c>
      <c r="I168" s="999" t="s">
        <v>897</v>
      </c>
      <c r="J168" s="1001">
        <v>40933</v>
      </c>
      <c r="K168" s="1001">
        <v>45835</v>
      </c>
      <c r="L168" s="1000">
        <f t="shared" si="26"/>
        <v>161</v>
      </c>
      <c r="M168" s="1002">
        <f t="shared" si="27"/>
        <v>13.416666666666666</v>
      </c>
      <c r="N168" s="1000">
        <v>13</v>
      </c>
      <c r="O168" s="1000">
        <v>13</v>
      </c>
      <c r="P168" s="1000">
        <v>43</v>
      </c>
      <c r="Q168" s="999" t="s">
        <v>898</v>
      </c>
      <c r="R168" s="999" t="s">
        <v>899</v>
      </c>
      <c r="S168" s="999" t="s">
        <v>900</v>
      </c>
      <c r="T168" s="999" t="s">
        <v>994</v>
      </c>
      <c r="U168" s="1000"/>
      <c r="V168" s="1000" t="s">
        <v>921</v>
      </c>
      <c r="W168" s="1003">
        <v>16147</v>
      </c>
      <c r="X168" s="1000" t="s">
        <v>930</v>
      </c>
      <c r="Y168" s="1000">
        <v>81</v>
      </c>
      <c r="Z168" s="1000" t="s">
        <v>904</v>
      </c>
      <c r="AA168" s="1000" t="s">
        <v>1179</v>
      </c>
      <c r="AB168" s="1000" t="s">
        <v>1134</v>
      </c>
      <c r="AC168" s="1000" t="s">
        <v>907</v>
      </c>
      <c r="AD168" s="1004">
        <v>3417.68</v>
      </c>
      <c r="AE168" s="1004">
        <f t="shared" si="24"/>
        <v>45853.873333333329</v>
      </c>
      <c r="AF168" s="1004">
        <f t="shared" si="28"/>
        <v>45853.873333333329</v>
      </c>
      <c r="AG168" s="1005">
        <f t="shared" si="29"/>
        <v>13.416666666666666</v>
      </c>
      <c r="AH168" s="1005">
        <f t="shared" si="25"/>
        <v>10.379627617512659</v>
      </c>
    </row>
    <row r="169" spans="1:34" x14ac:dyDescent="0.25">
      <c r="A169" s="999">
        <v>42201</v>
      </c>
      <c r="B169" s="999" t="s">
        <v>1181</v>
      </c>
      <c r="C169" s="999" t="s">
        <v>1182</v>
      </c>
      <c r="D169" s="999" t="s">
        <v>935</v>
      </c>
      <c r="E169" s="999" t="s">
        <v>895</v>
      </c>
      <c r="F169" s="999">
        <v>1712106</v>
      </c>
      <c r="G169" s="1000">
        <v>2300966468</v>
      </c>
      <c r="H169" s="999" t="s">
        <v>1183</v>
      </c>
      <c r="I169" s="999" t="s">
        <v>897</v>
      </c>
      <c r="J169" s="1001">
        <v>40009</v>
      </c>
      <c r="K169" s="1001">
        <v>45835</v>
      </c>
      <c r="L169" s="1000">
        <f t="shared" si="26"/>
        <v>191</v>
      </c>
      <c r="M169" s="1002">
        <f t="shared" si="27"/>
        <v>15.916666666666666</v>
      </c>
      <c r="N169" s="1000">
        <v>15</v>
      </c>
      <c r="O169" s="1000">
        <v>15</v>
      </c>
      <c r="P169" s="1000">
        <v>43</v>
      </c>
      <c r="Q169" s="999" t="s">
        <v>898</v>
      </c>
      <c r="R169" s="999" t="s">
        <v>899</v>
      </c>
      <c r="S169" s="999" t="s">
        <v>900</v>
      </c>
      <c r="T169" s="999" t="s">
        <v>1184</v>
      </c>
      <c r="U169" s="1000" t="s">
        <v>54</v>
      </c>
      <c r="V169" s="1000" t="s">
        <v>914</v>
      </c>
      <c r="W169" s="1003">
        <v>15422</v>
      </c>
      <c r="X169" s="1000" t="s">
        <v>930</v>
      </c>
      <c r="Y169" s="1000">
        <v>83</v>
      </c>
      <c r="Z169" s="1000" t="s">
        <v>904</v>
      </c>
      <c r="AA169" s="1000" t="s">
        <v>1185</v>
      </c>
      <c r="AB169" s="1000" t="s">
        <v>925</v>
      </c>
      <c r="AC169" s="1000" t="s">
        <v>907</v>
      </c>
      <c r="AD169" s="1004">
        <v>10126.049999999999</v>
      </c>
      <c r="AE169" s="1004">
        <f t="shared" si="24"/>
        <v>161172.96249999999</v>
      </c>
      <c r="AF169" s="1004">
        <f t="shared" si="28"/>
        <v>161172.96249999999</v>
      </c>
      <c r="AG169" s="1005">
        <f t="shared" si="29"/>
        <v>15.916666666666668</v>
      </c>
      <c r="AH169" s="1005">
        <f t="shared" si="25"/>
        <v>14.486090076891619</v>
      </c>
    </row>
    <row r="170" spans="1:34" x14ac:dyDescent="0.25">
      <c r="A170" s="999">
        <v>42201</v>
      </c>
      <c r="B170" s="999" t="s">
        <v>1181</v>
      </c>
      <c r="C170" s="999" t="s">
        <v>1182</v>
      </c>
      <c r="D170" s="999" t="s">
        <v>935</v>
      </c>
      <c r="E170" s="999" t="s">
        <v>895</v>
      </c>
      <c r="F170" s="999">
        <v>1699236</v>
      </c>
      <c r="G170" s="1000">
        <v>5621739272</v>
      </c>
      <c r="H170" s="999" t="s">
        <v>1186</v>
      </c>
      <c r="I170" s="999" t="s">
        <v>897</v>
      </c>
      <c r="J170" s="1001">
        <v>39895</v>
      </c>
      <c r="K170" s="1001">
        <v>45835</v>
      </c>
      <c r="L170" s="1000">
        <f t="shared" si="26"/>
        <v>195</v>
      </c>
      <c r="M170" s="1002">
        <f t="shared" si="27"/>
        <v>16.25</v>
      </c>
      <c r="N170" s="1000">
        <v>16</v>
      </c>
      <c r="O170" s="1000">
        <v>16</v>
      </c>
      <c r="P170" s="1000">
        <v>43</v>
      </c>
      <c r="Q170" s="999" t="s">
        <v>898</v>
      </c>
      <c r="R170" s="999" t="s">
        <v>899</v>
      </c>
      <c r="S170" s="999" t="s">
        <v>900</v>
      </c>
      <c r="T170" s="999" t="s">
        <v>1184</v>
      </c>
      <c r="U170" s="1000" t="s">
        <v>54</v>
      </c>
      <c r="V170" s="1000" t="s">
        <v>914</v>
      </c>
      <c r="W170" s="1003">
        <v>18049</v>
      </c>
      <c r="X170" s="1000" t="s">
        <v>903</v>
      </c>
      <c r="Y170" s="1000">
        <v>75</v>
      </c>
      <c r="Z170" s="1000" t="s">
        <v>904</v>
      </c>
      <c r="AA170" s="1000" t="s">
        <v>1185</v>
      </c>
      <c r="AB170" s="1000" t="s">
        <v>925</v>
      </c>
      <c r="AC170" s="1000" t="s">
        <v>907</v>
      </c>
      <c r="AD170" s="1004">
        <v>10126.049999999999</v>
      </c>
      <c r="AE170" s="1004">
        <f t="shared" si="24"/>
        <v>164548.3125</v>
      </c>
      <c r="AF170" s="1004">
        <f t="shared" si="28"/>
        <v>164548.3125</v>
      </c>
      <c r="AG170" s="1005">
        <f t="shared" si="29"/>
        <v>16.25</v>
      </c>
      <c r="AH170" s="1005">
        <f t="shared" si="25"/>
        <v>14.789463691067361</v>
      </c>
    </row>
    <row r="171" spans="1:34" x14ac:dyDescent="0.25">
      <c r="A171" s="999">
        <v>42201</v>
      </c>
      <c r="B171" s="999" t="s">
        <v>1181</v>
      </c>
      <c r="C171" s="999" t="s">
        <v>1182</v>
      </c>
      <c r="D171" s="999" t="s">
        <v>935</v>
      </c>
      <c r="E171" s="999" t="s">
        <v>895</v>
      </c>
      <c r="F171" s="999">
        <v>1764529</v>
      </c>
      <c r="G171" s="1000">
        <v>7476922387</v>
      </c>
      <c r="H171" s="999" t="s">
        <v>1187</v>
      </c>
      <c r="I171" s="999" t="s">
        <v>897</v>
      </c>
      <c r="J171" s="1001">
        <v>40241</v>
      </c>
      <c r="K171" s="1001">
        <v>45835</v>
      </c>
      <c r="L171" s="1000">
        <f t="shared" si="26"/>
        <v>183</v>
      </c>
      <c r="M171" s="1002">
        <f t="shared" si="27"/>
        <v>15.25</v>
      </c>
      <c r="N171" s="1000">
        <v>15</v>
      </c>
      <c r="O171" s="1000">
        <v>15</v>
      </c>
      <c r="P171" s="1000">
        <v>43</v>
      </c>
      <c r="Q171" s="999" t="s">
        <v>898</v>
      </c>
      <c r="R171" s="999" t="s">
        <v>899</v>
      </c>
      <c r="S171" s="999" t="s">
        <v>900</v>
      </c>
      <c r="T171" s="999" t="s">
        <v>1188</v>
      </c>
      <c r="U171" s="1000"/>
      <c r="V171" s="1000" t="s">
        <v>914</v>
      </c>
      <c r="W171" s="1003">
        <v>16205</v>
      </c>
      <c r="X171" s="1000" t="s">
        <v>903</v>
      </c>
      <c r="Y171" s="1000">
        <v>80</v>
      </c>
      <c r="Z171" s="1000" t="s">
        <v>904</v>
      </c>
      <c r="AA171" s="1000" t="s">
        <v>1185</v>
      </c>
      <c r="AB171" s="1000" t="s">
        <v>938</v>
      </c>
      <c r="AC171" s="1000" t="s">
        <v>907</v>
      </c>
      <c r="AD171" s="1004">
        <v>3813.57</v>
      </c>
      <c r="AE171" s="1004">
        <f t="shared" si="24"/>
        <v>58156.942500000005</v>
      </c>
      <c r="AF171" s="1004">
        <f t="shared" si="28"/>
        <v>58156.942500000005</v>
      </c>
      <c r="AG171" s="1005">
        <f t="shared" si="29"/>
        <v>15.25</v>
      </c>
      <c r="AH171" s="1005">
        <f t="shared" si="25"/>
        <v>12.081873225069961</v>
      </c>
    </row>
    <row r="172" spans="1:34" x14ac:dyDescent="0.25">
      <c r="A172" s="999">
        <v>42201</v>
      </c>
      <c r="B172" s="999" t="s">
        <v>1181</v>
      </c>
      <c r="C172" s="999" t="s">
        <v>1182</v>
      </c>
      <c r="D172" s="999" t="s">
        <v>935</v>
      </c>
      <c r="E172" s="999" t="s">
        <v>895</v>
      </c>
      <c r="F172" s="999">
        <v>1767273</v>
      </c>
      <c r="G172" s="1000">
        <v>12600083391</v>
      </c>
      <c r="H172" s="999" t="s">
        <v>1189</v>
      </c>
      <c r="I172" s="999" t="s">
        <v>897</v>
      </c>
      <c r="J172" s="1001">
        <v>40241</v>
      </c>
      <c r="K172" s="1001">
        <v>45835</v>
      </c>
      <c r="L172" s="1000">
        <f t="shared" si="26"/>
        <v>183</v>
      </c>
      <c r="M172" s="1002">
        <f t="shared" si="27"/>
        <v>15.25</v>
      </c>
      <c r="N172" s="1000">
        <v>15</v>
      </c>
      <c r="O172" s="1000">
        <v>15</v>
      </c>
      <c r="P172" s="1000">
        <v>43</v>
      </c>
      <c r="Q172" s="999" t="s">
        <v>898</v>
      </c>
      <c r="R172" s="999" t="s">
        <v>899</v>
      </c>
      <c r="S172" s="999" t="s">
        <v>900</v>
      </c>
      <c r="T172" s="999" t="s">
        <v>1190</v>
      </c>
      <c r="U172" s="1000"/>
      <c r="V172" s="1000" t="s">
        <v>914</v>
      </c>
      <c r="W172" s="1003">
        <v>16495</v>
      </c>
      <c r="X172" s="1000" t="s">
        <v>903</v>
      </c>
      <c r="Y172" s="1000">
        <v>80</v>
      </c>
      <c r="Z172" s="1000" t="s">
        <v>904</v>
      </c>
      <c r="AA172" s="1000" t="s">
        <v>1185</v>
      </c>
      <c r="AB172" s="1000" t="s">
        <v>938</v>
      </c>
      <c r="AC172" s="1000" t="s">
        <v>907</v>
      </c>
      <c r="AD172" s="1004">
        <v>3813.57</v>
      </c>
      <c r="AE172" s="1004">
        <f t="shared" si="24"/>
        <v>58156.942500000005</v>
      </c>
      <c r="AF172" s="1004">
        <f t="shared" si="28"/>
        <v>58156.942500000005</v>
      </c>
      <c r="AG172" s="1005">
        <f t="shared" si="29"/>
        <v>15.25</v>
      </c>
      <c r="AH172" s="1005">
        <f t="shared" si="25"/>
        <v>12.081873225069961</v>
      </c>
    </row>
    <row r="173" spans="1:34" x14ac:dyDescent="0.25">
      <c r="A173" s="999">
        <v>42201</v>
      </c>
      <c r="B173" s="999" t="s">
        <v>1181</v>
      </c>
      <c r="C173" s="999" t="s">
        <v>1182</v>
      </c>
      <c r="D173" s="999" t="s">
        <v>935</v>
      </c>
      <c r="E173" s="999" t="s">
        <v>895</v>
      </c>
      <c r="F173" s="999">
        <v>2270047</v>
      </c>
      <c r="G173" s="1000">
        <v>17592623315</v>
      </c>
      <c r="H173" s="999" t="s">
        <v>1191</v>
      </c>
      <c r="I173" s="999" t="s">
        <v>897</v>
      </c>
      <c r="J173" s="1001">
        <v>42311</v>
      </c>
      <c r="K173" s="1001">
        <v>45835</v>
      </c>
      <c r="L173" s="1000">
        <f t="shared" si="26"/>
        <v>115</v>
      </c>
      <c r="M173" s="1002">
        <f t="shared" si="27"/>
        <v>9.5833333333333339</v>
      </c>
      <c r="N173" s="1000">
        <v>9</v>
      </c>
      <c r="O173" s="1000">
        <v>10</v>
      </c>
      <c r="P173" s="1000">
        <v>43</v>
      </c>
      <c r="Q173" s="999" t="s">
        <v>898</v>
      </c>
      <c r="R173" s="999" t="s">
        <v>899</v>
      </c>
      <c r="S173" s="999" t="s">
        <v>900</v>
      </c>
      <c r="T173" s="999" t="s">
        <v>1192</v>
      </c>
      <c r="U173" s="1000"/>
      <c r="V173" s="1000" t="s">
        <v>914</v>
      </c>
      <c r="W173" s="1003">
        <v>17370</v>
      </c>
      <c r="X173" s="1000" t="s">
        <v>903</v>
      </c>
      <c r="Y173" s="1000">
        <v>77</v>
      </c>
      <c r="Z173" s="1000" t="s">
        <v>904</v>
      </c>
      <c r="AA173" s="1000" t="s">
        <v>1185</v>
      </c>
      <c r="AB173" s="1000" t="s">
        <v>938</v>
      </c>
      <c r="AC173" s="1000" t="s">
        <v>907</v>
      </c>
      <c r="AD173" s="1004">
        <v>3813.57</v>
      </c>
      <c r="AE173" s="1004">
        <f t="shared" si="24"/>
        <v>36546.712500000001</v>
      </c>
      <c r="AF173" s="1004">
        <f t="shared" si="28"/>
        <v>36546.712500000001</v>
      </c>
      <c r="AG173" s="1005">
        <f t="shared" si="29"/>
        <v>9.5833333333333339</v>
      </c>
      <c r="AH173" s="1005">
        <f t="shared" si="25"/>
        <v>7.5924339938964227</v>
      </c>
    </row>
    <row r="174" spans="1:34" x14ac:dyDescent="0.25">
      <c r="A174" s="999">
        <v>42201</v>
      </c>
      <c r="B174" s="999" t="s">
        <v>1181</v>
      </c>
      <c r="C174" s="999" t="s">
        <v>1182</v>
      </c>
      <c r="D174" s="999" t="s">
        <v>935</v>
      </c>
      <c r="E174" s="999" t="s">
        <v>895</v>
      </c>
      <c r="F174" s="999">
        <v>1764384</v>
      </c>
      <c r="G174" s="1000">
        <v>9891650359</v>
      </c>
      <c r="H174" s="999" t="s">
        <v>1193</v>
      </c>
      <c r="I174" s="999" t="s">
        <v>897</v>
      </c>
      <c r="J174" s="1001">
        <v>40241</v>
      </c>
      <c r="K174" s="1001">
        <v>45835</v>
      </c>
      <c r="L174" s="1000">
        <f t="shared" si="26"/>
        <v>183</v>
      </c>
      <c r="M174" s="1002">
        <f t="shared" si="27"/>
        <v>15.25</v>
      </c>
      <c r="N174" s="1000">
        <v>15</v>
      </c>
      <c r="O174" s="1000">
        <v>15</v>
      </c>
      <c r="P174" s="1000">
        <v>43</v>
      </c>
      <c r="Q174" s="999" t="s">
        <v>898</v>
      </c>
      <c r="R174" s="999" t="s">
        <v>899</v>
      </c>
      <c r="S174" s="999" t="s">
        <v>900</v>
      </c>
      <c r="T174" s="999" t="s">
        <v>1194</v>
      </c>
      <c r="U174" s="1000"/>
      <c r="V174" s="1000" t="s">
        <v>914</v>
      </c>
      <c r="W174" s="1003">
        <v>17686</v>
      </c>
      <c r="X174" s="1000" t="s">
        <v>903</v>
      </c>
      <c r="Y174" s="1000">
        <v>76</v>
      </c>
      <c r="Z174" s="1000" t="s">
        <v>904</v>
      </c>
      <c r="AA174" s="1000" t="s">
        <v>1185</v>
      </c>
      <c r="AB174" s="1000" t="s">
        <v>938</v>
      </c>
      <c r="AC174" s="1000" t="s">
        <v>907</v>
      </c>
      <c r="AD174" s="1004">
        <v>3813.57</v>
      </c>
      <c r="AE174" s="1004">
        <f t="shared" si="24"/>
        <v>58156.942500000005</v>
      </c>
      <c r="AF174" s="1004">
        <f t="shared" si="28"/>
        <v>58156.942500000005</v>
      </c>
      <c r="AG174" s="1005">
        <f t="shared" si="29"/>
        <v>15.25</v>
      </c>
      <c r="AH174" s="1005">
        <f t="shared" si="25"/>
        <v>12.081873225069961</v>
      </c>
    </row>
    <row r="175" spans="1:34" x14ac:dyDescent="0.25">
      <c r="A175" s="999">
        <v>42201</v>
      </c>
      <c r="B175" s="999" t="s">
        <v>1181</v>
      </c>
      <c r="C175" s="999" t="s">
        <v>1182</v>
      </c>
      <c r="D175" s="999" t="s">
        <v>935</v>
      </c>
      <c r="E175" s="999" t="s">
        <v>895</v>
      </c>
      <c r="F175" s="999">
        <v>2309676</v>
      </c>
      <c r="G175" s="1000">
        <v>187046387</v>
      </c>
      <c r="H175" s="999" t="s">
        <v>1195</v>
      </c>
      <c r="I175" s="999" t="s">
        <v>897</v>
      </c>
      <c r="J175" s="1001">
        <v>42492</v>
      </c>
      <c r="K175" s="1001">
        <v>45835</v>
      </c>
      <c r="L175" s="1000">
        <f t="shared" si="26"/>
        <v>109</v>
      </c>
      <c r="M175" s="1002">
        <f t="shared" si="27"/>
        <v>9.0833333333333339</v>
      </c>
      <c r="N175" s="1000">
        <v>9</v>
      </c>
      <c r="O175" s="1000">
        <v>10</v>
      </c>
      <c r="P175" s="1000">
        <v>43</v>
      </c>
      <c r="Q175" s="999" t="s">
        <v>898</v>
      </c>
      <c r="R175" s="999" t="s">
        <v>899</v>
      </c>
      <c r="S175" s="999" t="s">
        <v>900</v>
      </c>
      <c r="T175" s="999" t="s">
        <v>1196</v>
      </c>
      <c r="U175" s="1000" t="s">
        <v>55</v>
      </c>
      <c r="V175" s="1000" t="s">
        <v>914</v>
      </c>
      <c r="W175" s="1003">
        <v>15921</v>
      </c>
      <c r="X175" s="1000" t="s">
        <v>903</v>
      </c>
      <c r="Y175" s="1000">
        <v>81</v>
      </c>
      <c r="Z175" s="1000" t="s">
        <v>904</v>
      </c>
      <c r="AA175" s="1000" t="s">
        <v>1185</v>
      </c>
      <c r="AB175" s="1000" t="s">
        <v>911</v>
      </c>
      <c r="AC175" s="1000" t="s">
        <v>907</v>
      </c>
      <c r="AD175" s="1004">
        <v>5333.97</v>
      </c>
      <c r="AE175" s="1004">
        <f t="shared" si="24"/>
        <v>48450.227500000008</v>
      </c>
      <c r="AF175" s="1004">
        <f t="shared" si="28"/>
        <v>48450.227500000008</v>
      </c>
      <c r="AG175" s="1005">
        <f t="shared" si="29"/>
        <v>9.0833333333333339</v>
      </c>
      <c r="AH175" s="1005">
        <f t="shared" si="25"/>
        <v>7.649266968425807</v>
      </c>
    </row>
    <row r="176" spans="1:34" x14ac:dyDescent="0.25">
      <c r="A176" s="999">
        <v>42201</v>
      </c>
      <c r="B176" s="999" t="s">
        <v>1181</v>
      </c>
      <c r="C176" s="999" t="s">
        <v>1182</v>
      </c>
      <c r="D176" s="999" t="s">
        <v>935</v>
      </c>
      <c r="E176" s="999" t="s">
        <v>895</v>
      </c>
      <c r="F176" s="999">
        <v>2270259</v>
      </c>
      <c r="G176" s="1000">
        <v>1225413320</v>
      </c>
      <c r="H176" s="999" t="s">
        <v>1197</v>
      </c>
      <c r="I176" s="999" t="s">
        <v>897</v>
      </c>
      <c r="J176" s="1001">
        <v>42311</v>
      </c>
      <c r="K176" s="1001">
        <v>45835</v>
      </c>
      <c r="L176" s="1000">
        <f t="shared" si="26"/>
        <v>115</v>
      </c>
      <c r="M176" s="1002">
        <f t="shared" si="27"/>
        <v>9.5833333333333339</v>
      </c>
      <c r="N176" s="1000">
        <v>9</v>
      </c>
      <c r="O176" s="1000">
        <v>10</v>
      </c>
      <c r="P176" s="1000">
        <v>43</v>
      </c>
      <c r="Q176" s="999" t="s">
        <v>898</v>
      </c>
      <c r="R176" s="999" t="s">
        <v>899</v>
      </c>
      <c r="S176" s="999" t="s">
        <v>900</v>
      </c>
      <c r="T176" s="999" t="s">
        <v>909</v>
      </c>
      <c r="U176" s="1000"/>
      <c r="V176" s="1000" t="s">
        <v>914</v>
      </c>
      <c r="W176" s="1003">
        <v>14190</v>
      </c>
      <c r="X176" s="1000" t="s">
        <v>903</v>
      </c>
      <c r="Y176" s="1000">
        <v>86</v>
      </c>
      <c r="Z176" s="1000" t="s">
        <v>904</v>
      </c>
      <c r="AA176" s="1000" t="s">
        <v>1185</v>
      </c>
      <c r="AB176" s="1000" t="s">
        <v>938</v>
      </c>
      <c r="AC176" s="1000" t="s">
        <v>907</v>
      </c>
      <c r="AD176" s="1004">
        <v>3813.57</v>
      </c>
      <c r="AE176" s="1004">
        <f t="shared" si="24"/>
        <v>36546.712500000001</v>
      </c>
      <c r="AF176" s="1004">
        <f t="shared" si="28"/>
        <v>36546.712500000001</v>
      </c>
      <c r="AG176" s="1005">
        <f t="shared" si="29"/>
        <v>9.5833333333333339</v>
      </c>
      <c r="AH176" s="1005">
        <f t="shared" si="25"/>
        <v>7.5924339938964227</v>
      </c>
    </row>
    <row r="177" spans="1:34" x14ac:dyDescent="0.25">
      <c r="A177" s="999">
        <v>42201</v>
      </c>
      <c r="B177" s="999" t="s">
        <v>1181</v>
      </c>
      <c r="C177" s="999" t="s">
        <v>1182</v>
      </c>
      <c r="D177" s="999" t="s">
        <v>935</v>
      </c>
      <c r="E177" s="999" t="s">
        <v>895</v>
      </c>
      <c r="F177" s="999">
        <v>1697623</v>
      </c>
      <c r="G177" s="1000">
        <v>5563585387</v>
      </c>
      <c r="H177" s="999" t="s">
        <v>1198</v>
      </c>
      <c r="I177" s="999" t="s">
        <v>897</v>
      </c>
      <c r="J177" s="1001">
        <v>39937</v>
      </c>
      <c r="K177" s="1001">
        <v>45835</v>
      </c>
      <c r="L177" s="1000">
        <f t="shared" si="26"/>
        <v>193</v>
      </c>
      <c r="M177" s="1002">
        <f t="shared" si="27"/>
        <v>16.083333333333332</v>
      </c>
      <c r="N177" s="1000">
        <v>16</v>
      </c>
      <c r="O177" s="1000">
        <v>16</v>
      </c>
      <c r="P177" s="1000">
        <v>43</v>
      </c>
      <c r="Q177" s="999" t="s">
        <v>898</v>
      </c>
      <c r="R177" s="999" t="s">
        <v>899</v>
      </c>
      <c r="S177" s="999" t="s">
        <v>900</v>
      </c>
      <c r="T177" s="999" t="s">
        <v>909</v>
      </c>
      <c r="U177" s="1000"/>
      <c r="V177" s="1000" t="s">
        <v>914</v>
      </c>
      <c r="W177" s="1003">
        <v>15897</v>
      </c>
      <c r="X177" s="1000" t="s">
        <v>903</v>
      </c>
      <c r="Y177" s="1000">
        <v>81</v>
      </c>
      <c r="Z177" s="1000" t="s">
        <v>904</v>
      </c>
      <c r="AA177" s="1000" t="s">
        <v>1185</v>
      </c>
      <c r="AB177" s="1000" t="s">
        <v>938</v>
      </c>
      <c r="AC177" s="1000" t="s">
        <v>907</v>
      </c>
      <c r="AD177" s="1004">
        <v>3813.57</v>
      </c>
      <c r="AE177" s="1004">
        <f t="shared" si="24"/>
        <v>61334.917499999996</v>
      </c>
      <c r="AF177" s="1004">
        <f t="shared" si="28"/>
        <v>61334.917499999996</v>
      </c>
      <c r="AG177" s="1005">
        <f t="shared" si="29"/>
        <v>16.083333333333332</v>
      </c>
      <c r="AH177" s="1005">
        <f t="shared" si="25"/>
        <v>12.742084876713125</v>
      </c>
    </row>
    <row r="178" spans="1:34" x14ac:dyDescent="0.25">
      <c r="A178" s="999">
        <v>42201</v>
      </c>
      <c r="B178" s="999" t="s">
        <v>1181</v>
      </c>
      <c r="C178" s="999" t="s">
        <v>1182</v>
      </c>
      <c r="D178" s="999" t="s">
        <v>935</v>
      </c>
      <c r="E178" s="999" t="s">
        <v>895</v>
      </c>
      <c r="F178" s="999">
        <v>1697008</v>
      </c>
      <c r="G178" s="1000">
        <v>7559054315</v>
      </c>
      <c r="H178" s="999" t="s">
        <v>1199</v>
      </c>
      <c r="I178" s="999" t="s">
        <v>897</v>
      </c>
      <c r="J178" s="1001">
        <v>39930</v>
      </c>
      <c r="K178" s="1001">
        <v>45835</v>
      </c>
      <c r="L178" s="1000">
        <f t="shared" si="26"/>
        <v>194</v>
      </c>
      <c r="M178" s="1002">
        <f t="shared" si="27"/>
        <v>16.166666666666668</v>
      </c>
      <c r="N178" s="1000">
        <v>16</v>
      </c>
      <c r="O178" s="1000">
        <v>16</v>
      </c>
      <c r="P178" s="1000">
        <v>43</v>
      </c>
      <c r="Q178" s="999" t="s">
        <v>898</v>
      </c>
      <c r="R178" s="999" t="s">
        <v>899</v>
      </c>
      <c r="S178" s="999" t="s">
        <v>900</v>
      </c>
      <c r="T178" s="999" t="s">
        <v>909</v>
      </c>
      <c r="U178" s="1000"/>
      <c r="V178" s="1000" t="s">
        <v>914</v>
      </c>
      <c r="W178" s="1003">
        <v>17240</v>
      </c>
      <c r="X178" s="1000" t="s">
        <v>903</v>
      </c>
      <c r="Y178" s="1000">
        <v>78</v>
      </c>
      <c r="Z178" s="1000" t="s">
        <v>904</v>
      </c>
      <c r="AA178" s="1000" t="s">
        <v>1185</v>
      </c>
      <c r="AB178" s="1000" t="s">
        <v>938</v>
      </c>
      <c r="AC178" s="1000" t="s">
        <v>907</v>
      </c>
      <c r="AD178" s="1004">
        <v>3813.57</v>
      </c>
      <c r="AE178" s="1004">
        <f t="shared" si="24"/>
        <v>61652.715000000004</v>
      </c>
      <c r="AF178" s="1004">
        <f t="shared" si="28"/>
        <v>61652.715000000004</v>
      </c>
      <c r="AG178" s="1005">
        <f t="shared" si="29"/>
        <v>16.166666666666668</v>
      </c>
      <c r="AH178" s="1005">
        <f t="shared" si="25"/>
        <v>12.808106041877444</v>
      </c>
    </row>
    <row r="179" spans="1:34" x14ac:dyDescent="0.25">
      <c r="A179" s="999">
        <v>42201</v>
      </c>
      <c r="B179" s="999" t="s">
        <v>1181</v>
      </c>
      <c r="C179" s="999" t="s">
        <v>1182</v>
      </c>
      <c r="D179" s="999" t="s">
        <v>935</v>
      </c>
      <c r="E179" s="999" t="s">
        <v>895</v>
      </c>
      <c r="F179" s="999">
        <v>1697378</v>
      </c>
      <c r="G179" s="1000">
        <v>11207876372</v>
      </c>
      <c r="H179" s="999" t="s">
        <v>1200</v>
      </c>
      <c r="I179" s="999" t="s">
        <v>897</v>
      </c>
      <c r="J179" s="1001">
        <v>39932</v>
      </c>
      <c r="K179" s="1001">
        <v>45835</v>
      </c>
      <c r="L179" s="1000">
        <f t="shared" si="26"/>
        <v>193</v>
      </c>
      <c r="M179" s="1002">
        <f t="shared" si="27"/>
        <v>16.083333333333332</v>
      </c>
      <c r="N179" s="1000">
        <v>16</v>
      </c>
      <c r="O179" s="1000">
        <v>16</v>
      </c>
      <c r="P179" s="1000">
        <v>43</v>
      </c>
      <c r="Q179" s="999" t="s">
        <v>898</v>
      </c>
      <c r="R179" s="999" t="s">
        <v>899</v>
      </c>
      <c r="S179" s="999" t="s">
        <v>900</v>
      </c>
      <c r="T179" s="999" t="s">
        <v>909</v>
      </c>
      <c r="U179" s="1000"/>
      <c r="V179" s="1000" t="s">
        <v>914</v>
      </c>
      <c r="W179" s="1003">
        <v>17266</v>
      </c>
      <c r="X179" s="1000" t="s">
        <v>903</v>
      </c>
      <c r="Y179" s="1000">
        <v>78</v>
      </c>
      <c r="Z179" s="1000" t="s">
        <v>904</v>
      </c>
      <c r="AA179" s="1000" t="s">
        <v>1185</v>
      </c>
      <c r="AB179" s="1000" t="s">
        <v>938</v>
      </c>
      <c r="AC179" s="1000" t="s">
        <v>907</v>
      </c>
      <c r="AD179" s="1004">
        <v>3813.57</v>
      </c>
      <c r="AE179" s="1004">
        <f t="shared" si="24"/>
        <v>61334.917499999996</v>
      </c>
      <c r="AF179" s="1004">
        <f t="shared" si="28"/>
        <v>61334.917499999996</v>
      </c>
      <c r="AG179" s="1005">
        <f t="shared" si="29"/>
        <v>16.083333333333332</v>
      </c>
      <c r="AH179" s="1005">
        <f t="shared" si="25"/>
        <v>12.742084876713125</v>
      </c>
    </row>
    <row r="180" spans="1:34" x14ac:dyDescent="0.25">
      <c r="A180" s="999">
        <v>42201</v>
      </c>
      <c r="B180" s="999" t="s">
        <v>1181</v>
      </c>
      <c r="C180" s="999" t="s">
        <v>1182</v>
      </c>
      <c r="D180" s="999" t="s">
        <v>935</v>
      </c>
      <c r="E180" s="999" t="s">
        <v>895</v>
      </c>
      <c r="F180" s="999">
        <v>1697035</v>
      </c>
      <c r="G180" s="1000">
        <v>1223631320</v>
      </c>
      <c r="H180" s="999" t="s">
        <v>1201</v>
      </c>
      <c r="I180" s="999" t="s">
        <v>897</v>
      </c>
      <c r="J180" s="1001">
        <v>39930</v>
      </c>
      <c r="K180" s="1001">
        <v>45835</v>
      </c>
      <c r="L180" s="1000">
        <f t="shared" si="26"/>
        <v>194</v>
      </c>
      <c r="M180" s="1002">
        <f t="shared" si="27"/>
        <v>16.166666666666668</v>
      </c>
      <c r="N180" s="1000">
        <v>16</v>
      </c>
      <c r="O180" s="1000">
        <v>16</v>
      </c>
      <c r="P180" s="1000">
        <v>43</v>
      </c>
      <c r="Q180" s="999" t="s">
        <v>898</v>
      </c>
      <c r="R180" s="999" t="s">
        <v>899</v>
      </c>
      <c r="S180" s="999" t="s">
        <v>900</v>
      </c>
      <c r="T180" s="999" t="s">
        <v>1202</v>
      </c>
      <c r="U180" s="1000" t="s">
        <v>54</v>
      </c>
      <c r="V180" s="1000" t="s">
        <v>910</v>
      </c>
      <c r="W180" s="1003">
        <v>15795</v>
      </c>
      <c r="X180" s="1000" t="s">
        <v>930</v>
      </c>
      <c r="Y180" s="1000">
        <v>82</v>
      </c>
      <c r="Z180" s="1000" t="s">
        <v>904</v>
      </c>
      <c r="AA180" s="1000" t="s">
        <v>905</v>
      </c>
      <c r="AB180" s="1000" t="s">
        <v>925</v>
      </c>
      <c r="AC180" s="1000" t="s">
        <v>907</v>
      </c>
      <c r="AD180" s="1004">
        <v>10126.049999999999</v>
      </c>
      <c r="AE180" s="1004">
        <f t="shared" si="24"/>
        <v>163704.47500000001</v>
      </c>
      <c r="AF180" s="1004">
        <f t="shared" si="28"/>
        <v>163704.47500000001</v>
      </c>
      <c r="AG180" s="1005">
        <f t="shared" si="29"/>
        <v>16.166666666666668</v>
      </c>
      <c r="AH180" s="1005">
        <f t="shared" si="25"/>
        <v>14.713620287523426</v>
      </c>
    </row>
    <row r="181" spans="1:34" x14ac:dyDescent="0.25">
      <c r="A181" s="999">
        <v>42201</v>
      </c>
      <c r="B181" s="999" t="s">
        <v>1181</v>
      </c>
      <c r="C181" s="999" t="s">
        <v>1182</v>
      </c>
      <c r="D181" s="999" t="s">
        <v>935</v>
      </c>
      <c r="E181" s="999" t="s">
        <v>895</v>
      </c>
      <c r="F181" s="999">
        <v>1697420</v>
      </c>
      <c r="G181" s="1000">
        <v>6420974372</v>
      </c>
      <c r="H181" s="999" t="s">
        <v>1203</v>
      </c>
      <c r="I181" s="999" t="s">
        <v>897</v>
      </c>
      <c r="J181" s="1001">
        <v>39931</v>
      </c>
      <c r="K181" s="1001">
        <v>45835</v>
      </c>
      <c r="L181" s="1000">
        <f t="shared" si="26"/>
        <v>193</v>
      </c>
      <c r="M181" s="1002">
        <f t="shared" si="27"/>
        <v>16.083333333333332</v>
      </c>
      <c r="N181" s="1000">
        <v>16</v>
      </c>
      <c r="O181" s="1000">
        <v>16</v>
      </c>
      <c r="P181" s="1000">
        <v>43</v>
      </c>
      <c r="Q181" s="999" t="s">
        <v>898</v>
      </c>
      <c r="R181" s="999" t="s">
        <v>899</v>
      </c>
      <c r="S181" s="999" t="s">
        <v>900</v>
      </c>
      <c r="T181" s="999" t="s">
        <v>1204</v>
      </c>
      <c r="U181" s="1000"/>
      <c r="V181" s="1000" t="s">
        <v>914</v>
      </c>
      <c r="W181" s="1003">
        <v>17126</v>
      </c>
      <c r="X181" s="1000" t="s">
        <v>930</v>
      </c>
      <c r="Y181" s="1000">
        <v>78</v>
      </c>
      <c r="Z181" s="1000" t="s">
        <v>904</v>
      </c>
      <c r="AA181" s="1000" t="s">
        <v>1185</v>
      </c>
      <c r="AB181" s="1000" t="s">
        <v>938</v>
      </c>
      <c r="AC181" s="1000" t="s">
        <v>907</v>
      </c>
      <c r="AD181" s="1004">
        <v>3813.57</v>
      </c>
      <c r="AE181" s="1004">
        <f t="shared" si="24"/>
        <v>61334.917499999996</v>
      </c>
      <c r="AF181" s="1004">
        <f t="shared" si="28"/>
        <v>61334.917499999996</v>
      </c>
      <c r="AG181" s="1005">
        <f t="shared" si="29"/>
        <v>16.083333333333332</v>
      </c>
      <c r="AH181" s="1005">
        <f t="shared" si="25"/>
        <v>12.742084876713125</v>
      </c>
    </row>
    <row r="182" spans="1:34" x14ac:dyDescent="0.25">
      <c r="A182" s="999">
        <v>42201</v>
      </c>
      <c r="B182" s="999" t="s">
        <v>1181</v>
      </c>
      <c r="C182" s="999" t="s">
        <v>1182</v>
      </c>
      <c r="D182" s="999" t="s">
        <v>935</v>
      </c>
      <c r="E182" s="999" t="s">
        <v>895</v>
      </c>
      <c r="F182" s="999">
        <v>2344298</v>
      </c>
      <c r="G182" s="1000">
        <v>12924148391</v>
      </c>
      <c r="H182" s="999" t="s">
        <v>1205</v>
      </c>
      <c r="I182" s="999" t="s">
        <v>897</v>
      </c>
      <c r="J182" s="1001">
        <v>42675</v>
      </c>
      <c r="K182" s="1001">
        <v>45835</v>
      </c>
      <c r="L182" s="1000">
        <f t="shared" si="26"/>
        <v>103</v>
      </c>
      <c r="M182" s="1002">
        <f t="shared" si="27"/>
        <v>8.5833333333333339</v>
      </c>
      <c r="N182" s="1000">
        <v>8</v>
      </c>
      <c r="O182" s="1000">
        <v>10</v>
      </c>
      <c r="P182" s="1000">
        <v>43</v>
      </c>
      <c r="Q182" s="999" t="s">
        <v>898</v>
      </c>
      <c r="R182" s="999" t="s">
        <v>899</v>
      </c>
      <c r="S182" s="999" t="s">
        <v>900</v>
      </c>
      <c r="T182" s="999" t="s">
        <v>1194</v>
      </c>
      <c r="U182" s="1000"/>
      <c r="V182" s="1000" t="s">
        <v>914</v>
      </c>
      <c r="W182" s="1003">
        <v>18311</v>
      </c>
      <c r="X182" s="1000" t="s">
        <v>930</v>
      </c>
      <c r="Y182" s="1000">
        <v>75</v>
      </c>
      <c r="Z182" s="1000" t="s">
        <v>904</v>
      </c>
      <c r="AA182" s="1000" t="s">
        <v>1185</v>
      </c>
      <c r="AB182" s="1000" t="s">
        <v>938</v>
      </c>
      <c r="AC182" s="1000" t="s">
        <v>907</v>
      </c>
      <c r="AD182" s="1004">
        <v>3813.57</v>
      </c>
      <c r="AE182" s="1004">
        <f t="shared" si="24"/>
        <v>32733.142500000005</v>
      </c>
      <c r="AF182" s="1004">
        <f t="shared" si="28"/>
        <v>32733.142500000005</v>
      </c>
      <c r="AG182" s="1005">
        <f t="shared" si="29"/>
        <v>8.5833333333333339</v>
      </c>
      <c r="AH182" s="1005">
        <f t="shared" si="25"/>
        <v>6.8001800119246232</v>
      </c>
    </row>
    <row r="183" spans="1:34" x14ac:dyDescent="0.25">
      <c r="A183" s="999">
        <v>42201</v>
      </c>
      <c r="B183" s="999" t="s">
        <v>1181</v>
      </c>
      <c r="C183" s="999" t="s">
        <v>1182</v>
      </c>
      <c r="D183" s="999" t="s">
        <v>935</v>
      </c>
      <c r="E183" s="999" t="s">
        <v>895</v>
      </c>
      <c r="F183" s="999">
        <v>2270120</v>
      </c>
      <c r="G183" s="1000">
        <v>10023909315</v>
      </c>
      <c r="H183" s="999" t="s">
        <v>1206</v>
      </c>
      <c r="I183" s="999" t="s">
        <v>897</v>
      </c>
      <c r="J183" s="1001">
        <v>42311</v>
      </c>
      <c r="K183" s="1001">
        <v>45835</v>
      </c>
      <c r="L183" s="1000">
        <f t="shared" si="26"/>
        <v>115</v>
      </c>
      <c r="M183" s="1002">
        <f t="shared" si="27"/>
        <v>9.5833333333333339</v>
      </c>
      <c r="N183" s="1000">
        <v>9</v>
      </c>
      <c r="O183" s="1000">
        <v>10</v>
      </c>
      <c r="P183" s="1000">
        <v>43</v>
      </c>
      <c r="Q183" s="999" t="s">
        <v>898</v>
      </c>
      <c r="R183" s="999" t="s">
        <v>899</v>
      </c>
      <c r="S183" s="999" t="s">
        <v>900</v>
      </c>
      <c r="T183" s="999" t="s">
        <v>1204</v>
      </c>
      <c r="U183" s="1000"/>
      <c r="V183" s="1000" t="s">
        <v>914</v>
      </c>
      <c r="W183" s="1003">
        <v>14478</v>
      </c>
      <c r="X183" s="1000" t="s">
        <v>903</v>
      </c>
      <c r="Y183" s="1000">
        <v>85</v>
      </c>
      <c r="Z183" s="1000" t="s">
        <v>904</v>
      </c>
      <c r="AA183" s="1000" t="s">
        <v>1185</v>
      </c>
      <c r="AB183" s="1000" t="s">
        <v>938</v>
      </c>
      <c r="AC183" s="1000" t="s">
        <v>907</v>
      </c>
      <c r="AD183" s="1004">
        <v>3813.57</v>
      </c>
      <c r="AE183" s="1004">
        <f t="shared" si="24"/>
        <v>36546.712500000001</v>
      </c>
      <c r="AF183" s="1004">
        <f t="shared" si="28"/>
        <v>36546.712500000001</v>
      </c>
      <c r="AG183" s="1005">
        <f t="shared" si="29"/>
        <v>9.5833333333333339</v>
      </c>
      <c r="AH183" s="1005">
        <f t="shared" si="25"/>
        <v>7.5924339938964227</v>
      </c>
    </row>
    <row r="184" spans="1:34" x14ac:dyDescent="0.25">
      <c r="A184" s="999">
        <v>42201</v>
      </c>
      <c r="B184" s="999" t="s">
        <v>1181</v>
      </c>
      <c r="C184" s="999" t="s">
        <v>1182</v>
      </c>
      <c r="D184" s="999" t="s">
        <v>935</v>
      </c>
      <c r="E184" s="999" t="s">
        <v>895</v>
      </c>
      <c r="F184" s="999">
        <v>1696879</v>
      </c>
      <c r="G184" s="1000">
        <v>4048792334</v>
      </c>
      <c r="H184" s="999" t="s">
        <v>1207</v>
      </c>
      <c r="I184" s="999" t="s">
        <v>897</v>
      </c>
      <c r="J184" s="1001">
        <v>39930</v>
      </c>
      <c r="K184" s="1001">
        <v>45835</v>
      </c>
      <c r="L184" s="1000">
        <f t="shared" si="26"/>
        <v>194</v>
      </c>
      <c r="M184" s="1002">
        <f t="shared" si="27"/>
        <v>16.166666666666668</v>
      </c>
      <c r="N184" s="1000">
        <v>16</v>
      </c>
      <c r="O184" s="1000">
        <v>16</v>
      </c>
      <c r="P184" s="1000">
        <v>43</v>
      </c>
      <c r="Q184" s="999" t="s">
        <v>898</v>
      </c>
      <c r="R184" s="999" t="s">
        <v>899</v>
      </c>
      <c r="S184" s="999" t="s">
        <v>900</v>
      </c>
      <c r="T184" s="999" t="s">
        <v>1188</v>
      </c>
      <c r="U184" s="1000"/>
      <c r="V184" s="1000" t="s">
        <v>914</v>
      </c>
      <c r="W184" s="1003">
        <v>17627</v>
      </c>
      <c r="X184" s="1000" t="s">
        <v>903</v>
      </c>
      <c r="Y184" s="1000">
        <v>77</v>
      </c>
      <c r="Z184" s="1000" t="s">
        <v>904</v>
      </c>
      <c r="AA184" s="1000" t="s">
        <v>1185</v>
      </c>
      <c r="AB184" s="1000" t="s">
        <v>938</v>
      </c>
      <c r="AC184" s="1000" t="s">
        <v>907</v>
      </c>
      <c r="AD184" s="1004">
        <v>3813.57</v>
      </c>
      <c r="AE184" s="1004">
        <f t="shared" si="24"/>
        <v>61652.715000000004</v>
      </c>
      <c r="AF184" s="1004">
        <f t="shared" si="28"/>
        <v>61652.715000000004</v>
      </c>
      <c r="AG184" s="1005">
        <f t="shared" si="29"/>
        <v>16.166666666666668</v>
      </c>
      <c r="AH184" s="1005">
        <f t="shared" si="25"/>
        <v>12.808106041877444</v>
      </c>
    </row>
    <row r="185" spans="1:34" x14ac:dyDescent="0.25">
      <c r="A185" s="999">
        <v>42201</v>
      </c>
      <c r="B185" s="999" t="s">
        <v>1181</v>
      </c>
      <c r="C185" s="999" t="s">
        <v>1182</v>
      </c>
      <c r="D185" s="999" t="s">
        <v>935</v>
      </c>
      <c r="E185" s="999" t="s">
        <v>895</v>
      </c>
      <c r="F185" s="999">
        <v>1696430</v>
      </c>
      <c r="G185" s="1000">
        <v>291706304</v>
      </c>
      <c r="H185" s="999" t="s">
        <v>1208</v>
      </c>
      <c r="I185" s="999" t="s">
        <v>897</v>
      </c>
      <c r="J185" s="1001">
        <v>39895</v>
      </c>
      <c r="K185" s="1001">
        <v>45835</v>
      </c>
      <c r="L185" s="1000">
        <f t="shared" si="26"/>
        <v>195</v>
      </c>
      <c r="M185" s="1002">
        <f t="shared" si="27"/>
        <v>16.25</v>
      </c>
      <c r="N185" s="1000">
        <v>16</v>
      </c>
      <c r="O185" s="1000">
        <v>16</v>
      </c>
      <c r="P185" s="1000">
        <v>43</v>
      </c>
      <c r="Q185" s="999" t="s">
        <v>898</v>
      </c>
      <c r="R185" s="999" t="s">
        <v>899</v>
      </c>
      <c r="S185" s="999" t="s">
        <v>900</v>
      </c>
      <c r="T185" s="999" t="s">
        <v>1202</v>
      </c>
      <c r="U185" s="1000" t="s">
        <v>54</v>
      </c>
      <c r="V185" s="1000" t="s">
        <v>914</v>
      </c>
      <c r="W185" s="1003">
        <v>16025</v>
      </c>
      <c r="X185" s="1000" t="s">
        <v>903</v>
      </c>
      <c r="Y185" s="1000">
        <v>81</v>
      </c>
      <c r="Z185" s="1000" t="s">
        <v>904</v>
      </c>
      <c r="AA185" s="1000" t="s">
        <v>1185</v>
      </c>
      <c r="AB185" s="1000" t="s">
        <v>925</v>
      </c>
      <c r="AC185" s="1000" t="s">
        <v>907</v>
      </c>
      <c r="AD185" s="1004">
        <v>10126.049999999999</v>
      </c>
      <c r="AE185" s="1004">
        <f t="shared" si="24"/>
        <v>164548.3125</v>
      </c>
      <c r="AF185" s="1004">
        <f t="shared" si="28"/>
        <v>164548.3125</v>
      </c>
      <c r="AG185" s="1005">
        <f t="shared" si="29"/>
        <v>16.25</v>
      </c>
      <c r="AH185" s="1005">
        <f t="shared" si="25"/>
        <v>14.789463691067361</v>
      </c>
    </row>
    <row r="186" spans="1:34" x14ac:dyDescent="0.25">
      <c r="A186" s="999">
        <v>57202</v>
      </c>
      <c r="B186" s="999" t="s">
        <v>1209</v>
      </c>
      <c r="C186" s="999" t="s">
        <v>1210</v>
      </c>
      <c r="D186" s="999" t="s">
        <v>1211</v>
      </c>
      <c r="E186" s="999" t="s">
        <v>895</v>
      </c>
      <c r="F186" s="999">
        <v>1836334</v>
      </c>
      <c r="G186" s="1000">
        <v>96879548172</v>
      </c>
      <c r="H186" s="999" t="s">
        <v>1212</v>
      </c>
      <c r="I186" s="999" t="s">
        <v>920</v>
      </c>
      <c r="J186" s="1001">
        <v>40544</v>
      </c>
      <c r="K186" s="1001">
        <v>45835</v>
      </c>
      <c r="L186" s="1000">
        <f t="shared" si="26"/>
        <v>173</v>
      </c>
      <c r="M186" s="1002">
        <f t="shared" si="27"/>
        <v>14.416666666666666</v>
      </c>
      <c r="N186" s="1000">
        <v>14</v>
      </c>
      <c r="O186" s="1000">
        <v>14</v>
      </c>
      <c r="P186" s="1000">
        <v>43</v>
      </c>
      <c r="Q186" s="999" t="s">
        <v>898</v>
      </c>
      <c r="R186" s="999" t="s">
        <v>899</v>
      </c>
      <c r="S186" s="999" t="s">
        <v>900</v>
      </c>
      <c r="T186" s="999" t="s">
        <v>1213</v>
      </c>
      <c r="U186" s="1000" t="s">
        <v>55</v>
      </c>
      <c r="V186" s="1000" t="s">
        <v>902</v>
      </c>
      <c r="W186" s="1003">
        <v>15755</v>
      </c>
      <c r="X186" s="1000" t="s">
        <v>930</v>
      </c>
      <c r="Y186" s="1000">
        <v>82</v>
      </c>
      <c r="Z186" s="1000" t="s">
        <v>904</v>
      </c>
      <c r="AA186" s="1000" t="s">
        <v>905</v>
      </c>
      <c r="AB186" s="1000" t="s">
        <v>911</v>
      </c>
      <c r="AC186" s="1000" t="s">
        <v>907</v>
      </c>
      <c r="AD186" s="1004">
        <v>5333.97</v>
      </c>
      <c r="AE186" s="1004">
        <f t="shared" si="24"/>
        <v>76898.067500000005</v>
      </c>
      <c r="AF186" s="1004">
        <f t="shared" si="28"/>
        <v>76898.067500000005</v>
      </c>
      <c r="AG186" s="1005">
        <f t="shared" si="29"/>
        <v>14.416666666666666</v>
      </c>
      <c r="AH186" s="1005">
        <f t="shared" si="25"/>
        <v>12.140579683831783</v>
      </c>
    </row>
    <row r="187" spans="1:34" x14ac:dyDescent="0.25">
      <c r="A187" s="999">
        <v>13300</v>
      </c>
      <c r="B187" s="999" t="s">
        <v>1214</v>
      </c>
      <c r="C187" s="999" t="s">
        <v>421</v>
      </c>
      <c r="D187" s="999" t="s">
        <v>894</v>
      </c>
      <c r="E187" s="999" t="s">
        <v>895</v>
      </c>
      <c r="F187" s="999">
        <v>1687684</v>
      </c>
      <c r="G187" s="1000">
        <v>773832300</v>
      </c>
      <c r="H187" s="999" t="s">
        <v>1215</v>
      </c>
      <c r="I187" s="999" t="s">
        <v>897</v>
      </c>
      <c r="J187" s="1001">
        <v>39884</v>
      </c>
      <c r="K187" s="1001">
        <v>45835</v>
      </c>
      <c r="L187" s="1000">
        <f t="shared" si="26"/>
        <v>195</v>
      </c>
      <c r="M187" s="1002">
        <f t="shared" si="27"/>
        <v>16.25</v>
      </c>
      <c r="N187" s="1000">
        <v>16</v>
      </c>
      <c r="O187" s="1000">
        <v>16</v>
      </c>
      <c r="P187" s="1000">
        <v>43</v>
      </c>
      <c r="Q187" s="999" t="s">
        <v>898</v>
      </c>
      <c r="R187" s="999" t="s">
        <v>899</v>
      </c>
      <c r="S187" s="999" t="s">
        <v>900</v>
      </c>
      <c r="T187" s="999" t="s">
        <v>1216</v>
      </c>
      <c r="U187" s="1000" t="s">
        <v>54</v>
      </c>
      <c r="V187" s="1000" t="s">
        <v>914</v>
      </c>
      <c r="W187" s="1003">
        <v>14075</v>
      </c>
      <c r="X187" s="1000" t="s">
        <v>903</v>
      </c>
      <c r="Y187" s="1000">
        <v>86</v>
      </c>
      <c r="Z187" s="1000" t="s">
        <v>904</v>
      </c>
      <c r="AA187" s="1000" t="s">
        <v>1217</v>
      </c>
      <c r="AB187" s="1000" t="s">
        <v>925</v>
      </c>
      <c r="AC187" s="1000" t="s">
        <v>907</v>
      </c>
      <c r="AD187" s="1004">
        <v>11082.47</v>
      </c>
      <c r="AE187" s="1004">
        <f t="shared" si="24"/>
        <v>180090.13749999998</v>
      </c>
      <c r="AF187" s="1004">
        <f t="shared" si="28"/>
        <v>180090.13749999998</v>
      </c>
      <c r="AG187" s="1005">
        <f t="shared" si="29"/>
        <v>16.25</v>
      </c>
      <c r="AH187" s="1005">
        <f t="shared" si="25"/>
        <v>14.905076321315095</v>
      </c>
    </row>
    <row r="188" spans="1:34" x14ac:dyDescent="0.25">
      <c r="A188" s="999">
        <v>13300</v>
      </c>
      <c r="B188" s="999" t="s">
        <v>1214</v>
      </c>
      <c r="C188" s="999" t="s">
        <v>421</v>
      </c>
      <c r="D188" s="999" t="s">
        <v>894</v>
      </c>
      <c r="E188" s="999" t="s">
        <v>895</v>
      </c>
      <c r="F188" s="999">
        <v>1671441</v>
      </c>
      <c r="G188" s="1000">
        <v>10929320468</v>
      </c>
      <c r="H188" s="999" t="s">
        <v>1218</v>
      </c>
      <c r="I188" s="999" t="s">
        <v>897</v>
      </c>
      <c r="J188" s="1001">
        <v>39815</v>
      </c>
      <c r="K188" s="1001">
        <v>45835</v>
      </c>
      <c r="L188" s="1000">
        <f t="shared" si="26"/>
        <v>197</v>
      </c>
      <c r="M188" s="1002">
        <f t="shared" si="27"/>
        <v>16.416666666666668</v>
      </c>
      <c r="N188" s="1000">
        <v>16</v>
      </c>
      <c r="O188" s="1000">
        <v>16</v>
      </c>
      <c r="P188" s="1000">
        <v>43</v>
      </c>
      <c r="Q188" s="999" t="s">
        <v>898</v>
      </c>
      <c r="R188" s="999" t="s">
        <v>899</v>
      </c>
      <c r="S188" s="999" t="s">
        <v>900</v>
      </c>
      <c r="T188" s="999" t="s">
        <v>924</v>
      </c>
      <c r="U188" s="1000" t="s">
        <v>55</v>
      </c>
      <c r="V188" s="1000" t="s">
        <v>914</v>
      </c>
      <c r="W188" s="1003">
        <v>17229</v>
      </c>
      <c r="X188" s="1000" t="s">
        <v>903</v>
      </c>
      <c r="Y188" s="1000">
        <v>78</v>
      </c>
      <c r="Z188" s="1000" t="s">
        <v>904</v>
      </c>
      <c r="AA188" s="1000" t="s">
        <v>1217</v>
      </c>
      <c r="AB188" s="1000" t="s">
        <v>911</v>
      </c>
      <c r="AC188" s="1000" t="s">
        <v>907</v>
      </c>
      <c r="AD188" s="1004">
        <v>8701.2999999999993</v>
      </c>
      <c r="AE188" s="1004">
        <f t="shared" si="24"/>
        <v>142846.34166666667</v>
      </c>
      <c r="AF188" s="1004">
        <f t="shared" si="28"/>
        <v>142846.34166666667</v>
      </c>
      <c r="AG188" s="1005">
        <f t="shared" si="29"/>
        <v>16.416666666666668</v>
      </c>
      <c r="AH188" s="1005">
        <f t="shared" si="25"/>
        <v>14.724453595566231</v>
      </c>
    </row>
    <row r="189" spans="1:34" x14ac:dyDescent="0.25">
      <c r="A189" s="999">
        <v>13300</v>
      </c>
      <c r="B189" s="999" t="s">
        <v>1214</v>
      </c>
      <c r="C189" s="999" t="s">
        <v>421</v>
      </c>
      <c r="D189" s="999" t="s">
        <v>894</v>
      </c>
      <c r="E189" s="999" t="s">
        <v>895</v>
      </c>
      <c r="F189" s="999">
        <v>1670693</v>
      </c>
      <c r="G189" s="1000">
        <v>3654613268</v>
      </c>
      <c r="H189" s="999" t="s">
        <v>1219</v>
      </c>
      <c r="I189" s="999" t="s">
        <v>897</v>
      </c>
      <c r="J189" s="1001">
        <v>39833</v>
      </c>
      <c r="K189" s="1001">
        <v>45835</v>
      </c>
      <c r="L189" s="1000">
        <f t="shared" si="26"/>
        <v>197</v>
      </c>
      <c r="M189" s="1002">
        <f t="shared" si="27"/>
        <v>16.416666666666668</v>
      </c>
      <c r="N189" s="1000">
        <v>16</v>
      </c>
      <c r="O189" s="1000">
        <v>16</v>
      </c>
      <c r="P189" s="1000">
        <v>43</v>
      </c>
      <c r="Q189" s="999" t="s">
        <v>898</v>
      </c>
      <c r="R189" s="999" t="s">
        <v>899</v>
      </c>
      <c r="S189" s="999" t="s">
        <v>900</v>
      </c>
      <c r="T189" s="999" t="s">
        <v>1216</v>
      </c>
      <c r="U189" s="1000" t="s">
        <v>54</v>
      </c>
      <c r="V189" s="1000" t="s">
        <v>914</v>
      </c>
      <c r="W189" s="1003">
        <v>17740</v>
      </c>
      <c r="X189" s="1000" t="s">
        <v>903</v>
      </c>
      <c r="Y189" s="1000">
        <v>76</v>
      </c>
      <c r="Z189" s="1000" t="s">
        <v>904</v>
      </c>
      <c r="AA189" s="1000" t="s">
        <v>1220</v>
      </c>
      <c r="AB189" s="1000" t="s">
        <v>925</v>
      </c>
      <c r="AC189" s="1000" t="s">
        <v>907</v>
      </c>
      <c r="AD189" s="1004">
        <v>11064.1</v>
      </c>
      <c r="AE189" s="1004">
        <f t="shared" si="24"/>
        <v>181635.64166666669</v>
      </c>
      <c r="AF189" s="1004">
        <f t="shared" si="28"/>
        <v>181635.64166666669</v>
      </c>
      <c r="AG189" s="1005">
        <f t="shared" si="29"/>
        <v>16.416666666666668</v>
      </c>
      <c r="AH189" s="1005">
        <f t="shared" si="25"/>
        <v>15.055879979995746</v>
      </c>
    </row>
    <row r="190" spans="1:34" x14ac:dyDescent="0.25">
      <c r="A190" s="999">
        <v>40100</v>
      </c>
      <c r="B190" s="999" t="s">
        <v>1221</v>
      </c>
      <c r="C190" s="999" t="s">
        <v>1222</v>
      </c>
      <c r="D190" s="999" t="s">
        <v>894</v>
      </c>
      <c r="E190" s="999" t="s">
        <v>895</v>
      </c>
      <c r="F190" s="999">
        <v>1958117</v>
      </c>
      <c r="G190" s="1000">
        <v>2872986391</v>
      </c>
      <c r="H190" s="999" t="s">
        <v>1223</v>
      </c>
      <c r="I190" s="999" t="s">
        <v>897</v>
      </c>
      <c r="J190" s="1001">
        <v>41108</v>
      </c>
      <c r="K190" s="1001">
        <v>45835</v>
      </c>
      <c r="L190" s="1000">
        <f t="shared" si="26"/>
        <v>155</v>
      </c>
      <c r="M190" s="1002">
        <f t="shared" si="27"/>
        <v>12.916666666666666</v>
      </c>
      <c r="N190" s="1000">
        <v>12</v>
      </c>
      <c r="O190" s="1000">
        <v>12</v>
      </c>
      <c r="P190" s="1000">
        <v>43</v>
      </c>
      <c r="Q190" s="999" t="s">
        <v>898</v>
      </c>
      <c r="R190" s="999" t="s">
        <v>899</v>
      </c>
      <c r="S190" s="999" t="s">
        <v>900</v>
      </c>
      <c r="T190" s="999" t="s">
        <v>1224</v>
      </c>
      <c r="U190" s="1000" t="s">
        <v>54</v>
      </c>
      <c r="V190" s="1000" t="s">
        <v>914</v>
      </c>
      <c r="W190" s="1003">
        <v>17438</v>
      </c>
      <c r="X190" s="1000" t="s">
        <v>903</v>
      </c>
      <c r="Y190" s="1000">
        <v>77</v>
      </c>
      <c r="Z190" s="1000" t="s">
        <v>904</v>
      </c>
      <c r="AA190" s="1000" t="s">
        <v>905</v>
      </c>
      <c r="AB190" s="1000" t="s">
        <v>925</v>
      </c>
      <c r="AC190" s="1000" t="s">
        <v>907</v>
      </c>
      <c r="AD190" s="1004">
        <v>10126.049999999999</v>
      </c>
      <c r="AE190" s="1004">
        <f t="shared" si="24"/>
        <v>130794.81249999999</v>
      </c>
      <c r="AF190" s="1004">
        <f t="shared" si="28"/>
        <v>130794.81249999999</v>
      </c>
      <c r="AG190" s="1005">
        <f t="shared" si="29"/>
        <v>12.916666666666666</v>
      </c>
      <c r="AH190" s="1005">
        <f t="shared" si="25"/>
        <v>11.755727549309952</v>
      </c>
    </row>
    <row r="191" spans="1:34" x14ac:dyDescent="0.25">
      <c r="A191" s="999">
        <v>13300</v>
      </c>
      <c r="B191" s="999" t="s">
        <v>1214</v>
      </c>
      <c r="C191" s="999" t="s">
        <v>421</v>
      </c>
      <c r="D191" s="999" t="s">
        <v>894</v>
      </c>
      <c r="E191" s="999" t="s">
        <v>895</v>
      </c>
      <c r="F191" s="999">
        <v>1669250</v>
      </c>
      <c r="G191" s="1000">
        <v>4421396400</v>
      </c>
      <c r="H191" s="999" t="s">
        <v>1225</v>
      </c>
      <c r="I191" s="999" t="s">
        <v>897</v>
      </c>
      <c r="J191" s="1001">
        <v>39815</v>
      </c>
      <c r="K191" s="1001">
        <v>45835</v>
      </c>
      <c r="L191" s="1000">
        <f t="shared" si="26"/>
        <v>197</v>
      </c>
      <c r="M191" s="1002">
        <f t="shared" si="27"/>
        <v>16.416666666666668</v>
      </c>
      <c r="N191" s="1000">
        <v>16</v>
      </c>
      <c r="O191" s="1000">
        <v>16</v>
      </c>
      <c r="P191" s="1000">
        <v>43</v>
      </c>
      <c r="Q191" s="999" t="s">
        <v>898</v>
      </c>
      <c r="R191" s="999" t="s">
        <v>899</v>
      </c>
      <c r="S191" s="999" t="s">
        <v>900</v>
      </c>
      <c r="T191" s="999" t="s">
        <v>1216</v>
      </c>
      <c r="U191" s="1000" t="s">
        <v>54</v>
      </c>
      <c r="V191" s="1000" t="s">
        <v>914</v>
      </c>
      <c r="W191" s="1003">
        <v>17185</v>
      </c>
      <c r="X191" s="1000" t="s">
        <v>930</v>
      </c>
      <c r="Y191" s="1000">
        <v>78</v>
      </c>
      <c r="Z191" s="1000" t="s">
        <v>904</v>
      </c>
      <c r="AA191" s="1000" t="s">
        <v>1226</v>
      </c>
      <c r="AB191" s="1000" t="s">
        <v>925</v>
      </c>
      <c r="AC191" s="1000" t="s">
        <v>907</v>
      </c>
      <c r="AD191" s="1004">
        <v>10126.049999999999</v>
      </c>
      <c r="AE191" s="1004">
        <f t="shared" si="24"/>
        <v>166235.98749999999</v>
      </c>
      <c r="AF191" s="1004">
        <f t="shared" si="28"/>
        <v>166235.98749999999</v>
      </c>
      <c r="AG191" s="1005">
        <f t="shared" si="29"/>
        <v>16.416666666666668</v>
      </c>
      <c r="AH191" s="1005">
        <f t="shared" si="25"/>
        <v>14.941150498155229</v>
      </c>
    </row>
    <row r="192" spans="1:34" x14ac:dyDescent="0.25">
      <c r="A192" s="999">
        <v>13300</v>
      </c>
      <c r="B192" s="999" t="s">
        <v>1214</v>
      </c>
      <c r="C192" s="999" t="s">
        <v>421</v>
      </c>
      <c r="D192" s="999" t="s">
        <v>894</v>
      </c>
      <c r="E192" s="999" t="s">
        <v>895</v>
      </c>
      <c r="F192" s="999">
        <v>1670622</v>
      </c>
      <c r="G192" s="1000">
        <v>4245598115</v>
      </c>
      <c r="H192" s="999" t="s">
        <v>1227</v>
      </c>
      <c r="I192" s="999" t="s">
        <v>897</v>
      </c>
      <c r="J192" s="1001">
        <v>39832</v>
      </c>
      <c r="K192" s="1001">
        <v>45835</v>
      </c>
      <c r="L192" s="1000">
        <f t="shared" si="26"/>
        <v>197</v>
      </c>
      <c r="M192" s="1002">
        <f t="shared" si="27"/>
        <v>16.416666666666668</v>
      </c>
      <c r="N192" s="1000">
        <v>16</v>
      </c>
      <c r="O192" s="1000">
        <v>16</v>
      </c>
      <c r="P192" s="1000">
        <v>43</v>
      </c>
      <c r="Q192" s="999" t="s">
        <v>898</v>
      </c>
      <c r="R192" s="999" t="s">
        <v>899</v>
      </c>
      <c r="S192" s="999" t="s">
        <v>900</v>
      </c>
      <c r="T192" s="999" t="s">
        <v>924</v>
      </c>
      <c r="U192" s="1000" t="s">
        <v>55</v>
      </c>
      <c r="V192" s="1000" t="s">
        <v>914</v>
      </c>
      <c r="W192" s="1003">
        <v>17898</v>
      </c>
      <c r="X192" s="1000" t="s">
        <v>903</v>
      </c>
      <c r="Y192" s="1000">
        <v>76</v>
      </c>
      <c r="Z192" s="1000" t="s">
        <v>904</v>
      </c>
      <c r="AA192" s="1000" t="s">
        <v>905</v>
      </c>
      <c r="AB192" s="1000" t="s">
        <v>911</v>
      </c>
      <c r="AC192" s="1000" t="s">
        <v>907</v>
      </c>
      <c r="AD192" s="1004">
        <v>14996.91</v>
      </c>
      <c r="AE192" s="1004">
        <f t="shared" si="24"/>
        <v>246199.27250000002</v>
      </c>
      <c r="AF192" s="1004">
        <f t="shared" si="28"/>
        <v>246199.27250000002</v>
      </c>
      <c r="AG192" s="1005">
        <f t="shared" si="29"/>
        <v>16.416666666666668</v>
      </c>
      <c r="AH192" s="1005">
        <f t="shared" si="25"/>
        <v>15.390426807427186</v>
      </c>
    </row>
    <row r="193" spans="1:34" x14ac:dyDescent="0.25">
      <c r="A193" s="999">
        <v>13300</v>
      </c>
      <c r="B193" s="999" t="s">
        <v>1214</v>
      </c>
      <c r="C193" s="999" t="s">
        <v>421</v>
      </c>
      <c r="D193" s="999" t="s">
        <v>894</v>
      </c>
      <c r="E193" s="999" t="s">
        <v>895</v>
      </c>
      <c r="F193" s="999">
        <v>1702696</v>
      </c>
      <c r="G193" s="1000">
        <v>325732191</v>
      </c>
      <c r="H193" s="999" t="s">
        <v>1228</v>
      </c>
      <c r="I193" s="999" t="s">
        <v>897</v>
      </c>
      <c r="J193" s="1001">
        <v>39954</v>
      </c>
      <c r="K193" s="1001">
        <v>45835</v>
      </c>
      <c r="L193" s="1000">
        <f t="shared" si="26"/>
        <v>193</v>
      </c>
      <c r="M193" s="1002">
        <f t="shared" si="27"/>
        <v>16.083333333333332</v>
      </c>
      <c r="N193" s="1000">
        <v>16</v>
      </c>
      <c r="O193" s="1000">
        <v>16</v>
      </c>
      <c r="P193" s="1000">
        <v>43</v>
      </c>
      <c r="Q193" s="999" t="s">
        <v>898</v>
      </c>
      <c r="R193" s="999" t="s">
        <v>899</v>
      </c>
      <c r="S193" s="999" t="s">
        <v>900</v>
      </c>
      <c r="T193" s="999" t="s">
        <v>924</v>
      </c>
      <c r="U193" s="1000" t="s">
        <v>55</v>
      </c>
      <c r="V193" s="1000" t="s">
        <v>910</v>
      </c>
      <c r="W193" s="1003">
        <v>15428</v>
      </c>
      <c r="X193" s="1000" t="s">
        <v>903</v>
      </c>
      <c r="Y193" s="1000">
        <v>83</v>
      </c>
      <c r="Z193" s="1000" t="s">
        <v>904</v>
      </c>
      <c r="AA193" s="1000" t="s">
        <v>905</v>
      </c>
      <c r="AB193" s="1000" t="s">
        <v>911</v>
      </c>
      <c r="AC193" s="1000" t="s">
        <v>907</v>
      </c>
      <c r="AD193" s="1004">
        <v>6648.08</v>
      </c>
      <c r="AE193" s="1004">
        <f t="shared" si="24"/>
        <v>106923.28666666665</v>
      </c>
      <c r="AF193" s="1004">
        <f t="shared" si="28"/>
        <v>106923.28666666665</v>
      </c>
      <c r="AG193" s="1005">
        <f t="shared" si="29"/>
        <v>16.083333333333332</v>
      </c>
      <c r="AH193" s="1005">
        <f t="shared" si="25"/>
        <v>13.980409026404882</v>
      </c>
    </row>
    <row r="194" spans="1:34" x14ac:dyDescent="0.25">
      <c r="A194" s="999">
        <v>13300</v>
      </c>
      <c r="B194" s="999" t="s">
        <v>1214</v>
      </c>
      <c r="C194" s="999" t="s">
        <v>421</v>
      </c>
      <c r="D194" s="999" t="s">
        <v>894</v>
      </c>
      <c r="E194" s="999" t="s">
        <v>895</v>
      </c>
      <c r="F194" s="999">
        <v>1670847</v>
      </c>
      <c r="G194" s="1000">
        <v>14586282134</v>
      </c>
      <c r="H194" s="999" t="s">
        <v>1229</v>
      </c>
      <c r="I194" s="999" t="s">
        <v>920</v>
      </c>
      <c r="J194" s="1001">
        <v>39825</v>
      </c>
      <c r="K194" s="1001">
        <v>45835</v>
      </c>
      <c r="L194" s="1000">
        <f t="shared" si="26"/>
        <v>197</v>
      </c>
      <c r="M194" s="1002">
        <f t="shared" si="27"/>
        <v>16.416666666666668</v>
      </c>
      <c r="N194" s="1000">
        <v>16</v>
      </c>
      <c r="O194" s="1000">
        <v>16</v>
      </c>
      <c r="P194" s="1000">
        <v>43</v>
      </c>
      <c r="Q194" s="999" t="s">
        <v>898</v>
      </c>
      <c r="R194" s="999" t="s">
        <v>899</v>
      </c>
      <c r="S194" s="999" t="s">
        <v>900</v>
      </c>
      <c r="T194" s="999" t="s">
        <v>1009</v>
      </c>
      <c r="U194" s="1000"/>
      <c r="V194" s="1000" t="s">
        <v>914</v>
      </c>
      <c r="W194" s="1003">
        <v>18021</v>
      </c>
      <c r="X194" s="1000" t="s">
        <v>903</v>
      </c>
      <c r="Y194" s="1000">
        <v>75</v>
      </c>
      <c r="Z194" s="1000" t="s">
        <v>904</v>
      </c>
      <c r="AA194" s="1000" t="s">
        <v>905</v>
      </c>
      <c r="AB194" s="1000" t="s">
        <v>938</v>
      </c>
      <c r="AC194" s="1000" t="s">
        <v>907</v>
      </c>
      <c r="AD194" s="1004">
        <v>3813.57</v>
      </c>
      <c r="AE194" s="1004">
        <f t="shared" si="24"/>
        <v>62606.107500000006</v>
      </c>
      <c r="AF194" s="1004">
        <f t="shared" si="28"/>
        <v>62606.107500000006</v>
      </c>
      <c r="AG194" s="1005">
        <f t="shared" si="29"/>
        <v>16.416666666666668</v>
      </c>
      <c r="AH194" s="1005">
        <f t="shared" si="25"/>
        <v>13.006169537370395</v>
      </c>
    </row>
    <row r="195" spans="1:34" x14ac:dyDescent="0.25">
      <c r="A195" s="999">
        <v>13300</v>
      </c>
      <c r="B195" s="999" t="s">
        <v>1214</v>
      </c>
      <c r="C195" s="999" t="s">
        <v>421</v>
      </c>
      <c r="D195" s="999" t="s">
        <v>894</v>
      </c>
      <c r="E195" s="999" t="s">
        <v>895</v>
      </c>
      <c r="F195" s="999">
        <v>1673167</v>
      </c>
      <c r="G195" s="1000">
        <v>4071514787</v>
      </c>
      <c r="H195" s="999" t="s">
        <v>1230</v>
      </c>
      <c r="I195" s="999" t="s">
        <v>897</v>
      </c>
      <c r="J195" s="1001">
        <v>39821</v>
      </c>
      <c r="K195" s="1001">
        <v>45835</v>
      </c>
      <c r="L195" s="1000">
        <f t="shared" si="26"/>
        <v>197</v>
      </c>
      <c r="M195" s="1002">
        <f t="shared" si="27"/>
        <v>16.416666666666668</v>
      </c>
      <c r="N195" s="1000">
        <v>16</v>
      </c>
      <c r="O195" s="1000">
        <v>16</v>
      </c>
      <c r="P195" s="1000">
        <v>43</v>
      </c>
      <c r="Q195" s="999" t="s">
        <v>898</v>
      </c>
      <c r="R195" s="999" t="s">
        <v>899</v>
      </c>
      <c r="S195" s="999" t="s">
        <v>900</v>
      </c>
      <c r="T195" s="999" t="s">
        <v>924</v>
      </c>
      <c r="U195" s="1000" t="s">
        <v>55</v>
      </c>
      <c r="V195" s="1000" t="s">
        <v>914</v>
      </c>
      <c r="W195" s="1003">
        <v>14836</v>
      </c>
      <c r="X195" s="1000" t="s">
        <v>903</v>
      </c>
      <c r="Y195" s="1000">
        <v>84</v>
      </c>
      <c r="Z195" s="1000" t="s">
        <v>904</v>
      </c>
      <c r="AA195" s="1000" t="s">
        <v>1174</v>
      </c>
      <c r="AB195" s="1000" t="s">
        <v>911</v>
      </c>
      <c r="AC195" s="1000" t="s">
        <v>907</v>
      </c>
      <c r="AD195" s="1004">
        <v>13592.96</v>
      </c>
      <c r="AE195" s="1004">
        <f t="shared" si="24"/>
        <v>223151.09333333332</v>
      </c>
      <c r="AF195" s="1004">
        <f t="shared" si="28"/>
        <v>223151.09333333332</v>
      </c>
      <c r="AG195" s="1005">
        <f t="shared" si="29"/>
        <v>16.416666666666668</v>
      </c>
      <c r="AH195" s="1005">
        <f t="shared" si="25"/>
        <v>15.291694990826628</v>
      </c>
    </row>
    <row r="196" spans="1:34" x14ac:dyDescent="0.25">
      <c r="A196" s="999">
        <v>13300</v>
      </c>
      <c r="B196" s="999" t="s">
        <v>1214</v>
      </c>
      <c r="C196" s="999" t="s">
        <v>421</v>
      </c>
      <c r="D196" s="999" t="s">
        <v>894</v>
      </c>
      <c r="E196" s="999" t="s">
        <v>895</v>
      </c>
      <c r="F196" s="999">
        <v>1453794</v>
      </c>
      <c r="G196" s="1000">
        <v>1636120482</v>
      </c>
      <c r="H196" s="999" t="s">
        <v>1231</v>
      </c>
      <c r="I196" s="999" t="s">
        <v>1232</v>
      </c>
      <c r="J196" s="1001">
        <v>37838</v>
      </c>
      <c r="K196" s="1001">
        <v>45835</v>
      </c>
      <c r="L196" s="1000">
        <f t="shared" si="26"/>
        <v>262</v>
      </c>
      <c r="M196" s="1002">
        <f t="shared" si="27"/>
        <v>21.833333333333332</v>
      </c>
      <c r="N196" s="1000">
        <v>21</v>
      </c>
      <c r="O196" s="1000">
        <v>21</v>
      </c>
      <c r="P196" s="1000">
        <v>43</v>
      </c>
      <c r="Q196" s="999" t="s">
        <v>898</v>
      </c>
      <c r="R196" s="999" t="s">
        <v>899</v>
      </c>
      <c r="S196" s="999" t="s">
        <v>900</v>
      </c>
      <c r="T196" s="999" t="s">
        <v>924</v>
      </c>
      <c r="U196" s="1000" t="s">
        <v>55</v>
      </c>
      <c r="V196" s="1000" t="s">
        <v>914</v>
      </c>
      <c r="W196" s="1003">
        <v>15535</v>
      </c>
      <c r="X196" s="1000" t="s">
        <v>903</v>
      </c>
      <c r="Y196" s="1000">
        <v>82</v>
      </c>
      <c r="Z196" s="1000" t="s">
        <v>904</v>
      </c>
      <c r="AA196" s="1000" t="s">
        <v>1226</v>
      </c>
      <c r="AB196" s="1000" t="s">
        <v>911</v>
      </c>
      <c r="AC196" s="1000" t="s">
        <v>907</v>
      </c>
      <c r="AD196" s="1004">
        <v>6336.51</v>
      </c>
      <c r="AE196" s="1004">
        <f t="shared" si="24"/>
        <v>138347.13500000001</v>
      </c>
      <c r="AF196" s="1004">
        <f t="shared" si="28"/>
        <v>138347.13500000001</v>
      </c>
      <c r="AG196" s="1005">
        <f t="shared" si="29"/>
        <v>21.833333333333336</v>
      </c>
      <c r="AH196" s="1005">
        <f t="shared" si="25"/>
        <v>18.857349748040964</v>
      </c>
    </row>
    <row r="197" spans="1:34" x14ac:dyDescent="0.25">
      <c r="A197" s="999">
        <v>13300</v>
      </c>
      <c r="B197" s="999" t="s">
        <v>1214</v>
      </c>
      <c r="C197" s="999" t="s">
        <v>421</v>
      </c>
      <c r="D197" s="999" t="s">
        <v>894</v>
      </c>
      <c r="E197" s="999" t="s">
        <v>895</v>
      </c>
      <c r="F197" s="999">
        <v>744779</v>
      </c>
      <c r="G197" s="1000">
        <v>10164197168</v>
      </c>
      <c r="H197" s="999" t="s">
        <v>1233</v>
      </c>
      <c r="I197" s="999" t="s">
        <v>897</v>
      </c>
      <c r="J197" s="1001">
        <v>39804</v>
      </c>
      <c r="K197" s="1001">
        <v>45835</v>
      </c>
      <c r="L197" s="1000">
        <f t="shared" si="26"/>
        <v>198</v>
      </c>
      <c r="M197" s="1002">
        <f t="shared" si="27"/>
        <v>16.5</v>
      </c>
      <c r="N197" s="1000">
        <v>16</v>
      </c>
      <c r="O197" s="1000">
        <v>16</v>
      </c>
      <c r="P197" s="1000">
        <v>43</v>
      </c>
      <c r="Q197" s="999" t="s">
        <v>898</v>
      </c>
      <c r="R197" s="999" t="s">
        <v>899</v>
      </c>
      <c r="S197" s="999" t="s">
        <v>900</v>
      </c>
      <c r="T197" s="999" t="s">
        <v>1184</v>
      </c>
      <c r="U197" s="1000" t="s">
        <v>54</v>
      </c>
      <c r="V197" s="1000" t="s">
        <v>910</v>
      </c>
      <c r="W197" s="1003">
        <v>16339</v>
      </c>
      <c r="X197" s="1000" t="s">
        <v>930</v>
      </c>
      <c r="Y197" s="1000">
        <v>80</v>
      </c>
      <c r="Z197" s="1000" t="s">
        <v>904</v>
      </c>
      <c r="AA197" s="1000" t="s">
        <v>1234</v>
      </c>
      <c r="AB197" s="1000" t="s">
        <v>925</v>
      </c>
      <c r="AC197" s="1000" t="s">
        <v>907</v>
      </c>
      <c r="AD197" s="1004">
        <v>10126.049999999999</v>
      </c>
      <c r="AE197" s="1004">
        <f t="shared" si="24"/>
        <v>167079.82499999998</v>
      </c>
      <c r="AF197" s="1004">
        <f t="shared" si="28"/>
        <v>167079.82499999998</v>
      </c>
      <c r="AG197" s="1005">
        <f t="shared" si="29"/>
        <v>16.5</v>
      </c>
      <c r="AH197" s="1005">
        <f t="shared" si="25"/>
        <v>15.016993901699164</v>
      </c>
    </row>
    <row r="198" spans="1:34" x14ac:dyDescent="0.25">
      <c r="A198" s="999">
        <v>13300</v>
      </c>
      <c r="B198" s="999" t="s">
        <v>1214</v>
      </c>
      <c r="C198" s="999" t="s">
        <v>421</v>
      </c>
      <c r="D198" s="999" t="s">
        <v>894</v>
      </c>
      <c r="E198" s="999" t="s">
        <v>895</v>
      </c>
      <c r="F198" s="999">
        <v>1972055</v>
      </c>
      <c r="G198" s="1000">
        <v>36493538815</v>
      </c>
      <c r="H198" s="999" t="s">
        <v>1235</v>
      </c>
      <c r="I198" s="999" t="s">
        <v>897</v>
      </c>
      <c r="J198" s="1001">
        <v>41190</v>
      </c>
      <c r="K198" s="1001">
        <v>45835</v>
      </c>
      <c r="L198" s="1000">
        <f t="shared" si="26"/>
        <v>152</v>
      </c>
      <c r="M198" s="1002">
        <f t="shared" si="27"/>
        <v>12.666666666666666</v>
      </c>
      <c r="N198" s="1000">
        <v>12</v>
      </c>
      <c r="O198" s="1000">
        <v>12</v>
      </c>
      <c r="P198" s="1000">
        <v>43</v>
      </c>
      <c r="Q198" s="999" t="s">
        <v>898</v>
      </c>
      <c r="R198" s="999" t="s">
        <v>899</v>
      </c>
      <c r="S198" s="999" t="s">
        <v>900</v>
      </c>
      <c r="T198" s="999" t="s">
        <v>924</v>
      </c>
      <c r="U198" s="1000" t="s">
        <v>55</v>
      </c>
      <c r="V198" s="1000" t="s">
        <v>914</v>
      </c>
      <c r="W198" s="1003">
        <v>17889</v>
      </c>
      <c r="X198" s="1000" t="s">
        <v>903</v>
      </c>
      <c r="Y198" s="1000">
        <v>76</v>
      </c>
      <c r="Z198" s="1000" t="s">
        <v>904</v>
      </c>
      <c r="AA198" s="1000" t="s">
        <v>603</v>
      </c>
      <c r="AB198" s="1000" t="s">
        <v>911</v>
      </c>
      <c r="AC198" s="1000" t="s">
        <v>907</v>
      </c>
      <c r="AD198" s="1004">
        <v>5333.97</v>
      </c>
      <c r="AE198" s="1004">
        <f t="shared" ref="AE198:AE260" si="30">AD198*M198</f>
        <v>67563.62</v>
      </c>
      <c r="AF198" s="1004">
        <f t="shared" si="28"/>
        <v>67563.62</v>
      </c>
      <c r="AG198" s="1005">
        <f t="shared" si="29"/>
        <v>12.666666666666666</v>
      </c>
      <c r="AH198" s="1005">
        <f t="shared" ref="AH198:AH260" si="31">AF198/(AD198+1000)</f>
        <v>10.666867699089195</v>
      </c>
    </row>
    <row r="199" spans="1:34" x14ac:dyDescent="0.25">
      <c r="A199" s="999">
        <v>13300</v>
      </c>
      <c r="B199" s="999" t="s">
        <v>1214</v>
      </c>
      <c r="C199" s="999" t="s">
        <v>421</v>
      </c>
      <c r="D199" s="999" t="s">
        <v>894</v>
      </c>
      <c r="E199" s="999" t="s">
        <v>895</v>
      </c>
      <c r="F199" s="999">
        <v>1695729</v>
      </c>
      <c r="G199" s="1000">
        <v>2514893453</v>
      </c>
      <c r="H199" s="999" t="s">
        <v>1236</v>
      </c>
      <c r="I199" s="999" t="s">
        <v>897</v>
      </c>
      <c r="J199" s="1001">
        <v>39918</v>
      </c>
      <c r="K199" s="1001">
        <v>45835</v>
      </c>
      <c r="L199" s="1000">
        <f t="shared" ref="L199:L261" si="32">DATEDIF(J199,K199, "m")</f>
        <v>194</v>
      </c>
      <c r="M199" s="1002">
        <f t="shared" ref="M199:M261" si="33">L199/12</f>
        <v>16.166666666666668</v>
      </c>
      <c r="N199" s="1000">
        <v>16</v>
      </c>
      <c r="O199" s="1000">
        <v>16</v>
      </c>
      <c r="P199" s="1000">
        <v>43</v>
      </c>
      <c r="Q199" s="999" t="s">
        <v>898</v>
      </c>
      <c r="R199" s="999" t="s">
        <v>899</v>
      </c>
      <c r="S199" s="999" t="s">
        <v>900</v>
      </c>
      <c r="T199" s="999" t="s">
        <v>924</v>
      </c>
      <c r="U199" s="1000" t="s">
        <v>55</v>
      </c>
      <c r="V199" s="1000" t="s">
        <v>914</v>
      </c>
      <c r="W199" s="1003">
        <v>15375</v>
      </c>
      <c r="X199" s="1000" t="s">
        <v>903</v>
      </c>
      <c r="Y199" s="1000">
        <v>83</v>
      </c>
      <c r="Z199" s="1000" t="s">
        <v>904</v>
      </c>
      <c r="AA199" s="1000" t="s">
        <v>1217</v>
      </c>
      <c r="AB199" s="1000" t="s">
        <v>911</v>
      </c>
      <c r="AC199" s="1000" t="s">
        <v>907</v>
      </c>
      <c r="AD199" s="1004">
        <v>5979.86</v>
      </c>
      <c r="AE199" s="1004">
        <f t="shared" si="30"/>
        <v>96674.403333333335</v>
      </c>
      <c r="AF199" s="1004">
        <f t="shared" ref="AF199:AF261" si="34">AE199</f>
        <v>96674.403333333335</v>
      </c>
      <c r="AG199" s="1005">
        <f t="shared" si="29"/>
        <v>16.166666666666668</v>
      </c>
      <c r="AH199" s="1005">
        <f t="shared" si="31"/>
        <v>13.850478853921617</v>
      </c>
    </row>
    <row r="200" spans="1:34" x14ac:dyDescent="0.25">
      <c r="A200" s="999">
        <v>13300</v>
      </c>
      <c r="B200" s="999" t="s">
        <v>1214</v>
      </c>
      <c r="C200" s="999" t="s">
        <v>421</v>
      </c>
      <c r="D200" s="999" t="s">
        <v>894</v>
      </c>
      <c r="E200" s="999" t="s">
        <v>895</v>
      </c>
      <c r="F200" s="999">
        <v>1910448</v>
      </c>
      <c r="G200" s="1000">
        <v>5588510100</v>
      </c>
      <c r="H200" s="999" t="s">
        <v>1237</v>
      </c>
      <c r="I200" s="999" t="s">
        <v>897</v>
      </c>
      <c r="J200" s="1001">
        <v>40904</v>
      </c>
      <c r="K200" s="1001">
        <v>45835</v>
      </c>
      <c r="L200" s="1000">
        <f t="shared" si="32"/>
        <v>162</v>
      </c>
      <c r="M200" s="1002">
        <f t="shared" si="33"/>
        <v>13.5</v>
      </c>
      <c r="N200" s="1000">
        <v>13</v>
      </c>
      <c r="O200" s="1000">
        <v>13</v>
      </c>
      <c r="P200" s="1000">
        <v>43</v>
      </c>
      <c r="Q200" s="999" t="s">
        <v>898</v>
      </c>
      <c r="R200" s="999" t="s">
        <v>899</v>
      </c>
      <c r="S200" s="999" t="s">
        <v>900</v>
      </c>
      <c r="T200" s="999" t="s">
        <v>924</v>
      </c>
      <c r="U200" s="1000" t="s">
        <v>55</v>
      </c>
      <c r="V200" s="1000" t="s">
        <v>910</v>
      </c>
      <c r="W200" s="1003">
        <v>17926</v>
      </c>
      <c r="X200" s="1000" t="s">
        <v>903</v>
      </c>
      <c r="Y200" s="1000">
        <v>76</v>
      </c>
      <c r="Z200" s="1000" t="s">
        <v>904</v>
      </c>
      <c r="AA200" s="1000" t="s">
        <v>905</v>
      </c>
      <c r="AB200" s="1000" t="s">
        <v>911</v>
      </c>
      <c r="AC200" s="1000" t="s">
        <v>907</v>
      </c>
      <c r="AD200" s="1004">
        <v>6056.24</v>
      </c>
      <c r="AE200" s="1004">
        <f t="shared" si="30"/>
        <v>81759.239999999991</v>
      </c>
      <c r="AF200" s="1004">
        <f t="shared" si="34"/>
        <v>81759.239999999991</v>
      </c>
      <c r="AG200" s="1005">
        <f t="shared" si="29"/>
        <v>13.499999999999998</v>
      </c>
      <c r="AH200" s="1005">
        <f t="shared" si="31"/>
        <v>11.586799768715348</v>
      </c>
    </row>
    <row r="201" spans="1:34" x14ac:dyDescent="0.25">
      <c r="A201" s="999">
        <v>40100</v>
      </c>
      <c r="B201" s="999" t="s">
        <v>1221</v>
      </c>
      <c r="C201" s="999" t="s">
        <v>1222</v>
      </c>
      <c r="D201" s="999" t="s">
        <v>894</v>
      </c>
      <c r="E201" s="999" t="s">
        <v>895</v>
      </c>
      <c r="F201" s="999">
        <v>158783</v>
      </c>
      <c r="G201" s="1000">
        <v>17963885720</v>
      </c>
      <c r="H201" s="999" t="s">
        <v>1238</v>
      </c>
      <c r="I201" s="999" t="s">
        <v>897</v>
      </c>
      <c r="J201" s="1001">
        <v>40014</v>
      </c>
      <c r="K201" s="1001">
        <v>45835</v>
      </c>
      <c r="L201" s="1000">
        <f t="shared" si="32"/>
        <v>191</v>
      </c>
      <c r="M201" s="1002">
        <f t="shared" si="33"/>
        <v>15.916666666666666</v>
      </c>
      <c r="N201" s="1000">
        <v>15</v>
      </c>
      <c r="O201" s="1000">
        <v>15</v>
      </c>
      <c r="P201" s="1000">
        <v>43</v>
      </c>
      <c r="Q201" s="999" t="s">
        <v>898</v>
      </c>
      <c r="R201" s="999" t="s">
        <v>899</v>
      </c>
      <c r="S201" s="999" t="s">
        <v>900</v>
      </c>
      <c r="T201" s="999" t="s">
        <v>1224</v>
      </c>
      <c r="U201" s="1000" t="s">
        <v>54</v>
      </c>
      <c r="V201" s="1000" t="s">
        <v>914</v>
      </c>
      <c r="W201" s="1003">
        <v>15919</v>
      </c>
      <c r="X201" s="1000" t="s">
        <v>903</v>
      </c>
      <c r="Y201" s="1000">
        <v>81</v>
      </c>
      <c r="Z201" s="1000" t="s">
        <v>904</v>
      </c>
      <c r="AA201" s="1000" t="s">
        <v>905</v>
      </c>
      <c r="AB201" s="1000" t="s">
        <v>925</v>
      </c>
      <c r="AC201" s="1000" t="s">
        <v>907</v>
      </c>
      <c r="AD201" s="1004">
        <v>10126.049999999999</v>
      </c>
      <c r="AE201" s="1004">
        <f t="shared" si="30"/>
        <v>161172.96249999999</v>
      </c>
      <c r="AF201" s="1004">
        <f t="shared" si="34"/>
        <v>161172.96249999999</v>
      </c>
      <c r="AG201" s="1005">
        <f t="shared" si="29"/>
        <v>15.916666666666668</v>
      </c>
      <c r="AH201" s="1005">
        <f t="shared" si="31"/>
        <v>14.486090076891619</v>
      </c>
    </row>
    <row r="202" spans="1:34" x14ac:dyDescent="0.25">
      <c r="A202" s="999">
        <v>13300</v>
      </c>
      <c r="B202" s="999" t="s">
        <v>1214</v>
      </c>
      <c r="C202" s="999" t="s">
        <v>421</v>
      </c>
      <c r="D202" s="999" t="s">
        <v>894</v>
      </c>
      <c r="E202" s="999" t="s">
        <v>895</v>
      </c>
      <c r="F202" s="999">
        <v>1693702</v>
      </c>
      <c r="G202" s="1000">
        <v>284432172</v>
      </c>
      <c r="H202" s="999" t="s">
        <v>1239</v>
      </c>
      <c r="I202" s="999" t="s">
        <v>897</v>
      </c>
      <c r="J202" s="1001">
        <v>39904</v>
      </c>
      <c r="K202" s="1001">
        <v>45835</v>
      </c>
      <c r="L202" s="1000">
        <f t="shared" si="32"/>
        <v>194</v>
      </c>
      <c r="M202" s="1002">
        <f t="shared" si="33"/>
        <v>16.166666666666668</v>
      </c>
      <c r="N202" s="1000">
        <v>16</v>
      </c>
      <c r="O202" s="1000">
        <v>16</v>
      </c>
      <c r="P202" s="1000">
        <v>43</v>
      </c>
      <c r="Q202" s="999" t="s">
        <v>898</v>
      </c>
      <c r="R202" s="999" t="s">
        <v>899</v>
      </c>
      <c r="S202" s="999" t="s">
        <v>900</v>
      </c>
      <c r="T202" s="999" t="s">
        <v>1216</v>
      </c>
      <c r="U202" s="1000" t="s">
        <v>54</v>
      </c>
      <c r="V202" s="1000" t="s">
        <v>914</v>
      </c>
      <c r="W202" s="1003">
        <v>14875</v>
      </c>
      <c r="X202" s="1000" t="s">
        <v>903</v>
      </c>
      <c r="Y202" s="1000">
        <v>84</v>
      </c>
      <c r="Z202" s="1000" t="s">
        <v>904</v>
      </c>
      <c r="AA202" s="1000" t="s">
        <v>1240</v>
      </c>
      <c r="AB202" s="1000" t="s">
        <v>925</v>
      </c>
      <c r="AC202" s="1000" t="s">
        <v>907</v>
      </c>
      <c r="AD202" s="1004">
        <v>10126.049999999999</v>
      </c>
      <c r="AE202" s="1004">
        <f t="shared" si="30"/>
        <v>163704.47500000001</v>
      </c>
      <c r="AF202" s="1004">
        <f t="shared" si="34"/>
        <v>163704.47500000001</v>
      </c>
      <c r="AG202" s="1005">
        <f t="shared" si="29"/>
        <v>16.166666666666668</v>
      </c>
      <c r="AH202" s="1005">
        <f t="shared" si="31"/>
        <v>14.713620287523426</v>
      </c>
    </row>
    <row r="203" spans="1:34" x14ac:dyDescent="0.25">
      <c r="A203" s="999">
        <v>13300</v>
      </c>
      <c r="B203" s="999" t="s">
        <v>1214</v>
      </c>
      <c r="C203" s="999" t="s">
        <v>421</v>
      </c>
      <c r="D203" s="999" t="s">
        <v>894</v>
      </c>
      <c r="E203" s="999" t="s">
        <v>895</v>
      </c>
      <c r="F203" s="999">
        <v>1670379</v>
      </c>
      <c r="G203" s="1000">
        <v>6409407572</v>
      </c>
      <c r="H203" s="999" t="s">
        <v>1241</v>
      </c>
      <c r="I203" s="999" t="s">
        <v>897</v>
      </c>
      <c r="J203" s="1001">
        <v>39825</v>
      </c>
      <c r="K203" s="1001">
        <v>45835</v>
      </c>
      <c r="L203" s="1000">
        <f t="shared" si="32"/>
        <v>197</v>
      </c>
      <c r="M203" s="1002">
        <f t="shared" si="33"/>
        <v>16.416666666666668</v>
      </c>
      <c r="N203" s="1000">
        <v>16</v>
      </c>
      <c r="O203" s="1000">
        <v>16</v>
      </c>
      <c r="P203" s="1000">
        <v>43</v>
      </c>
      <c r="Q203" s="999" t="s">
        <v>898</v>
      </c>
      <c r="R203" s="999" t="s">
        <v>899</v>
      </c>
      <c r="S203" s="999" t="s">
        <v>900</v>
      </c>
      <c r="T203" s="999" t="s">
        <v>924</v>
      </c>
      <c r="U203" s="1000" t="s">
        <v>55</v>
      </c>
      <c r="V203" s="1000" t="s">
        <v>910</v>
      </c>
      <c r="W203" s="1003">
        <v>18035</v>
      </c>
      <c r="X203" s="1000" t="s">
        <v>903</v>
      </c>
      <c r="Y203" s="1000">
        <v>75</v>
      </c>
      <c r="Z203" s="1000" t="s">
        <v>904</v>
      </c>
      <c r="AA203" s="1000" t="s">
        <v>1234</v>
      </c>
      <c r="AB203" s="1000" t="s">
        <v>911</v>
      </c>
      <c r="AC203" s="1000" t="s">
        <v>907</v>
      </c>
      <c r="AD203" s="1004">
        <v>7114.89</v>
      </c>
      <c r="AE203" s="1004">
        <f t="shared" si="30"/>
        <v>116802.77750000001</v>
      </c>
      <c r="AF203" s="1004">
        <f t="shared" si="34"/>
        <v>116802.77750000001</v>
      </c>
      <c r="AG203" s="1005">
        <f t="shared" si="29"/>
        <v>16.416666666666668</v>
      </c>
      <c r="AH203" s="1005">
        <f t="shared" si="31"/>
        <v>14.393636574248081</v>
      </c>
    </row>
    <row r="204" spans="1:34" x14ac:dyDescent="0.25">
      <c r="A204" s="999">
        <v>13300</v>
      </c>
      <c r="B204" s="999" t="s">
        <v>1214</v>
      </c>
      <c r="C204" s="999" t="s">
        <v>421</v>
      </c>
      <c r="D204" s="999" t="s">
        <v>894</v>
      </c>
      <c r="E204" s="999" t="s">
        <v>895</v>
      </c>
      <c r="F204" s="999">
        <v>1670398</v>
      </c>
      <c r="G204" s="1000">
        <v>1950924572</v>
      </c>
      <c r="H204" s="999" t="s">
        <v>1242</v>
      </c>
      <c r="I204" s="999" t="s">
        <v>897</v>
      </c>
      <c r="J204" s="1001">
        <v>39820</v>
      </c>
      <c r="K204" s="1001">
        <v>45835</v>
      </c>
      <c r="L204" s="1000">
        <f t="shared" si="32"/>
        <v>197</v>
      </c>
      <c r="M204" s="1002">
        <f t="shared" si="33"/>
        <v>16.416666666666668</v>
      </c>
      <c r="N204" s="1000">
        <v>16</v>
      </c>
      <c r="O204" s="1000">
        <v>16</v>
      </c>
      <c r="P204" s="1000">
        <v>43</v>
      </c>
      <c r="Q204" s="999" t="s">
        <v>898</v>
      </c>
      <c r="R204" s="999" t="s">
        <v>899</v>
      </c>
      <c r="S204" s="999" t="s">
        <v>900</v>
      </c>
      <c r="T204" s="999" t="s">
        <v>924</v>
      </c>
      <c r="U204" s="1000" t="s">
        <v>55</v>
      </c>
      <c r="V204" s="1000" t="s">
        <v>914</v>
      </c>
      <c r="W204" s="1003">
        <v>17047</v>
      </c>
      <c r="X204" s="1000" t="s">
        <v>903</v>
      </c>
      <c r="Y204" s="1000">
        <v>78</v>
      </c>
      <c r="Z204" s="1000" t="s">
        <v>904</v>
      </c>
      <c r="AA204" s="1000" t="s">
        <v>1234</v>
      </c>
      <c r="AB204" s="1000" t="s">
        <v>911</v>
      </c>
      <c r="AC204" s="1000" t="s">
        <v>907</v>
      </c>
      <c r="AD204" s="1004">
        <v>8633.84</v>
      </c>
      <c r="AE204" s="1004">
        <f t="shared" si="30"/>
        <v>141738.87333333335</v>
      </c>
      <c r="AF204" s="1004">
        <f t="shared" si="34"/>
        <v>141738.87333333335</v>
      </c>
      <c r="AG204" s="1005">
        <f t="shared" si="29"/>
        <v>16.416666666666668</v>
      </c>
      <c r="AH204" s="1005">
        <f t="shared" si="31"/>
        <v>14.712604042970751</v>
      </c>
    </row>
    <row r="205" spans="1:34" x14ac:dyDescent="0.25">
      <c r="A205" s="999">
        <v>13300</v>
      </c>
      <c r="B205" s="999" t="s">
        <v>1214</v>
      </c>
      <c r="C205" s="999" t="s">
        <v>421</v>
      </c>
      <c r="D205" s="999" t="s">
        <v>894</v>
      </c>
      <c r="E205" s="999" t="s">
        <v>895</v>
      </c>
      <c r="F205" s="999">
        <v>1670619</v>
      </c>
      <c r="G205" s="1000">
        <v>13825356000</v>
      </c>
      <c r="H205" s="999" t="s">
        <v>1243</v>
      </c>
      <c r="I205" s="999" t="s">
        <v>897</v>
      </c>
      <c r="J205" s="1001">
        <v>39825</v>
      </c>
      <c r="K205" s="1001">
        <v>45835</v>
      </c>
      <c r="L205" s="1000">
        <f t="shared" si="32"/>
        <v>197</v>
      </c>
      <c r="M205" s="1002">
        <f t="shared" si="33"/>
        <v>16.416666666666668</v>
      </c>
      <c r="N205" s="1000">
        <v>16</v>
      </c>
      <c r="O205" s="1000">
        <v>16</v>
      </c>
      <c r="P205" s="1000">
        <v>43</v>
      </c>
      <c r="Q205" s="999" t="s">
        <v>898</v>
      </c>
      <c r="R205" s="999" t="s">
        <v>899</v>
      </c>
      <c r="S205" s="999" t="s">
        <v>900</v>
      </c>
      <c r="T205" s="999" t="s">
        <v>924</v>
      </c>
      <c r="U205" s="1000" t="s">
        <v>55</v>
      </c>
      <c r="V205" s="1000" t="s">
        <v>914</v>
      </c>
      <c r="W205" s="1003">
        <v>17656</v>
      </c>
      <c r="X205" s="1000" t="s">
        <v>903</v>
      </c>
      <c r="Y205" s="1000">
        <v>76</v>
      </c>
      <c r="Z205" s="1000" t="s">
        <v>904</v>
      </c>
      <c r="AA205" s="1000" t="s">
        <v>1244</v>
      </c>
      <c r="AB205" s="1000" t="s">
        <v>911</v>
      </c>
      <c r="AC205" s="1000" t="s">
        <v>907</v>
      </c>
      <c r="AD205" s="1004">
        <v>10253.36</v>
      </c>
      <c r="AE205" s="1004">
        <f t="shared" si="30"/>
        <v>168325.99333333335</v>
      </c>
      <c r="AF205" s="1004">
        <f t="shared" si="34"/>
        <v>168325.99333333335</v>
      </c>
      <c r="AG205" s="1005">
        <f t="shared" si="29"/>
        <v>16.416666666666668</v>
      </c>
      <c r="AH205" s="1005">
        <f t="shared" si="31"/>
        <v>14.957843109376519</v>
      </c>
    </row>
    <row r="206" spans="1:34" x14ac:dyDescent="0.25">
      <c r="A206" s="999">
        <v>13300</v>
      </c>
      <c r="B206" s="999" t="s">
        <v>1214</v>
      </c>
      <c r="C206" s="999" t="s">
        <v>421</v>
      </c>
      <c r="D206" s="999" t="s">
        <v>894</v>
      </c>
      <c r="E206" s="999" t="s">
        <v>895</v>
      </c>
      <c r="F206" s="999">
        <v>1906619</v>
      </c>
      <c r="G206" s="1000">
        <v>8531560934</v>
      </c>
      <c r="H206" s="999" t="s">
        <v>1245</v>
      </c>
      <c r="I206" s="999" t="s">
        <v>897</v>
      </c>
      <c r="J206" s="1001">
        <v>40900</v>
      </c>
      <c r="K206" s="1001">
        <v>45835</v>
      </c>
      <c r="L206" s="1000">
        <f t="shared" si="32"/>
        <v>162</v>
      </c>
      <c r="M206" s="1002">
        <f t="shared" si="33"/>
        <v>13.5</v>
      </c>
      <c r="N206" s="1000">
        <v>13</v>
      </c>
      <c r="O206" s="1000">
        <v>13</v>
      </c>
      <c r="P206" s="1000">
        <v>43</v>
      </c>
      <c r="Q206" s="999" t="s">
        <v>898</v>
      </c>
      <c r="R206" s="999" t="s">
        <v>899</v>
      </c>
      <c r="S206" s="999" t="s">
        <v>900</v>
      </c>
      <c r="T206" s="999" t="s">
        <v>924</v>
      </c>
      <c r="U206" s="1000" t="s">
        <v>55</v>
      </c>
      <c r="V206" s="1000" t="s">
        <v>914</v>
      </c>
      <c r="W206" s="1003">
        <v>18334</v>
      </c>
      <c r="X206" s="1000" t="s">
        <v>903</v>
      </c>
      <c r="Y206" s="1000">
        <v>75</v>
      </c>
      <c r="Z206" s="1000" t="s">
        <v>904</v>
      </c>
      <c r="AA206" s="1000" t="s">
        <v>1246</v>
      </c>
      <c r="AB206" s="1000" t="s">
        <v>911</v>
      </c>
      <c r="AC206" s="1000" t="s">
        <v>907</v>
      </c>
      <c r="AD206" s="1004">
        <v>20028.849999999999</v>
      </c>
      <c r="AE206" s="1004">
        <f t="shared" si="30"/>
        <v>270389.47499999998</v>
      </c>
      <c r="AF206" s="1004">
        <f t="shared" si="34"/>
        <v>270389.47499999998</v>
      </c>
      <c r="AG206" s="1005">
        <f t="shared" si="29"/>
        <v>13.5</v>
      </c>
      <c r="AH206" s="1005">
        <f t="shared" si="31"/>
        <v>12.858024808774612</v>
      </c>
    </row>
    <row r="207" spans="1:34" x14ac:dyDescent="0.25">
      <c r="A207" s="999">
        <v>13300</v>
      </c>
      <c r="B207" s="999" t="s">
        <v>1214</v>
      </c>
      <c r="C207" s="999" t="s">
        <v>421</v>
      </c>
      <c r="D207" s="999" t="s">
        <v>894</v>
      </c>
      <c r="E207" s="999" t="s">
        <v>895</v>
      </c>
      <c r="F207" s="999">
        <v>1670859</v>
      </c>
      <c r="G207" s="1000">
        <v>6381944587</v>
      </c>
      <c r="H207" s="999" t="s">
        <v>1247</v>
      </c>
      <c r="I207" s="999" t="s">
        <v>897</v>
      </c>
      <c r="J207" s="1001">
        <v>39801</v>
      </c>
      <c r="K207" s="1001">
        <v>45835</v>
      </c>
      <c r="L207" s="1000">
        <f t="shared" si="32"/>
        <v>198</v>
      </c>
      <c r="M207" s="1002">
        <f t="shared" si="33"/>
        <v>16.5</v>
      </c>
      <c r="N207" s="1000">
        <v>16</v>
      </c>
      <c r="O207" s="1000">
        <v>16</v>
      </c>
      <c r="P207" s="1000">
        <v>43</v>
      </c>
      <c r="Q207" s="999" t="s">
        <v>898</v>
      </c>
      <c r="R207" s="999" t="s">
        <v>899</v>
      </c>
      <c r="S207" s="999" t="s">
        <v>900</v>
      </c>
      <c r="T207" s="999" t="s">
        <v>924</v>
      </c>
      <c r="U207" s="1000" t="s">
        <v>55</v>
      </c>
      <c r="V207" s="1000" t="s">
        <v>910</v>
      </c>
      <c r="W207" s="1003">
        <v>18102</v>
      </c>
      <c r="X207" s="1000" t="s">
        <v>903</v>
      </c>
      <c r="Y207" s="1000">
        <v>75</v>
      </c>
      <c r="Z207" s="1000" t="s">
        <v>904</v>
      </c>
      <c r="AA207" s="1000" t="s">
        <v>905</v>
      </c>
      <c r="AB207" s="1000" t="s">
        <v>911</v>
      </c>
      <c r="AC207" s="1000" t="s">
        <v>907</v>
      </c>
      <c r="AD207" s="1004">
        <v>5333.97</v>
      </c>
      <c r="AE207" s="1004">
        <f t="shared" si="30"/>
        <v>88010.505000000005</v>
      </c>
      <c r="AF207" s="1004">
        <f t="shared" si="34"/>
        <v>88010.505000000005</v>
      </c>
      <c r="AG207" s="1005">
        <f t="shared" si="29"/>
        <v>16.5</v>
      </c>
      <c r="AH207" s="1005">
        <f t="shared" si="31"/>
        <v>13.894998713287244</v>
      </c>
    </row>
    <row r="208" spans="1:34" x14ac:dyDescent="0.25">
      <c r="A208" s="999">
        <v>13300</v>
      </c>
      <c r="B208" s="999" t="s">
        <v>1214</v>
      </c>
      <c r="C208" s="999" t="s">
        <v>421</v>
      </c>
      <c r="D208" s="999" t="s">
        <v>894</v>
      </c>
      <c r="E208" s="999" t="s">
        <v>895</v>
      </c>
      <c r="F208" s="999">
        <v>1670410</v>
      </c>
      <c r="G208" s="1000">
        <v>6097200587</v>
      </c>
      <c r="H208" s="999" t="s">
        <v>1248</v>
      </c>
      <c r="I208" s="999" t="s">
        <v>897</v>
      </c>
      <c r="J208" s="1001">
        <v>39819</v>
      </c>
      <c r="K208" s="1001">
        <v>45835</v>
      </c>
      <c r="L208" s="1000">
        <f t="shared" si="32"/>
        <v>197</v>
      </c>
      <c r="M208" s="1002">
        <f t="shared" si="33"/>
        <v>16.416666666666668</v>
      </c>
      <c r="N208" s="1000">
        <v>16</v>
      </c>
      <c r="O208" s="1000">
        <v>16</v>
      </c>
      <c r="P208" s="1000">
        <v>43</v>
      </c>
      <c r="Q208" s="999" t="s">
        <v>898</v>
      </c>
      <c r="R208" s="999" t="s">
        <v>899</v>
      </c>
      <c r="S208" s="999" t="s">
        <v>900</v>
      </c>
      <c r="T208" s="999" t="s">
        <v>924</v>
      </c>
      <c r="U208" s="1000" t="s">
        <v>55</v>
      </c>
      <c r="V208" s="1000" t="s">
        <v>914</v>
      </c>
      <c r="W208" s="1003">
        <v>17352</v>
      </c>
      <c r="X208" s="1000" t="s">
        <v>903</v>
      </c>
      <c r="Y208" s="1000">
        <v>77</v>
      </c>
      <c r="Z208" s="1000" t="s">
        <v>904</v>
      </c>
      <c r="AA208" s="1000" t="s">
        <v>1234</v>
      </c>
      <c r="AB208" s="1000" t="s">
        <v>911</v>
      </c>
      <c r="AC208" s="1000" t="s">
        <v>907</v>
      </c>
      <c r="AD208" s="1004">
        <v>9499.58</v>
      </c>
      <c r="AE208" s="1004">
        <f t="shared" si="30"/>
        <v>155951.43833333335</v>
      </c>
      <c r="AF208" s="1004">
        <f t="shared" si="34"/>
        <v>155951.43833333335</v>
      </c>
      <c r="AG208" s="1005">
        <f t="shared" si="29"/>
        <v>16.416666666666668</v>
      </c>
      <c r="AH208" s="1005">
        <f t="shared" si="31"/>
        <v>14.853112060990378</v>
      </c>
    </row>
    <row r="209" spans="1:34" x14ac:dyDescent="0.25">
      <c r="A209" s="999">
        <v>13300</v>
      </c>
      <c r="B209" s="999" t="s">
        <v>1214</v>
      </c>
      <c r="C209" s="999" t="s">
        <v>421</v>
      </c>
      <c r="D209" s="999" t="s">
        <v>894</v>
      </c>
      <c r="E209" s="999" t="s">
        <v>895</v>
      </c>
      <c r="F209" s="999">
        <v>1831215</v>
      </c>
      <c r="G209" s="1000">
        <v>18528589749</v>
      </c>
      <c r="H209" s="999" t="s">
        <v>1249</v>
      </c>
      <c r="I209" s="999" t="s">
        <v>897</v>
      </c>
      <c r="J209" s="1001">
        <v>40534</v>
      </c>
      <c r="K209" s="1001">
        <v>45835</v>
      </c>
      <c r="L209" s="1000">
        <f t="shared" si="32"/>
        <v>174</v>
      </c>
      <c r="M209" s="1002">
        <f t="shared" si="33"/>
        <v>14.5</v>
      </c>
      <c r="N209" s="1000">
        <v>14</v>
      </c>
      <c r="O209" s="1000">
        <v>14</v>
      </c>
      <c r="P209" s="1000">
        <v>43</v>
      </c>
      <c r="Q209" s="999" t="s">
        <v>898</v>
      </c>
      <c r="R209" s="999" t="s">
        <v>899</v>
      </c>
      <c r="S209" s="999" t="s">
        <v>900</v>
      </c>
      <c r="T209" s="999" t="s">
        <v>924</v>
      </c>
      <c r="U209" s="1000" t="s">
        <v>55</v>
      </c>
      <c r="V209" s="1000" t="s">
        <v>914</v>
      </c>
      <c r="W209" s="1003">
        <v>17426</v>
      </c>
      <c r="X209" s="1000" t="s">
        <v>903</v>
      </c>
      <c r="Y209" s="1000">
        <v>77</v>
      </c>
      <c r="Z209" s="1000" t="s">
        <v>904</v>
      </c>
      <c r="AA209" s="1000" t="s">
        <v>1234</v>
      </c>
      <c r="AB209" s="1000" t="s">
        <v>911</v>
      </c>
      <c r="AC209" s="1000" t="s">
        <v>907</v>
      </c>
      <c r="AD209" s="1004">
        <v>19377.29</v>
      </c>
      <c r="AE209" s="1004">
        <f t="shared" si="30"/>
        <v>280970.70500000002</v>
      </c>
      <c r="AF209" s="1004">
        <f t="shared" si="34"/>
        <v>280970.70500000002</v>
      </c>
      <c r="AG209" s="1005">
        <f t="shared" si="29"/>
        <v>14.5</v>
      </c>
      <c r="AH209" s="1005">
        <f t="shared" si="31"/>
        <v>13.78842353423836</v>
      </c>
    </row>
    <row r="210" spans="1:34" x14ac:dyDescent="0.25">
      <c r="A210" s="999">
        <v>13300</v>
      </c>
      <c r="B210" s="999" t="s">
        <v>1214</v>
      </c>
      <c r="C210" s="999" t="s">
        <v>421</v>
      </c>
      <c r="D210" s="999" t="s">
        <v>894</v>
      </c>
      <c r="E210" s="999" t="s">
        <v>895</v>
      </c>
      <c r="F210" s="999">
        <v>1671273</v>
      </c>
      <c r="G210" s="1000">
        <v>23526831815</v>
      </c>
      <c r="H210" s="999" t="s">
        <v>1250</v>
      </c>
      <c r="I210" s="999" t="s">
        <v>897</v>
      </c>
      <c r="J210" s="1001">
        <v>39826</v>
      </c>
      <c r="K210" s="1001">
        <v>45835</v>
      </c>
      <c r="L210" s="1000">
        <f t="shared" si="32"/>
        <v>197</v>
      </c>
      <c r="M210" s="1002">
        <f t="shared" si="33"/>
        <v>16.416666666666668</v>
      </c>
      <c r="N210" s="1000">
        <v>16</v>
      </c>
      <c r="O210" s="1000">
        <v>16</v>
      </c>
      <c r="P210" s="1000">
        <v>43</v>
      </c>
      <c r="Q210" s="999" t="s">
        <v>898</v>
      </c>
      <c r="R210" s="999" t="s">
        <v>899</v>
      </c>
      <c r="S210" s="999" t="s">
        <v>900</v>
      </c>
      <c r="T210" s="999" t="s">
        <v>924</v>
      </c>
      <c r="U210" s="1000" t="s">
        <v>55</v>
      </c>
      <c r="V210" s="1000" t="s">
        <v>914</v>
      </c>
      <c r="W210" s="1003">
        <v>16394</v>
      </c>
      <c r="X210" s="1000" t="s">
        <v>903</v>
      </c>
      <c r="Y210" s="1000">
        <v>80</v>
      </c>
      <c r="Z210" s="1000" t="s">
        <v>904</v>
      </c>
      <c r="AA210" s="1000" t="s">
        <v>1169</v>
      </c>
      <c r="AB210" s="1000" t="s">
        <v>911</v>
      </c>
      <c r="AC210" s="1000" t="s">
        <v>907</v>
      </c>
      <c r="AD210" s="1004">
        <v>14466.1</v>
      </c>
      <c r="AE210" s="1004">
        <f t="shared" si="30"/>
        <v>237485.14166666669</v>
      </c>
      <c r="AF210" s="1004">
        <f t="shared" si="34"/>
        <v>237485.14166666669</v>
      </c>
      <c r="AG210" s="1005">
        <f t="shared" si="29"/>
        <v>16.416666666666668</v>
      </c>
      <c r="AH210" s="1005">
        <f t="shared" si="31"/>
        <v>15.35520536312753</v>
      </c>
    </row>
    <row r="211" spans="1:34" x14ac:dyDescent="0.25">
      <c r="A211" s="999">
        <v>13300</v>
      </c>
      <c r="B211" s="999" t="s">
        <v>1214</v>
      </c>
      <c r="C211" s="999" t="s">
        <v>421</v>
      </c>
      <c r="D211" s="999" t="s">
        <v>894</v>
      </c>
      <c r="E211" s="999" t="s">
        <v>895</v>
      </c>
      <c r="F211" s="999">
        <v>1671449</v>
      </c>
      <c r="G211" s="1000">
        <v>25197274700</v>
      </c>
      <c r="H211" s="999" t="s">
        <v>1251</v>
      </c>
      <c r="I211" s="999" t="s">
        <v>897</v>
      </c>
      <c r="J211" s="1001">
        <v>39815</v>
      </c>
      <c r="K211" s="1001">
        <v>45835</v>
      </c>
      <c r="L211" s="1000">
        <f t="shared" si="32"/>
        <v>197</v>
      </c>
      <c r="M211" s="1002">
        <f t="shared" si="33"/>
        <v>16.416666666666668</v>
      </c>
      <c r="N211" s="1000">
        <v>16</v>
      </c>
      <c r="O211" s="1000">
        <v>16</v>
      </c>
      <c r="P211" s="1000">
        <v>43</v>
      </c>
      <c r="Q211" s="999" t="s">
        <v>898</v>
      </c>
      <c r="R211" s="999" t="s">
        <v>899</v>
      </c>
      <c r="S211" s="999" t="s">
        <v>900</v>
      </c>
      <c r="T211" s="999" t="s">
        <v>924</v>
      </c>
      <c r="U211" s="1000" t="s">
        <v>55</v>
      </c>
      <c r="V211" s="1000" t="s">
        <v>914</v>
      </c>
      <c r="W211" s="1003">
        <v>17403</v>
      </c>
      <c r="X211" s="1000" t="s">
        <v>903</v>
      </c>
      <c r="Y211" s="1000">
        <v>77</v>
      </c>
      <c r="Z211" s="1000" t="s">
        <v>904</v>
      </c>
      <c r="AA211" s="1000" t="s">
        <v>1217</v>
      </c>
      <c r="AB211" s="1000" t="s">
        <v>911</v>
      </c>
      <c r="AC211" s="1000" t="s">
        <v>907</v>
      </c>
      <c r="AD211" s="1004">
        <v>18542.98</v>
      </c>
      <c r="AE211" s="1004">
        <f t="shared" si="30"/>
        <v>304413.92166666669</v>
      </c>
      <c r="AF211" s="1004">
        <f t="shared" si="34"/>
        <v>304413.92166666669</v>
      </c>
      <c r="AG211" s="1005">
        <f t="shared" si="29"/>
        <v>16.416666666666668</v>
      </c>
      <c r="AH211" s="1005">
        <f t="shared" si="31"/>
        <v>15.576637834489249</v>
      </c>
    </row>
    <row r="212" spans="1:34" x14ac:dyDescent="0.25">
      <c r="A212" s="999">
        <v>13300</v>
      </c>
      <c r="B212" s="999" t="s">
        <v>1214</v>
      </c>
      <c r="C212" s="999" t="s">
        <v>421</v>
      </c>
      <c r="D212" s="999" t="s">
        <v>894</v>
      </c>
      <c r="E212" s="999" t="s">
        <v>895</v>
      </c>
      <c r="F212" s="999">
        <v>1670651</v>
      </c>
      <c r="G212" s="1000">
        <v>6624456191</v>
      </c>
      <c r="H212" s="999" t="s">
        <v>1252</v>
      </c>
      <c r="I212" s="999" t="s">
        <v>897</v>
      </c>
      <c r="J212" s="1001">
        <v>39829</v>
      </c>
      <c r="K212" s="1001">
        <v>45835</v>
      </c>
      <c r="L212" s="1000">
        <f t="shared" si="32"/>
        <v>197</v>
      </c>
      <c r="M212" s="1002">
        <f t="shared" si="33"/>
        <v>16.416666666666668</v>
      </c>
      <c r="N212" s="1000">
        <v>16</v>
      </c>
      <c r="O212" s="1000">
        <v>16</v>
      </c>
      <c r="P212" s="1000">
        <v>43</v>
      </c>
      <c r="Q212" s="999" t="s">
        <v>898</v>
      </c>
      <c r="R212" s="999" t="s">
        <v>899</v>
      </c>
      <c r="S212" s="999" t="s">
        <v>900</v>
      </c>
      <c r="T212" s="999" t="s">
        <v>1196</v>
      </c>
      <c r="U212" s="1000" t="s">
        <v>54</v>
      </c>
      <c r="V212" s="1000" t="s">
        <v>914</v>
      </c>
      <c r="W212" s="1003">
        <v>17720</v>
      </c>
      <c r="X212" s="1000" t="s">
        <v>903</v>
      </c>
      <c r="Y212" s="1000">
        <v>76</v>
      </c>
      <c r="Z212" s="1000" t="s">
        <v>904</v>
      </c>
      <c r="AA212" s="1000" t="s">
        <v>905</v>
      </c>
      <c r="AB212" s="1000" t="s">
        <v>925</v>
      </c>
      <c r="AC212" s="1000" t="s">
        <v>907</v>
      </c>
      <c r="AD212" s="1004">
        <v>13381.86</v>
      </c>
      <c r="AE212" s="1004">
        <f t="shared" si="30"/>
        <v>219685.53500000003</v>
      </c>
      <c r="AF212" s="1004">
        <f t="shared" si="34"/>
        <v>219685.53500000003</v>
      </c>
      <c r="AG212" s="1005">
        <f t="shared" si="29"/>
        <v>16.416666666666668</v>
      </c>
      <c r="AH212" s="1005">
        <f t="shared" si="31"/>
        <v>15.275182417295122</v>
      </c>
    </row>
    <row r="213" spans="1:34" x14ac:dyDescent="0.25">
      <c r="A213" s="999">
        <v>13300</v>
      </c>
      <c r="B213" s="999" t="s">
        <v>1214</v>
      </c>
      <c r="C213" s="999" t="s">
        <v>421</v>
      </c>
      <c r="D213" s="999" t="s">
        <v>894</v>
      </c>
      <c r="E213" s="999" t="s">
        <v>895</v>
      </c>
      <c r="F213" s="999">
        <v>1671481</v>
      </c>
      <c r="G213" s="1000">
        <v>8701954920</v>
      </c>
      <c r="H213" s="999" t="s">
        <v>1253</v>
      </c>
      <c r="I213" s="999" t="s">
        <v>897</v>
      </c>
      <c r="J213" s="1001">
        <v>39827</v>
      </c>
      <c r="K213" s="1001">
        <v>45835</v>
      </c>
      <c r="L213" s="1000">
        <f t="shared" si="32"/>
        <v>197</v>
      </c>
      <c r="M213" s="1002">
        <f t="shared" si="33"/>
        <v>16.416666666666668</v>
      </c>
      <c r="N213" s="1000">
        <v>16</v>
      </c>
      <c r="O213" s="1000">
        <v>16</v>
      </c>
      <c r="P213" s="1000">
        <v>43</v>
      </c>
      <c r="Q213" s="999" t="s">
        <v>898</v>
      </c>
      <c r="R213" s="999" t="s">
        <v>899</v>
      </c>
      <c r="S213" s="999" t="s">
        <v>900</v>
      </c>
      <c r="T213" s="999" t="s">
        <v>924</v>
      </c>
      <c r="U213" s="1000" t="s">
        <v>55</v>
      </c>
      <c r="V213" s="1000" t="s">
        <v>910</v>
      </c>
      <c r="W213" s="1003">
        <v>17372</v>
      </c>
      <c r="X213" s="1000" t="s">
        <v>903</v>
      </c>
      <c r="Y213" s="1000">
        <v>77</v>
      </c>
      <c r="Z213" s="1000" t="s">
        <v>904</v>
      </c>
      <c r="AA213" s="1000" t="s">
        <v>1244</v>
      </c>
      <c r="AB213" s="1000" t="s">
        <v>911</v>
      </c>
      <c r="AC213" s="1000" t="s">
        <v>907</v>
      </c>
      <c r="AD213" s="1004">
        <v>5333.97</v>
      </c>
      <c r="AE213" s="1004">
        <f t="shared" si="30"/>
        <v>87566.007500000007</v>
      </c>
      <c r="AF213" s="1004">
        <f t="shared" si="34"/>
        <v>87566.007500000007</v>
      </c>
      <c r="AG213" s="1005">
        <f t="shared" si="29"/>
        <v>16.416666666666668</v>
      </c>
      <c r="AH213" s="1005">
        <f t="shared" si="31"/>
        <v>13.824821952109025</v>
      </c>
    </row>
    <row r="214" spans="1:34" x14ac:dyDescent="0.25">
      <c r="A214" s="999">
        <v>13300</v>
      </c>
      <c r="B214" s="999" t="s">
        <v>1214</v>
      </c>
      <c r="C214" s="999" t="s">
        <v>421</v>
      </c>
      <c r="D214" s="999" t="s">
        <v>894</v>
      </c>
      <c r="E214" s="999" t="s">
        <v>895</v>
      </c>
      <c r="F214" s="999">
        <v>1670204</v>
      </c>
      <c r="G214" s="1000">
        <v>14130246372</v>
      </c>
      <c r="H214" s="999" t="s">
        <v>1254</v>
      </c>
      <c r="I214" s="999" t="s">
        <v>897</v>
      </c>
      <c r="J214" s="1001">
        <v>39815</v>
      </c>
      <c r="K214" s="1001">
        <v>45835</v>
      </c>
      <c r="L214" s="1000">
        <f t="shared" si="32"/>
        <v>197</v>
      </c>
      <c r="M214" s="1002">
        <f t="shared" si="33"/>
        <v>16.416666666666668</v>
      </c>
      <c r="N214" s="1000">
        <v>16</v>
      </c>
      <c r="O214" s="1000">
        <v>16</v>
      </c>
      <c r="P214" s="1000">
        <v>43</v>
      </c>
      <c r="Q214" s="999" t="s">
        <v>898</v>
      </c>
      <c r="R214" s="999" t="s">
        <v>899</v>
      </c>
      <c r="S214" s="999" t="s">
        <v>900</v>
      </c>
      <c r="T214" s="999" t="s">
        <v>924</v>
      </c>
      <c r="U214" s="1000" t="s">
        <v>55</v>
      </c>
      <c r="V214" s="1000" t="s">
        <v>910</v>
      </c>
      <c r="W214" s="1003">
        <v>18161</v>
      </c>
      <c r="X214" s="1000" t="s">
        <v>930</v>
      </c>
      <c r="Y214" s="1000">
        <v>75</v>
      </c>
      <c r="Z214" s="1000" t="s">
        <v>904</v>
      </c>
      <c r="AA214" s="1000" t="s">
        <v>1255</v>
      </c>
      <c r="AB214" s="1000" t="s">
        <v>911</v>
      </c>
      <c r="AC214" s="1000" t="s">
        <v>907</v>
      </c>
      <c r="AD214" s="1004">
        <v>5333.97</v>
      </c>
      <c r="AE214" s="1004">
        <f t="shared" si="30"/>
        <v>87566.007500000007</v>
      </c>
      <c r="AF214" s="1004">
        <f t="shared" si="34"/>
        <v>87566.007500000007</v>
      </c>
      <c r="AG214" s="1005">
        <f t="shared" si="29"/>
        <v>16.416666666666668</v>
      </c>
      <c r="AH214" s="1005">
        <f t="shared" si="31"/>
        <v>13.824821952109025</v>
      </c>
    </row>
    <row r="215" spans="1:34" x14ac:dyDescent="0.25">
      <c r="A215" s="999">
        <v>13300</v>
      </c>
      <c r="B215" s="999" t="s">
        <v>1214</v>
      </c>
      <c r="C215" s="999" t="s">
        <v>421</v>
      </c>
      <c r="D215" s="999" t="s">
        <v>894</v>
      </c>
      <c r="E215" s="999" t="s">
        <v>895</v>
      </c>
      <c r="F215" s="999">
        <v>1669909</v>
      </c>
      <c r="G215" s="1000">
        <v>9816003104</v>
      </c>
      <c r="H215" s="999" t="s">
        <v>1256</v>
      </c>
      <c r="I215" s="999" t="s">
        <v>897</v>
      </c>
      <c r="J215" s="1001">
        <v>39822</v>
      </c>
      <c r="K215" s="1001">
        <v>45835</v>
      </c>
      <c r="L215" s="1000">
        <f t="shared" si="32"/>
        <v>197</v>
      </c>
      <c r="M215" s="1002">
        <f t="shared" si="33"/>
        <v>16.416666666666668</v>
      </c>
      <c r="N215" s="1000">
        <v>16</v>
      </c>
      <c r="O215" s="1000">
        <v>16</v>
      </c>
      <c r="P215" s="1000">
        <v>43</v>
      </c>
      <c r="Q215" s="999" t="s">
        <v>898</v>
      </c>
      <c r="R215" s="999" t="s">
        <v>899</v>
      </c>
      <c r="S215" s="999" t="s">
        <v>900</v>
      </c>
      <c r="T215" s="999" t="s">
        <v>924</v>
      </c>
      <c r="U215" s="1000" t="s">
        <v>55</v>
      </c>
      <c r="V215" s="1000" t="s">
        <v>914</v>
      </c>
      <c r="W215" s="1003">
        <v>18313</v>
      </c>
      <c r="X215" s="1000" t="s">
        <v>930</v>
      </c>
      <c r="Y215" s="1000">
        <v>75</v>
      </c>
      <c r="Z215" s="1000" t="s">
        <v>904</v>
      </c>
      <c r="AA215" s="1000" t="s">
        <v>1257</v>
      </c>
      <c r="AB215" s="1000" t="s">
        <v>911</v>
      </c>
      <c r="AC215" s="1000" t="s">
        <v>907</v>
      </c>
      <c r="AD215" s="1004">
        <v>5647.66</v>
      </c>
      <c r="AE215" s="1004">
        <f t="shared" si="30"/>
        <v>92715.751666666678</v>
      </c>
      <c r="AF215" s="1004">
        <f t="shared" si="34"/>
        <v>92715.751666666678</v>
      </c>
      <c r="AG215" s="1005">
        <f t="shared" si="29"/>
        <v>16.416666666666668</v>
      </c>
      <c r="AH215" s="1005">
        <f t="shared" si="31"/>
        <v>13.947126006243803</v>
      </c>
    </row>
    <row r="216" spans="1:34" x14ac:dyDescent="0.25">
      <c r="A216" s="999">
        <v>13300</v>
      </c>
      <c r="B216" s="999" t="s">
        <v>1214</v>
      </c>
      <c r="C216" s="999" t="s">
        <v>421</v>
      </c>
      <c r="D216" s="999" t="s">
        <v>894</v>
      </c>
      <c r="E216" s="999" t="s">
        <v>895</v>
      </c>
      <c r="F216" s="999">
        <v>1695677</v>
      </c>
      <c r="G216" s="1000">
        <v>4270070110</v>
      </c>
      <c r="H216" s="999" t="s">
        <v>1258</v>
      </c>
      <c r="I216" s="999" t="s">
        <v>897</v>
      </c>
      <c r="J216" s="1001">
        <v>39933</v>
      </c>
      <c r="K216" s="1001">
        <v>45835</v>
      </c>
      <c r="L216" s="1000">
        <f t="shared" si="32"/>
        <v>193</v>
      </c>
      <c r="M216" s="1002">
        <f t="shared" si="33"/>
        <v>16.083333333333332</v>
      </c>
      <c r="N216" s="1000">
        <v>16</v>
      </c>
      <c r="O216" s="1000">
        <v>16</v>
      </c>
      <c r="P216" s="1000">
        <v>43</v>
      </c>
      <c r="Q216" s="999" t="s">
        <v>898</v>
      </c>
      <c r="R216" s="999" t="s">
        <v>899</v>
      </c>
      <c r="S216" s="999" t="s">
        <v>900</v>
      </c>
      <c r="T216" s="999" t="s">
        <v>924</v>
      </c>
      <c r="U216" s="1000" t="s">
        <v>55</v>
      </c>
      <c r="V216" s="1000" t="s">
        <v>914</v>
      </c>
      <c r="W216" s="1003">
        <v>16689</v>
      </c>
      <c r="X216" s="1000" t="s">
        <v>903</v>
      </c>
      <c r="Y216" s="1000">
        <v>79</v>
      </c>
      <c r="Z216" s="1000" t="s">
        <v>904</v>
      </c>
      <c r="AA216" s="1000" t="s">
        <v>1234</v>
      </c>
      <c r="AB216" s="1000" t="s">
        <v>911</v>
      </c>
      <c r="AC216" s="1000" t="s">
        <v>907</v>
      </c>
      <c r="AD216" s="1004">
        <v>20094.61</v>
      </c>
      <c r="AE216" s="1004">
        <f t="shared" si="30"/>
        <v>323188.31083333329</v>
      </c>
      <c r="AF216" s="1004">
        <f t="shared" si="34"/>
        <v>323188.31083333329</v>
      </c>
      <c r="AG216" s="1005">
        <f t="shared" si="29"/>
        <v>16.083333333333332</v>
      </c>
      <c r="AH216" s="1005">
        <f t="shared" si="31"/>
        <v>15.320895282412582</v>
      </c>
    </row>
    <row r="217" spans="1:34" x14ac:dyDescent="0.25">
      <c r="A217" s="999">
        <v>13300</v>
      </c>
      <c r="B217" s="999" t="s">
        <v>1214</v>
      </c>
      <c r="C217" s="999" t="s">
        <v>421</v>
      </c>
      <c r="D217" s="999" t="s">
        <v>894</v>
      </c>
      <c r="E217" s="999" t="s">
        <v>895</v>
      </c>
      <c r="F217" s="999">
        <v>1670655</v>
      </c>
      <c r="G217" s="1000">
        <v>9053417672</v>
      </c>
      <c r="H217" s="999" t="s">
        <v>1259</v>
      </c>
      <c r="I217" s="999" t="s">
        <v>897</v>
      </c>
      <c r="J217" s="1001">
        <v>39812</v>
      </c>
      <c r="K217" s="1001">
        <v>45835</v>
      </c>
      <c r="L217" s="1000">
        <f t="shared" si="32"/>
        <v>197</v>
      </c>
      <c r="M217" s="1002">
        <f t="shared" si="33"/>
        <v>16.416666666666668</v>
      </c>
      <c r="N217" s="1000">
        <v>16</v>
      </c>
      <c r="O217" s="1000">
        <v>16</v>
      </c>
      <c r="P217" s="1000">
        <v>43</v>
      </c>
      <c r="Q217" s="999" t="s">
        <v>898</v>
      </c>
      <c r="R217" s="999" t="s">
        <v>899</v>
      </c>
      <c r="S217" s="999" t="s">
        <v>900</v>
      </c>
      <c r="T217" s="999" t="s">
        <v>1196</v>
      </c>
      <c r="U217" s="1000" t="s">
        <v>54</v>
      </c>
      <c r="V217" s="1000" t="s">
        <v>914</v>
      </c>
      <c r="W217" s="1003">
        <v>16412</v>
      </c>
      <c r="X217" s="1000" t="s">
        <v>903</v>
      </c>
      <c r="Y217" s="1000">
        <v>80</v>
      </c>
      <c r="Z217" s="1000" t="s">
        <v>904</v>
      </c>
      <c r="AA217" s="1000" t="s">
        <v>905</v>
      </c>
      <c r="AB217" s="1000" t="s">
        <v>925</v>
      </c>
      <c r="AC217" s="1000" t="s">
        <v>907</v>
      </c>
      <c r="AD217" s="1004">
        <v>11524.17</v>
      </c>
      <c r="AE217" s="1004">
        <f t="shared" si="30"/>
        <v>189188.45750000002</v>
      </c>
      <c r="AF217" s="1004">
        <f t="shared" si="34"/>
        <v>189188.45750000002</v>
      </c>
      <c r="AG217" s="1005">
        <f t="shared" ref="AG217:AG230" si="35">AF217/AD217</f>
        <v>16.416666666666668</v>
      </c>
      <c r="AH217" s="1005">
        <f t="shared" si="31"/>
        <v>15.105867893840472</v>
      </c>
    </row>
    <row r="218" spans="1:34" x14ac:dyDescent="0.25">
      <c r="A218" s="999">
        <v>13300</v>
      </c>
      <c r="B218" s="999" t="s">
        <v>1214</v>
      </c>
      <c r="C218" s="999" t="s">
        <v>421</v>
      </c>
      <c r="D218" s="999" t="s">
        <v>894</v>
      </c>
      <c r="E218" s="999" t="s">
        <v>895</v>
      </c>
      <c r="F218" s="999">
        <v>1670958</v>
      </c>
      <c r="G218" s="1000">
        <v>9859446687</v>
      </c>
      <c r="H218" s="999" t="s">
        <v>1260</v>
      </c>
      <c r="I218" s="999" t="s">
        <v>897</v>
      </c>
      <c r="J218" s="1001">
        <v>39820</v>
      </c>
      <c r="K218" s="1001">
        <v>45835</v>
      </c>
      <c r="L218" s="1000">
        <f t="shared" si="32"/>
        <v>197</v>
      </c>
      <c r="M218" s="1002">
        <f t="shared" si="33"/>
        <v>16.416666666666668</v>
      </c>
      <c r="N218" s="1000">
        <v>16</v>
      </c>
      <c r="O218" s="1000">
        <v>16</v>
      </c>
      <c r="P218" s="1000">
        <v>43</v>
      </c>
      <c r="Q218" s="999" t="s">
        <v>898</v>
      </c>
      <c r="R218" s="999" t="s">
        <v>899</v>
      </c>
      <c r="S218" s="999" t="s">
        <v>900</v>
      </c>
      <c r="T218" s="999" t="s">
        <v>924</v>
      </c>
      <c r="U218" s="1000" t="s">
        <v>55</v>
      </c>
      <c r="V218" s="1000" t="s">
        <v>914</v>
      </c>
      <c r="W218" s="1003">
        <v>17194</v>
      </c>
      <c r="X218" s="1000" t="s">
        <v>903</v>
      </c>
      <c r="Y218" s="1000">
        <v>78</v>
      </c>
      <c r="Z218" s="1000" t="s">
        <v>904</v>
      </c>
      <c r="AA218" s="1000" t="s">
        <v>1174</v>
      </c>
      <c r="AB218" s="1000" t="s">
        <v>911</v>
      </c>
      <c r="AC218" s="1000" t="s">
        <v>907</v>
      </c>
      <c r="AD218" s="1004">
        <v>11346.87</v>
      </c>
      <c r="AE218" s="1004">
        <f t="shared" si="30"/>
        <v>186277.78250000003</v>
      </c>
      <c r="AF218" s="1004">
        <f t="shared" si="34"/>
        <v>186277.78250000003</v>
      </c>
      <c r="AG218" s="1005">
        <f t="shared" si="35"/>
        <v>16.416666666666668</v>
      </c>
      <c r="AH218" s="1005">
        <f t="shared" si="31"/>
        <v>15.087044935275095</v>
      </c>
    </row>
    <row r="219" spans="1:34" x14ac:dyDescent="0.25">
      <c r="A219" s="999">
        <v>13300</v>
      </c>
      <c r="B219" s="999" t="s">
        <v>1214</v>
      </c>
      <c r="C219" s="999" t="s">
        <v>421</v>
      </c>
      <c r="D219" s="999" t="s">
        <v>894</v>
      </c>
      <c r="E219" s="999" t="s">
        <v>895</v>
      </c>
      <c r="F219" s="999">
        <v>1901534</v>
      </c>
      <c r="G219" s="1000">
        <v>3727572353</v>
      </c>
      <c r="H219" s="999" t="s">
        <v>1261</v>
      </c>
      <c r="I219" s="999" t="s">
        <v>897</v>
      </c>
      <c r="J219" s="1001">
        <v>40878</v>
      </c>
      <c r="K219" s="1001">
        <v>45835</v>
      </c>
      <c r="L219" s="1000">
        <f t="shared" si="32"/>
        <v>162</v>
      </c>
      <c r="M219" s="1002">
        <f t="shared" si="33"/>
        <v>13.5</v>
      </c>
      <c r="N219" s="1000">
        <v>13</v>
      </c>
      <c r="O219" s="1000">
        <v>13</v>
      </c>
      <c r="P219" s="1000">
        <v>43</v>
      </c>
      <c r="Q219" s="999" t="s">
        <v>898</v>
      </c>
      <c r="R219" s="999" t="s">
        <v>899</v>
      </c>
      <c r="S219" s="999" t="s">
        <v>900</v>
      </c>
      <c r="T219" s="999" t="s">
        <v>924</v>
      </c>
      <c r="U219" s="1000" t="s">
        <v>55</v>
      </c>
      <c r="V219" s="1000" t="s">
        <v>914</v>
      </c>
      <c r="W219" s="1003">
        <v>17313</v>
      </c>
      <c r="X219" s="1000" t="s">
        <v>903</v>
      </c>
      <c r="Y219" s="1000">
        <v>77</v>
      </c>
      <c r="Z219" s="1000" t="s">
        <v>904</v>
      </c>
      <c r="AA219" s="1000" t="s">
        <v>1255</v>
      </c>
      <c r="AB219" s="1000" t="s">
        <v>911</v>
      </c>
      <c r="AC219" s="1000" t="s">
        <v>907</v>
      </c>
      <c r="AD219" s="1004">
        <v>10347.92</v>
      </c>
      <c r="AE219" s="1004">
        <f t="shared" si="30"/>
        <v>139696.92000000001</v>
      </c>
      <c r="AF219" s="1004">
        <f t="shared" si="34"/>
        <v>139696.92000000001</v>
      </c>
      <c r="AG219" s="1005">
        <f t="shared" si="35"/>
        <v>13.500000000000002</v>
      </c>
      <c r="AH219" s="1005">
        <f t="shared" si="31"/>
        <v>12.310354672926845</v>
      </c>
    </row>
    <row r="220" spans="1:34" x14ac:dyDescent="0.25">
      <c r="A220" s="999">
        <v>13300</v>
      </c>
      <c r="B220" s="999" t="s">
        <v>1214</v>
      </c>
      <c r="C220" s="999" t="s">
        <v>421</v>
      </c>
      <c r="D220" s="999" t="s">
        <v>894</v>
      </c>
      <c r="E220" s="999" t="s">
        <v>895</v>
      </c>
      <c r="F220" s="999">
        <v>1903333</v>
      </c>
      <c r="G220" s="1000">
        <v>4664779100</v>
      </c>
      <c r="H220" s="999" t="s">
        <v>1262</v>
      </c>
      <c r="I220" s="999" t="s">
        <v>897</v>
      </c>
      <c r="J220" s="1001">
        <v>40878</v>
      </c>
      <c r="K220" s="1001">
        <v>45835</v>
      </c>
      <c r="L220" s="1000">
        <f t="shared" si="32"/>
        <v>162</v>
      </c>
      <c r="M220" s="1002">
        <f t="shared" si="33"/>
        <v>13.5</v>
      </c>
      <c r="N220" s="1000">
        <v>13</v>
      </c>
      <c r="O220" s="1000">
        <v>13</v>
      </c>
      <c r="P220" s="1000">
        <v>43</v>
      </c>
      <c r="Q220" s="999" t="s">
        <v>898</v>
      </c>
      <c r="R220" s="999" t="s">
        <v>899</v>
      </c>
      <c r="S220" s="999" t="s">
        <v>900</v>
      </c>
      <c r="T220" s="999" t="s">
        <v>924</v>
      </c>
      <c r="U220" s="1000" t="s">
        <v>55</v>
      </c>
      <c r="V220" s="1000" t="s">
        <v>914</v>
      </c>
      <c r="W220" s="1003">
        <v>16475</v>
      </c>
      <c r="X220" s="1000" t="s">
        <v>903</v>
      </c>
      <c r="Y220" s="1000">
        <v>80</v>
      </c>
      <c r="Z220" s="1000" t="s">
        <v>904</v>
      </c>
      <c r="AA220" s="1000" t="s">
        <v>1246</v>
      </c>
      <c r="AB220" s="1000" t="s">
        <v>911</v>
      </c>
      <c r="AC220" s="1000" t="s">
        <v>907</v>
      </c>
      <c r="AD220" s="1004">
        <v>13211.65</v>
      </c>
      <c r="AE220" s="1004">
        <f t="shared" si="30"/>
        <v>178357.27499999999</v>
      </c>
      <c r="AF220" s="1004">
        <f t="shared" si="34"/>
        <v>178357.27499999999</v>
      </c>
      <c r="AG220" s="1005">
        <f t="shared" si="35"/>
        <v>13.5</v>
      </c>
      <c r="AH220" s="1005">
        <f t="shared" si="31"/>
        <v>12.550075114430767</v>
      </c>
    </row>
    <row r="221" spans="1:34" x14ac:dyDescent="0.25">
      <c r="A221" s="999">
        <v>13300</v>
      </c>
      <c r="B221" s="999" t="s">
        <v>1214</v>
      </c>
      <c r="C221" s="999" t="s">
        <v>421</v>
      </c>
      <c r="D221" s="999" t="s">
        <v>894</v>
      </c>
      <c r="E221" s="999" t="s">
        <v>895</v>
      </c>
      <c r="F221" s="999">
        <v>1672292</v>
      </c>
      <c r="G221" s="1000">
        <v>409014168</v>
      </c>
      <c r="H221" s="999" t="s">
        <v>1263</v>
      </c>
      <c r="I221" s="999" t="s">
        <v>897</v>
      </c>
      <c r="J221" s="1001">
        <v>39825</v>
      </c>
      <c r="K221" s="1001">
        <v>45835</v>
      </c>
      <c r="L221" s="1000">
        <f t="shared" si="32"/>
        <v>197</v>
      </c>
      <c r="M221" s="1002">
        <f t="shared" si="33"/>
        <v>16.416666666666668</v>
      </c>
      <c r="N221" s="1000">
        <v>16</v>
      </c>
      <c r="O221" s="1000">
        <v>16</v>
      </c>
      <c r="P221" s="1000">
        <v>43</v>
      </c>
      <c r="Q221" s="999" t="s">
        <v>898</v>
      </c>
      <c r="R221" s="999" t="s">
        <v>899</v>
      </c>
      <c r="S221" s="999" t="s">
        <v>900</v>
      </c>
      <c r="T221" s="999" t="s">
        <v>1196</v>
      </c>
      <c r="U221" s="1000" t="s">
        <v>54</v>
      </c>
      <c r="V221" s="1000" t="s">
        <v>914</v>
      </c>
      <c r="W221" s="1003">
        <v>13840</v>
      </c>
      <c r="X221" s="1000" t="s">
        <v>903</v>
      </c>
      <c r="Y221" s="1000">
        <v>87</v>
      </c>
      <c r="Z221" s="1000" t="s">
        <v>904</v>
      </c>
      <c r="AA221" s="1000" t="s">
        <v>1246</v>
      </c>
      <c r="AB221" s="1000" t="s">
        <v>925</v>
      </c>
      <c r="AC221" s="1000" t="s">
        <v>907</v>
      </c>
      <c r="AD221" s="1004">
        <v>12437.33</v>
      </c>
      <c r="AE221" s="1004">
        <f t="shared" si="30"/>
        <v>204179.50083333335</v>
      </c>
      <c r="AF221" s="1004">
        <f t="shared" si="34"/>
        <v>204179.50083333335</v>
      </c>
      <c r="AG221" s="1005">
        <f t="shared" si="35"/>
        <v>16.416666666666668</v>
      </c>
      <c r="AH221" s="1005">
        <f t="shared" si="31"/>
        <v>15.194945784120309</v>
      </c>
    </row>
    <row r="222" spans="1:34" x14ac:dyDescent="0.25">
      <c r="A222" s="999">
        <v>13300</v>
      </c>
      <c r="B222" s="999" t="s">
        <v>1214</v>
      </c>
      <c r="C222" s="999" t="s">
        <v>421</v>
      </c>
      <c r="D222" s="999" t="s">
        <v>894</v>
      </c>
      <c r="E222" s="999" t="s">
        <v>895</v>
      </c>
      <c r="F222" s="999">
        <v>1670203</v>
      </c>
      <c r="G222" s="1000">
        <v>10014071053</v>
      </c>
      <c r="H222" s="999" t="s">
        <v>1264</v>
      </c>
      <c r="I222" s="999" t="s">
        <v>897</v>
      </c>
      <c r="J222" s="1001">
        <v>39818</v>
      </c>
      <c r="K222" s="1001">
        <v>45835</v>
      </c>
      <c r="L222" s="1000">
        <f t="shared" si="32"/>
        <v>197</v>
      </c>
      <c r="M222" s="1002">
        <f t="shared" si="33"/>
        <v>16.416666666666668</v>
      </c>
      <c r="N222" s="1000">
        <v>16</v>
      </c>
      <c r="O222" s="1000">
        <v>16</v>
      </c>
      <c r="P222" s="1000">
        <v>43</v>
      </c>
      <c r="Q222" s="999" t="s">
        <v>898</v>
      </c>
      <c r="R222" s="999" t="s">
        <v>899</v>
      </c>
      <c r="S222" s="999" t="s">
        <v>900</v>
      </c>
      <c r="T222" s="999" t="s">
        <v>924</v>
      </c>
      <c r="U222" s="1000" t="s">
        <v>55</v>
      </c>
      <c r="V222" s="1000" t="s">
        <v>914</v>
      </c>
      <c r="W222" s="1003">
        <v>16656</v>
      </c>
      <c r="X222" s="1000" t="s">
        <v>903</v>
      </c>
      <c r="Y222" s="1000">
        <v>79</v>
      </c>
      <c r="Z222" s="1000" t="s">
        <v>904</v>
      </c>
      <c r="AA222" s="1000" t="s">
        <v>1244</v>
      </c>
      <c r="AB222" s="1000" t="s">
        <v>911</v>
      </c>
      <c r="AC222" s="1000" t="s">
        <v>907</v>
      </c>
      <c r="AD222" s="1004">
        <v>5333.97</v>
      </c>
      <c r="AE222" s="1004">
        <f t="shared" si="30"/>
        <v>87566.007500000007</v>
      </c>
      <c r="AF222" s="1004">
        <f t="shared" si="34"/>
        <v>87566.007500000007</v>
      </c>
      <c r="AG222" s="1005">
        <f t="shared" si="35"/>
        <v>16.416666666666668</v>
      </c>
      <c r="AH222" s="1005">
        <f t="shared" si="31"/>
        <v>13.824821952109025</v>
      </c>
    </row>
    <row r="223" spans="1:34" x14ac:dyDescent="0.25">
      <c r="A223" s="999">
        <v>13300</v>
      </c>
      <c r="B223" s="999" t="s">
        <v>1214</v>
      </c>
      <c r="C223" s="999" t="s">
        <v>421</v>
      </c>
      <c r="D223" s="999" t="s">
        <v>894</v>
      </c>
      <c r="E223" s="999" t="s">
        <v>895</v>
      </c>
      <c r="F223" s="999">
        <v>1670525</v>
      </c>
      <c r="G223" s="1000">
        <v>5757584149</v>
      </c>
      <c r="H223" s="999" t="s">
        <v>1265</v>
      </c>
      <c r="I223" s="999" t="s">
        <v>897</v>
      </c>
      <c r="J223" s="1001">
        <v>39811</v>
      </c>
      <c r="K223" s="1001">
        <v>45835</v>
      </c>
      <c r="L223" s="1000">
        <f t="shared" si="32"/>
        <v>197</v>
      </c>
      <c r="M223" s="1002">
        <f t="shared" si="33"/>
        <v>16.416666666666668</v>
      </c>
      <c r="N223" s="1000">
        <v>16</v>
      </c>
      <c r="O223" s="1000">
        <v>16</v>
      </c>
      <c r="P223" s="1000">
        <v>43</v>
      </c>
      <c r="Q223" s="999" t="s">
        <v>898</v>
      </c>
      <c r="R223" s="999" t="s">
        <v>899</v>
      </c>
      <c r="S223" s="999" t="s">
        <v>900</v>
      </c>
      <c r="T223" s="999" t="s">
        <v>924</v>
      </c>
      <c r="U223" s="1000" t="s">
        <v>55</v>
      </c>
      <c r="V223" s="1000" t="s">
        <v>914</v>
      </c>
      <c r="W223" s="1003">
        <v>13684</v>
      </c>
      <c r="X223" s="1000" t="s">
        <v>903</v>
      </c>
      <c r="Y223" s="1000">
        <v>87</v>
      </c>
      <c r="Z223" s="1000" t="s">
        <v>904</v>
      </c>
      <c r="AA223" s="1000" t="s">
        <v>905</v>
      </c>
      <c r="AB223" s="1000" t="s">
        <v>911</v>
      </c>
      <c r="AC223" s="1000" t="s">
        <v>907</v>
      </c>
      <c r="AD223" s="1004">
        <v>7523.54</v>
      </c>
      <c r="AE223" s="1004">
        <f t="shared" si="30"/>
        <v>123511.44833333335</v>
      </c>
      <c r="AF223" s="1004">
        <f t="shared" si="34"/>
        <v>123511.44833333335</v>
      </c>
      <c r="AG223" s="1005">
        <f t="shared" si="35"/>
        <v>16.416666666666668</v>
      </c>
      <c r="AH223" s="1005">
        <f t="shared" si="31"/>
        <v>14.490628111481067</v>
      </c>
    </row>
    <row r="224" spans="1:34" x14ac:dyDescent="0.25">
      <c r="A224" s="999">
        <v>13300</v>
      </c>
      <c r="B224" s="999" t="s">
        <v>1214</v>
      </c>
      <c r="C224" s="999" t="s">
        <v>421</v>
      </c>
      <c r="D224" s="999" t="s">
        <v>894</v>
      </c>
      <c r="E224" s="999" t="s">
        <v>895</v>
      </c>
      <c r="F224" s="999">
        <v>1966812</v>
      </c>
      <c r="G224" s="1000">
        <v>9432531791</v>
      </c>
      <c r="H224" s="999" t="s">
        <v>1266</v>
      </c>
      <c r="I224" s="999" t="s">
        <v>897</v>
      </c>
      <c r="J224" s="1001">
        <v>41162</v>
      </c>
      <c r="K224" s="1001">
        <v>45835</v>
      </c>
      <c r="L224" s="1000">
        <f t="shared" si="32"/>
        <v>153</v>
      </c>
      <c r="M224" s="1002">
        <f t="shared" si="33"/>
        <v>12.75</v>
      </c>
      <c r="N224" s="1000">
        <v>12</v>
      </c>
      <c r="O224" s="1000">
        <v>12</v>
      </c>
      <c r="P224" s="1000">
        <v>43</v>
      </c>
      <c r="Q224" s="999" t="s">
        <v>898</v>
      </c>
      <c r="R224" s="999" t="s">
        <v>899</v>
      </c>
      <c r="S224" s="999" t="s">
        <v>900</v>
      </c>
      <c r="T224" s="999" t="s">
        <v>1184</v>
      </c>
      <c r="U224" s="1000" t="s">
        <v>54</v>
      </c>
      <c r="V224" s="1000" t="s">
        <v>914</v>
      </c>
      <c r="W224" s="1003">
        <v>17420</v>
      </c>
      <c r="X224" s="1000" t="s">
        <v>903</v>
      </c>
      <c r="Y224" s="1000">
        <v>77</v>
      </c>
      <c r="Z224" s="1000" t="s">
        <v>904</v>
      </c>
      <c r="AA224" s="1000" t="s">
        <v>905</v>
      </c>
      <c r="AB224" s="1000" t="s">
        <v>925</v>
      </c>
      <c r="AC224" s="1000" t="s">
        <v>907</v>
      </c>
      <c r="AD224" s="1004">
        <v>17030.78</v>
      </c>
      <c r="AE224" s="1004">
        <f t="shared" si="30"/>
        <v>217142.44499999998</v>
      </c>
      <c r="AF224" s="1004">
        <f t="shared" si="34"/>
        <v>217142.44499999998</v>
      </c>
      <c r="AG224" s="1005">
        <f t="shared" si="35"/>
        <v>12.75</v>
      </c>
      <c r="AH224" s="1005">
        <f t="shared" si="31"/>
        <v>12.042875848964936</v>
      </c>
    </row>
    <row r="225" spans="1:34" x14ac:dyDescent="0.25">
      <c r="A225" s="999">
        <v>13300</v>
      </c>
      <c r="B225" s="999" t="s">
        <v>1214</v>
      </c>
      <c r="C225" s="999" t="s">
        <v>421</v>
      </c>
      <c r="D225" s="999" t="s">
        <v>894</v>
      </c>
      <c r="E225" s="999" t="s">
        <v>895</v>
      </c>
      <c r="F225" s="999">
        <v>1671608</v>
      </c>
      <c r="G225" s="1000">
        <v>10978232968</v>
      </c>
      <c r="H225" s="999" t="s">
        <v>1267</v>
      </c>
      <c r="I225" s="999" t="s">
        <v>897</v>
      </c>
      <c r="J225" s="1001">
        <v>39800</v>
      </c>
      <c r="K225" s="1001">
        <v>45835</v>
      </c>
      <c r="L225" s="1000">
        <f t="shared" si="32"/>
        <v>198</v>
      </c>
      <c r="M225" s="1002">
        <f t="shared" si="33"/>
        <v>16.5</v>
      </c>
      <c r="N225" s="1000">
        <v>16</v>
      </c>
      <c r="O225" s="1000">
        <v>16</v>
      </c>
      <c r="P225" s="1000">
        <v>43</v>
      </c>
      <c r="Q225" s="999" t="s">
        <v>898</v>
      </c>
      <c r="R225" s="999" t="s">
        <v>899</v>
      </c>
      <c r="S225" s="999" t="s">
        <v>900</v>
      </c>
      <c r="T225" s="999" t="s">
        <v>1196</v>
      </c>
      <c r="U225" s="1000" t="s">
        <v>54</v>
      </c>
      <c r="V225" s="1000" t="s">
        <v>914</v>
      </c>
      <c r="W225" s="1003">
        <v>17358</v>
      </c>
      <c r="X225" s="1000" t="s">
        <v>903</v>
      </c>
      <c r="Y225" s="1000">
        <v>77</v>
      </c>
      <c r="Z225" s="1000" t="s">
        <v>904</v>
      </c>
      <c r="AA225" s="1000" t="s">
        <v>1268</v>
      </c>
      <c r="AB225" s="1000" t="s">
        <v>925</v>
      </c>
      <c r="AC225" s="1000" t="s">
        <v>907</v>
      </c>
      <c r="AD225" s="1004">
        <v>27180.85</v>
      </c>
      <c r="AE225" s="1004">
        <f t="shared" si="30"/>
        <v>448484.02499999997</v>
      </c>
      <c r="AF225" s="1004">
        <v>350000</v>
      </c>
      <c r="AG225" s="1005">
        <f t="shared" si="35"/>
        <v>12.876712832748057</v>
      </c>
      <c r="AH225" s="1005">
        <f t="shared" si="31"/>
        <v>12.41978151830055</v>
      </c>
    </row>
    <row r="226" spans="1:34" x14ac:dyDescent="0.25">
      <c r="A226" s="999">
        <v>13300</v>
      </c>
      <c r="B226" s="999" t="s">
        <v>1214</v>
      </c>
      <c r="C226" s="999" t="s">
        <v>421</v>
      </c>
      <c r="D226" s="999" t="s">
        <v>894</v>
      </c>
      <c r="E226" s="999" t="s">
        <v>895</v>
      </c>
      <c r="F226" s="999">
        <v>1533912</v>
      </c>
      <c r="G226" s="1000">
        <v>35772557815</v>
      </c>
      <c r="H226" s="999" t="s">
        <v>1269</v>
      </c>
      <c r="I226" s="999" t="s">
        <v>897</v>
      </c>
      <c r="J226" s="1001">
        <v>39804</v>
      </c>
      <c r="K226" s="1001">
        <v>45835</v>
      </c>
      <c r="L226" s="1000">
        <f t="shared" si="32"/>
        <v>198</v>
      </c>
      <c r="M226" s="1002">
        <f t="shared" si="33"/>
        <v>16.5</v>
      </c>
      <c r="N226" s="1000">
        <v>16</v>
      </c>
      <c r="O226" s="1000">
        <v>16</v>
      </c>
      <c r="P226" s="1000">
        <v>43</v>
      </c>
      <c r="Q226" s="999" t="s">
        <v>898</v>
      </c>
      <c r="R226" s="999" t="s">
        <v>899</v>
      </c>
      <c r="S226" s="999" t="s">
        <v>900</v>
      </c>
      <c r="T226" s="999" t="s">
        <v>1196</v>
      </c>
      <c r="U226" s="1000" t="s">
        <v>54</v>
      </c>
      <c r="V226" s="1000" t="s">
        <v>914</v>
      </c>
      <c r="W226" s="1003">
        <v>17366</v>
      </c>
      <c r="X226" s="1000" t="s">
        <v>903</v>
      </c>
      <c r="Y226" s="1000">
        <v>77</v>
      </c>
      <c r="Z226" s="1000" t="s">
        <v>904</v>
      </c>
      <c r="AA226" s="1000" t="s">
        <v>905</v>
      </c>
      <c r="AB226" s="1000" t="s">
        <v>925</v>
      </c>
      <c r="AC226" s="1000" t="s">
        <v>907</v>
      </c>
      <c r="AD226" s="1004">
        <v>17028.91</v>
      </c>
      <c r="AE226" s="1004">
        <f t="shared" si="30"/>
        <v>280977.01500000001</v>
      </c>
      <c r="AF226" s="1004">
        <f t="shared" si="34"/>
        <v>280977.01500000001</v>
      </c>
      <c r="AG226" s="1005">
        <f t="shared" si="35"/>
        <v>16.5</v>
      </c>
      <c r="AH226" s="1005">
        <f t="shared" si="31"/>
        <v>15.58480324101679</v>
      </c>
    </row>
    <row r="227" spans="1:34" x14ac:dyDescent="0.25">
      <c r="A227" s="999">
        <v>13300</v>
      </c>
      <c r="B227" s="999" t="s">
        <v>1214</v>
      </c>
      <c r="C227" s="999" t="s">
        <v>421</v>
      </c>
      <c r="D227" s="999" t="s">
        <v>894</v>
      </c>
      <c r="E227" s="999" t="s">
        <v>895</v>
      </c>
      <c r="F227" s="999">
        <v>1671452</v>
      </c>
      <c r="G227" s="1000">
        <v>420450378</v>
      </c>
      <c r="H227" s="999" t="s">
        <v>1270</v>
      </c>
      <c r="I227" s="999" t="s">
        <v>897</v>
      </c>
      <c r="J227" s="1001">
        <v>39815</v>
      </c>
      <c r="K227" s="1001">
        <v>45835</v>
      </c>
      <c r="L227" s="1000">
        <f t="shared" si="32"/>
        <v>197</v>
      </c>
      <c r="M227" s="1002">
        <f t="shared" si="33"/>
        <v>16.416666666666668</v>
      </c>
      <c r="N227" s="1000">
        <v>16</v>
      </c>
      <c r="O227" s="1000">
        <v>16</v>
      </c>
      <c r="P227" s="1000">
        <v>43</v>
      </c>
      <c r="Q227" s="999" t="s">
        <v>898</v>
      </c>
      <c r="R227" s="999" t="s">
        <v>899</v>
      </c>
      <c r="S227" s="999" t="s">
        <v>900</v>
      </c>
      <c r="T227" s="999" t="s">
        <v>924</v>
      </c>
      <c r="U227" s="1000" t="s">
        <v>55</v>
      </c>
      <c r="V227" s="1000" t="s">
        <v>910</v>
      </c>
      <c r="W227" s="1003">
        <v>16889</v>
      </c>
      <c r="X227" s="1000" t="s">
        <v>903</v>
      </c>
      <c r="Y227" s="1000">
        <v>79</v>
      </c>
      <c r="Z227" s="1000" t="s">
        <v>904</v>
      </c>
      <c r="AA227" s="1000" t="s">
        <v>1217</v>
      </c>
      <c r="AB227" s="1000" t="s">
        <v>911</v>
      </c>
      <c r="AC227" s="1000" t="s">
        <v>907</v>
      </c>
      <c r="AD227" s="1004">
        <v>9580.89</v>
      </c>
      <c r="AE227" s="1004">
        <f t="shared" si="30"/>
        <v>157286.2775</v>
      </c>
      <c r="AF227" s="1004">
        <f t="shared" si="34"/>
        <v>157286.2775</v>
      </c>
      <c r="AG227" s="1005">
        <f t="shared" si="35"/>
        <v>16.416666666666668</v>
      </c>
      <c r="AH227" s="1005">
        <f t="shared" si="31"/>
        <v>14.865127366412466</v>
      </c>
    </row>
    <row r="228" spans="1:34" x14ac:dyDescent="0.25">
      <c r="A228" s="999">
        <v>13300</v>
      </c>
      <c r="B228" s="999" t="s">
        <v>1214</v>
      </c>
      <c r="C228" s="999" t="s">
        <v>421</v>
      </c>
      <c r="D228" s="999" t="s">
        <v>894</v>
      </c>
      <c r="E228" s="999" t="s">
        <v>895</v>
      </c>
      <c r="F228" s="999">
        <v>1671730</v>
      </c>
      <c r="G228" s="1000">
        <v>15710068772</v>
      </c>
      <c r="H228" s="999" t="s">
        <v>1271</v>
      </c>
      <c r="I228" s="999" t="s">
        <v>897</v>
      </c>
      <c r="J228" s="1001">
        <v>39832</v>
      </c>
      <c r="K228" s="1001">
        <v>45835</v>
      </c>
      <c r="L228" s="1000">
        <f t="shared" si="32"/>
        <v>197</v>
      </c>
      <c r="M228" s="1002">
        <f t="shared" si="33"/>
        <v>16.416666666666668</v>
      </c>
      <c r="N228" s="1000">
        <v>16</v>
      </c>
      <c r="O228" s="1000">
        <v>16</v>
      </c>
      <c r="P228" s="1000">
        <v>43</v>
      </c>
      <c r="Q228" s="999" t="s">
        <v>898</v>
      </c>
      <c r="R228" s="999" t="s">
        <v>899</v>
      </c>
      <c r="S228" s="999" t="s">
        <v>900</v>
      </c>
      <c r="T228" s="999" t="s">
        <v>924</v>
      </c>
      <c r="U228" s="1000" t="s">
        <v>55</v>
      </c>
      <c r="V228" s="1000" t="s">
        <v>914</v>
      </c>
      <c r="W228" s="1003">
        <v>16451</v>
      </c>
      <c r="X228" s="1000" t="s">
        <v>903</v>
      </c>
      <c r="Y228" s="1000">
        <v>80</v>
      </c>
      <c r="Z228" s="1000" t="s">
        <v>904</v>
      </c>
      <c r="AA228" s="1000" t="s">
        <v>1257</v>
      </c>
      <c r="AB228" s="1000" t="s">
        <v>911</v>
      </c>
      <c r="AC228" s="1000" t="s">
        <v>907</v>
      </c>
      <c r="AD228" s="1004">
        <v>7244.64</v>
      </c>
      <c r="AE228" s="1004">
        <f t="shared" si="30"/>
        <v>118932.84000000001</v>
      </c>
      <c r="AF228" s="1004">
        <f t="shared" si="34"/>
        <v>118932.84000000001</v>
      </c>
      <c r="AG228" s="1005">
        <f t="shared" si="35"/>
        <v>16.416666666666668</v>
      </c>
      <c r="AH228" s="1005">
        <f t="shared" si="31"/>
        <v>14.425474004929265</v>
      </c>
    </row>
    <row r="229" spans="1:34" x14ac:dyDescent="0.25">
      <c r="A229" s="999">
        <v>13300</v>
      </c>
      <c r="B229" s="999" t="s">
        <v>1214</v>
      </c>
      <c r="C229" s="999" t="s">
        <v>421</v>
      </c>
      <c r="D229" s="999" t="s">
        <v>894</v>
      </c>
      <c r="E229" s="999" t="s">
        <v>895</v>
      </c>
      <c r="F229" s="999">
        <v>1900819</v>
      </c>
      <c r="G229" s="1000">
        <v>15397343153</v>
      </c>
      <c r="H229" s="999" t="s">
        <v>1272</v>
      </c>
      <c r="I229" s="999" t="s">
        <v>897</v>
      </c>
      <c r="J229" s="1001">
        <v>40858</v>
      </c>
      <c r="K229" s="1001">
        <v>45835</v>
      </c>
      <c r="L229" s="1000">
        <f t="shared" si="32"/>
        <v>163</v>
      </c>
      <c r="M229" s="1002">
        <f t="shared" si="33"/>
        <v>13.583333333333334</v>
      </c>
      <c r="N229" s="1000">
        <v>13</v>
      </c>
      <c r="O229" s="1000">
        <v>13</v>
      </c>
      <c r="P229" s="1000">
        <v>43</v>
      </c>
      <c r="Q229" s="999" t="s">
        <v>898</v>
      </c>
      <c r="R229" s="999" t="s">
        <v>899</v>
      </c>
      <c r="S229" s="999" t="s">
        <v>900</v>
      </c>
      <c r="T229" s="999" t="s">
        <v>924</v>
      </c>
      <c r="U229" s="1000" t="s">
        <v>55</v>
      </c>
      <c r="V229" s="1000" t="s">
        <v>910</v>
      </c>
      <c r="W229" s="1003">
        <v>17339</v>
      </c>
      <c r="X229" s="1000" t="s">
        <v>903</v>
      </c>
      <c r="Y229" s="1000">
        <v>77</v>
      </c>
      <c r="Z229" s="1000" t="s">
        <v>904</v>
      </c>
      <c r="AA229" s="1000" t="s">
        <v>905</v>
      </c>
      <c r="AB229" s="1000" t="s">
        <v>911</v>
      </c>
      <c r="AC229" s="1000" t="s">
        <v>907</v>
      </c>
      <c r="AD229" s="1004">
        <v>9583.56</v>
      </c>
      <c r="AE229" s="1004">
        <f t="shared" si="30"/>
        <v>130176.69</v>
      </c>
      <c r="AF229" s="1004">
        <f t="shared" si="34"/>
        <v>130176.69</v>
      </c>
      <c r="AG229" s="1005">
        <f t="shared" si="35"/>
        <v>13.583333333333334</v>
      </c>
      <c r="AH229" s="1005">
        <f t="shared" si="31"/>
        <v>12.299896254190463</v>
      </c>
    </row>
    <row r="230" spans="1:34" x14ac:dyDescent="0.25">
      <c r="A230" s="999">
        <v>13300</v>
      </c>
      <c r="B230" s="999" t="s">
        <v>1214</v>
      </c>
      <c r="C230" s="999" t="s">
        <v>421</v>
      </c>
      <c r="D230" s="999" t="s">
        <v>894</v>
      </c>
      <c r="E230" s="999" t="s">
        <v>895</v>
      </c>
      <c r="F230" s="999">
        <v>1670945</v>
      </c>
      <c r="G230" s="1000">
        <v>7067119120</v>
      </c>
      <c r="H230" s="999" t="s">
        <v>1273</v>
      </c>
      <c r="I230" s="999" t="s">
        <v>897</v>
      </c>
      <c r="J230" s="1001">
        <v>39818</v>
      </c>
      <c r="K230" s="1001">
        <v>45835</v>
      </c>
      <c r="L230" s="1000">
        <f t="shared" si="32"/>
        <v>197</v>
      </c>
      <c r="M230" s="1002">
        <f t="shared" si="33"/>
        <v>16.416666666666668</v>
      </c>
      <c r="N230" s="1000">
        <v>16</v>
      </c>
      <c r="O230" s="1000">
        <v>16</v>
      </c>
      <c r="P230" s="1000">
        <v>43</v>
      </c>
      <c r="Q230" s="999" t="s">
        <v>898</v>
      </c>
      <c r="R230" s="999" t="s">
        <v>899</v>
      </c>
      <c r="S230" s="999" t="s">
        <v>900</v>
      </c>
      <c r="T230" s="999" t="s">
        <v>924</v>
      </c>
      <c r="U230" s="1000" t="s">
        <v>55</v>
      </c>
      <c r="V230" s="1000" t="s">
        <v>910</v>
      </c>
      <c r="W230" s="1003">
        <v>18191</v>
      </c>
      <c r="X230" s="1000" t="s">
        <v>903</v>
      </c>
      <c r="Y230" s="1000">
        <v>75</v>
      </c>
      <c r="Z230" s="1000" t="s">
        <v>904</v>
      </c>
      <c r="AA230" s="1000" t="s">
        <v>1240</v>
      </c>
      <c r="AB230" s="1000" t="s">
        <v>911</v>
      </c>
      <c r="AC230" s="1000" t="s">
        <v>907</v>
      </c>
      <c r="AD230" s="1004">
        <v>8434.33</v>
      </c>
      <c r="AE230" s="1004">
        <f t="shared" si="30"/>
        <v>138463.58416666667</v>
      </c>
      <c r="AF230" s="1004">
        <f t="shared" si="34"/>
        <v>138463.58416666667</v>
      </c>
      <c r="AG230" s="1005">
        <f t="shared" si="35"/>
        <v>16.416666666666668</v>
      </c>
      <c r="AH230" s="1005">
        <f t="shared" si="31"/>
        <v>14.67656782905269</v>
      </c>
    </row>
    <row r="231" spans="1:34" x14ac:dyDescent="0.25">
      <c r="A231" s="999">
        <v>13300</v>
      </c>
      <c r="B231" s="999" t="s">
        <v>1214</v>
      </c>
      <c r="C231" s="999" t="s">
        <v>421</v>
      </c>
      <c r="D231" s="999" t="s">
        <v>894</v>
      </c>
      <c r="E231" s="999" t="s">
        <v>895</v>
      </c>
      <c r="F231" s="999">
        <v>1671612</v>
      </c>
      <c r="G231" s="1000">
        <v>14239680930</v>
      </c>
      <c r="H231" s="999" t="s">
        <v>1275</v>
      </c>
      <c r="I231" s="999" t="s">
        <v>897</v>
      </c>
      <c r="J231" s="1001">
        <v>39815</v>
      </c>
      <c r="K231" s="1001">
        <v>45835</v>
      </c>
      <c r="L231" s="1000">
        <f t="shared" si="32"/>
        <v>197</v>
      </c>
      <c r="M231" s="1002">
        <f t="shared" si="33"/>
        <v>16.416666666666668</v>
      </c>
      <c r="N231" s="1000">
        <v>16</v>
      </c>
      <c r="O231" s="1000">
        <v>16</v>
      </c>
      <c r="P231" s="1000">
        <v>43</v>
      </c>
      <c r="Q231" s="999" t="s">
        <v>898</v>
      </c>
      <c r="R231" s="999" t="s">
        <v>899</v>
      </c>
      <c r="S231" s="999" t="s">
        <v>900</v>
      </c>
      <c r="T231" s="999" t="s">
        <v>924</v>
      </c>
      <c r="U231" s="1000" t="s">
        <v>55</v>
      </c>
      <c r="V231" s="1000" t="s">
        <v>914</v>
      </c>
      <c r="W231" s="1003">
        <v>18355</v>
      </c>
      <c r="X231" s="1000" t="s">
        <v>903</v>
      </c>
      <c r="Y231" s="1000">
        <v>75</v>
      </c>
      <c r="Z231" s="1000" t="s">
        <v>904</v>
      </c>
      <c r="AA231" s="1000" t="s">
        <v>1268</v>
      </c>
      <c r="AB231" s="1000" t="s">
        <v>911</v>
      </c>
      <c r="AC231" s="1000" t="s">
        <v>907</v>
      </c>
      <c r="AD231" s="1004">
        <v>6170.49</v>
      </c>
      <c r="AE231" s="1004">
        <f t="shared" si="30"/>
        <v>101298.8775</v>
      </c>
      <c r="AF231" s="1004">
        <f t="shared" si="34"/>
        <v>101298.8775</v>
      </c>
      <c r="AG231" s="1005">
        <f t="shared" ref="AG231:AG294" si="36">AF231/AD231</f>
        <v>16.416666666666668</v>
      </c>
      <c r="AH231" s="1005">
        <f t="shared" si="31"/>
        <v>14.127190401213864</v>
      </c>
    </row>
    <row r="232" spans="1:34" x14ac:dyDescent="0.25">
      <c r="A232" s="999">
        <v>17500</v>
      </c>
      <c r="B232" s="999" t="s">
        <v>1276</v>
      </c>
      <c r="C232" s="999" t="s">
        <v>1277</v>
      </c>
      <c r="D232" s="999" t="s">
        <v>894</v>
      </c>
      <c r="E232" s="999" t="s">
        <v>895</v>
      </c>
      <c r="F232" s="999">
        <v>1758702</v>
      </c>
      <c r="G232" s="1000">
        <v>7649029700</v>
      </c>
      <c r="H232" s="999" t="s">
        <v>1278</v>
      </c>
      <c r="I232" s="999" t="s">
        <v>897</v>
      </c>
      <c r="J232" s="1001">
        <v>40218</v>
      </c>
      <c r="K232" s="1001">
        <v>45835</v>
      </c>
      <c r="L232" s="1000">
        <f t="shared" si="32"/>
        <v>184</v>
      </c>
      <c r="M232" s="1002">
        <f t="shared" si="33"/>
        <v>15.333333333333334</v>
      </c>
      <c r="N232" s="1000">
        <v>15</v>
      </c>
      <c r="O232" s="1000">
        <v>15</v>
      </c>
      <c r="P232" s="1000">
        <v>43</v>
      </c>
      <c r="Q232" s="999" t="s">
        <v>898</v>
      </c>
      <c r="R232" s="999" t="s">
        <v>899</v>
      </c>
      <c r="S232" s="999" t="s">
        <v>900</v>
      </c>
      <c r="T232" s="999" t="s">
        <v>1279</v>
      </c>
      <c r="U232" s="1000" t="s">
        <v>54</v>
      </c>
      <c r="V232" s="1000" t="s">
        <v>902</v>
      </c>
      <c r="W232" s="1003">
        <v>16753</v>
      </c>
      <c r="X232" s="1000" t="s">
        <v>930</v>
      </c>
      <c r="Y232" s="1000">
        <v>79</v>
      </c>
      <c r="Z232" s="1000" t="s">
        <v>904</v>
      </c>
      <c r="AA232" s="1000" t="s">
        <v>905</v>
      </c>
      <c r="AB232" s="1000" t="s">
        <v>925</v>
      </c>
      <c r="AC232" s="1000" t="s">
        <v>907</v>
      </c>
      <c r="AD232" s="1004">
        <v>16170.18</v>
      </c>
      <c r="AE232" s="1004">
        <f t="shared" si="30"/>
        <v>247942.76</v>
      </c>
      <c r="AF232" s="1004">
        <f t="shared" si="34"/>
        <v>247942.76</v>
      </c>
      <c r="AG232" s="1005">
        <f t="shared" si="36"/>
        <v>15.333333333333334</v>
      </c>
      <c r="AH232" s="1005">
        <f t="shared" si="31"/>
        <v>14.440312215713522</v>
      </c>
    </row>
    <row r="233" spans="1:34" x14ac:dyDescent="0.25">
      <c r="A233" s="999">
        <v>13300</v>
      </c>
      <c r="B233" s="999" t="s">
        <v>1214</v>
      </c>
      <c r="C233" s="999" t="s">
        <v>421</v>
      </c>
      <c r="D233" s="999" t="s">
        <v>894</v>
      </c>
      <c r="E233" s="999" t="s">
        <v>895</v>
      </c>
      <c r="F233" s="999">
        <v>1131618</v>
      </c>
      <c r="G233" s="1000">
        <v>16311540100</v>
      </c>
      <c r="H233" s="999" t="s">
        <v>1280</v>
      </c>
      <c r="I233" s="999" t="s">
        <v>897</v>
      </c>
      <c r="J233" s="1001">
        <v>41810</v>
      </c>
      <c r="K233" s="1001">
        <v>45835</v>
      </c>
      <c r="L233" s="1000">
        <f t="shared" si="32"/>
        <v>132</v>
      </c>
      <c r="M233" s="1002">
        <f t="shared" si="33"/>
        <v>11</v>
      </c>
      <c r="N233" s="1000">
        <v>11</v>
      </c>
      <c r="O233" s="1000">
        <v>11</v>
      </c>
      <c r="P233" s="1000">
        <v>43</v>
      </c>
      <c r="Q233" s="999" t="s">
        <v>898</v>
      </c>
      <c r="R233" s="999" t="s">
        <v>899</v>
      </c>
      <c r="S233" s="999" t="s">
        <v>900</v>
      </c>
      <c r="T233" s="999" t="s">
        <v>924</v>
      </c>
      <c r="U233" s="1000" t="s">
        <v>55</v>
      </c>
      <c r="V233" s="1000" t="s">
        <v>914</v>
      </c>
      <c r="W233" s="1003">
        <v>16929</v>
      </c>
      <c r="X233" s="1000" t="s">
        <v>903</v>
      </c>
      <c r="Y233" s="1000">
        <v>78</v>
      </c>
      <c r="Z233" s="1000" t="s">
        <v>904</v>
      </c>
      <c r="AA233" s="1000" t="s">
        <v>1240</v>
      </c>
      <c r="AB233" s="1000" t="s">
        <v>911</v>
      </c>
      <c r="AC233" s="1000" t="s">
        <v>907</v>
      </c>
      <c r="AD233" s="1004">
        <v>11268.06</v>
      </c>
      <c r="AE233" s="1004">
        <f t="shared" si="30"/>
        <v>123948.65999999999</v>
      </c>
      <c r="AF233" s="1004">
        <f t="shared" si="34"/>
        <v>123948.65999999999</v>
      </c>
      <c r="AG233" s="1005">
        <f t="shared" si="36"/>
        <v>11</v>
      </c>
      <c r="AH233" s="1005">
        <f t="shared" si="31"/>
        <v>10.103362715865426</v>
      </c>
    </row>
    <row r="234" spans="1:34" x14ac:dyDescent="0.25">
      <c r="A234" s="999">
        <v>13300</v>
      </c>
      <c r="B234" s="999" t="s">
        <v>1214</v>
      </c>
      <c r="C234" s="999" t="s">
        <v>421</v>
      </c>
      <c r="D234" s="999" t="s">
        <v>894</v>
      </c>
      <c r="E234" s="999" t="s">
        <v>895</v>
      </c>
      <c r="F234" s="999">
        <v>1967048</v>
      </c>
      <c r="G234" s="1000">
        <v>799394653</v>
      </c>
      <c r="H234" s="999" t="s">
        <v>1281</v>
      </c>
      <c r="I234" s="999" t="s">
        <v>897</v>
      </c>
      <c r="J234" s="1001">
        <v>41162</v>
      </c>
      <c r="K234" s="1001">
        <v>45835</v>
      </c>
      <c r="L234" s="1000">
        <f t="shared" si="32"/>
        <v>153</v>
      </c>
      <c r="M234" s="1002">
        <f t="shared" si="33"/>
        <v>12.75</v>
      </c>
      <c r="N234" s="1000">
        <v>12</v>
      </c>
      <c r="O234" s="1000">
        <v>12</v>
      </c>
      <c r="P234" s="1000">
        <v>43</v>
      </c>
      <c r="Q234" s="999" t="s">
        <v>898</v>
      </c>
      <c r="R234" s="999" t="s">
        <v>899</v>
      </c>
      <c r="S234" s="999" t="s">
        <v>900</v>
      </c>
      <c r="T234" s="999" t="s">
        <v>924</v>
      </c>
      <c r="U234" s="1000" t="s">
        <v>55</v>
      </c>
      <c r="V234" s="1000" t="s">
        <v>914</v>
      </c>
      <c r="W234" s="1003">
        <v>13924</v>
      </c>
      <c r="X234" s="1000" t="s">
        <v>903</v>
      </c>
      <c r="Y234" s="1000">
        <v>87</v>
      </c>
      <c r="Z234" s="1000" t="s">
        <v>904</v>
      </c>
      <c r="AA234" s="1000" t="s">
        <v>905</v>
      </c>
      <c r="AB234" s="1000" t="s">
        <v>911</v>
      </c>
      <c r="AC234" s="1000" t="s">
        <v>907</v>
      </c>
      <c r="AD234" s="1004">
        <v>18127.88</v>
      </c>
      <c r="AE234" s="1004">
        <f t="shared" si="30"/>
        <v>231130.47</v>
      </c>
      <c r="AF234" s="1004">
        <f t="shared" si="34"/>
        <v>231130.47</v>
      </c>
      <c r="AG234" s="1005">
        <f t="shared" si="36"/>
        <v>12.75</v>
      </c>
      <c r="AH234" s="1005">
        <f t="shared" si="31"/>
        <v>12.083433710374594</v>
      </c>
    </row>
    <row r="235" spans="1:34" x14ac:dyDescent="0.25">
      <c r="A235" s="999">
        <v>13300</v>
      </c>
      <c r="B235" s="999" t="s">
        <v>1214</v>
      </c>
      <c r="C235" s="999" t="s">
        <v>421</v>
      </c>
      <c r="D235" s="999" t="s">
        <v>894</v>
      </c>
      <c r="E235" s="999" t="s">
        <v>895</v>
      </c>
      <c r="F235" s="999">
        <v>1670349</v>
      </c>
      <c r="G235" s="1000">
        <v>2849534072</v>
      </c>
      <c r="H235" s="999" t="s">
        <v>1282</v>
      </c>
      <c r="I235" s="999" t="s">
        <v>897</v>
      </c>
      <c r="J235" s="1001">
        <v>39821</v>
      </c>
      <c r="K235" s="1001">
        <v>45835</v>
      </c>
      <c r="L235" s="1000">
        <f t="shared" si="32"/>
        <v>197</v>
      </c>
      <c r="M235" s="1002">
        <f t="shared" si="33"/>
        <v>16.416666666666668</v>
      </c>
      <c r="N235" s="1000">
        <v>16</v>
      </c>
      <c r="O235" s="1000">
        <v>16</v>
      </c>
      <c r="P235" s="1000">
        <v>43</v>
      </c>
      <c r="Q235" s="999" t="s">
        <v>898</v>
      </c>
      <c r="R235" s="999" t="s">
        <v>899</v>
      </c>
      <c r="S235" s="999" t="s">
        <v>900</v>
      </c>
      <c r="T235" s="999" t="s">
        <v>924</v>
      </c>
      <c r="U235" s="1000" t="s">
        <v>55</v>
      </c>
      <c r="V235" s="1000" t="s">
        <v>914</v>
      </c>
      <c r="W235" s="1003">
        <v>14958</v>
      </c>
      <c r="X235" s="1000" t="s">
        <v>903</v>
      </c>
      <c r="Y235" s="1000">
        <v>84</v>
      </c>
      <c r="Z235" s="1000" t="s">
        <v>904</v>
      </c>
      <c r="AA235" s="1000" t="s">
        <v>1244</v>
      </c>
      <c r="AB235" s="1000" t="s">
        <v>911</v>
      </c>
      <c r="AC235" s="1000" t="s">
        <v>907</v>
      </c>
      <c r="AD235" s="1004">
        <v>5336.67</v>
      </c>
      <c r="AE235" s="1004">
        <f t="shared" si="30"/>
        <v>87610.332500000004</v>
      </c>
      <c r="AF235" s="1004">
        <f t="shared" si="34"/>
        <v>87610.332500000004</v>
      </c>
      <c r="AG235" s="1005">
        <f t="shared" si="36"/>
        <v>16.416666666666668</v>
      </c>
      <c r="AH235" s="1005">
        <f t="shared" si="31"/>
        <v>13.82592631461004</v>
      </c>
    </row>
    <row r="236" spans="1:34" x14ac:dyDescent="0.25">
      <c r="A236" s="999">
        <v>13300</v>
      </c>
      <c r="B236" s="999" t="s">
        <v>1214</v>
      </c>
      <c r="C236" s="999" t="s">
        <v>421</v>
      </c>
      <c r="D236" s="999" t="s">
        <v>894</v>
      </c>
      <c r="E236" s="999" t="s">
        <v>895</v>
      </c>
      <c r="F236" s="999">
        <v>1250904</v>
      </c>
      <c r="G236" s="1000">
        <v>3879704104</v>
      </c>
      <c r="H236" s="999" t="s">
        <v>1283</v>
      </c>
      <c r="I236" s="999" t="s">
        <v>920</v>
      </c>
      <c r="J236" s="1001">
        <v>44428</v>
      </c>
      <c r="K236" s="1001">
        <v>45835</v>
      </c>
      <c r="L236" s="1000">
        <f t="shared" si="32"/>
        <v>46</v>
      </c>
      <c r="M236" s="1002">
        <f t="shared" si="33"/>
        <v>3.8333333333333335</v>
      </c>
      <c r="N236" s="1000">
        <v>3</v>
      </c>
      <c r="O236" s="1000">
        <v>10</v>
      </c>
      <c r="P236" s="1000">
        <v>43</v>
      </c>
      <c r="Q236" s="999" t="s">
        <v>898</v>
      </c>
      <c r="R236" s="999" t="s">
        <v>899</v>
      </c>
      <c r="S236" s="999" t="s">
        <v>900</v>
      </c>
      <c r="T236" s="999" t="s">
        <v>924</v>
      </c>
      <c r="U236" s="1000" t="s">
        <v>55</v>
      </c>
      <c r="V236" s="1000" t="s">
        <v>914</v>
      </c>
      <c r="W236" s="1003">
        <v>17564</v>
      </c>
      <c r="X236" s="1000" t="s">
        <v>903</v>
      </c>
      <c r="Y236" s="1000">
        <v>77</v>
      </c>
      <c r="Z236" s="1000" t="s">
        <v>904</v>
      </c>
      <c r="AA236" s="1000" t="s">
        <v>1284</v>
      </c>
      <c r="AB236" s="1000" t="s">
        <v>911</v>
      </c>
      <c r="AC236" s="1000" t="s">
        <v>907</v>
      </c>
      <c r="AD236" s="1004">
        <v>20013.259999999998</v>
      </c>
      <c r="AE236" s="1004">
        <f t="shared" si="30"/>
        <v>76717.496666666659</v>
      </c>
      <c r="AF236" s="1004">
        <f t="shared" si="34"/>
        <v>76717.496666666659</v>
      </c>
      <c r="AG236" s="1005">
        <f t="shared" si="36"/>
        <v>3.833333333333333</v>
      </c>
      <c r="AH236" s="1005">
        <f t="shared" si="31"/>
        <v>3.6509088388316076</v>
      </c>
    </row>
    <row r="237" spans="1:34" x14ac:dyDescent="0.25">
      <c r="A237" s="999">
        <v>17500</v>
      </c>
      <c r="B237" s="999" t="s">
        <v>1276</v>
      </c>
      <c r="C237" s="999" t="s">
        <v>1277</v>
      </c>
      <c r="D237" s="999" t="s">
        <v>894</v>
      </c>
      <c r="E237" s="999" t="s">
        <v>895</v>
      </c>
      <c r="F237" s="999">
        <v>1757224</v>
      </c>
      <c r="G237" s="1000">
        <v>14376954187</v>
      </c>
      <c r="H237" s="999" t="s">
        <v>1285</v>
      </c>
      <c r="I237" s="999" t="s">
        <v>897</v>
      </c>
      <c r="J237" s="1001">
        <v>40213</v>
      </c>
      <c r="K237" s="1001">
        <v>45835</v>
      </c>
      <c r="L237" s="1000">
        <f t="shared" si="32"/>
        <v>184</v>
      </c>
      <c r="M237" s="1002">
        <f t="shared" si="33"/>
        <v>15.333333333333334</v>
      </c>
      <c r="N237" s="1000">
        <v>15</v>
      </c>
      <c r="O237" s="1000">
        <v>15</v>
      </c>
      <c r="P237" s="1000">
        <v>43</v>
      </c>
      <c r="Q237" s="999" t="s">
        <v>898</v>
      </c>
      <c r="R237" s="999" t="s">
        <v>899</v>
      </c>
      <c r="S237" s="999" t="s">
        <v>900</v>
      </c>
      <c r="T237" s="999" t="s">
        <v>1279</v>
      </c>
      <c r="U237" s="1000" t="s">
        <v>54</v>
      </c>
      <c r="V237" s="1000" t="s">
        <v>910</v>
      </c>
      <c r="W237" s="1003">
        <v>16365</v>
      </c>
      <c r="X237" s="1000" t="s">
        <v>930</v>
      </c>
      <c r="Y237" s="1000">
        <v>80</v>
      </c>
      <c r="Z237" s="1000" t="s">
        <v>904</v>
      </c>
      <c r="AA237" s="1000" t="s">
        <v>905</v>
      </c>
      <c r="AB237" s="1000" t="s">
        <v>925</v>
      </c>
      <c r="AC237" s="1000" t="s">
        <v>907</v>
      </c>
      <c r="AD237" s="1004">
        <v>10126.049999999999</v>
      </c>
      <c r="AE237" s="1004">
        <f t="shared" si="30"/>
        <v>155266.1</v>
      </c>
      <c r="AF237" s="1004">
        <f t="shared" si="34"/>
        <v>155266.1</v>
      </c>
      <c r="AG237" s="1005">
        <f t="shared" si="36"/>
        <v>15.333333333333336</v>
      </c>
      <c r="AH237" s="1005">
        <f t="shared" si="31"/>
        <v>13.955186252084074</v>
      </c>
    </row>
    <row r="238" spans="1:34" x14ac:dyDescent="0.25">
      <c r="A238" s="999">
        <v>13300</v>
      </c>
      <c r="B238" s="999" t="s">
        <v>1214</v>
      </c>
      <c r="C238" s="999" t="s">
        <v>421</v>
      </c>
      <c r="D238" s="999" t="s">
        <v>894</v>
      </c>
      <c r="E238" s="999" t="s">
        <v>895</v>
      </c>
      <c r="F238" s="999">
        <v>1670407</v>
      </c>
      <c r="G238" s="1000">
        <v>17086183091</v>
      </c>
      <c r="H238" s="999" t="s">
        <v>1286</v>
      </c>
      <c r="I238" s="999" t="s">
        <v>897</v>
      </c>
      <c r="J238" s="1001">
        <v>39815</v>
      </c>
      <c r="K238" s="1001">
        <v>45835</v>
      </c>
      <c r="L238" s="1000">
        <f t="shared" si="32"/>
        <v>197</v>
      </c>
      <c r="M238" s="1002">
        <f t="shared" si="33"/>
        <v>16.416666666666668</v>
      </c>
      <c r="N238" s="1000">
        <v>16</v>
      </c>
      <c r="O238" s="1000">
        <v>16</v>
      </c>
      <c r="P238" s="1000">
        <v>43</v>
      </c>
      <c r="Q238" s="999" t="s">
        <v>898</v>
      </c>
      <c r="R238" s="999" t="s">
        <v>899</v>
      </c>
      <c r="S238" s="999" t="s">
        <v>900</v>
      </c>
      <c r="T238" s="999" t="s">
        <v>924</v>
      </c>
      <c r="U238" s="1000" t="s">
        <v>55</v>
      </c>
      <c r="V238" s="1000" t="s">
        <v>914</v>
      </c>
      <c r="W238" s="1003">
        <v>18164</v>
      </c>
      <c r="X238" s="1000" t="s">
        <v>903</v>
      </c>
      <c r="Y238" s="1000">
        <v>75</v>
      </c>
      <c r="Z238" s="1000" t="s">
        <v>904</v>
      </c>
      <c r="AA238" s="1000" t="s">
        <v>1244</v>
      </c>
      <c r="AB238" s="1000" t="s">
        <v>911</v>
      </c>
      <c r="AC238" s="1000" t="s">
        <v>907</v>
      </c>
      <c r="AD238" s="1004">
        <v>5333.97</v>
      </c>
      <c r="AE238" s="1004">
        <f t="shared" si="30"/>
        <v>87566.007500000007</v>
      </c>
      <c r="AF238" s="1004">
        <f t="shared" si="34"/>
        <v>87566.007500000007</v>
      </c>
      <c r="AG238" s="1005">
        <f t="shared" si="36"/>
        <v>16.416666666666668</v>
      </c>
      <c r="AH238" s="1005">
        <f t="shared" si="31"/>
        <v>13.824821952109025</v>
      </c>
    </row>
    <row r="239" spans="1:34" x14ac:dyDescent="0.25">
      <c r="A239" s="999">
        <v>13300</v>
      </c>
      <c r="B239" s="999" t="s">
        <v>1214</v>
      </c>
      <c r="C239" s="999" t="s">
        <v>421</v>
      </c>
      <c r="D239" s="999" t="s">
        <v>894</v>
      </c>
      <c r="E239" s="999" t="s">
        <v>895</v>
      </c>
      <c r="F239" s="999">
        <v>1366246</v>
      </c>
      <c r="G239" s="1000">
        <v>3832716491</v>
      </c>
      <c r="H239" s="999" t="s">
        <v>1287</v>
      </c>
      <c r="I239" s="999" t="s">
        <v>1232</v>
      </c>
      <c r="J239" s="1001">
        <v>37390</v>
      </c>
      <c r="K239" s="1001">
        <v>45835</v>
      </c>
      <c r="L239" s="1000">
        <f t="shared" si="32"/>
        <v>277</v>
      </c>
      <c r="M239" s="1002">
        <f t="shared" si="33"/>
        <v>23.083333333333332</v>
      </c>
      <c r="N239" s="1000">
        <v>23</v>
      </c>
      <c r="O239" s="1000">
        <v>23</v>
      </c>
      <c r="P239" s="1000">
        <v>43</v>
      </c>
      <c r="Q239" s="999" t="s">
        <v>898</v>
      </c>
      <c r="R239" s="999" t="s">
        <v>899</v>
      </c>
      <c r="S239" s="999" t="s">
        <v>900</v>
      </c>
      <c r="T239" s="999" t="s">
        <v>924</v>
      </c>
      <c r="U239" s="1000" t="s">
        <v>55</v>
      </c>
      <c r="V239" s="1000" t="s">
        <v>914</v>
      </c>
      <c r="W239" s="1003">
        <v>17775</v>
      </c>
      <c r="X239" s="1000" t="s">
        <v>903</v>
      </c>
      <c r="Y239" s="1000">
        <v>76</v>
      </c>
      <c r="Z239" s="1000" t="s">
        <v>904</v>
      </c>
      <c r="AA239" s="1000" t="s">
        <v>1288</v>
      </c>
      <c r="AB239" s="1000" t="s">
        <v>911</v>
      </c>
      <c r="AC239" s="1000" t="s">
        <v>907</v>
      </c>
      <c r="AD239" s="1004">
        <v>5333.97</v>
      </c>
      <c r="AE239" s="1004">
        <f t="shared" si="30"/>
        <v>123125.8075</v>
      </c>
      <c r="AF239" s="1004">
        <f t="shared" si="34"/>
        <v>123125.8075</v>
      </c>
      <c r="AG239" s="1005">
        <f t="shared" si="36"/>
        <v>23.083333333333332</v>
      </c>
      <c r="AH239" s="1005">
        <f t="shared" si="31"/>
        <v>19.438962846366497</v>
      </c>
    </row>
    <row r="240" spans="1:34" x14ac:dyDescent="0.25">
      <c r="A240" s="999">
        <v>13300</v>
      </c>
      <c r="B240" s="999" t="s">
        <v>1214</v>
      </c>
      <c r="C240" s="999" t="s">
        <v>421</v>
      </c>
      <c r="D240" s="999" t="s">
        <v>894</v>
      </c>
      <c r="E240" s="999" t="s">
        <v>895</v>
      </c>
      <c r="F240" s="999">
        <v>1671042</v>
      </c>
      <c r="G240" s="1000">
        <v>2212200382</v>
      </c>
      <c r="H240" s="999" t="s">
        <v>1289</v>
      </c>
      <c r="I240" s="999" t="s">
        <v>897</v>
      </c>
      <c r="J240" s="1001">
        <v>39818</v>
      </c>
      <c r="K240" s="1001">
        <v>45835</v>
      </c>
      <c r="L240" s="1000">
        <f t="shared" si="32"/>
        <v>197</v>
      </c>
      <c r="M240" s="1002">
        <f t="shared" si="33"/>
        <v>16.416666666666668</v>
      </c>
      <c r="N240" s="1000">
        <v>16</v>
      </c>
      <c r="O240" s="1000">
        <v>16</v>
      </c>
      <c r="P240" s="1000">
        <v>43</v>
      </c>
      <c r="Q240" s="999" t="s">
        <v>898</v>
      </c>
      <c r="R240" s="999" t="s">
        <v>899</v>
      </c>
      <c r="S240" s="999" t="s">
        <v>900</v>
      </c>
      <c r="T240" s="999" t="s">
        <v>1196</v>
      </c>
      <c r="U240" s="1000" t="s">
        <v>54</v>
      </c>
      <c r="V240" s="1000" t="s">
        <v>914</v>
      </c>
      <c r="W240" s="1003">
        <v>18301</v>
      </c>
      <c r="X240" s="1000" t="s">
        <v>903</v>
      </c>
      <c r="Y240" s="1000">
        <v>75</v>
      </c>
      <c r="Z240" s="1000" t="s">
        <v>904</v>
      </c>
      <c r="AA240" s="1000" t="s">
        <v>1220</v>
      </c>
      <c r="AB240" s="1000" t="s">
        <v>925</v>
      </c>
      <c r="AC240" s="1000" t="s">
        <v>907</v>
      </c>
      <c r="AD240" s="1004">
        <v>16014.23</v>
      </c>
      <c r="AE240" s="1004">
        <f t="shared" si="30"/>
        <v>262900.27583333332</v>
      </c>
      <c r="AF240" s="1004">
        <f t="shared" si="34"/>
        <v>262900.27583333332</v>
      </c>
      <c r="AG240" s="1005">
        <f t="shared" si="36"/>
        <v>16.416666666666668</v>
      </c>
      <c r="AH240" s="1005">
        <f t="shared" si="31"/>
        <v>15.45178805231464</v>
      </c>
    </row>
    <row r="241" spans="1:34" x14ac:dyDescent="0.25">
      <c r="A241" s="999">
        <v>13300</v>
      </c>
      <c r="B241" s="999" t="s">
        <v>1214</v>
      </c>
      <c r="C241" s="999" t="s">
        <v>421</v>
      </c>
      <c r="D241" s="999" t="s">
        <v>894</v>
      </c>
      <c r="E241" s="999" t="s">
        <v>895</v>
      </c>
      <c r="F241" s="999">
        <v>1942348</v>
      </c>
      <c r="G241" s="1000">
        <v>1354345991</v>
      </c>
      <c r="H241" s="999" t="s">
        <v>1290</v>
      </c>
      <c r="I241" s="999" t="s">
        <v>920</v>
      </c>
      <c r="J241" s="1001">
        <v>41019</v>
      </c>
      <c r="K241" s="1001">
        <v>45835</v>
      </c>
      <c r="L241" s="1000">
        <f t="shared" si="32"/>
        <v>158</v>
      </c>
      <c r="M241" s="1002">
        <f t="shared" si="33"/>
        <v>13.166666666666666</v>
      </c>
      <c r="N241" s="1000">
        <v>13</v>
      </c>
      <c r="O241" s="1000">
        <v>13</v>
      </c>
      <c r="P241" s="1000">
        <v>43</v>
      </c>
      <c r="Q241" s="999" t="s">
        <v>898</v>
      </c>
      <c r="R241" s="999" t="s">
        <v>899</v>
      </c>
      <c r="S241" s="999" t="s">
        <v>900</v>
      </c>
      <c r="T241" s="999" t="s">
        <v>924</v>
      </c>
      <c r="U241" s="1000" t="s">
        <v>55</v>
      </c>
      <c r="V241" s="1000" t="s">
        <v>914</v>
      </c>
      <c r="W241" s="1003">
        <v>17019</v>
      </c>
      <c r="X241" s="1000" t="s">
        <v>903</v>
      </c>
      <c r="Y241" s="1000">
        <v>78</v>
      </c>
      <c r="Z241" s="1000" t="s">
        <v>904</v>
      </c>
      <c r="AA241" s="1000" t="s">
        <v>1291</v>
      </c>
      <c r="AB241" s="1000" t="s">
        <v>911</v>
      </c>
      <c r="AC241" s="1000" t="s">
        <v>907</v>
      </c>
      <c r="AD241" s="1004">
        <v>14794.09</v>
      </c>
      <c r="AE241" s="1004">
        <f t="shared" si="30"/>
        <v>194788.85166666665</v>
      </c>
      <c r="AF241" s="1004">
        <f t="shared" si="34"/>
        <v>194788.85166666665</v>
      </c>
      <c r="AG241" s="1005">
        <f t="shared" si="36"/>
        <v>13.166666666666666</v>
      </c>
      <c r="AH241" s="1005">
        <f t="shared" si="31"/>
        <v>12.333021507834047</v>
      </c>
    </row>
    <row r="242" spans="1:34" x14ac:dyDescent="0.25">
      <c r="A242" s="999">
        <v>13300</v>
      </c>
      <c r="B242" s="999" t="s">
        <v>1214</v>
      </c>
      <c r="C242" s="999" t="s">
        <v>421</v>
      </c>
      <c r="D242" s="999" t="s">
        <v>894</v>
      </c>
      <c r="E242" s="999" t="s">
        <v>895</v>
      </c>
      <c r="F242" s="999">
        <v>1318421</v>
      </c>
      <c r="G242" s="1000">
        <v>10619445815</v>
      </c>
      <c r="H242" s="999" t="s">
        <v>1292</v>
      </c>
      <c r="I242" s="999" t="s">
        <v>920</v>
      </c>
      <c r="J242" s="1001">
        <v>44900</v>
      </c>
      <c r="K242" s="1001">
        <v>45835</v>
      </c>
      <c r="L242" s="1000">
        <f t="shared" si="32"/>
        <v>30</v>
      </c>
      <c r="M242" s="1002">
        <f t="shared" si="33"/>
        <v>2.5</v>
      </c>
      <c r="N242" s="1000">
        <v>2</v>
      </c>
      <c r="O242" s="1000">
        <v>10</v>
      </c>
      <c r="P242" s="1000">
        <v>43</v>
      </c>
      <c r="Q242" s="999" t="s">
        <v>898</v>
      </c>
      <c r="R242" s="999" t="s">
        <v>899</v>
      </c>
      <c r="S242" s="999" t="s">
        <v>900</v>
      </c>
      <c r="T242" s="999" t="s">
        <v>924</v>
      </c>
      <c r="U242" s="1000" t="s">
        <v>55</v>
      </c>
      <c r="V242" s="1000" t="s">
        <v>914</v>
      </c>
      <c r="W242" s="1003">
        <v>16215</v>
      </c>
      <c r="X242" s="1000" t="s">
        <v>903</v>
      </c>
      <c r="Y242" s="1000">
        <v>80</v>
      </c>
      <c r="Z242" s="1000" t="s">
        <v>904</v>
      </c>
      <c r="AA242" s="1000" t="s">
        <v>1169</v>
      </c>
      <c r="AB242" s="1000" t="s">
        <v>911</v>
      </c>
      <c r="AC242" s="1000" t="s">
        <v>907</v>
      </c>
      <c r="AD242" s="1004">
        <v>19384.939999999999</v>
      </c>
      <c r="AE242" s="1004">
        <f t="shared" si="30"/>
        <v>48462.35</v>
      </c>
      <c r="AF242" s="1004">
        <f t="shared" si="34"/>
        <v>48462.35</v>
      </c>
      <c r="AG242" s="1005">
        <f t="shared" si="36"/>
        <v>2.5</v>
      </c>
      <c r="AH242" s="1005">
        <f t="shared" si="31"/>
        <v>2.3773604435431257</v>
      </c>
    </row>
    <row r="243" spans="1:34" x14ac:dyDescent="0.25">
      <c r="A243" s="999">
        <v>17500</v>
      </c>
      <c r="B243" s="999" t="s">
        <v>1276</v>
      </c>
      <c r="C243" s="999" t="s">
        <v>1277</v>
      </c>
      <c r="D243" s="999" t="s">
        <v>894</v>
      </c>
      <c r="E243" s="999" t="s">
        <v>895</v>
      </c>
      <c r="F243" s="999">
        <v>1202502</v>
      </c>
      <c r="G243" s="1000">
        <v>31730094791</v>
      </c>
      <c r="H243" s="999" t="s">
        <v>1293</v>
      </c>
      <c r="I243" s="999" t="s">
        <v>897</v>
      </c>
      <c r="J243" s="1001">
        <v>44047</v>
      </c>
      <c r="K243" s="1001">
        <v>45835</v>
      </c>
      <c r="L243" s="1000">
        <f t="shared" si="32"/>
        <v>58</v>
      </c>
      <c r="M243" s="1002">
        <f t="shared" si="33"/>
        <v>4.833333333333333</v>
      </c>
      <c r="N243" s="1000">
        <v>4</v>
      </c>
      <c r="O243" s="1000">
        <v>10</v>
      </c>
      <c r="P243" s="1000">
        <v>43</v>
      </c>
      <c r="Q243" s="999" t="s">
        <v>898</v>
      </c>
      <c r="R243" s="999" t="s">
        <v>899</v>
      </c>
      <c r="S243" s="999" t="s">
        <v>900</v>
      </c>
      <c r="T243" s="999" t="s">
        <v>1294</v>
      </c>
      <c r="U243" s="1000"/>
      <c r="V243" s="1000" t="s">
        <v>921</v>
      </c>
      <c r="W243" s="1003">
        <v>17888</v>
      </c>
      <c r="X243" s="1000" t="s">
        <v>903</v>
      </c>
      <c r="Y243" s="1000">
        <v>76</v>
      </c>
      <c r="Z243" s="1000" t="s">
        <v>904</v>
      </c>
      <c r="AA243" s="1000" t="s">
        <v>905</v>
      </c>
      <c r="AB243" s="1000" t="s">
        <v>1295</v>
      </c>
      <c r="AC243" s="1000" t="s">
        <v>907</v>
      </c>
      <c r="AD243" s="1004">
        <v>2712.31</v>
      </c>
      <c r="AE243" s="1004">
        <f t="shared" si="30"/>
        <v>13109.498333333333</v>
      </c>
      <c r="AF243" s="1004">
        <f t="shared" si="34"/>
        <v>13109.498333333333</v>
      </c>
      <c r="AG243" s="1005">
        <f t="shared" si="36"/>
        <v>4.833333333333333</v>
      </c>
      <c r="AH243" s="1005">
        <f t="shared" si="31"/>
        <v>3.5313587317151134</v>
      </c>
    </row>
    <row r="244" spans="1:34" x14ac:dyDescent="0.25">
      <c r="A244" s="999">
        <v>17500</v>
      </c>
      <c r="B244" s="999" t="s">
        <v>1276</v>
      </c>
      <c r="C244" s="999" t="s">
        <v>1277</v>
      </c>
      <c r="D244" s="999" t="s">
        <v>894</v>
      </c>
      <c r="E244" s="999" t="s">
        <v>895</v>
      </c>
      <c r="F244" s="999">
        <v>1781364</v>
      </c>
      <c r="G244" s="1000">
        <v>35446056787</v>
      </c>
      <c r="H244" s="999" t="s">
        <v>1296</v>
      </c>
      <c r="I244" s="999" t="s">
        <v>920</v>
      </c>
      <c r="J244" s="1001">
        <v>40301</v>
      </c>
      <c r="K244" s="1001">
        <v>45835</v>
      </c>
      <c r="L244" s="1000">
        <f t="shared" si="32"/>
        <v>181</v>
      </c>
      <c r="M244" s="1002">
        <f t="shared" si="33"/>
        <v>15.083333333333334</v>
      </c>
      <c r="N244" s="1000">
        <v>15</v>
      </c>
      <c r="O244" s="1000">
        <v>15</v>
      </c>
      <c r="P244" s="1000">
        <v>43</v>
      </c>
      <c r="Q244" s="999" t="s">
        <v>898</v>
      </c>
      <c r="R244" s="999" t="s">
        <v>899</v>
      </c>
      <c r="S244" s="999" t="s">
        <v>900</v>
      </c>
      <c r="T244" s="999" t="s">
        <v>1297</v>
      </c>
      <c r="U244" s="1000" t="s">
        <v>55</v>
      </c>
      <c r="V244" s="1000" t="s">
        <v>910</v>
      </c>
      <c r="W244" s="1003">
        <v>17398</v>
      </c>
      <c r="X244" s="1000" t="s">
        <v>903</v>
      </c>
      <c r="Y244" s="1000">
        <v>77</v>
      </c>
      <c r="Z244" s="1000" t="s">
        <v>904</v>
      </c>
      <c r="AA244" s="1000" t="s">
        <v>905</v>
      </c>
      <c r="AB244" s="1000" t="s">
        <v>911</v>
      </c>
      <c r="AC244" s="1000" t="s">
        <v>907</v>
      </c>
      <c r="AD244" s="1004">
        <v>5333.97</v>
      </c>
      <c r="AE244" s="1004">
        <f t="shared" si="30"/>
        <v>80454.047500000001</v>
      </c>
      <c r="AF244" s="1004">
        <f t="shared" si="34"/>
        <v>80454.047500000001</v>
      </c>
      <c r="AG244" s="1005">
        <f t="shared" si="36"/>
        <v>15.083333333333332</v>
      </c>
      <c r="AH244" s="1005">
        <f t="shared" si="31"/>
        <v>12.701993773257531</v>
      </c>
    </row>
    <row r="245" spans="1:34" x14ac:dyDescent="0.25">
      <c r="A245" s="999">
        <v>13300</v>
      </c>
      <c r="B245" s="999" t="s">
        <v>1214</v>
      </c>
      <c r="C245" s="999" t="s">
        <v>421</v>
      </c>
      <c r="D245" s="999" t="s">
        <v>894</v>
      </c>
      <c r="E245" s="999" t="s">
        <v>895</v>
      </c>
      <c r="F245" s="999">
        <v>1870892</v>
      </c>
      <c r="G245" s="1000">
        <v>4454332487</v>
      </c>
      <c r="H245" s="999" t="s">
        <v>1298</v>
      </c>
      <c r="I245" s="999" t="s">
        <v>897</v>
      </c>
      <c r="J245" s="1001">
        <v>40695</v>
      </c>
      <c r="K245" s="1001">
        <v>45835</v>
      </c>
      <c r="L245" s="1000">
        <f t="shared" si="32"/>
        <v>168</v>
      </c>
      <c r="M245" s="1002">
        <f t="shared" si="33"/>
        <v>14</v>
      </c>
      <c r="N245" s="1000">
        <v>14</v>
      </c>
      <c r="O245" s="1000">
        <v>14</v>
      </c>
      <c r="P245" s="1000">
        <v>43</v>
      </c>
      <c r="Q245" s="999" t="s">
        <v>898</v>
      </c>
      <c r="R245" s="999" t="s">
        <v>899</v>
      </c>
      <c r="S245" s="999" t="s">
        <v>900</v>
      </c>
      <c r="T245" s="999" t="s">
        <v>924</v>
      </c>
      <c r="U245" s="1000" t="s">
        <v>55</v>
      </c>
      <c r="V245" s="1000" t="s">
        <v>914</v>
      </c>
      <c r="W245" s="1003">
        <v>14745</v>
      </c>
      <c r="X245" s="1000" t="s">
        <v>903</v>
      </c>
      <c r="Y245" s="1000">
        <v>84</v>
      </c>
      <c r="Z245" s="1000" t="s">
        <v>904</v>
      </c>
      <c r="AA245" s="1000" t="s">
        <v>1291</v>
      </c>
      <c r="AB245" s="1000" t="s">
        <v>911</v>
      </c>
      <c r="AC245" s="1000" t="s">
        <v>907</v>
      </c>
      <c r="AD245" s="1004">
        <v>26992.29</v>
      </c>
      <c r="AE245" s="1004">
        <f t="shared" si="30"/>
        <v>377892.06</v>
      </c>
      <c r="AF245" s="1004">
        <v>350000</v>
      </c>
      <c r="AG245" s="1005">
        <f t="shared" si="36"/>
        <v>12.966665666381029</v>
      </c>
      <c r="AH245" s="1005">
        <f t="shared" si="31"/>
        <v>12.503442912316212</v>
      </c>
    </row>
    <row r="246" spans="1:34" x14ac:dyDescent="0.25">
      <c r="A246" s="999">
        <v>13300</v>
      </c>
      <c r="B246" s="999" t="s">
        <v>1214</v>
      </c>
      <c r="C246" s="999" t="s">
        <v>421</v>
      </c>
      <c r="D246" s="999" t="s">
        <v>894</v>
      </c>
      <c r="E246" s="999" t="s">
        <v>895</v>
      </c>
      <c r="F246" s="999">
        <v>1670830</v>
      </c>
      <c r="G246" s="1000">
        <v>9395865334</v>
      </c>
      <c r="H246" s="999" t="s">
        <v>1299</v>
      </c>
      <c r="I246" s="999" t="s">
        <v>897</v>
      </c>
      <c r="J246" s="1001">
        <v>39821</v>
      </c>
      <c r="K246" s="1001">
        <v>45835</v>
      </c>
      <c r="L246" s="1000">
        <f t="shared" si="32"/>
        <v>197</v>
      </c>
      <c r="M246" s="1002">
        <f t="shared" si="33"/>
        <v>16.416666666666668</v>
      </c>
      <c r="N246" s="1000">
        <v>16</v>
      </c>
      <c r="O246" s="1000">
        <v>16</v>
      </c>
      <c r="P246" s="1000">
        <v>43</v>
      </c>
      <c r="Q246" s="999" t="s">
        <v>898</v>
      </c>
      <c r="R246" s="999" t="s">
        <v>899</v>
      </c>
      <c r="S246" s="999" t="s">
        <v>900</v>
      </c>
      <c r="T246" s="999" t="s">
        <v>924</v>
      </c>
      <c r="U246" s="1000" t="s">
        <v>55</v>
      </c>
      <c r="V246" s="1000" t="s">
        <v>910</v>
      </c>
      <c r="W246" s="1003">
        <v>17161</v>
      </c>
      <c r="X246" s="1000" t="s">
        <v>903</v>
      </c>
      <c r="Y246" s="1000">
        <v>78</v>
      </c>
      <c r="Z246" s="1000" t="s">
        <v>904</v>
      </c>
      <c r="AA246" s="1000" t="s">
        <v>1185</v>
      </c>
      <c r="AB246" s="1000" t="s">
        <v>911</v>
      </c>
      <c r="AC246" s="1000" t="s">
        <v>907</v>
      </c>
      <c r="AD246" s="1004">
        <v>5333.97</v>
      </c>
      <c r="AE246" s="1004">
        <f t="shared" si="30"/>
        <v>87566.007500000007</v>
      </c>
      <c r="AF246" s="1004">
        <f t="shared" si="34"/>
        <v>87566.007500000007</v>
      </c>
      <c r="AG246" s="1005">
        <f t="shared" si="36"/>
        <v>16.416666666666668</v>
      </c>
      <c r="AH246" s="1005">
        <f t="shared" si="31"/>
        <v>13.824821952109025</v>
      </c>
    </row>
    <row r="247" spans="1:34" x14ac:dyDescent="0.25">
      <c r="A247" s="999">
        <v>13300</v>
      </c>
      <c r="B247" s="999" t="s">
        <v>1214</v>
      </c>
      <c r="C247" s="999" t="s">
        <v>421</v>
      </c>
      <c r="D247" s="999" t="s">
        <v>894</v>
      </c>
      <c r="E247" s="999" t="s">
        <v>895</v>
      </c>
      <c r="F247" s="999">
        <v>1670873</v>
      </c>
      <c r="G247" s="1000">
        <v>1141457334</v>
      </c>
      <c r="H247" s="999" t="s">
        <v>1300</v>
      </c>
      <c r="I247" s="999" t="s">
        <v>897</v>
      </c>
      <c r="J247" s="1001">
        <v>39798</v>
      </c>
      <c r="K247" s="1001">
        <v>45835</v>
      </c>
      <c r="L247" s="1000">
        <f t="shared" si="32"/>
        <v>198</v>
      </c>
      <c r="M247" s="1002">
        <f t="shared" si="33"/>
        <v>16.5</v>
      </c>
      <c r="N247" s="1000">
        <v>16</v>
      </c>
      <c r="O247" s="1000">
        <v>16</v>
      </c>
      <c r="P247" s="1000">
        <v>43</v>
      </c>
      <c r="Q247" s="999" t="s">
        <v>898</v>
      </c>
      <c r="R247" s="999" t="s">
        <v>899</v>
      </c>
      <c r="S247" s="999" t="s">
        <v>900</v>
      </c>
      <c r="T247" s="999" t="s">
        <v>924</v>
      </c>
      <c r="U247" s="1000" t="s">
        <v>55</v>
      </c>
      <c r="V247" s="1000" t="s">
        <v>914</v>
      </c>
      <c r="W247" s="1003">
        <v>15428</v>
      </c>
      <c r="X247" s="1000" t="s">
        <v>903</v>
      </c>
      <c r="Y247" s="1000">
        <v>83</v>
      </c>
      <c r="Z247" s="1000" t="s">
        <v>904</v>
      </c>
      <c r="AA247" s="1000" t="s">
        <v>1240</v>
      </c>
      <c r="AB247" s="1000" t="s">
        <v>911</v>
      </c>
      <c r="AC247" s="1000" t="s">
        <v>907</v>
      </c>
      <c r="AD247" s="1004">
        <v>14561.83</v>
      </c>
      <c r="AE247" s="1004">
        <f t="shared" si="30"/>
        <v>240270.19500000001</v>
      </c>
      <c r="AF247" s="1004">
        <f t="shared" si="34"/>
        <v>240270.19500000001</v>
      </c>
      <c r="AG247" s="1005">
        <f t="shared" si="36"/>
        <v>16.5</v>
      </c>
      <c r="AH247" s="1005">
        <f t="shared" si="31"/>
        <v>15.439713388463954</v>
      </c>
    </row>
    <row r="248" spans="1:34" x14ac:dyDescent="0.25">
      <c r="A248" s="999">
        <v>13300</v>
      </c>
      <c r="B248" s="999" t="s">
        <v>1214</v>
      </c>
      <c r="C248" s="999" t="s">
        <v>421</v>
      </c>
      <c r="D248" s="999" t="s">
        <v>894</v>
      </c>
      <c r="E248" s="999" t="s">
        <v>895</v>
      </c>
      <c r="F248" s="999">
        <v>1670423</v>
      </c>
      <c r="G248" s="1000">
        <v>18772234091</v>
      </c>
      <c r="H248" s="999" t="s">
        <v>1301</v>
      </c>
      <c r="I248" s="999" t="s">
        <v>897</v>
      </c>
      <c r="J248" s="1001">
        <v>39818</v>
      </c>
      <c r="K248" s="1001">
        <v>45835</v>
      </c>
      <c r="L248" s="1000">
        <f t="shared" si="32"/>
        <v>197</v>
      </c>
      <c r="M248" s="1002">
        <f t="shared" si="33"/>
        <v>16.416666666666668</v>
      </c>
      <c r="N248" s="1000">
        <v>16</v>
      </c>
      <c r="O248" s="1000">
        <v>16</v>
      </c>
      <c r="P248" s="1000">
        <v>43</v>
      </c>
      <c r="Q248" s="999" t="s">
        <v>898</v>
      </c>
      <c r="R248" s="999" t="s">
        <v>899</v>
      </c>
      <c r="S248" s="999" t="s">
        <v>900</v>
      </c>
      <c r="T248" s="999" t="s">
        <v>924</v>
      </c>
      <c r="U248" s="1000" t="s">
        <v>55</v>
      </c>
      <c r="V248" s="1000" t="s">
        <v>914</v>
      </c>
      <c r="W248" s="1003">
        <v>17571</v>
      </c>
      <c r="X248" s="1000" t="s">
        <v>903</v>
      </c>
      <c r="Y248" s="1000">
        <v>77</v>
      </c>
      <c r="Z248" s="1000" t="s">
        <v>904</v>
      </c>
      <c r="AA248" s="1000" t="s">
        <v>1244</v>
      </c>
      <c r="AB248" s="1000" t="s">
        <v>911</v>
      </c>
      <c r="AC248" s="1000" t="s">
        <v>907</v>
      </c>
      <c r="AD248" s="1004">
        <v>11480.47</v>
      </c>
      <c r="AE248" s="1004">
        <f t="shared" si="30"/>
        <v>188471.04916666666</v>
      </c>
      <c r="AF248" s="1004">
        <f t="shared" si="34"/>
        <v>188471.04916666666</v>
      </c>
      <c r="AG248" s="1005">
        <f t="shared" si="36"/>
        <v>16.416666666666668</v>
      </c>
      <c r="AH248" s="1005">
        <f t="shared" si="31"/>
        <v>15.101278170346683</v>
      </c>
    </row>
    <row r="249" spans="1:34" x14ac:dyDescent="0.25">
      <c r="A249" s="999">
        <v>17500</v>
      </c>
      <c r="B249" s="999" t="s">
        <v>1276</v>
      </c>
      <c r="C249" s="999" t="s">
        <v>1277</v>
      </c>
      <c r="D249" s="999" t="s">
        <v>894</v>
      </c>
      <c r="E249" s="999" t="s">
        <v>895</v>
      </c>
      <c r="F249" s="999">
        <v>450841</v>
      </c>
      <c r="G249" s="1000">
        <v>10243194153</v>
      </c>
      <c r="H249" s="999" t="s">
        <v>1302</v>
      </c>
      <c r="I249" s="999" t="s">
        <v>897</v>
      </c>
      <c r="J249" s="1001">
        <v>42543</v>
      </c>
      <c r="K249" s="1001">
        <v>45835</v>
      </c>
      <c r="L249" s="1000">
        <f t="shared" si="32"/>
        <v>108</v>
      </c>
      <c r="M249" s="1002">
        <f t="shared" si="33"/>
        <v>9</v>
      </c>
      <c r="N249" s="1000">
        <v>9</v>
      </c>
      <c r="O249" s="1000">
        <v>10</v>
      </c>
      <c r="P249" s="1000">
        <v>43</v>
      </c>
      <c r="Q249" s="999" t="s">
        <v>898</v>
      </c>
      <c r="R249" s="999" t="s">
        <v>899</v>
      </c>
      <c r="S249" s="999" t="s">
        <v>900</v>
      </c>
      <c r="T249" s="999" t="s">
        <v>1303</v>
      </c>
      <c r="U249" s="1000" t="s">
        <v>54</v>
      </c>
      <c r="V249" s="1000" t="s">
        <v>910</v>
      </c>
      <c r="W249" s="1003">
        <v>18249</v>
      </c>
      <c r="X249" s="1000" t="s">
        <v>930</v>
      </c>
      <c r="Y249" s="1000">
        <v>75</v>
      </c>
      <c r="Z249" s="1000" t="s">
        <v>904</v>
      </c>
      <c r="AA249" s="1000" t="s">
        <v>905</v>
      </c>
      <c r="AB249" s="1000" t="s">
        <v>925</v>
      </c>
      <c r="AC249" s="1000" t="s">
        <v>907</v>
      </c>
      <c r="AD249" s="1004">
        <v>10126.049999999999</v>
      </c>
      <c r="AE249" s="1004">
        <f t="shared" si="30"/>
        <v>91134.45</v>
      </c>
      <c r="AF249" s="1004">
        <f t="shared" si="34"/>
        <v>91134.45</v>
      </c>
      <c r="AG249" s="1005">
        <f t="shared" si="36"/>
        <v>9</v>
      </c>
      <c r="AH249" s="1005">
        <f t="shared" si="31"/>
        <v>8.1910875827450003</v>
      </c>
    </row>
    <row r="250" spans="1:34" x14ac:dyDescent="0.25">
      <c r="A250" s="999">
        <v>13300</v>
      </c>
      <c r="B250" s="999" t="s">
        <v>1214</v>
      </c>
      <c r="C250" s="999" t="s">
        <v>421</v>
      </c>
      <c r="D250" s="999" t="s">
        <v>894</v>
      </c>
      <c r="E250" s="999" t="s">
        <v>895</v>
      </c>
      <c r="F250" s="999">
        <v>1697667</v>
      </c>
      <c r="G250" s="1000">
        <v>76491277704</v>
      </c>
      <c r="H250" s="999" t="s">
        <v>1304</v>
      </c>
      <c r="I250" s="999" t="s">
        <v>897</v>
      </c>
      <c r="J250" s="1001">
        <v>39930</v>
      </c>
      <c r="K250" s="1001">
        <v>45835</v>
      </c>
      <c r="L250" s="1000">
        <f t="shared" si="32"/>
        <v>194</v>
      </c>
      <c r="M250" s="1002">
        <f t="shared" si="33"/>
        <v>16.166666666666668</v>
      </c>
      <c r="N250" s="1000">
        <v>16</v>
      </c>
      <c r="O250" s="1000">
        <v>16</v>
      </c>
      <c r="P250" s="1000">
        <v>43</v>
      </c>
      <c r="Q250" s="999" t="s">
        <v>898</v>
      </c>
      <c r="R250" s="999" t="s">
        <v>899</v>
      </c>
      <c r="S250" s="999" t="s">
        <v>900</v>
      </c>
      <c r="T250" s="999" t="s">
        <v>924</v>
      </c>
      <c r="U250" s="1000" t="s">
        <v>55</v>
      </c>
      <c r="V250" s="1000" t="s">
        <v>914</v>
      </c>
      <c r="W250" s="1003">
        <v>16208</v>
      </c>
      <c r="X250" s="1000" t="s">
        <v>930</v>
      </c>
      <c r="Y250" s="1000">
        <v>80</v>
      </c>
      <c r="Z250" s="1000" t="s">
        <v>904</v>
      </c>
      <c r="AA250" s="1000" t="s">
        <v>1257</v>
      </c>
      <c r="AB250" s="1000" t="s">
        <v>911</v>
      </c>
      <c r="AC250" s="1000" t="s">
        <v>907</v>
      </c>
      <c r="AD250" s="1004">
        <v>14858.45</v>
      </c>
      <c r="AE250" s="1004">
        <f t="shared" si="30"/>
        <v>240211.60833333337</v>
      </c>
      <c r="AF250" s="1004">
        <f t="shared" si="34"/>
        <v>240211.60833333337</v>
      </c>
      <c r="AG250" s="1005">
        <f t="shared" si="36"/>
        <v>16.166666666666668</v>
      </c>
      <c r="AH250" s="1005">
        <f t="shared" si="31"/>
        <v>15.147231181693883</v>
      </c>
    </row>
    <row r="251" spans="1:34" x14ac:dyDescent="0.25">
      <c r="A251" s="999">
        <v>13300</v>
      </c>
      <c r="B251" s="999" t="s">
        <v>1214</v>
      </c>
      <c r="C251" s="999" t="s">
        <v>421</v>
      </c>
      <c r="D251" s="999" t="s">
        <v>894</v>
      </c>
      <c r="E251" s="999" t="s">
        <v>895</v>
      </c>
      <c r="F251" s="999">
        <v>1670871</v>
      </c>
      <c r="G251" s="1000">
        <v>15076148100</v>
      </c>
      <c r="H251" s="999" t="s">
        <v>1305</v>
      </c>
      <c r="I251" s="999" t="s">
        <v>897</v>
      </c>
      <c r="J251" s="1001">
        <v>39812</v>
      </c>
      <c r="K251" s="1001">
        <v>45835</v>
      </c>
      <c r="L251" s="1000">
        <f t="shared" si="32"/>
        <v>197</v>
      </c>
      <c r="M251" s="1002">
        <f t="shared" si="33"/>
        <v>16.416666666666668</v>
      </c>
      <c r="N251" s="1000">
        <v>16</v>
      </c>
      <c r="O251" s="1000">
        <v>16</v>
      </c>
      <c r="P251" s="1000">
        <v>43</v>
      </c>
      <c r="Q251" s="999" t="s">
        <v>898</v>
      </c>
      <c r="R251" s="999" t="s">
        <v>899</v>
      </c>
      <c r="S251" s="999" t="s">
        <v>900</v>
      </c>
      <c r="T251" s="999" t="s">
        <v>1009</v>
      </c>
      <c r="U251" s="1000"/>
      <c r="V251" s="1000" t="s">
        <v>914</v>
      </c>
      <c r="W251" s="1003">
        <v>17371</v>
      </c>
      <c r="X251" s="1000" t="s">
        <v>930</v>
      </c>
      <c r="Y251" s="1000">
        <v>77</v>
      </c>
      <c r="Z251" s="1000" t="s">
        <v>904</v>
      </c>
      <c r="AA251" s="1000" t="s">
        <v>905</v>
      </c>
      <c r="AB251" s="1000" t="s">
        <v>938</v>
      </c>
      <c r="AC251" s="1000" t="s">
        <v>907</v>
      </c>
      <c r="AD251" s="1004">
        <v>3813.57</v>
      </c>
      <c r="AE251" s="1004">
        <f t="shared" si="30"/>
        <v>62606.107500000006</v>
      </c>
      <c r="AF251" s="1004">
        <f t="shared" si="34"/>
        <v>62606.107500000006</v>
      </c>
      <c r="AG251" s="1005">
        <f t="shared" si="36"/>
        <v>16.416666666666668</v>
      </c>
      <c r="AH251" s="1005">
        <f t="shared" si="31"/>
        <v>13.006169537370395</v>
      </c>
    </row>
    <row r="252" spans="1:34" x14ac:dyDescent="0.25">
      <c r="A252" s="999">
        <v>17500</v>
      </c>
      <c r="B252" s="999" t="s">
        <v>1276</v>
      </c>
      <c r="C252" s="999" t="s">
        <v>1277</v>
      </c>
      <c r="D252" s="999" t="s">
        <v>894</v>
      </c>
      <c r="E252" s="999" t="s">
        <v>895</v>
      </c>
      <c r="F252" s="999">
        <v>1761353</v>
      </c>
      <c r="G252" s="1000">
        <v>3850862704</v>
      </c>
      <c r="H252" s="999" t="s">
        <v>1306</v>
      </c>
      <c r="I252" s="999" t="s">
        <v>897</v>
      </c>
      <c r="J252" s="1001">
        <v>40212</v>
      </c>
      <c r="K252" s="1001">
        <v>45835</v>
      </c>
      <c r="L252" s="1000">
        <f t="shared" si="32"/>
        <v>184</v>
      </c>
      <c r="M252" s="1002">
        <f t="shared" si="33"/>
        <v>15.333333333333334</v>
      </c>
      <c r="N252" s="1000">
        <v>15</v>
      </c>
      <c r="O252" s="1000">
        <v>15</v>
      </c>
      <c r="P252" s="1000">
        <v>43</v>
      </c>
      <c r="Q252" s="999" t="s">
        <v>898</v>
      </c>
      <c r="R252" s="999" t="s">
        <v>899</v>
      </c>
      <c r="S252" s="999" t="s">
        <v>900</v>
      </c>
      <c r="T252" s="999" t="s">
        <v>1307</v>
      </c>
      <c r="U252" s="1000" t="s">
        <v>54</v>
      </c>
      <c r="V252" s="1000" t="s">
        <v>914</v>
      </c>
      <c r="W252" s="1003">
        <v>15482</v>
      </c>
      <c r="X252" s="1000" t="s">
        <v>930</v>
      </c>
      <c r="Y252" s="1000">
        <v>82</v>
      </c>
      <c r="Z252" s="1000" t="s">
        <v>904</v>
      </c>
      <c r="AA252" s="1000" t="s">
        <v>905</v>
      </c>
      <c r="AB252" s="1000" t="s">
        <v>925</v>
      </c>
      <c r="AC252" s="1000" t="s">
        <v>907</v>
      </c>
      <c r="AD252" s="1004">
        <v>10126.049999999999</v>
      </c>
      <c r="AE252" s="1004">
        <f t="shared" si="30"/>
        <v>155266.1</v>
      </c>
      <c r="AF252" s="1004">
        <f t="shared" si="34"/>
        <v>155266.1</v>
      </c>
      <c r="AG252" s="1005">
        <f t="shared" si="36"/>
        <v>15.333333333333336</v>
      </c>
      <c r="AH252" s="1005">
        <f t="shared" si="31"/>
        <v>13.955186252084074</v>
      </c>
    </row>
    <row r="253" spans="1:34" x14ac:dyDescent="0.25">
      <c r="A253" s="999">
        <v>13300</v>
      </c>
      <c r="B253" s="999" t="s">
        <v>1214</v>
      </c>
      <c r="C253" s="999" t="s">
        <v>421</v>
      </c>
      <c r="D253" s="999" t="s">
        <v>894</v>
      </c>
      <c r="E253" s="999" t="s">
        <v>895</v>
      </c>
      <c r="F253" s="999">
        <v>1695682</v>
      </c>
      <c r="G253" s="1000">
        <v>284246468</v>
      </c>
      <c r="H253" s="999" t="s">
        <v>1308</v>
      </c>
      <c r="I253" s="999" t="s">
        <v>897</v>
      </c>
      <c r="J253" s="1001">
        <v>39918</v>
      </c>
      <c r="K253" s="1001">
        <v>45835</v>
      </c>
      <c r="L253" s="1000">
        <f t="shared" si="32"/>
        <v>194</v>
      </c>
      <c r="M253" s="1002">
        <f t="shared" si="33"/>
        <v>16.166666666666668</v>
      </c>
      <c r="N253" s="1000">
        <v>16</v>
      </c>
      <c r="O253" s="1000">
        <v>16</v>
      </c>
      <c r="P253" s="1000">
        <v>43</v>
      </c>
      <c r="Q253" s="999" t="s">
        <v>898</v>
      </c>
      <c r="R253" s="999" t="s">
        <v>899</v>
      </c>
      <c r="S253" s="999" t="s">
        <v>900</v>
      </c>
      <c r="T253" s="999" t="s">
        <v>924</v>
      </c>
      <c r="U253" s="1000" t="s">
        <v>55</v>
      </c>
      <c r="V253" s="1000" t="s">
        <v>914</v>
      </c>
      <c r="W253" s="1003">
        <v>14711</v>
      </c>
      <c r="X253" s="1000" t="s">
        <v>903</v>
      </c>
      <c r="Y253" s="1000">
        <v>85</v>
      </c>
      <c r="Z253" s="1000" t="s">
        <v>904</v>
      </c>
      <c r="AA253" s="1000" t="s">
        <v>1217</v>
      </c>
      <c r="AB253" s="1000" t="s">
        <v>911</v>
      </c>
      <c r="AC253" s="1000" t="s">
        <v>907</v>
      </c>
      <c r="AD253" s="1004">
        <v>24083.16</v>
      </c>
      <c r="AE253" s="1004">
        <f t="shared" si="30"/>
        <v>389344.42000000004</v>
      </c>
      <c r="AF253" s="1004">
        <v>350000</v>
      </c>
      <c r="AG253" s="1005">
        <f t="shared" si="36"/>
        <v>14.532976569519947</v>
      </c>
      <c r="AH253" s="1005">
        <f t="shared" si="31"/>
        <v>13.953584795536129</v>
      </c>
    </row>
    <row r="254" spans="1:34" x14ac:dyDescent="0.25">
      <c r="A254" s="999">
        <v>13300</v>
      </c>
      <c r="B254" s="999" t="s">
        <v>1214</v>
      </c>
      <c r="C254" s="999" t="s">
        <v>421</v>
      </c>
      <c r="D254" s="999" t="s">
        <v>894</v>
      </c>
      <c r="E254" s="999" t="s">
        <v>895</v>
      </c>
      <c r="F254" s="999">
        <v>1671002</v>
      </c>
      <c r="G254" s="1000">
        <v>442704291</v>
      </c>
      <c r="H254" s="999" t="s">
        <v>1309</v>
      </c>
      <c r="I254" s="999" t="s">
        <v>897</v>
      </c>
      <c r="J254" s="1001">
        <v>39822</v>
      </c>
      <c r="K254" s="1001">
        <v>45835</v>
      </c>
      <c r="L254" s="1000">
        <f t="shared" si="32"/>
        <v>197</v>
      </c>
      <c r="M254" s="1002">
        <f t="shared" si="33"/>
        <v>16.416666666666668</v>
      </c>
      <c r="N254" s="1000">
        <v>16</v>
      </c>
      <c r="O254" s="1000">
        <v>16</v>
      </c>
      <c r="P254" s="1000">
        <v>43</v>
      </c>
      <c r="Q254" s="999" t="s">
        <v>898</v>
      </c>
      <c r="R254" s="999" t="s">
        <v>899</v>
      </c>
      <c r="S254" s="999" t="s">
        <v>900</v>
      </c>
      <c r="T254" s="999" t="s">
        <v>924</v>
      </c>
      <c r="U254" s="1000" t="s">
        <v>55</v>
      </c>
      <c r="V254" s="1000" t="s">
        <v>914</v>
      </c>
      <c r="W254" s="1003">
        <v>15342</v>
      </c>
      <c r="X254" s="1000" t="s">
        <v>903</v>
      </c>
      <c r="Y254" s="1000">
        <v>83</v>
      </c>
      <c r="Z254" s="1000" t="s">
        <v>904</v>
      </c>
      <c r="AA254" s="1000" t="s">
        <v>905</v>
      </c>
      <c r="AB254" s="1000" t="s">
        <v>911</v>
      </c>
      <c r="AC254" s="1000" t="s">
        <v>907</v>
      </c>
      <c r="AD254" s="1004">
        <v>13687.52</v>
      </c>
      <c r="AE254" s="1004">
        <f t="shared" si="30"/>
        <v>224703.45333333337</v>
      </c>
      <c r="AF254" s="1004">
        <f t="shared" si="34"/>
        <v>224703.45333333337</v>
      </c>
      <c r="AG254" s="1005">
        <f t="shared" si="36"/>
        <v>16.416666666666668</v>
      </c>
      <c r="AH254" s="1005">
        <f t="shared" si="31"/>
        <v>15.298937692226691</v>
      </c>
    </row>
    <row r="255" spans="1:34" x14ac:dyDescent="0.25">
      <c r="A255" s="999">
        <v>40108</v>
      </c>
      <c r="B255" s="999" t="s">
        <v>1310</v>
      </c>
      <c r="C255" s="999" t="s">
        <v>1311</v>
      </c>
      <c r="D255" s="999" t="s">
        <v>894</v>
      </c>
      <c r="E255" s="999" t="s">
        <v>895</v>
      </c>
      <c r="F255" s="999">
        <v>1906281</v>
      </c>
      <c r="G255" s="1000">
        <v>8495726491</v>
      </c>
      <c r="H255" s="999" t="s">
        <v>1312</v>
      </c>
      <c r="I255" s="999" t="s">
        <v>897</v>
      </c>
      <c r="J255" s="1001">
        <v>40910</v>
      </c>
      <c r="K255" s="1001">
        <v>45835</v>
      </c>
      <c r="L255" s="1000">
        <f t="shared" si="32"/>
        <v>161</v>
      </c>
      <c r="M255" s="1002">
        <f t="shared" si="33"/>
        <v>13.416666666666666</v>
      </c>
      <c r="N255" s="1000">
        <v>13</v>
      </c>
      <c r="O255" s="1000">
        <v>13</v>
      </c>
      <c r="P255" s="1000">
        <v>43</v>
      </c>
      <c r="Q255" s="999" t="s">
        <v>898</v>
      </c>
      <c r="R255" s="999" t="s">
        <v>899</v>
      </c>
      <c r="S255" s="999" t="s">
        <v>900</v>
      </c>
      <c r="T255" s="999" t="s">
        <v>1213</v>
      </c>
      <c r="U255" s="1000" t="s">
        <v>55</v>
      </c>
      <c r="V255" s="1000" t="s">
        <v>914</v>
      </c>
      <c r="W255" s="1003">
        <v>18219</v>
      </c>
      <c r="X255" s="1000" t="s">
        <v>903</v>
      </c>
      <c r="Y255" s="1000">
        <v>75</v>
      </c>
      <c r="Z255" s="1000" t="s">
        <v>904</v>
      </c>
      <c r="AA255" s="1000" t="s">
        <v>905</v>
      </c>
      <c r="AB255" s="1000" t="s">
        <v>911</v>
      </c>
      <c r="AC255" s="1000" t="s">
        <v>907</v>
      </c>
      <c r="AD255" s="1004">
        <v>5333.97</v>
      </c>
      <c r="AE255" s="1004">
        <f t="shared" si="30"/>
        <v>71564.097500000003</v>
      </c>
      <c r="AF255" s="1004">
        <f t="shared" si="34"/>
        <v>71564.097500000003</v>
      </c>
      <c r="AG255" s="1005">
        <f t="shared" si="36"/>
        <v>13.416666666666666</v>
      </c>
      <c r="AH255" s="1005">
        <f t="shared" si="31"/>
        <v>11.298458549693162</v>
      </c>
    </row>
    <row r="256" spans="1:34" x14ac:dyDescent="0.25">
      <c r="A256" s="999">
        <v>13300</v>
      </c>
      <c r="B256" s="999" t="s">
        <v>1214</v>
      </c>
      <c r="C256" s="999" t="s">
        <v>421</v>
      </c>
      <c r="D256" s="999" t="s">
        <v>894</v>
      </c>
      <c r="E256" s="999" t="s">
        <v>895</v>
      </c>
      <c r="F256" s="999">
        <v>1671241</v>
      </c>
      <c r="G256" s="1000">
        <v>7518110172</v>
      </c>
      <c r="H256" s="999" t="s">
        <v>1313</v>
      </c>
      <c r="I256" s="999" t="s">
        <v>897</v>
      </c>
      <c r="J256" s="1001">
        <v>39815</v>
      </c>
      <c r="K256" s="1001">
        <v>45835</v>
      </c>
      <c r="L256" s="1000">
        <f t="shared" si="32"/>
        <v>197</v>
      </c>
      <c r="M256" s="1002">
        <f t="shared" si="33"/>
        <v>16.416666666666668</v>
      </c>
      <c r="N256" s="1000">
        <v>16</v>
      </c>
      <c r="O256" s="1000">
        <v>16</v>
      </c>
      <c r="P256" s="1000">
        <v>43</v>
      </c>
      <c r="Q256" s="999" t="s">
        <v>898</v>
      </c>
      <c r="R256" s="999" t="s">
        <v>899</v>
      </c>
      <c r="S256" s="999" t="s">
        <v>900</v>
      </c>
      <c r="T256" s="999" t="s">
        <v>924</v>
      </c>
      <c r="U256" s="1000" t="s">
        <v>55</v>
      </c>
      <c r="V256" s="1000" t="s">
        <v>914</v>
      </c>
      <c r="W256" s="1003">
        <v>16208</v>
      </c>
      <c r="X256" s="1000" t="s">
        <v>903</v>
      </c>
      <c r="Y256" s="1000">
        <v>80</v>
      </c>
      <c r="Z256" s="1000" t="s">
        <v>904</v>
      </c>
      <c r="AA256" s="1000" t="s">
        <v>1179</v>
      </c>
      <c r="AB256" s="1000" t="s">
        <v>911</v>
      </c>
      <c r="AC256" s="1000" t="s">
        <v>907</v>
      </c>
      <c r="AD256" s="1004">
        <v>15137.81</v>
      </c>
      <c r="AE256" s="1004">
        <f t="shared" si="30"/>
        <v>248512.38083333333</v>
      </c>
      <c r="AF256" s="1004">
        <f t="shared" si="34"/>
        <v>248512.38083333333</v>
      </c>
      <c r="AG256" s="1005">
        <f t="shared" si="36"/>
        <v>16.416666666666668</v>
      </c>
      <c r="AH256" s="1005">
        <f t="shared" si="31"/>
        <v>15.399386957296766</v>
      </c>
    </row>
    <row r="257" spans="1:34" x14ac:dyDescent="0.25">
      <c r="A257" s="999">
        <v>13300</v>
      </c>
      <c r="B257" s="999" t="s">
        <v>1214</v>
      </c>
      <c r="C257" s="999" t="s">
        <v>421</v>
      </c>
      <c r="D257" s="999" t="s">
        <v>894</v>
      </c>
      <c r="E257" s="999" t="s">
        <v>895</v>
      </c>
      <c r="F257" s="999">
        <v>1964219</v>
      </c>
      <c r="G257" s="1000">
        <v>1084488272</v>
      </c>
      <c r="H257" s="999" t="s">
        <v>1314</v>
      </c>
      <c r="I257" s="999" t="s">
        <v>897</v>
      </c>
      <c r="J257" s="1001">
        <v>41141</v>
      </c>
      <c r="K257" s="1001">
        <v>45835</v>
      </c>
      <c r="L257" s="1000">
        <f t="shared" si="32"/>
        <v>154</v>
      </c>
      <c r="M257" s="1002">
        <f t="shared" si="33"/>
        <v>12.833333333333334</v>
      </c>
      <c r="N257" s="1000">
        <v>12</v>
      </c>
      <c r="O257" s="1000">
        <v>12</v>
      </c>
      <c r="P257" s="1000">
        <v>43</v>
      </c>
      <c r="Q257" s="999" t="s">
        <v>898</v>
      </c>
      <c r="R257" s="999" t="s">
        <v>899</v>
      </c>
      <c r="S257" s="999" t="s">
        <v>900</v>
      </c>
      <c r="T257" s="999" t="s">
        <v>924</v>
      </c>
      <c r="U257" s="1000" t="s">
        <v>55</v>
      </c>
      <c r="V257" s="1000" t="s">
        <v>914</v>
      </c>
      <c r="W257" s="1003">
        <v>16077</v>
      </c>
      <c r="X257" s="1000" t="s">
        <v>903</v>
      </c>
      <c r="Y257" s="1000">
        <v>81</v>
      </c>
      <c r="Z257" s="1000" t="s">
        <v>904</v>
      </c>
      <c r="AA257" s="1000" t="s">
        <v>1220</v>
      </c>
      <c r="AB257" s="1000" t="s">
        <v>911</v>
      </c>
      <c r="AC257" s="1000" t="s">
        <v>907</v>
      </c>
      <c r="AD257" s="1004">
        <v>15475.23</v>
      </c>
      <c r="AE257" s="1004">
        <f t="shared" si="30"/>
        <v>198598.785</v>
      </c>
      <c r="AF257" s="1004">
        <f t="shared" si="34"/>
        <v>198598.785</v>
      </c>
      <c r="AG257" s="1005">
        <f t="shared" si="36"/>
        <v>12.833333333333334</v>
      </c>
      <c r="AH257" s="1005">
        <f t="shared" si="31"/>
        <v>12.054386190663196</v>
      </c>
    </row>
    <row r="258" spans="1:34" x14ac:dyDescent="0.25">
      <c r="A258" s="999">
        <v>13300</v>
      </c>
      <c r="B258" s="999" t="s">
        <v>1214</v>
      </c>
      <c r="C258" s="999" t="s">
        <v>421</v>
      </c>
      <c r="D258" s="999" t="s">
        <v>894</v>
      </c>
      <c r="E258" s="999" t="s">
        <v>895</v>
      </c>
      <c r="F258" s="999">
        <v>1670607</v>
      </c>
      <c r="G258" s="1000">
        <v>956090915</v>
      </c>
      <c r="H258" s="999" t="s">
        <v>1315</v>
      </c>
      <c r="I258" s="999" t="s">
        <v>897</v>
      </c>
      <c r="J258" s="1001">
        <v>39815</v>
      </c>
      <c r="K258" s="1001">
        <v>45835</v>
      </c>
      <c r="L258" s="1000">
        <f t="shared" si="32"/>
        <v>197</v>
      </c>
      <c r="M258" s="1002">
        <f t="shared" si="33"/>
        <v>16.416666666666668</v>
      </c>
      <c r="N258" s="1000">
        <v>16</v>
      </c>
      <c r="O258" s="1000">
        <v>16</v>
      </c>
      <c r="P258" s="1000">
        <v>43</v>
      </c>
      <c r="Q258" s="999" t="s">
        <v>898</v>
      </c>
      <c r="R258" s="999" t="s">
        <v>899</v>
      </c>
      <c r="S258" s="999" t="s">
        <v>900</v>
      </c>
      <c r="T258" s="999" t="s">
        <v>924</v>
      </c>
      <c r="U258" s="1000" t="s">
        <v>55</v>
      </c>
      <c r="V258" s="1000" t="s">
        <v>914</v>
      </c>
      <c r="W258" s="1003">
        <v>14472</v>
      </c>
      <c r="X258" s="1000" t="s">
        <v>903</v>
      </c>
      <c r="Y258" s="1000">
        <v>85</v>
      </c>
      <c r="Z258" s="1000" t="s">
        <v>904</v>
      </c>
      <c r="AA258" s="1000" t="s">
        <v>1246</v>
      </c>
      <c r="AB258" s="1000" t="s">
        <v>911</v>
      </c>
      <c r="AC258" s="1000" t="s">
        <v>907</v>
      </c>
      <c r="AD258" s="1004">
        <v>11896.61</v>
      </c>
      <c r="AE258" s="1004">
        <f t="shared" si="30"/>
        <v>195302.68083333335</v>
      </c>
      <c r="AF258" s="1004">
        <f t="shared" si="34"/>
        <v>195302.68083333335</v>
      </c>
      <c r="AG258" s="1005">
        <f t="shared" si="36"/>
        <v>16.416666666666668</v>
      </c>
      <c r="AH258" s="1005">
        <f t="shared" si="31"/>
        <v>15.143722329614786</v>
      </c>
    </row>
    <row r="259" spans="1:34" x14ac:dyDescent="0.25">
      <c r="A259" s="999">
        <v>13300</v>
      </c>
      <c r="B259" s="999" t="s">
        <v>1214</v>
      </c>
      <c r="C259" s="999" t="s">
        <v>421</v>
      </c>
      <c r="D259" s="999" t="s">
        <v>894</v>
      </c>
      <c r="E259" s="999" t="s">
        <v>895</v>
      </c>
      <c r="F259" s="999">
        <v>1670448</v>
      </c>
      <c r="G259" s="1000">
        <v>16563131972</v>
      </c>
      <c r="H259" s="999" t="s">
        <v>1316</v>
      </c>
      <c r="I259" s="999" t="s">
        <v>897</v>
      </c>
      <c r="J259" s="1001">
        <v>39818</v>
      </c>
      <c r="K259" s="1001">
        <v>45835</v>
      </c>
      <c r="L259" s="1000">
        <f t="shared" si="32"/>
        <v>197</v>
      </c>
      <c r="M259" s="1002">
        <f t="shared" si="33"/>
        <v>16.416666666666668</v>
      </c>
      <c r="N259" s="1000">
        <v>16</v>
      </c>
      <c r="O259" s="1000">
        <v>16</v>
      </c>
      <c r="P259" s="1000">
        <v>43</v>
      </c>
      <c r="Q259" s="999" t="s">
        <v>898</v>
      </c>
      <c r="R259" s="999" t="s">
        <v>899</v>
      </c>
      <c r="S259" s="999" t="s">
        <v>900</v>
      </c>
      <c r="T259" s="999" t="s">
        <v>924</v>
      </c>
      <c r="U259" s="1000" t="s">
        <v>55</v>
      </c>
      <c r="V259" s="1000" t="s">
        <v>910</v>
      </c>
      <c r="W259" s="1003">
        <v>16800</v>
      </c>
      <c r="X259" s="1000" t="s">
        <v>903</v>
      </c>
      <c r="Y259" s="1000">
        <v>79</v>
      </c>
      <c r="Z259" s="1000" t="s">
        <v>904</v>
      </c>
      <c r="AA259" s="1000" t="s">
        <v>1244</v>
      </c>
      <c r="AB259" s="1000" t="s">
        <v>911</v>
      </c>
      <c r="AC259" s="1000" t="s">
        <v>907</v>
      </c>
      <c r="AD259" s="1004">
        <v>6427.35</v>
      </c>
      <c r="AE259" s="1004">
        <f t="shared" si="30"/>
        <v>105515.66250000002</v>
      </c>
      <c r="AF259" s="1004">
        <f t="shared" si="34"/>
        <v>105515.66250000002</v>
      </c>
      <c r="AG259" s="1005">
        <f t="shared" si="36"/>
        <v>16.416666666666668</v>
      </c>
      <c r="AH259" s="1005">
        <f t="shared" si="31"/>
        <v>14.206367345015384</v>
      </c>
    </row>
    <row r="260" spans="1:34" x14ac:dyDescent="0.25">
      <c r="A260" s="999">
        <v>13300</v>
      </c>
      <c r="B260" s="999" t="s">
        <v>1214</v>
      </c>
      <c r="C260" s="999" t="s">
        <v>421</v>
      </c>
      <c r="D260" s="999" t="s">
        <v>894</v>
      </c>
      <c r="E260" s="999" t="s">
        <v>895</v>
      </c>
      <c r="F260" s="999">
        <v>1670573</v>
      </c>
      <c r="G260" s="1000">
        <v>8269254134</v>
      </c>
      <c r="H260" s="999" t="s">
        <v>1317</v>
      </c>
      <c r="I260" s="999" t="s">
        <v>897</v>
      </c>
      <c r="J260" s="1001">
        <v>39818</v>
      </c>
      <c r="K260" s="1001">
        <v>45835</v>
      </c>
      <c r="L260" s="1000">
        <f t="shared" si="32"/>
        <v>197</v>
      </c>
      <c r="M260" s="1002">
        <f t="shared" si="33"/>
        <v>16.416666666666668</v>
      </c>
      <c r="N260" s="1000">
        <v>16</v>
      </c>
      <c r="O260" s="1000">
        <v>16</v>
      </c>
      <c r="P260" s="1000">
        <v>43</v>
      </c>
      <c r="Q260" s="999" t="s">
        <v>898</v>
      </c>
      <c r="R260" s="999" t="s">
        <v>899</v>
      </c>
      <c r="S260" s="999" t="s">
        <v>900</v>
      </c>
      <c r="T260" s="999" t="s">
        <v>924</v>
      </c>
      <c r="U260" s="1000" t="s">
        <v>55</v>
      </c>
      <c r="V260" s="1000" t="s">
        <v>914</v>
      </c>
      <c r="W260" s="1003">
        <v>17657</v>
      </c>
      <c r="X260" s="1000" t="s">
        <v>903</v>
      </c>
      <c r="Y260" s="1000">
        <v>76</v>
      </c>
      <c r="Z260" s="1000" t="s">
        <v>904</v>
      </c>
      <c r="AA260" s="1000" t="s">
        <v>1240</v>
      </c>
      <c r="AB260" s="1000" t="s">
        <v>911</v>
      </c>
      <c r="AC260" s="1000" t="s">
        <v>907</v>
      </c>
      <c r="AD260" s="1004">
        <v>9099.69</v>
      </c>
      <c r="AE260" s="1004">
        <f t="shared" si="30"/>
        <v>149386.57750000001</v>
      </c>
      <c r="AF260" s="1004">
        <f t="shared" si="34"/>
        <v>149386.57750000001</v>
      </c>
      <c r="AG260" s="1005">
        <f t="shared" si="36"/>
        <v>16.416666666666668</v>
      </c>
      <c r="AH260" s="1005">
        <f t="shared" si="31"/>
        <v>14.791204234981471</v>
      </c>
    </row>
    <row r="261" spans="1:34" x14ac:dyDescent="0.25">
      <c r="A261" s="999">
        <v>40108</v>
      </c>
      <c r="B261" s="999" t="s">
        <v>1310</v>
      </c>
      <c r="C261" s="999" t="s">
        <v>1311</v>
      </c>
      <c r="D261" s="999" t="s">
        <v>894</v>
      </c>
      <c r="E261" s="999" t="s">
        <v>895</v>
      </c>
      <c r="F261" s="999">
        <v>1906315</v>
      </c>
      <c r="G261" s="1000">
        <v>21885257791</v>
      </c>
      <c r="H261" s="999" t="s">
        <v>1318</v>
      </c>
      <c r="I261" s="999" t="s">
        <v>897</v>
      </c>
      <c r="J261" s="1001">
        <v>40910</v>
      </c>
      <c r="K261" s="1001">
        <v>45835</v>
      </c>
      <c r="L261" s="1000">
        <f t="shared" si="32"/>
        <v>161</v>
      </c>
      <c r="M261" s="1002">
        <f t="shared" si="33"/>
        <v>13.416666666666666</v>
      </c>
      <c r="N261" s="1000">
        <v>13</v>
      </c>
      <c r="O261" s="1000">
        <v>13</v>
      </c>
      <c r="P261" s="1000">
        <v>43</v>
      </c>
      <c r="Q261" s="999" t="s">
        <v>898</v>
      </c>
      <c r="R261" s="999" t="s">
        <v>899</v>
      </c>
      <c r="S261" s="999" t="s">
        <v>900</v>
      </c>
      <c r="T261" s="999" t="s">
        <v>1319</v>
      </c>
      <c r="U261" s="1000"/>
      <c r="V261" s="1000" t="s">
        <v>914</v>
      </c>
      <c r="W261" s="1003">
        <v>18003</v>
      </c>
      <c r="X261" s="1000" t="s">
        <v>903</v>
      </c>
      <c r="Y261" s="1000">
        <v>76</v>
      </c>
      <c r="Z261" s="1000" t="s">
        <v>904</v>
      </c>
      <c r="AA261" s="1000" t="s">
        <v>905</v>
      </c>
      <c r="AB261" s="1000" t="s">
        <v>938</v>
      </c>
      <c r="AC261" s="1000" t="s">
        <v>907</v>
      </c>
      <c r="AD261" s="1004">
        <v>3813.57</v>
      </c>
      <c r="AE261" s="1004">
        <f t="shared" ref="AE261:AE324" si="37">AD261*M261</f>
        <v>51165.397499999999</v>
      </c>
      <c r="AF261" s="1004">
        <f t="shared" si="34"/>
        <v>51165.397499999999</v>
      </c>
      <c r="AG261" s="1005">
        <f t="shared" si="36"/>
        <v>13.416666666666666</v>
      </c>
      <c r="AH261" s="1005">
        <f t="shared" ref="AH261:AH324" si="38">AF261/(AD261+1000)</f>
        <v>10.62940759145499</v>
      </c>
    </row>
    <row r="262" spans="1:34" x14ac:dyDescent="0.25">
      <c r="A262" s="999">
        <v>40108</v>
      </c>
      <c r="B262" s="999" t="s">
        <v>1310</v>
      </c>
      <c r="C262" s="999" t="s">
        <v>1311</v>
      </c>
      <c r="D262" s="999" t="s">
        <v>894</v>
      </c>
      <c r="E262" s="999" t="s">
        <v>895</v>
      </c>
      <c r="F262" s="999">
        <v>1875826</v>
      </c>
      <c r="G262" s="1000">
        <v>11314931768</v>
      </c>
      <c r="H262" s="999" t="s">
        <v>1320</v>
      </c>
      <c r="I262" s="999" t="s">
        <v>897</v>
      </c>
      <c r="J262" s="1001">
        <v>40728</v>
      </c>
      <c r="K262" s="1001">
        <v>45835</v>
      </c>
      <c r="L262" s="1000">
        <f t="shared" ref="L262:L325" si="39">DATEDIF(J262,K262, "m")</f>
        <v>167</v>
      </c>
      <c r="M262" s="1002">
        <f t="shared" ref="M262:M325" si="40">L262/12</f>
        <v>13.916666666666666</v>
      </c>
      <c r="N262" s="1000">
        <v>13</v>
      </c>
      <c r="O262" s="1000">
        <v>13</v>
      </c>
      <c r="P262" s="1000">
        <v>43</v>
      </c>
      <c r="Q262" s="999" t="s">
        <v>898</v>
      </c>
      <c r="R262" s="999" t="s">
        <v>899</v>
      </c>
      <c r="S262" s="999" t="s">
        <v>900</v>
      </c>
      <c r="T262" s="999" t="s">
        <v>909</v>
      </c>
      <c r="U262" s="1000"/>
      <c r="V262" s="1000" t="s">
        <v>914</v>
      </c>
      <c r="W262" s="1003">
        <v>16797</v>
      </c>
      <c r="X262" s="1000" t="s">
        <v>903</v>
      </c>
      <c r="Y262" s="1000">
        <v>79</v>
      </c>
      <c r="Z262" s="1000" t="s">
        <v>904</v>
      </c>
      <c r="AA262" s="1000" t="s">
        <v>905</v>
      </c>
      <c r="AB262" s="1000" t="s">
        <v>938</v>
      </c>
      <c r="AC262" s="1000" t="s">
        <v>907</v>
      </c>
      <c r="AD262" s="1004">
        <v>3813.57</v>
      </c>
      <c r="AE262" s="1004">
        <f t="shared" si="37"/>
        <v>53072.182500000003</v>
      </c>
      <c r="AF262" s="1004">
        <f t="shared" ref="AF262:AF325" si="41">AE262</f>
        <v>53072.182500000003</v>
      </c>
      <c r="AG262" s="1005">
        <f t="shared" si="36"/>
        <v>13.916666666666666</v>
      </c>
      <c r="AH262" s="1005">
        <f t="shared" si="38"/>
        <v>11.025534582440892</v>
      </c>
    </row>
    <row r="263" spans="1:34" x14ac:dyDescent="0.25">
      <c r="A263" s="999">
        <v>13300</v>
      </c>
      <c r="B263" s="999" t="s">
        <v>1214</v>
      </c>
      <c r="C263" s="999" t="s">
        <v>421</v>
      </c>
      <c r="D263" s="999" t="s">
        <v>894</v>
      </c>
      <c r="E263" s="999" t="s">
        <v>895</v>
      </c>
      <c r="F263" s="999">
        <v>1670769</v>
      </c>
      <c r="G263" s="1000">
        <v>951013653</v>
      </c>
      <c r="H263" s="999" t="s">
        <v>1321</v>
      </c>
      <c r="I263" s="999" t="s">
        <v>897</v>
      </c>
      <c r="J263" s="1001">
        <v>39812</v>
      </c>
      <c r="K263" s="1001">
        <v>45835</v>
      </c>
      <c r="L263" s="1000">
        <f t="shared" si="39"/>
        <v>197</v>
      </c>
      <c r="M263" s="1002">
        <f t="shared" si="40"/>
        <v>16.416666666666668</v>
      </c>
      <c r="N263" s="1000">
        <v>16</v>
      </c>
      <c r="O263" s="1000">
        <v>16</v>
      </c>
      <c r="P263" s="1000">
        <v>43</v>
      </c>
      <c r="Q263" s="999" t="s">
        <v>898</v>
      </c>
      <c r="R263" s="999" t="s">
        <v>899</v>
      </c>
      <c r="S263" s="999" t="s">
        <v>900</v>
      </c>
      <c r="T263" s="999" t="s">
        <v>924</v>
      </c>
      <c r="U263" s="1000" t="s">
        <v>55</v>
      </c>
      <c r="V263" s="1000" t="s">
        <v>914</v>
      </c>
      <c r="W263" s="1003">
        <v>15169</v>
      </c>
      <c r="X263" s="1000" t="s">
        <v>903</v>
      </c>
      <c r="Y263" s="1000">
        <v>83</v>
      </c>
      <c r="Z263" s="1000" t="s">
        <v>904</v>
      </c>
      <c r="AA263" s="1000" t="s">
        <v>905</v>
      </c>
      <c r="AB263" s="1000" t="s">
        <v>911</v>
      </c>
      <c r="AC263" s="1000" t="s">
        <v>907</v>
      </c>
      <c r="AD263" s="1004">
        <v>5333.97</v>
      </c>
      <c r="AE263" s="1004">
        <f t="shared" si="37"/>
        <v>87566.007500000007</v>
      </c>
      <c r="AF263" s="1004">
        <f t="shared" si="41"/>
        <v>87566.007500000007</v>
      </c>
      <c r="AG263" s="1005">
        <f t="shared" si="36"/>
        <v>16.416666666666668</v>
      </c>
      <c r="AH263" s="1005">
        <f t="shared" si="38"/>
        <v>13.824821952109025</v>
      </c>
    </row>
    <row r="264" spans="1:34" x14ac:dyDescent="0.25">
      <c r="A264" s="999">
        <v>13300</v>
      </c>
      <c r="B264" s="999" t="s">
        <v>1214</v>
      </c>
      <c r="C264" s="999" t="s">
        <v>421</v>
      </c>
      <c r="D264" s="999" t="s">
        <v>894</v>
      </c>
      <c r="E264" s="999" t="s">
        <v>895</v>
      </c>
      <c r="F264" s="999">
        <v>1694436</v>
      </c>
      <c r="G264" s="1000">
        <v>2647370249</v>
      </c>
      <c r="H264" s="999" t="s">
        <v>1322</v>
      </c>
      <c r="I264" s="999" t="s">
        <v>897</v>
      </c>
      <c r="J264" s="1001">
        <v>39918</v>
      </c>
      <c r="K264" s="1001">
        <v>45835</v>
      </c>
      <c r="L264" s="1000">
        <f t="shared" si="39"/>
        <v>194</v>
      </c>
      <c r="M264" s="1002">
        <f t="shared" si="40"/>
        <v>16.166666666666668</v>
      </c>
      <c r="N264" s="1000">
        <v>16</v>
      </c>
      <c r="O264" s="1000">
        <v>16</v>
      </c>
      <c r="P264" s="1000">
        <v>43</v>
      </c>
      <c r="Q264" s="999" t="s">
        <v>898</v>
      </c>
      <c r="R264" s="999" t="s">
        <v>899</v>
      </c>
      <c r="S264" s="999" t="s">
        <v>900</v>
      </c>
      <c r="T264" s="999" t="s">
        <v>924</v>
      </c>
      <c r="U264" s="1000" t="s">
        <v>55</v>
      </c>
      <c r="V264" s="1000" t="s">
        <v>914</v>
      </c>
      <c r="W264" s="1003">
        <v>15908</v>
      </c>
      <c r="X264" s="1000" t="s">
        <v>903</v>
      </c>
      <c r="Y264" s="1000">
        <v>81</v>
      </c>
      <c r="Z264" s="1000" t="s">
        <v>904</v>
      </c>
      <c r="AA264" s="1000" t="s">
        <v>1220</v>
      </c>
      <c r="AB264" s="1000" t="s">
        <v>911</v>
      </c>
      <c r="AC264" s="1000" t="s">
        <v>907</v>
      </c>
      <c r="AD264" s="1004">
        <v>6742.31</v>
      </c>
      <c r="AE264" s="1004">
        <f t="shared" si="37"/>
        <v>109000.67833333334</v>
      </c>
      <c r="AF264" s="1004">
        <f t="shared" si="41"/>
        <v>109000.67833333334</v>
      </c>
      <c r="AG264" s="1005">
        <f t="shared" si="36"/>
        <v>16.166666666666668</v>
      </c>
      <c r="AH264" s="1005">
        <f t="shared" si="38"/>
        <v>14.078573233742041</v>
      </c>
    </row>
    <row r="265" spans="1:34" x14ac:dyDescent="0.25">
      <c r="A265" s="999">
        <v>13300</v>
      </c>
      <c r="B265" s="999" t="s">
        <v>1214</v>
      </c>
      <c r="C265" s="999" t="s">
        <v>421</v>
      </c>
      <c r="D265" s="999" t="s">
        <v>894</v>
      </c>
      <c r="E265" s="999" t="s">
        <v>895</v>
      </c>
      <c r="F265" s="999">
        <v>1670900</v>
      </c>
      <c r="G265" s="1000">
        <v>7154895500</v>
      </c>
      <c r="H265" s="999" t="s">
        <v>1323</v>
      </c>
      <c r="I265" s="999" t="s">
        <v>897</v>
      </c>
      <c r="J265" s="1001">
        <v>39819</v>
      </c>
      <c r="K265" s="1001">
        <v>45835</v>
      </c>
      <c r="L265" s="1000">
        <f t="shared" si="39"/>
        <v>197</v>
      </c>
      <c r="M265" s="1002">
        <f t="shared" si="40"/>
        <v>16.416666666666668</v>
      </c>
      <c r="N265" s="1000">
        <v>16</v>
      </c>
      <c r="O265" s="1000">
        <v>16</v>
      </c>
      <c r="P265" s="1000">
        <v>43</v>
      </c>
      <c r="Q265" s="999" t="s">
        <v>898</v>
      </c>
      <c r="R265" s="999" t="s">
        <v>899</v>
      </c>
      <c r="S265" s="999" t="s">
        <v>900</v>
      </c>
      <c r="T265" s="999" t="s">
        <v>924</v>
      </c>
      <c r="U265" s="1000" t="s">
        <v>55</v>
      </c>
      <c r="V265" s="1000" t="s">
        <v>914</v>
      </c>
      <c r="W265" s="1003">
        <v>17015</v>
      </c>
      <c r="X265" s="1000" t="s">
        <v>903</v>
      </c>
      <c r="Y265" s="1000">
        <v>78</v>
      </c>
      <c r="Z265" s="1000" t="s">
        <v>904</v>
      </c>
      <c r="AA265" s="1000" t="s">
        <v>1234</v>
      </c>
      <c r="AB265" s="1000" t="s">
        <v>911</v>
      </c>
      <c r="AC265" s="1000" t="s">
        <v>907</v>
      </c>
      <c r="AD265" s="1004">
        <v>11734.96</v>
      </c>
      <c r="AE265" s="1004">
        <f t="shared" si="37"/>
        <v>192648.92666666667</v>
      </c>
      <c r="AF265" s="1004">
        <f t="shared" si="41"/>
        <v>192648.92666666667</v>
      </c>
      <c r="AG265" s="1005">
        <f t="shared" si="36"/>
        <v>16.416666666666668</v>
      </c>
      <c r="AH265" s="1005">
        <f t="shared" si="38"/>
        <v>15.127564332095796</v>
      </c>
    </row>
    <row r="266" spans="1:34" x14ac:dyDescent="0.25">
      <c r="A266" s="999">
        <v>13300</v>
      </c>
      <c r="B266" s="999" t="s">
        <v>1214</v>
      </c>
      <c r="C266" s="999" t="s">
        <v>421</v>
      </c>
      <c r="D266" s="999" t="s">
        <v>894</v>
      </c>
      <c r="E266" s="999" t="s">
        <v>895</v>
      </c>
      <c r="F266" s="999">
        <v>1671624</v>
      </c>
      <c r="G266" s="1000">
        <v>1611674972</v>
      </c>
      <c r="H266" s="999" t="s">
        <v>1324</v>
      </c>
      <c r="I266" s="999" t="s">
        <v>897</v>
      </c>
      <c r="J266" s="1001">
        <v>39800</v>
      </c>
      <c r="K266" s="1001">
        <v>45835</v>
      </c>
      <c r="L266" s="1000">
        <f t="shared" si="39"/>
        <v>198</v>
      </c>
      <c r="M266" s="1002">
        <f t="shared" si="40"/>
        <v>16.5</v>
      </c>
      <c r="N266" s="1000">
        <v>16</v>
      </c>
      <c r="O266" s="1000">
        <v>16</v>
      </c>
      <c r="P266" s="1000">
        <v>43</v>
      </c>
      <c r="Q266" s="999" t="s">
        <v>898</v>
      </c>
      <c r="R266" s="999" t="s">
        <v>899</v>
      </c>
      <c r="S266" s="999" t="s">
        <v>900</v>
      </c>
      <c r="T266" s="999" t="s">
        <v>924</v>
      </c>
      <c r="U266" s="1000" t="s">
        <v>55</v>
      </c>
      <c r="V266" s="1000" t="s">
        <v>914</v>
      </c>
      <c r="W266" s="1003">
        <v>17651</v>
      </c>
      <c r="X266" s="1000" t="s">
        <v>903</v>
      </c>
      <c r="Y266" s="1000">
        <v>76</v>
      </c>
      <c r="Z266" s="1000" t="s">
        <v>904</v>
      </c>
      <c r="AA266" s="1000" t="s">
        <v>1268</v>
      </c>
      <c r="AB266" s="1000" t="s">
        <v>911</v>
      </c>
      <c r="AC266" s="1000" t="s">
        <v>907</v>
      </c>
      <c r="AD266" s="1004">
        <v>19939.93</v>
      </c>
      <c r="AE266" s="1004">
        <f t="shared" si="37"/>
        <v>329008.84500000003</v>
      </c>
      <c r="AF266" s="1004">
        <f t="shared" si="41"/>
        <v>329008.84500000003</v>
      </c>
      <c r="AG266" s="1005">
        <f t="shared" si="36"/>
        <v>16.5</v>
      </c>
      <c r="AH266" s="1005">
        <f t="shared" si="38"/>
        <v>15.712031749867361</v>
      </c>
    </row>
    <row r="267" spans="1:34" x14ac:dyDescent="0.25">
      <c r="A267" s="999">
        <v>13300</v>
      </c>
      <c r="B267" s="999" t="s">
        <v>1214</v>
      </c>
      <c r="C267" s="999" t="s">
        <v>421</v>
      </c>
      <c r="D267" s="999" t="s">
        <v>894</v>
      </c>
      <c r="E267" s="999" t="s">
        <v>895</v>
      </c>
      <c r="F267" s="999">
        <v>1670772</v>
      </c>
      <c r="G267" s="1000">
        <v>3870596104</v>
      </c>
      <c r="H267" s="999" t="s">
        <v>1325</v>
      </c>
      <c r="I267" s="999" t="s">
        <v>897</v>
      </c>
      <c r="J267" s="1001">
        <v>39812</v>
      </c>
      <c r="K267" s="1001">
        <v>45835</v>
      </c>
      <c r="L267" s="1000">
        <f t="shared" si="39"/>
        <v>197</v>
      </c>
      <c r="M267" s="1002">
        <f t="shared" si="40"/>
        <v>16.416666666666668</v>
      </c>
      <c r="N267" s="1000">
        <v>16</v>
      </c>
      <c r="O267" s="1000">
        <v>16</v>
      </c>
      <c r="P267" s="1000">
        <v>43</v>
      </c>
      <c r="Q267" s="999" t="s">
        <v>898</v>
      </c>
      <c r="R267" s="999" t="s">
        <v>899</v>
      </c>
      <c r="S267" s="999" t="s">
        <v>900</v>
      </c>
      <c r="T267" s="999" t="s">
        <v>924</v>
      </c>
      <c r="U267" s="1000" t="s">
        <v>55</v>
      </c>
      <c r="V267" s="1000" t="s">
        <v>910</v>
      </c>
      <c r="W267" s="1003">
        <v>15808</v>
      </c>
      <c r="X267" s="1000" t="s">
        <v>903</v>
      </c>
      <c r="Y267" s="1000">
        <v>82</v>
      </c>
      <c r="Z267" s="1000" t="s">
        <v>904</v>
      </c>
      <c r="AA267" s="1000" t="s">
        <v>905</v>
      </c>
      <c r="AB267" s="1000" t="s">
        <v>911</v>
      </c>
      <c r="AC267" s="1000" t="s">
        <v>907</v>
      </c>
      <c r="AD267" s="1004">
        <v>6560.32</v>
      </c>
      <c r="AE267" s="1004">
        <f t="shared" si="37"/>
        <v>107698.58666666667</v>
      </c>
      <c r="AF267" s="1004">
        <f t="shared" si="41"/>
        <v>107698.58666666667</v>
      </c>
      <c r="AG267" s="1005">
        <f t="shared" si="36"/>
        <v>16.416666666666668</v>
      </c>
      <c r="AH267" s="1005">
        <f t="shared" si="38"/>
        <v>14.245241823979233</v>
      </c>
    </row>
    <row r="268" spans="1:34" x14ac:dyDescent="0.25">
      <c r="A268" s="999">
        <v>13300</v>
      </c>
      <c r="B268" s="999" t="s">
        <v>1214</v>
      </c>
      <c r="C268" s="999" t="s">
        <v>421</v>
      </c>
      <c r="D268" s="999" t="s">
        <v>894</v>
      </c>
      <c r="E268" s="999" t="s">
        <v>895</v>
      </c>
      <c r="F268" s="999">
        <v>1959160</v>
      </c>
      <c r="G268" s="1000">
        <v>1052098134</v>
      </c>
      <c r="H268" s="999" t="s">
        <v>1326</v>
      </c>
      <c r="I268" s="999" t="s">
        <v>897</v>
      </c>
      <c r="J268" s="1001">
        <v>41116</v>
      </c>
      <c r="K268" s="1001">
        <v>45835</v>
      </c>
      <c r="L268" s="1000">
        <f t="shared" si="39"/>
        <v>155</v>
      </c>
      <c r="M268" s="1002">
        <f t="shared" si="40"/>
        <v>12.916666666666666</v>
      </c>
      <c r="N268" s="1000">
        <v>12</v>
      </c>
      <c r="O268" s="1000">
        <v>12</v>
      </c>
      <c r="P268" s="1000">
        <v>43</v>
      </c>
      <c r="Q268" s="999" t="s">
        <v>898</v>
      </c>
      <c r="R268" s="999" t="s">
        <v>899</v>
      </c>
      <c r="S268" s="999" t="s">
        <v>900</v>
      </c>
      <c r="T268" s="999" t="s">
        <v>924</v>
      </c>
      <c r="U268" s="1000" t="s">
        <v>55</v>
      </c>
      <c r="V268" s="1000" t="s">
        <v>914</v>
      </c>
      <c r="W268" s="1003">
        <v>15140</v>
      </c>
      <c r="X268" s="1000" t="s">
        <v>903</v>
      </c>
      <c r="Y268" s="1000">
        <v>83</v>
      </c>
      <c r="Z268" s="1000" t="s">
        <v>904</v>
      </c>
      <c r="AA268" s="1000" t="s">
        <v>1174</v>
      </c>
      <c r="AB268" s="1000" t="s">
        <v>911</v>
      </c>
      <c r="AC268" s="1000" t="s">
        <v>907</v>
      </c>
      <c r="AD268" s="1004">
        <v>28823.48</v>
      </c>
      <c r="AE268" s="1004">
        <f t="shared" si="37"/>
        <v>372303.28333333333</v>
      </c>
      <c r="AF268" s="1004">
        <v>350000</v>
      </c>
      <c r="AG268" s="1005">
        <f t="shared" si="36"/>
        <v>12.142877959219359</v>
      </c>
      <c r="AH268" s="1005">
        <f t="shared" si="38"/>
        <v>11.735719641034514</v>
      </c>
    </row>
    <row r="269" spans="1:34" x14ac:dyDescent="0.25">
      <c r="A269" s="999">
        <v>13300</v>
      </c>
      <c r="B269" s="999" t="s">
        <v>1214</v>
      </c>
      <c r="C269" s="999" t="s">
        <v>421</v>
      </c>
      <c r="D269" s="999" t="s">
        <v>894</v>
      </c>
      <c r="E269" s="999" t="s">
        <v>895</v>
      </c>
      <c r="F269" s="999">
        <v>1671071</v>
      </c>
      <c r="G269" s="1000">
        <v>14321343020</v>
      </c>
      <c r="H269" s="999" t="s">
        <v>1327</v>
      </c>
      <c r="I269" s="999" t="s">
        <v>897</v>
      </c>
      <c r="J269" s="1001">
        <v>39822</v>
      </c>
      <c r="K269" s="1001">
        <v>45835</v>
      </c>
      <c r="L269" s="1000">
        <f t="shared" si="39"/>
        <v>197</v>
      </c>
      <c r="M269" s="1002">
        <f t="shared" si="40"/>
        <v>16.416666666666668</v>
      </c>
      <c r="N269" s="1000">
        <v>16</v>
      </c>
      <c r="O269" s="1000">
        <v>16</v>
      </c>
      <c r="P269" s="1000">
        <v>43</v>
      </c>
      <c r="Q269" s="999" t="s">
        <v>898</v>
      </c>
      <c r="R269" s="999" t="s">
        <v>899</v>
      </c>
      <c r="S269" s="999" t="s">
        <v>900</v>
      </c>
      <c r="T269" s="999" t="s">
        <v>1196</v>
      </c>
      <c r="U269" s="1000" t="s">
        <v>54</v>
      </c>
      <c r="V269" s="1000" t="s">
        <v>914</v>
      </c>
      <c r="W269" s="1003">
        <v>16779</v>
      </c>
      <c r="X269" s="1000" t="s">
        <v>903</v>
      </c>
      <c r="Y269" s="1000">
        <v>79</v>
      </c>
      <c r="Z269" s="1000" t="s">
        <v>904</v>
      </c>
      <c r="AA269" s="1000" t="s">
        <v>1244</v>
      </c>
      <c r="AB269" s="1000" t="s">
        <v>925</v>
      </c>
      <c r="AC269" s="1000" t="s">
        <v>907</v>
      </c>
      <c r="AD269" s="1004">
        <v>17384.2</v>
      </c>
      <c r="AE269" s="1004">
        <f t="shared" si="37"/>
        <v>285390.6166666667</v>
      </c>
      <c r="AF269" s="1004">
        <f t="shared" si="41"/>
        <v>285390.6166666667</v>
      </c>
      <c r="AG269" s="1005">
        <f t="shared" si="36"/>
        <v>16.416666666666668</v>
      </c>
      <c r="AH269" s="1005">
        <f t="shared" si="38"/>
        <v>15.523689726322967</v>
      </c>
    </row>
    <row r="270" spans="1:34" x14ac:dyDescent="0.25">
      <c r="A270" s="999">
        <v>13300</v>
      </c>
      <c r="B270" s="999" t="s">
        <v>1214</v>
      </c>
      <c r="C270" s="999" t="s">
        <v>421</v>
      </c>
      <c r="D270" s="999" t="s">
        <v>894</v>
      </c>
      <c r="E270" s="999" t="s">
        <v>895</v>
      </c>
      <c r="F270" s="999">
        <v>1186284</v>
      </c>
      <c r="G270" s="1000">
        <v>5964873120</v>
      </c>
      <c r="H270" s="999" t="s">
        <v>1328</v>
      </c>
      <c r="I270" s="999" t="s">
        <v>920</v>
      </c>
      <c r="J270" s="1001">
        <v>42020</v>
      </c>
      <c r="K270" s="1001">
        <v>45835</v>
      </c>
      <c r="L270" s="1000">
        <f t="shared" si="39"/>
        <v>125</v>
      </c>
      <c r="M270" s="1002">
        <f t="shared" si="40"/>
        <v>10.416666666666666</v>
      </c>
      <c r="N270" s="1000">
        <v>10</v>
      </c>
      <c r="O270" s="1000">
        <v>10</v>
      </c>
      <c r="P270" s="1000">
        <v>43</v>
      </c>
      <c r="Q270" s="999" t="s">
        <v>898</v>
      </c>
      <c r="R270" s="999" t="s">
        <v>899</v>
      </c>
      <c r="S270" s="999" t="s">
        <v>900</v>
      </c>
      <c r="T270" s="999" t="s">
        <v>924</v>
      </c>
      <c r="U270" s="1000" t="s">
        <v>55</v>
      </c>
      <c r="V270" s="1000" t="s">
        <v>914</v>
      </c>
      <c r="W270" s="1003">
        <v>18287</v>
      </c>
      <c r="X270" s="1000" t="s">
        <v>903</v>
      </c>
      <c r="Y270" s="1000">
        <v>75</v>
      </c>
      <c r="Z270" s="1000" t="s">
        <v>904</v>
      </c>
      <c r="AA270" s="1000" t="s">
        <v>905</v>
      </c>
      <c r="AB270" s="1000" t="s">
        <v>911</v>
      </c>
      <c r="AC270" s="1000" t="s">
        <v>907</v>
      </c>
      <c r="AD270" s="1004">
        <v>16050.15</v>
      </c>
      <c r="AE270" s="1004">
        <f t="shared" si="37"/>
        <v>167189.0625</v>
      </c>
      <c r="AF270" s="1004">
        <f t="shared" si="41"/>
        <v>167189.0625</v>
      </c>
      <c r="AG270" s="1005">
        <f t="shared" si="36"/>
        <v>10.416666666666666</v>
      </c>
      <c r="AH270" s="1005">
        <f t="shared" si="38"/>
        <v>9.805723849936804</v>
      </c>
    </row>
    <row r="271" spans="1:34" x14ac:dyDescent="0.25">
      <c r="A271" s="999">
        <v>40108</v>
      </c>
      <c r="B271" s="999" t="s">
        <v>1310</v>
      </c>
      <c r="C271" s="999" t="s">
        <v>1311</v>
      </c>
      <c r="D271" s="999" t="s">
        <v>894</v>
      </c>
      <c r="E271" s="999" t="s">
        <v>895</v>
      </c>
      <c r="F271" s="999">
        <v>1875911</v>
      </c>
      <c r="G271" s="1000">
        <v>25573020749</v>
      </c>
      <c r="H271" s="999" t="s">
        <v>1329</v>
      </c>
      <c r="I271" s="999" t="s">
        <v>897</v>
      </c>
      <c r="J271" s="1001">
        <v>40728</v>
      </c>
      <c r="K271" s="1001">
        <v>45835</v>
      </c>
      <c r="L271" s="1000">
        <f t="shared" si="39"/>
        <v>167</v>
      </c>
      <c r="M271" s="1002">
        <f t="shared" si="40"/>
        <v>13.916666666666666</v>
      </c>
      <c r="N271" s="1000">
        <v>13</v>
      </c>
      <c r="O271" s="1000">
        <v>13</v>
      </c>
      <c r="P271" s="1000">
        <v>43</v>
      </c>
      <c r="Q271" s="999" t="s">
        <v>898</v>
      </c>
      <c r="R271" s="999" t="s">
        <v>899</v>
      </c>
      <c r="S271" s="999" t="s">
        <v>900</v>
      </c>
      <c r="T271" s="999" t="s">
        <v>1330</v>
      </c>
      <c r="U271" s="1000"/>
      <c r="V271" s="1000" t="s">
        <v>914</v>
      </c>
      <c r="W271" s="1003">
        <v>17508</v>
      </c>
      <c r="X271" s="1000" t="s">
        <v>903</v>
      </c>
      <c r="Y271" s="1000">
        <v>77</v>
      </c>
      <c r="Z271" s="1000" t="s">
        <v>904</v>
      </c>
      <c r="AA271" s="1000" t="s">
        <v>905</v>
      </c>
      <c r="AB271" s="1000" t="s">
        <v>938</v>
      </c>
      <c r="AC271" s="1000" t="s">
        <v>907</v>
      </c>
      <c r="AD271" s="1004">
        <v>3813.57</v>
      </c>
      <c r="AE271" s="1004">
        <f t="shared" si="37"/>
        <v>53072.182500000003</v>
      </c>
      <c r="AF271" s="1004">
        <f t="shared" si="41"/>
        <v>53072.182500000003</v>
      </c>
      <c r="AG271" s="1005">
        <f t="shared" si="36"/>
        <v>13.916666666666666</v>
      </c>
      <c r="AH271" s="1005">
        <f t="shared" si="38"/>
        <v>11.025534582440892</v>
      </c>
    </row>
    <row r="272" spans="1:34" x14ac:dyDescent="0.25">
      <c r="A272" s="999">
        <v>13300</v>
      </c>
      <c r="B272" s="999" t="s">
        <v>1214</v>
      </c>
      <c r="C272" s="999" t="s">
        <v>421</v>
      </c>
      <c r="D272" s="999" t="s">
        <v>894</v>
      </c>
      <c r="E272" s="999" t="s">
        <v>895</v>
      </c>
      <c r="F272" s="999">
        <v>1671147</v>
      </c>
      <c r="G272" s="1000">
        <v>4009207434</v>
      </c>
      <c r="H272" s="999" t="s">
        <v>1331</v>
      </c>
      <c r="I272" s="999" t="s">
        <v>897</v>
      </c>
      <c r="J272" s="1001">
        <v>39811</v>
      </c>
      <c r="K272" s="1001">
        <v>45835</v>
      </c>
      <c r="L272" s="1000">
        <f t="shared" si="39"/>
        <v>197</v>
      </c>
      <c r="M272" s="1002">
        <f t="shared" si="40"/>
        <v>16.416666666666668</v>
      </c>
      <c r="N272" s="1000">
        <v>16</v>
      </c>
      <c r="O272" s="1000">
        <v>16</v>
      </c>
      <c r="P272" s="1000">
        <v>43</v>
      </c>
      <c r="Q272" s="999" t="s">
        <v>898</v>
      </c>
      <c r="R272" s="999" t="s">
        <v>899</v>
      </c>
      <c r="S272" s="999" t="s">
        <v>900</v>
      </c>
      <c r="T272" s="999" t="s">
        <v>924</v>
      </c>
      <c r="U272" s="1000" t="s">
        <v>55</v>
      </c>
      <c r="V272" s="1000" t="s">
        <v>914</v>
      </c>
      <c r="W272" s="1003">
        <v>17625</v>
      </c>
      <c r="X272" s="1000" t="s">
        <v>903</v>
      </c>
      <c r="Y272" s="1000">
        <v>77</v>
      </c>
      <c r="Z272" s="1000" t="s">
        <v>904</v>
      </c>
      <c r="AA272" s="1000" t="s">
        <v>1291</v>
      </c>
      <c r="AB272" s="1000" t="s">
        <v>911</v>
      </c>
      <c r="AC272" s="1000" t="s">
        <v>907</v>
      </c>
      <c r="AD272" s="1004">
        <v>6625.02</v>
      </c>
      <c r="AE272" s="1004">
        <f t="shared" si="37"/>
        <v>108760.74500000001</v>
      </c>
      <c r="AF272" s="1004">
        <f t="shared" si="41"/>
        <v>108760.74500000001</v>
      </c>
      <c r="AG272" s="1005">
        <f t="shared" si="36"/>
        <v>16.416666666666668</v>
      </c>
      <c r="AH272" s="1005">
        <f t="shared" si="38"/>
        <v>14.263666849398428</v>
      </c>
    </row>
    <row r="273" spans="1:34" x14ac:dyDescent="0.25">
      <c r="A273" s="999">
        <v>13300</v>
      </c>
      <c r="B273" s="999" t="s">
        <v>1214</v>
      </c>
      <c r="C273" s="999" t="s">
        <v>421</v>
      </c>
      <c r="D273" s="999" t="s">
        <v>894</v>
      </c>
      <c r="E273" s="999" t="s">
        <v>895</v>
      </c>
      <c r="F273" s="999">
        <v>1933551</v>
      </c>
      <c r="G273" s="1000">
        <v>50608118834</v>
      </c>
      <c r="H273" s="999" t="s">
        <v>1332</v>
      </c>
      <c r="I273" s="999" t="s">
        <v>897</v>
      </c>
      <c r="J273" s="1001">
        <v>41001</v>
      </c>
      <c r="K273" s="1001">
        <v>45835</v>
      </c>
      <c r="L273" s="1000">
        <f t="shared" si="39"/>
        <v>158</v>
      </c>
      <c r="M273" s="1002">
        <f t="shared" si="40"/>
        <v>13.166666666666666</v>
      </c>
      <c r="N273" s="1000">
        <v>13</v>
      </c>
      <c r="O273" s="1000">
        <v>13</v>
      </c>
      <c r="P273" s="1000">
        <v>43</v>
      </c>
      <c r="Q273" s="999" t="s">
        <v>898</v>
      </c>
      <c r="R273" s="999" t="s">
        <v>899</v>
      </c>
      <c r="S273" s="999" t="s">
        <v>900</v>
      </c>
      <c r="T273" s="999" t="s">
        <v>924</v>
      </c>
      <c r="U273" s="1000" t="s">
        <v>55</v>
      </c>
      <c r="V273" s="1000" t="s">
        <v>914</v>
      </c>
      <c r="W273" s="1003">
        <v>18349</v>
      </c>
      <c r="X273" s="1000" t="s">
        <v>903</v>
      </c>
      <c r="Y273" s="1000">
        <v>75</v>
      </c>
      <c r="Z273" s="1000" t="s">
        <v>904</v>
      </c>
      <c r="AA273" s="1000" t="s">
        <v>1169</v>
      </c>
      <c r="AB273" s="1000" t="s">
        <v>911</v>
      </c>
      <c r="AC273" s="1000" t="s">
        <v>907</v>
      </c>
      <c r="AD273" s="1004">
        <v>13479.31</v>
      </c>
      <c r="AE273" s="1004">
        <f t="shared" si="37"/>
        <v>177477.58166666667</v>
      </c>
      <c r="AF273" s="1004">
        <f t="shared" si="41"/>
        <v>177477.58166666667</v>
      </c>
      <c r="AG273" s="1005">
        <f t="shared" si="36"/>
        <v>13.166666666666668</v>
      </c>
      <c r="AH273" s="1005">
        <f t="shared" si="38"/>
        <v>12.257323150527661</v>
      </c>
    </row>
    <row r="274" spans="1:34" x14ac:dyDescent="0.25">
      <c r="A274" s="999">
        <v>40108</v>
      </c>
      <c r="B274" s="999" t="s">
        <v>1310</v>
      </c>
      <c r="C274" s="999" t="s">
        <v>1311</v>
      </c>
      <c r="D274" s="999" t="s">
        <v>894</v>
      </c>
      <c r="E274" s="999" t="s">
        <v>895</v>
      </c>
      <c r="F274" s="999">
        <v>1947183</v>
      </c>
      <c r="G274" s="1000">
        <v>5730538715</v>
      </c>
      <c r="H274" s="999" t="s">
        <v>1333</v>
      </c>
      <c r="I274" s="999" t="s">
        <v>897</v>
      </c>
      <c r="J274" s="1001">
        <v>41061</v>
      </c>
      <c r="K274" s="1001">
        <v>45835</v>
      </c>
      <c r="L274" s="1000">
        <f t="shared" si="39"/>
        <v>156</v>
      </c>
      <c r="M274" s="1002">
        <f t="shared" si="40"/>
        <v>13</v>
      </c>
      <c r="N274" s="1000">
        <v>13</v>
      </c>
      <c r="O274" s="1000">
        <v>13</v>
      </c>
      <c r="P274" s="1000">
        <v>43</v>
      </c>
      <c r="Q274" s="999" t="s">
        <v>898</v>
      </c>
      <c r="R274" s="999" t="s">
        <v>899</v>
      </c>
      <c r="S274" s="999" t="s">
        <v>900</v>
      </c>
      <c r="T274" s="999" t="s">
        <v>909</v>
      </c>
      <c r="U274" s="1000"/>
      <c r="V274" s="1000" t="s">
        <v>914</v>
      </c>
      <c r="W274" s="1003">
        <v>14498</v>
      </c>
      <c r="X274" s="1000" t="s">
        <v>903</v>
      </c>
      <c r="Y274" s="1000">
        <v>85</v>
      </c>
      <c r="Z274" s="1000" t="s">
        <v>904</v>
      </c>
      <c r="AA274" s="1000" t="s">
        <v>905</v>
      </c>
      <c r="AB274" s="1000" t="s">
        <v>938</v>
      </c>
      <c r="AC274" s="1000" t="s">
        <v>907</v>
      </c>
      <c r="AD274" s="1004">
        <v>3813.57</v>
      </c>
      <c r="AE274" s="1004">
        <f t="shared" si="37"/>
        <v>49576.41</v>
      </c>
      <c r="AF274" s="1004">
        <f t="shared" si="41"/>
        <v>49576.41</v>
      </c>
      <c r="AG274" s="1005">
        <f t="shared" si="36"/>
        <v>13</v>
      </c>
      <c r="AH274" s="1005">
        <f t="shared" si="38"/>
        <v>10.299301765633409</v>
      </c>
    </row>
    <row r="275" spans="1:34" x14ac:dyDescent="0.25">
      <c r="A275" s="999">
        <v>40108</v>
      </c>
      <c r="B275" s="999" t="s">
        <v>1310</v>
      </c>
      <c r="C275" s="999" t="s">
        <v>1311</v>
      </c>
      <c r="D275" s="999" t="s">
        <v>894</v>
      </c>
      <c r="E275" s="999" t="s">
        <v>895</v>
      </c>
      <c r="F275" s="999">
        <v>1876748</v>
      </c>
      <c r="G275" s="1000">
        <v>9037713734</v>
      </c>
      <c r="H275" s="999" t="s">
        <v>1334</v>
      </c>
      <c r="I275" s="999" t="s">
        <v>897</v>
      </c>
      <c r="J275" s="1001">
        <v>40728</v>
      </c>
      <c r="K275" s="1001">
        <v>45835</v>
      </c>
      <c r="L275" s="1000">
        <f t="shared" si="39"/>
        <v>167</v>
      </c>
      <c r="M275" s="1002">
        <f t="shared" si="40"/>
        <v>13.916666666666666</v>
      </c>
      <c r="N275" s="1000">
        <v>13</v>
      </c>
      <c r="O275" s="1000">
        <v>13</v>
      </c>
      <c r="P275" s="1000">
        <v>43</v>
      </c>
      <c r="Q275" s="999" t="s">
        <v>898</v>
      </c>
      <c r="R275" s="999" t="s">
        <v>899</v>
      </c>
      <c r="S275" s="999" t="s">
        <v>900</v>
      </c>
      <c r="T275" s="999" t="s">
        <v>1335</v>
      </c>
      <c r="U275" s="1000" t="s">
        <v>54</v>
      </c>
      <c r="V275" s="1000" t="s">
        <v>914</v>
      </c>
      <c r="W275" s="1003">
        <v>15241</v>
      </c>
      <c r="X275" s="1000" t="s">
        <v>903</v>
      </c>
      <c r="Y275" s="1000">
        <v>83</v>
      </c>
      <c r="Z275" s="1000" t="s">
        <v>904</v>
      </c>
      <c r="AA275" s="1000" t="s">
        <v>905</v>
      </c>
      <c r="AB275" s="1000" t="s">
        <v>925</v>
      </c>
      <c r="AC275" s="1000" t="s">
        <v>907</v>
      </c>
      <c r="AD275" s="1004">
        <v>10126.049999999999</v>
      </c>
      <c r="AE275" s="1004">
        <f t="shared" si="37"/>
        <v>140920.86249999999</v>
      </c>
      <c r="AF275" s="1004">
        <f t="shared" si="41"/>
        <v>140920.86249999999</v>
      </c>
      <c r="AG275" s="1005">
        <f t="shared" si="36"/>
        <v>13.916666666666666</v>
      </c>
      <c r="AH275" s="1005">
        <f t="shared" si="38"/>
        <v>12.665848391837175</v>
      </c>
    </row>
    <row r="276" spans="1:34" x14ac:dyDescent="0.25">
      <c r="A276" s="999">
        <v>40108</v>
      </c>
      <c r="B276" s="999" t="s">
        <v>1310</v>
      </c>
      <c r="C276" s="999" t="s">
        <v>1311</v>
      </c>
      <c r="D276" s="999" t="s">
        <v>894</v>
      </c>
      <c r="E276" s="999" t="s">
        <v>895</v>
      </c>
      <c r="F276" s="999">
        <v>1972074</v>
      </c>
      <c r="G276" s="1000">
        <v>22337750744</v>
      </c>
      <c r="H276" s="999" t="s">
        <v>1336</v>
      </c>
      <c r="I276" s="999" t="s">
        <v>897</v>
      </c>
      <c r="J276" s="1001">
        <v>41187</v>
      </c>
      <c r="K276" s="1001">
        <v>45835</v>
      </c>
      <c r="L276" s="1000">
        <f t="shared" si="39"/>
        <v>152</v>
      </c>
      <c r="M276" s="1002">
        <f t="shared" si="40"/>
        <v>12.666666666666666</v>
      </c>
      <c r="N276" s="1000">
        <v>12</v>
      </c>
      <c r="O276" s="1000">
        <v>12</v>
      </c>
      <c r="P276" s="1000">
        <v>43</v>
      </c>
      <c r="Q276" s="999" t="s">
        <v>898</v>
      </c>
      <c r="R276" s="999" t="s">
        <v>899</v>
      </c>
      <c r="S276" s="999" t="s">
        <v>900</v>
      </c>
      <c r="T276" s="999" t="s">
        <v>909</v>
      </c>
      <c r="U276" s="1000"/>
      <c r="V276" s="1000" t="s">
        <v>914</v>
      </c>
      <c r="W276" s="1003">
        <v>18062</v>
      </c>
      <c r="X276" s="1000" t="s">
        <v>903</v>
      </c>
      <c r="Y276" s="1000">
        <v>75</v>
      </c>
      <c r="Z276" s="1000" t="s">
        <v>904</v>
      </c>
      <c r="AA276" s="1000" t="s">
        <v>905</v>
      </c>
      <c r="AB276" s="1000" t="s">
        <v>938</v>
      </c>
      <c r="AC276" s="1000" t="s">
        <v>907</v>
      </c>
      <c r="AD276" s="1004">
        <v>3813.57</v>
      </c>
      <c r="AE276" s="1004">
        <f t="shared" si="37"/>
        <v>48305.22</v>
      </c>
      <c r="AF276" s="1004">
        <f t="shared" si="41"/>
        <v>48305.22</v>
      </c>
      <c r="AG276" s="1005">
        <f t="shared" si="36"/>
        <v>12.666666666666666</v>
      </c>
      <c r="AH276" s="1005">
        <f t="shared" si="38"/>
        <v>10.035217104976141</v>
      </c>
    </row>
    <row r="277" spans="1:34" x14ac:dyDescent="0.25">
      <c r="A277" s="999">
        <v>13300</v>
      </c>
      <c r="B277" s="999" t="s">
        <v>1214</v>
      </c>
      <c r="C277" s="999" t="s">
        <v>421</v>
      </c>
      <c r="D277" s="999" t="s">
        <v>894</v>
      </c>
      <c r="E277" s="999" t="s">
        <v>895</v>
      </c>
      <c r="F277" s="999">
        <v>1670705</v>
      </c>
      <c r="G277" s="1000">
        <v>4618289104</v>
      </c>
      <c r="H277" s="999" t="s">
        <v>1337</v>
      </c>
      <c r="I277" s="999" t="s">
        <v>897</v>
      </c>
      <c r="J277" s="1001">
        <v>39811</v>
      </c>
      <c r="K277" s="1001">
        <v>45835</v>
      </c>
      <c r="L277" s="1000">
        <f t="shared" si="39"/>
        <v>197</v>
      </c>
      <c r="M277" s="1002">
        <f t="shared" si="40"/>
        <v>16.416666666666668</v>
      </c>
      <c r="N277" s="1000">
        <v>16</v>
      </c>
      <c r="O277" s="1000">
        <v>16</v>
      </c>
      <c r="P277" s="1000">
        <v>43</v>
      </c>
      <c r="Q277" s="999" t="s">
        <v>898</v>
      </c>
      <c r="R277" s="999" t="s">
        <v>899</v>
      </c>
      <c r="S277" s="999" t="s">
        <v>900</v>
      </c>
      <c r="T277" s="999" t="s">
        <v>1196</v>
      </c>
      <c r="U277" s="1000" t="s">
        <v>54</v>
      </c>
      <c r="V277" s="1000" t="s">
        <v>914</v>
      </c>
      <c r="W277" s="1003">
        <v>17683</v>
      </c>
      <c r="X277" s="1000" t="s">
        <v>930</v>
      </c>
      <c r="Y277" s="1000">
        <v>76</v>
      </c>
      <c r="Z277" s="1000" t="s">
        <v>904</v>
      </c>
      <c r="AA277" s="1000" t="s">
        <v>905</v>
      </c>
      <c r="AB277" s="1000" t="s">
        <v>925</v>
      </c>
      <c r="AC277" s="1000" t="s">
        <v>907</v>
      </c>
      <c r="AD277" s="1004">
        <v>10126.049999999999</v>
      </c>
      <c r="AE277" s="1004">
        <f t="shared" si="37"/>
        <v>166235.98749999999</v>
      </c>
      <c r="AF277" s="1004">
        <f t="shared" si="41"/>
        <v>166235.98749999999</v>
      </c>
      <c r="AG277" s="1005">
        <f t="shared" si="36"/>
        <v>16.416666666666668</v>
      </c>
      <c r="AH277" s="1005">
        <f t="shared" si="38"/>
        <v>14.941150498155229</v>
      </c>
    </row>
    <row r="278" spans="1:34" x14ac:dyDescent="0.25">
      <c r="A278" s="999">
        <v>40108</v>
      </c>
      <c r="B278" s="999" t="s">
        <v>1310</v>
      </c>
      <c r="C278" s="999" t="s">
        <v>1311</v>
      </c>
      <c r="D278" s="999" t="s">
        <v>894</v>
      </c>
      <c r="E278" s="999" t="s">
        <v>895</v>
      </c>
      <c r="F278" s="999">
        <v>1011118</v>
      </c>
      <c r="G278" s="1000">
        <v>10395431468</v>
      </c>
      <c r="H278" s="999" t="s">
        <v>1338</v>
      </c>
      <c r="I278" s="999" t="s">
        <v>897</v>
      </c>
      <c r="J278" s="1001">
        <v>41365</v>
      </c>
      <c r="K278" s="1001">
        <v>45835</v>
      </c>
      <c r="L278" s="1000">
        <f t="shared" si="39"/>
        <v>146</v>
      </c>
      <c r="M278" s="1002">
        <f t="shared" si="40"/>
        <v>12.166666666666666</v>
      </c>
      <c r="N278" s="1000">
        <v>12</v>
      </c>
      <c r="O278" s="1000">
        <v>12</v>
      </c>
      <c r="P278" s="1000">
        <v>43</v>
      </c>
      <c r="Q278" s="999" t="s">
        <v>898</v>
      </c>
      <c r="R278" s="999" t="s">
        <v>899</v>
      </c>
      <c r="S278" s="999" t="s">
        <v>900</v>
      </c>
      <c r="T278" s="999" t="s">
        <v>1157</v>
      </c>
      <c r="U278" s="1000"/>
      <c r="V278" s="1000" t="s">
        <v>914</v>
      </c>
      <c r="W278" s="1003">
        <v>16023</v>
      </c>
      <c r="X278" s="1000" t="s">
        <v>903</v>
      </c>
      <c r="Y278" s="1000">
        <v>81</v>
      </c>
      <c r="Z278" s="1000" t="s">
        <v>904</v>
      </c>
      <c r="AA278" s="1000" t="s">
        <v>905</v>
      </c>
      <c r="AB278" s="1000" t="s">
        <v>938</v>
      </c>
      <c r="AC278" s="1000" t="s">
        <v>907</v>
      </c>
      <c r="AD278" s="1004">
        <v>3813.57</v>
      </c>
      <c r="AE278" s="1004">
        <f t="shared" si="37"/>
        <v>46398.434999999998</v>
      </c>
      <c r="AF278" s="1004">
        <f t="shared" si="41"/>
        <v>46398.434999999998</v>
      </c>
      <c r="AG278" s="1005">
        <f t="shared" si="36"/>
        <v>12.166666666666666</v>
      </c>
      <c r="AH278" s="1005">
        <f t="shared" si="38"/>
        <v>9.6390901139902407</v>
      </c>
    </row>
    <row r="279" spans="1:34" x14ac:dyDescent="0.25">
      <c r="A279" s="999">
        <v>40108</v>
      </c>
      <c r="B279" s="999" t="s">
        <v>1310</v>
      </c>
      <c r="C279" s="999" t="s">
        <v>1311</v>
      </c>
      <c r="D279" s="999" t="s">
        <v>894</v>
      </c>
      <c r="E279" s="999" t="s">
        <v>895</v>
      </c>
      <c r="F279" s="999">
        <v>1883932</v>
      </c>
      <c r="G279" s="1000">
        <v>34381384768</v>
      </c>
      <c r="H279" s="999" t="s">
        <v>1339</v>
      </c>
      <c r="I279" s="999" t="s">
        <v>897</v>
      </c>
      <c r="J279" s="1001">
        <v>40763</v>
      </c>
      <c r="K279" s="1001">
        <v>45835</v>
      </c>
      <c r="L279" s="1000">
        <f t="shared" si="39"/>
        <v>166</v>
      </c>
      <c r="M279" s="1002">
        <f t="shared" si="40"/>
        <v>13.833333333333334</v>
      </c>
      <c r="N279" s="1000">
        <v>13</v>
      </c>
      <c r="O279" s="1000">
        <v>13</v>
      </c>
      <c r="P279" s="1000">
        <v>43</v>
      </c>
      <c r="Q279" s="999" t="s">
        <v>898</v>
      </c>
      <c r="R279" s="999" t="s">
        <v>899</v>
      </c>
      <c r="S279" s="999" t="s">
        <v>900</v>
      </c>
      <c r="T279" s="999" t="s">
        <v>916</v>
      </c>
      <c r="U279" s="1000"/>
      <c r="V279" s="1000" t="s">
        <v>914</v>
      </c>
      <c r="W279" s="1003">
        <v>18089</v>
      </c>
      <c r="X279" s="1000" t="s">
        <v>903</v>
      </c>
      <c r="Y279" s="1000">
        <v>75</v>
      </c>
      <c r="Z279" s="1000" t="s">
        <v>904</v>
      </c>
      <c r="AA279" s="1000" t="s">
        <v>905</v>
      </c>
      <c r="AB279" s="1000" t="s">
        <v>938</v>
      </c>
      <c r="AC279" s="1000" t="s">
        <v>907</v>
      </c>
      <c r="AD279" s="1004">
        <v>3813.57</v>
      </c>
      <c r="AE279" s="1004">
        <f t="shared" si="37"/>
        <v>52754.385000000002</v>
      </c>
      <c r="AF279" s="1004">
        <f t="shared" si="41"/>
        <v>52754.385000000002</v>
      </c>
      <c r="AG279" s="1005">
        <f t="shared" si="36"/>
        <v>13.833333333333334</v>
      </c>
      <c r="AH279" s="1005">
        <f t="shared" si="38"/>
        <v>10.959513417276575</v>
      </c>
    </row>
    <row r="280" spans="1:34" x14ac:dyDescent="0.25">
      <c r="A280" s="999">
        <v>13300</v>
      </c>
      <c r="B280" s="999" t="s">
        <v>1214</v>
      </c>
      <c r="C280" s="999" t="s">
        <v>421</v>
      </c>
      <c r="D280" s="999" t="s">
        <v>894</v>
      </c>
      <c r="E280" s="999" t="s">
        <v>895</v>
      </c>
      <c r="F280" s="999">
        <v>1817888</v>
      </c>
      <c r="G280" s="1000">
        <v>2557274615</v>
      </c>
      <c r="H280" s="999" t="s">
        <v>1340</v>
      </c>
      <c r="I280" s="999" t="s">
        <v>897</v>
      </c>
      <c r="J280" s="1001">
        <v>40436</v>
      </c>
      <c r="K280" s="1001">
        <v>45835</v>
      </c>
      <c r="L280" s="1000">
        <f t="shared" si="39"/>
        <v>177</v>
      </c>
      <c r="M280" s="1002">
        <f t="shared" si="40"/>
        <v>14.75</v>
      </c>
      <c r="N280" s="1000">
        <v>14</v>
      </c>
      <c r="O280" s="1000">
        <v>14</v>
      </c>
      <c r="P280" s="1000">
        <v>43</v>
      </c>
      <c r="Q280" s="999" t="s">
        <v>898</v>
      </c>
      <c r="R280" s="999" t="s">
        <v>899</v>
      </c>
      <c r="S280" s="999" t="s">
        <v>900</v>
      </c>
      <c r="T280" s="999" t="s">
        <v>924</v>
      </c>
      <c r="U280" s="1000" t="s">
        <v>55</v>
      </c>
      <c r="V280" s="1000" t="s">
        <v>910</v>
      </c>
      <c r="W280" s="1003">
        <v>15851</v>
      </c>
      <c r="X280" s="1000" t="s">
        <v>903</v>
      </c>
      <c r="Y280" s="1000">
        <v>81</v>
      </c>
      <c r="Z280" s="1000" t="s">
        <v>904</v>
      </c>
      <c r="AA280" s="1000" t="s">
        <v>1174</v>
      </c>
      <c r="AB280" s="1000" t="s">
        <v>911</v>
      </c>
      <c r="AC280" s="1000" t="s">
        <v>907</v>
      </c>
      <c r="AD280" s="1004">
        <v>9350.11</v>
      </c>
      <c r="AE280" s="1004">
        <f t="shared" si="37"/>
        <v>137914.1225</v>
      </c>
      <c r="AF280" s="1004">
        <f t="shared" si="41"/>
        <v>137914.1225</v>
      </c>
      <c r="AG280" s="1005">
        <f t="shared" si="36"/>
        <v>14.749999999999998</v>
      </c>
      <c r="AH280" s="1005">
        <f t="shared" si="38"/>
        <v>13.32489437310328</v>
      </c>
    </row>
    <row r="281" spans="1:34" x14ac:dyDescent="0.25">
      <c r="A281" s="999">
        <v>13300</v>
      </c>
      <c r="B281" s="999" t="s">
        <v>1214</v>
      </c>
      <c r="C281" s="999" t="s">
        <v>421</v>
      </c>
      <c r="D281" s="999" t="s">
        <v>894</v>
      </c>
      <c r="E281" s="999" t="s">
        <v>895</v>
      </c>
      <c r="F281" s="999">
        <v>1672840</v>
      </c>
      <c r="G281" s="1000">
        <v>2932741187</v>
      </c>
      <c r="H281" s="999" t="s">
        <v>1341</v>
      </c>
      <c r="I281" s="999" t="s">
        <v>897</v>
      </c>
      <c r="J281" s="1001">
        <v>39799</v>
      </c>
      <c r="K281" s="1001">
        <v>45835</v>
      </c>
      <c r="L281" s="1000">
        <f t="shared" si="39"/>
        <v>198</v>
      </c>
      <c r="M281" s="1002">
        <f t="shared" si="40"/>
        <v>16.5</v>
      </c>
      <c r="N281" s="1000">
        <v>16</v>
      </c>
      <c r="O281" s="1000">
        <v>16</v>
      </c>
      <c r="P281" s="1000">
        <v>43</v>
      </c>
      <c r="Q281" s="999" t="s">
        <v>898</v>
      </c>
      <c r="R281" s="999" t="s">
        <v>899</v>
      </c>
      <c r="S281" s="999" t="s">
        <v>900</v>
      </c>
      <c r="T281" s="999" t="s">
        <v>924</v>
      </c>
      <c r="U281" s="1000" t="s">
        <v>55</v>
      </c>
      <c r="V281" s="1000" t="s">
        <v>910</v>
      </c>
      <c r="W281" s="1003">
        <v>14610</v>
      </c>
      <c r="X281" s="1000" t="s">
        <v>903</v>
      </c>
      <c r="Y281" s="1000">
        <v>85</v>
      </c>
      <c r="Z281" s="1000" t="s">
        <v>904</v>
      </c>
      <c r="AA281" s="1000" t="s">
        <v>905</v>
      </c>
      <c r="AB281" s="1000" t="s">
        <v>911</v>
      </c>
      <c r="AC281" s="1000" t="s">
        <v>907</v>
      </c>
      <c r="AD281" s="1004">
        <v>5333.97</v>
      </c>
      <c r="AE281" s="1004">
        <f t="shared" si="37"/>
        <v>88010.505000000005</v>
      </c>
      <c r="AF281" s="1004">
        <f t="shared" si="41"/>
        <v>88010.505000000005</v>
      </c>
      <c r="AG281" s="1005">
        <f t="shared" si="36"/>
        <v>16.5</v>
      </c>
      <c r="AH281" s="1005">
        <f t="shared" si="38"/>
        <v>13.894998713287244</v>
      </c>
    </row>
    <row r="282" spans="1:34" x14ac:dyDescent="0.25">
      <c r="A282" s="999">
        <v>13300</v>
      </c>
      <c r="B282" s="999" t="s">
        <v>1214</v>
      </c>
      <c r="C282" s="999" t="s">
        <v>421</v>
      </c>
      <c r="D282" s="999" t="s">
        <v>894</v>
      </c>
      <c r="E282" s="999" t="s">
        <v>895</v>
      </c>
      <c r="F282" s="999">
        <v>1671063</v>
      </c>
      <c r="G282" s="1000">
        <v>56820291</v>
      </c>
      <c r="H282" s="999" t="s">
        <v>1342</v>
      </c>
      <c r="I282" s="999" t="s">
        <v>897</v>
      </c>
      <c r="J282" s="1001">
        <v>39815</v>
      </c>
      <c r="K282" s="1001">
        <v>45835</v>
      </c>
      <c r="L282" s="1000">
        <f t="shared" si="39"/>
        <v>197</v>
      </c>
      <c r="M282" s="1002">
        <f t="shared" si="40"/>
        <v>16.416666666666668</v>
      </c>
      <c r="N282" s="1000">
        <v>16</v>
      </c>
      <c r="O282" s="1000">
        <v>16</v>
      </c>
      <c r="P282" s="1000">
        <v>43</v>
      </c>
      <c r="Q282" s="999" t="s">
        <v>898</v>
      </c>
      <c r="R282" s="999" t="s">
        <v>899</v>
      </c>
      <c r="S282" s="999" t="s">
        <v>900</v>
      </c>
      <c r="T282" s="999" t="s">
        <v>1196</v>
      </c>
      <c r="U282" s="1000" t="s">
        <v>54</v>
      </c>
      <c r="V282" s="1000" t="s">
        <v>914</v>
      </c>
      <c r="W282" s="1003">
        <v>12739</v>
      </c>
      <c r="X282" s="1000" t="s">
        <v>903</v>
      </c>
      <c r="Y282" s="1000">
        <v>90</v>
      </c>
      <c r="Z282" s="1000" t="s">
        <v>904</v>
      </c>
      <c r="AA282" s="1000" t="s">
        <v>1220</v>
      </c>
      <c r="AB282" s="1000" t="s">
        <v>925</v>
      </c>
      <c r="AC282" s="1000" t="s">
        <v>907</v>
      </c>
      <c r="AD282" s="1004">
        <v>10815.07</v>
      </c>
      <c r="AE282" s="1004">
        <f t="shared" si="37"/>
        <v>177547.39916666667</v>
      </c>
      <c r="AF282" s="1004">
        <f t="shared" si="41"/>
        <v>177547.39916666667</v>
      </c>
      <c r="AG282" s="1005">
        <f t="shared" si="36"/>
        <v>16.416666666666668</v>
      </c>
      <c r="AH282" s="1005">
        <f t="shared" si="38"/>
        <v>15.027198244840418</v>
      </c>
    </row>
    <row r="283" spans="1:34" x14ac:dyDescent="0.25">
      <c r="A283" s="999">
        <v>13300</v>
      </c>
      <c r="B283" s="999" t="s">
        <v>1214</v>
      </c>
      <c r="C283" s="999" t="s">
        <v>421</v>
      </c>
      <c r="D283" s="999" t="s">
        <v>894</v>
      </c>
      <c r="E283" s="999" t="s">
        <v>895</v>
      </c>
      <c r="F283" s="999">
        <v>1670460</v>
      </c>
      <c r="G283" s="1000">
        <v>10494162015</v>
      </c>
      <c r="H283" s="999" t="s">
        <v>1343</v>
      </c>
      <c r="I283" s="999" t="s">
        <v>897</v>
      </c>
      <c r="J283" s="1001">
        <v>39818</v>
      </c>
      <c r="K283" s="1001">
        <v>45835</v>
      </c>
      <c r="L283" s="1000">
        <f t="shared" si="39"/>
        <v>197</v>
      </c>
      <c r="M283" s="1002">
        <f t="shared" si="40"/>
        <v>16.416666666666668</v>
      </c>
      <c r="N283" s="1000">
        <v>16</v>
      </c>
      <c r="O283" s="1000">
        <v>16</v>
      </c>
      <c r="P283" s="1000">
        <v>43</v>
      </c>
      <c r="Q283" s="999" t="s">
        <v>898</v>
      </c>
      <c r="R283" s="999" t="s">
        <v>899</v>
      </c>
      <c r="S283" s="999" t="s">
        <v>900</v>
      </c>
      <c r="T283" s="999" t="s">
        <v>924</v>
      </c>
      <c r="U283" s="1000" t="s">
        <v>55</v>
      </c>
      <c r="V283" s="1000" t="s">
        <v>914</v>
      </c>
      <c r="W283" s="1003">
        <v>17716</v>
      </c>
      <c r="X283" s="1000" t="s">
        <v>903</v>
      </c>
      <c r="Y283" s="1000">
        <v>76</v>
      </c>
      <c r="Z283" s="1000" t="s">
        <v>904</v>
      </c>
      <c r="AA283" s="1000" t="s">
        <v>1244</v>
      </c>
      <c r="AB283" s="1000" t="s">
        <v>911</v>
      </c>
      <c r="AC283" s="1000" t="s">
        <v>907</v>
      </c>
      <c r="AD283" s="1004">
        <v>11799.65</v>
      </c>
      <c r="AE283" s="1004">
        <f t="shared" si="37"/>
        <v>193710.92083333334</v>
      </c>
      <c r="AF283" s="1004">
        <f t="shared" si="41"/>
        <v>193710.92083333334</v>
      </c>
      <c r="AG283" s="1005">
        <f t="shared" si="36"/>
        <v>16.416666666666668</v>
      </c>
      <c r="AH283" s="1005">
        <f t="shared" si="38"/>
        <v>15.134079512590839</v>
      </c>
    </row>
    <row r="284" spans="1:34" x14ac:dyDescent="0.25">
      <c r="A284" s="999">
        <v>13300</v>
      </c>
      <c r="B284" s="999" t="s">
        <v>1214</v>
      </c>
      <c r="C284" s="999" t="s">
        <v>421</v>
      </c>
      <c r="D284" s="999" t="s">
        <v>894</v>
      </c>
      <c r="E284" s="999" t="s">
        <v>895</v>
      </c>
      <c r="F284" s="999">
        <v>1668590</v>
      </c>
      <c r="G284" s="1000">
        <v>17369649768</v>
      </c>
      <c r="H284" s="999" t="s">
        <v>1344</v>
      </c>
      <c r="I284" s="999" t="s">
        <v>897</v>
      </c>
      <c r="J284" s="1001">
        <v>39812</v>
      </c>
      <c r="K284" s="1001">
        <v>45835</v>
      </c>
      <c r="L284" s="1000">
        <f t="shared" si="39"/>
        <v>197</v>
      </c>
      <c r="M284" s="1002">
        <f t="shared" si="40"/>
        <v>16.416666666666668</v>
      </c>
      <c r="N284" s="1000">
        <v>16</v>
      </c>
      <c r="O284" s="1000">
        <v>16</v>
      </c>
      <c r="P284" s="1000">
        <v>43</v>
      </c>
      <c r="Q284" s="999" t="s">
        <v>898</v>
      </c>
      <c r="R284" s="999" t="s">
        <v>899</v>
      </c>
      <c r="S284" s="999" t="s">
        <v>900</v>
      </c>
      <c r="T284" s="999" t="s">
        <v>924</v>
      </c>
      <c r="U284" s="1000" t="s">
        <v>55</v>
      </c>
      <c r="V284" s="1000" t="s">
        <v>914</v>
      </c>
      <c r="W284" s="1003">
        <v>17338</v>
      </c>
      <c r="X284" s="1000" t="s">
        <v>903</v>
      </c>
      <c r="Y284" s="1000">
        <v>77</v>
      </c>
      <c r="Z284" s="1000" t="s">
        <v>904</v>
      </c>
      <c r="AA284" s="1000" t="s">
        <v>905</v>
      </c>
      <c r="AB284" s="1000" t="s">
        <v>911</v>
      </c>
      <c r="AC284" s="1000" t="s">
        <v>907</v>
      </c>
      <c r="AD284" s="1004">
        <v>11580.78</v>
      </c>
      <c r="AE284" s="1004">
        <f t="shared" si="37"/>
        <v>190117.80500000002</v>
      </c>
      <c r="AF284" s="1004">
        <f t="shared" si="41"/>
        <v>190117.80500000002</v>
      </c>
      <c r="AG284" s="1005">
        <f t="shared" si="36"/>
        <v>16.416666666666668</v>
      </c>
      <c r="AH284" s="1005">
        <f t="shared" si="38"/>
        <v>15.11176612260925</v>
      </c>
    </row>
    <row r="285" spans="1:34" x14ac:dyDescent="0.25">
      <c r="A285" s="999">
        <v>13300</v>
      </c>
      <c r="B285" s="999" t="s">
        <v>1214</v>
      </c>
      <c r="C285" s="999" t="s">
        <v>421</v>
      </c>
      <c r="D285" s="999" t="s">
        <v>894</v>
      </c>
      <c r="E285" s="999" t="s">
        <v>895</v>
      </c>
      <c r="F285" s="999">
        <v>1129999</v>
      </c>
      <c r="G285" s="1000">
        <v>1393669115</v>
      </c>
      <c r="H285" s="999" t="s">
        <v>1345</v>
      </c>
      <c r="I285" s="999" t="s">
        <v>897</v>
      </c>
      <c r="J285" s="1001">
        <v>41803</v>
      </c>
      <c r="K285" s="1001">
        <v>45835</v>
      </c>
      <c r="L285" s="1000">
        <f t="shared" si="39"/>
        <v>132</v>
      </c>
      <c r="M285" s="1002">
        <f t="shared" si="40"/>
        <v>11</v>
      </c>
      <c r="N285" s="1000">
        <v>11</v>
      </c>
      <c r="O285" s="1000">
        <v>11</v>
      </c>
      <c r="P285" s="1000">
        <v>43</v>
      </c>
      <c r="Q285" s="999" t="s">
        <v>898</v>
      </c>
      <c r="R285" s="999" t="s">
        <v>899</v>
      </c>
      <c r="S285" s="999" t="s">
        <v>900</v>
      </c>
      <c r="T285" s="999" t="s">
        <v>1216</v>
      </c>
      <c r="U285" s="1000" t="s">
        <v>54</v>
      </c>
      <c r="V285" s="1000" t="s">
        <v>914</v>
      </c>
      <c r="W285" s="1003">
        <v>16893</v>
      </c>
      <c r="X285" s="1000" t="s">
        <v>903</v>
      </c>
      <c r="Y285" s="1000">
        <v>79</v>
      </c>
      <c r="Z285" s="1000" t="s">
        <v>904</v>
      </c>
      <c r="AA285" s="1000" t="s">
        <v>1240</v>
      </c>
      <c r="AB285" s="1000" t="s">
        <v>925</v>
      </c>
      <c r="AC285" s="1000" t="s">
        <v>907</v>
      </c>
      <c r="AD285" s="1004">
        <v>10571.95</v>
      </c>
      <c r="AE285" s="1004">
        <f t="shared" si="37"/>
        <v>116291.45000000001</v>
      </c>
      <c r="AF285" s="1004">
        <f t="shared" si="41"/>
        <v>116291.45000000001</v>
      </c>
      <c r="AG285" s="1005">
        <f t="shared" si="36"/>
        <v>11</v>
      </c>
      <c r="AH285" s="1005">
        <f t="shared" si="38"/>
        <v>10.049425550577043</v>
      </c>
    </row>
    <row r="286" spans="1:34" x14ac:dyDescent="0.25">
      <c r="A286" s="999">
        <v>13300</v>
      </c>
      <c r="B286" s="999" t="s">
        <v>1214</v>
      </c>
      <c r="C286" s="999" t="s">
        <v>421</v>
      </c>
      <c r="D286" s="999" t="s">
        <v>894</v>
      </c>
      <c r="E286" s="999" t="s">
        <v>895</v>
      </c>
      <c r="F286" s="999">
        <v>1670829</v>
      </c>
      <c r="G286" s="1000">
        <v>453714315</v>
      </c>
      <c r="H286" s="999" t="s">
        <v>1346</v>
      </c>
      <c r="I286" s="999" t="s">
        <v>897</v>
      </c>
      <c r="J286" s="1001">
        <v>39808</v>
      </c>
      <c r="K286" s="1001">
        <v>45835</v>
      </c>
      <c r="L286" s="1000">
        <f t="shared" si="39"/>
        <v>198</v>
      </c>
      <c r="M286" s="1002">
        <f t="shared" si="40"/>
        <v>16.5</v>
      </c>
      <c r="N286" s="1000">
        <v>16</v>
      </c>
      <c r="O286" s="1000">
        <v>16</v>
      </c>
      <c r="P286" s="1000">
        <v>43</v>
      </c>
      <c r="Q286" s="999" t="s">
        <v>898</v>
      </c>
      <c r="R286" s="999" t="s">
        <v>899</v>
      </c>
      <c r="S286" s="999" t="s">
        <v>900</v>
      </c>
      <c r="T286" s="999" t="s">
        <v>924</v>
      </c>
      <c r="U286" s="1000" t="s">
        <v>55</v>
      </c>
      <c r="V286" s="1000" t="s">
        <v>914</v>
      </c>
      <c r="W286" s="1003">
        <v>16499</v>
      </c>
      <c r="X286" s="1000" t="s">
        <v>903</v>
      </c>
      <c r="Y286" s="1000">
        <v>80</v>
      </c>
      <c r="Z286" s="1000" t="s">
        <v>904</v>
      </c>
      <c r="AA286" s="1000" t="s">
        <v>1185</v>
      </c>
      <c r="AB286" s="1000" t="s">
        <v>911</v>
      </c>
      <c r="AC286" s="1000" t="s">
        <v>907</v>
      </c>
      <c r="AD286" s="1004">
        <v>17295.73</v>
      </c>
      <c r="AE286" s="1004">
        <f t="shared" si="37"/>
        <v>285379.54499999998</v>
      </c>
      <c r="AF286" s="1004">
        <f t="shared" si="41"/>
        <v>285379.54499999998</v>
      </c>
      <c r="AG286" s="1005">
        <f t="shared" si="36"/>
        <v>16.5</v>
      </c>
      <c r="AH286" s="1005">
        <f t="shared" si="38"/>
        <v>15.598150224123334</v>
      </c>
    </row>
    <row r="287" spans="1:34" x14ac:dyDescent="0.25">
      <c r="A287" s="999">
        <v>13300</v>
      </c>
      <c r="B287" s="999" t="s">
        <v>1214</v>
      </c>
      <c r="C287" s="999" t="s">
        <v>421</v>
      </c>
      <c r="D287" s="999" t="s">
        <v>894</v>
      </c>
      <c r="E287" s="999" t="s">
        <v>895</v>
      </c>
      <c r="F287" s="999">
        <v>1122330</v>
      </c>
      <c r="G287" s="1000">
        <v>29743419187</v>
      </c>
      <c r="H287" s="999" t="s">
        <v>1347</v>
      </c>
      <c r="I287" s="999" t="s">
        <v>897</v>
      </c>
      <c r="J287" s="1001">
        <v>39823</v>
      </c>
      <c r="K287" s="1001">
        <v>45835</v>
      </c>
      <c r="L287" s="1000">
        <f t="shared" si="39"/>
        <v>197</v>
      </c>
      <c r="M287" s="1002">
        <f t="shared" si="40"/>
        <v>16.416666666666668</v>
      </c>
      <c r="N287" s="1000">
        <v>16</v>
      </c>
      <c r="O287" s="1000">
        <v>16</v>
      </c>
      <c r="P287" s="1000">
        <v>43</v>
      </c>
      <c r="Q287" s="999" t="s">
        <v>898</v>
      </c>
      <c r="R287" s="999" t="s">
        <v>899</v>
      </c>
      <c r="S287" s="999" t="s">
        <v>900</v>
      </c>
      <c r="T287" s="999" t="s">
        <v>924</v>
      </c>
      <c r="U287" s="1000" t="s">
        <v>55</v>
      </c>
      <c r="V287" s="1000" t="s">
        <v>910</v>
      </c>
      <c r="W287" s="1003">
        <v>15528</v>
      </c>
      <c r="X287" s="1000" t="s">
        <v>930</v>
      </c>
      <c r="Y287" s="1000">
        <v>82</v>
      </c>
      <c r="Z287" s="1000" t="s">
        <v>904</v>
      </c>
      <c r="AA287" s="1000" t="s">
        <v>905</v>
      </c>
      <c r="AB287" s="1000" t="s">
        <v>911</v>
      </c>
      <c r="AC287" s="1000" t="s">
        <v>907</v>
      </c>
      <c r="AD287" s="1004">
        <v>5333.97</v>
      </c>
      <c r="AE287" s="1004">
        <f t="shared" si="37"/>
        <v>87566.007500000007</v>
      </c>
      <c r="AF287" s="1004">
        <f t="shared" si="41"/>
        <v>87566.007500000007</v>
      </c>
      <c r="AG287" s="1005">
        <f t="shared" si="36"/>
        <v>16.416666666666668</v>
      </c>
      <c r="AH287" s="1005">
        <f t="shared" si="38"/>
        <v>13.824821952109025</v>
      </c>
    </row>
    <row r="288" spans="1:34" x14ac:dyDescent="0.25">
      <c r="A288" s="999">
        <v>40108</v>
      </c>
      <c r="B288" s="999" t="s">
        <v>1310</v>
      </c>
      <c r="C288" s="999" t="s">
        <v>1311</v>
      </c>
      <c r="D288" s="999" t="s">
        <v>894</v>
      </c>
      <c r="E288" s="999" t="s">
        <v>895</v>
      </c>
      <c r="F288" s="999">
        <v>1883550</v>
      </c>
      <c r="G288" s="1000">
        <v>31349200778</v>
      </c>
      <c r="H288" s="999" t="s">
        <v>1348</v>
      </c>
      <c r="I288" s="999" t="s">
        <v>897</v>
      </c>
      <c r="J288" s="1001">
        <v>40763</v>
      </c>
      <c r="K288" s="1001">
        <v>45835</v>
      </c>
      <c r="L288" s="1000">
        <f t="shared" si="39"/>
        <v>166</v>
      </c>
      <c r="M288" s="1002">
        <f t="shared" si="40"/>
        <v>13.833333333333334</v>
      </c>
      <c r="N288" s="1000">
        <v>13</v>
      </c>
      <c r="O288" s="1000">
        <v>13</v>
      </c>
      <c r="P288" s="1000">
        <v>43</v>
      </c>
      <c r="Q288" s="999" t="s">
        <v>898</v>
      </c>
      <c r="R288" s="999" t="s">
        <v>899</v>
      </c>
      <c r="S288" s="999" t="s">
        <v>900</v>
      </c>
      <c r="T288" s="999" t="s">
        <v>1297</v>
      </c>
      <c r="U288" s="1000"/>
      <c r="V288" s="1000" t="s">
        <v>914</v>
      </c>
      <c r="W288" s="1003">
        <v>17533</v>
      </c>
      <c r="X288" s="1000" t="s">
        <v>903</v>
      </c>
      <c r="Y288" s="1000">
        <v>77</v>
      </c>
      <c r="Z288" s="1000" t="s">
        <v>904</v>
      </c>
      <c r="AA288" s="1000" t="s">
        <v>905</v>
      </c>
      <c r="AB288" s="1000" t="s">
        <v>938</v>
      </c>
      <c r="AC288" s="1000" t="s">
        <v>907</v>
      </c>
      <c r="AD288" s="1004">
        <v>3813.57</v>
      </c>
      <c r="AE288" s="1004">
        <f t="shared" si="37"/>
        <v>52754.385000000002</v>
      </c>
      <c r="AF288" s="1004">
        <f t="shared" si="41"/>
        <v>52754.385000000002</v>
      </c>
      <c r="AG288" s="1005">
        <f t="shared" si="36"/>
        <v>13.833333333333334</v>
      </c>
      <c r="AH288" s="1005">
        <f t="shared" si="38"/>
        <v>10.959513417276575</v>
      </c>
    </row>
    <row r="289" spans="1:34" x14ac:dyDescent="0.25">
      <c r="A289" s="999">
        <v>13300</v>
      </c>
      <c r="B289" s="999" t="s">
        <v>1214</v>
      </c>
      <c r="C289" s="999" t="s">
        <v>421</v>
      </c>
      <c r="D289" s="999" t="s">
        <v>894</v>
      </c>
      <c r="E289" s="999" t="s">
        <v>895</v>
      </c>
      <c r="F289" s="999">
        <v>1936221</v>
      </c>
      <c r="G289" s="1000">
        <v>4678362134</v>
      </c>
      <c r="H289" s="999" t="s">
        <v>1349</v>
      </c>
      <c r="I289" s="999" t="s">
        <v>897</v>
      </c>
      <c r="J289" s="1001">
        <v>40998</v>
      </c>
      <c r="K289" s="1001">
        <v>45835</v>
      </c>
      <c r="L289" s="1000">
        <f t="shared" si="39"/>
        <v>158</v>
      </c>
      <c r="M289" s="1002">
        <f t="shared" si="40"/>
        <v>13.166666666666666</v>
      </c>
      <c r="N289" s="1000">
        <v>13</v>
      </c>
      <c r="O289" s="1000">
        <v>13</v>
      </c>
      <c r="P289" s="1000">
        <v>43</v>
      </c>
      <c r="Q289" s="999" t="s">
        <v>898</v>
      </c>
      <c r="R289" s="999" t="s">
        <v>899</v>
      </c>
      <c r="S289" s="999" t="s">
        <v>900</v>
      </c>
      <c r="T289" s="999" t="s">
        <v>924</v>
      </c>
      <c r="U289" s="1000" t="s">
        <v>55</v>
      </c>
      <c r="V289" s="1000" t="s">
        <v>914</v>
      </c>
      <c r="W289" s="1003">
        <v>17043</v>
      </c>
      <c r="X289" s="1000" t="s">
        <v>903</v>
      </c>
      <c r="Y289" s="1000">
        <v>78</v>
      </c>
      <c r="Z289" s="1000" t="s">
        <v>904</v>
      </c>
      <c r="AA289" s="1000" t="s">
        <v>905</v>
      </c>
      <c r="AB289" s="1000" t="s">
        <v>911</v>
      </c>
      <c r="AC289" s="1000" t="s">
        <v>907</v>
      </c>
      <c r="AD289" s="1004">
        <v>9765.2999999999993</v>
      </c>
      <c r="AE289" s="1004">
        <f t="shared" si="37"/>
        <v>128576.44999999998</v>
      </c>
      <c r="AF289" s="1004">
        <f t="shared" si="41"/>
        <v>128576.44999999998</v>
      </c>
      <c r="AG289" s="1005">
        <f t="shared" si="36"/>
        <v>13.166666666666666</v>
      </c>
      <c r="AH289" s="1005">
        <f t="shared" si="38"/>
        <v>11.94360120015234</v>
      </c>
    </row>
    <row r="290" spans="1:34" x14ac:dyDescent="0.25">
      <c r="A290" s="999">
        <v>13300</v>
      </c>
      <c r="B290" s="999" t="s">
        <v>1214</v>
      </c>
      <c r="C290" s="999" t="s">
        <v>421</v>
      </c>
      <c r="D290" s="999" t="s">
        <v>894</v>
      </c>
      <c r="E290" s="999" t="s">
        <v>895</v>
      </c>
      <c r="F290" s="999">
        <v>1670857</v>
      </c>
      <c r="G290" s="1000">
        <v>16672461000</v>
      </c>
      <c r="H290" s="999" t="s">
        <v>1350</v>
      </c>
      <c r="I290" s="999" t="s">
        <v>897</v>
      </c>
      <c r="J290" s="1001">
        <v>39820</v>
      </c>
      <c r="K290" s="1001">
        <v>45835</v>
      </c>
      <c r="L290" s="1000">
        <f t="shared" si="39"/>
        <v>197</v>
      </c>
      <c r="M290" s="1002">
        <f t="shared" si="40"/>
        <v>16.416666666666668</v>
      </c>
      <c r="N290" s="1000">
        <v>16</v>
      </c>
      <c r="O290" s="1000">
        <v>16</v>
      </c>
      <c r="P290" s="1000">
        <v>43</v>
      </c>
      <c r="Q290" s="999" t="s">
        <v>898</v>
      </c>
      <c r="R290" s="999" t="s">
        <v>899</v>
      </c>
      <c r="S290" s="999" t="s">
        <v>900</v>
      </c>
      <c r="T290" s="999" t="s">
        <v>924</v>
      </c>
      <c r="U290" s="1000" t="s">
        <v>55</v>
      </c>
      <c r="V290" s="1000" t="s">
        <v>914</v>
      </c>
      <c r="W290" s="1003">
        <v>17678</v>
      </c>
      <c r="X290" s="1000" t="s">
        <v>930</v>
      </c>
      <c r="Y290" s="1000">
        <v>76</v>
      </c>
      <c r="Z290" s="1000" t="s">
        <v>904</v>
      </c>
      <c r="AA290" s="1000" t="s">
        <v>1244</v>
      </c>
      <c r="AB290" s="1000" t="s">
        <v>911</v>
      </c>
      <c r="AC290" s="1000" t="s">
        <v>907</v>
      </c>
      <c r="AD290" s="1004">
        <v>5333.97</v>
      </c>
      <c r="AE290" s="1004">
        <f t="shared" si="37"/>
        <v>87566.007500000007</v>
      </c>
      <c r="AF290" s="1004">
        <f t="shared" si="41"/>
        <v>87566.007500000007</v>
      </c>
      <c r="AG290" s="1005">
        <f t="shared" si="36"/>
        <v>16.416666666666668</v>
      </c>
      <c r="AH290" s="1005">
        <f t="shared" si="38"/>
        <v>13.824821952109025</v>
      </c>
    </row>
    <row r="291" spans="1:34" x14ac:dyDescent="0.25">
      <c r="A291" s="999">
        <v>40108</v>
      </c>
      <c r="B291" s="999" t="s">
        <v>1310</v>
      </c>
      <c r="C291" s="999" t="s">
        <v>1311</v>
      </c>
      <c r="D291" s="999" t="s">
        <v>894</v>
      </c>
      <c r="E291" s="999" t="s">
        <v>895</v>
      </c>
      <c r="F291" s="999">
        <v>1898490</v>
      </c>
      <c r="G291" s="1000">
        <v>25593129720</v>
      </c>
      <c r="H291" s="999" t="s">
        <v>1351</v>
      </c>
      <c r="I291" s="999" t="s">
        <v>897</v>
      </c>
      <c r="J291" s="1001">
        <v>40848</v>
      </c>
      <c r="K291" s="1001">
        <v>45835</v>
      </c>
      <c r="L291" s="1000">
        <f t="shared" si="39"/>
        <v>163</v>
      </c>
      <c r="M291" s="1002">
        <f t="shared" si="40"/>
        <v>13.583333333333334</v>
      </c>
      <c r="N291" s="1000">
        <v>13</v>
      </c>
      <c r="O291" s="1000">
        <v>13</v>
      </c>
      <c r="P291" s="1000">
        <v>43</v>
      </c>
      <c r="Q291" s="999" t="s">
        <v>898</v>
      </c>
      <c r="R291" s="999" t="s">
        <v>899</v>
      </c>
      <c r="S291" s="999" t="s">
        <v>900</v>
      </c>
      <c r="T291" s="999" t="s">
        <v>1352</v>
      </c>
      <c r="U291" s="1000"/>
      <c r="V291" s="1000" t="s">
        <v>914</v>
      </c>
      <c r="W291" s="1003">
        <v>16672</v>
      </c>
      <c r="X291" s="1000" t="s">
        <v>903</v>
      </c>
      <c r="Y291" s="1000">
        <v>79</v>
      </c>
      <c r="Z291" s="1000" t="s">
        <v>904</v>
      </c>
      <c r="AA291" s="1000" t="s">
        <v>905</v>
      </c>
      <c r="AB291" s="1000" t="s">
        <v>938</v>
      </c>
      <c r="AC291" s="1000" t="s">
        <v>907</v>
      </c>
      <c r="AD291" s="1004">
        <v>3813.57</v>
      </c>
      <c r="AE291" s="1004">
        <f t="shared" si="37"/>
        <v>51800.992500000008</v>
      </c>
      <c r="AF291" s="1004">
        <f t="shared" si="41"/>
        <v>51800.992500000008</v>
      </c>
      <c r="AG291" s="1005">
        <f t="shared" si="36"/>
        <v>13.583333333333334</v>
      </c>
      <c r="AH291" s="1005">
        <f t="shared" si="38"/>
        <v>10.761449921783626</v>
      </c>
    </row>
    <row r="292" spans="1:34" x14ac:dyDescent="0.25">
      <c r="A292" s="999">
        <v>40200</v>
      </c>
      <c r="B292" s="999" t="s">
        <v>1353</v>
      </c>
      <c r="C292" s="999" t="s">
        <v>1354</v>
      </c>
      <c r="D292" s="999" t="s">
        <v>894</v>
      </c>
      <c r="E292" s="999" t="s">
        <v>895</v>
      </c>
      <c r="F292" s="999">
        <v>1694991</v>
      </c>
      <c r="G292" s="1000">
        <v>2251671315</v>
      </c>
      <c r="H292" s="999" t="s">
        <v>1355</v>
      </c>
      <c r="I292" s="999" t="s">
        <v>897</v>
      </c>
      <c r="J292" s="1001">
        <v>39920</v>
      </c>
      <c r="K292" s="1001">
        <v>45835</v>
      </c>
      <c r="L292" s="1000">
        <f t="shared" si="39"/>
        <v>194</v>
      </c>
      <c r="M292" s="1002">
        <f t="shared" si="40"/>
        <v>16.166666666666668</v>
      </c>
      <c r="N292" s="1000">
        <v>16</v>
      </c>
      <c r="O292" s="1000">
        <v>16</v>
      </c>
      <c r="P292" s="1000">
        <v>43</v>
      </c>
      <c r="Q292" s="999" t="s">
        <v>898</v>
      </c>
      <c r="R292" s="999" t="s">
        <v>899</v>
      </c>
      <c r="S292" s="999" t="s">
        <v>900</v>
      </c>
      <c r="T292" s="999" t="s">
        <v>1307</v>
      </c>
      <c r="U292" s="1000" t="s">
        <v>54</v>
      </c>
      <c r="V292" s="1000" t="s">
        <v>914</v>
      </c>
      <c r="W292" s="1003">
        <v>17790</v>
      </c>
      <c r="X292" s="1000" t="s">
        <v>903</v>
      </c>
      <c r="Y292" s="1000">
        <v>76</v>
      </c>
      <c r="Z292" s="1000" t="s">
        <v>904</v>
      </c>
      <c r="AA292" s="1000" t="s">
        <v>905</v>
      </c>
      <c r="AB292" s="1000" t="s">
        <v>925</v>
      </c>
      <c r="AC292" s="1000" t="s">
        <v>907</v>
      </c>
      <c r="AD292" s="1004">
        <v>10126.049999999999</v>
      </c>
      <c r="AE292" s="1004">
        <f t="shared" si="37"/>
        <v>163704.47500000001</v>
      </c>
      <c r="AF292" s="1004">
        <f t="shared" si="41"/>
        <v>163704.47500000001</v>
      </c>
      <c r="AG292" s="1005">
        <f t="shared" si="36"/>
        <v>16.166666666666668</v>
      </c>
      <c r="AH292" s="1005">
        <f t="shared" si="38"/>
        <v>14.713620287523426</v>
      </c>
    </row>
    <row r="293" spans="1:34" x14ac:dyDescent="0.25">
      <c r="A293" s="999">
        <v>40108</v>
      </c>
      <c r="B293" s="999" t="s">
        <v>1310</v>
      </c>
      <c r="C293" s="999" t="s">
        <v>1311</v>
      </c>
      <c r="D293" s="999" t="s">
        <v>894</v>
      </c>
      <c r="E293" s="999" t="s">
        <v>895</v>
      </c>
      <c r="F293" s="999">
        <v>1178820</v>
      </c>
      <c r="G293" s="1000">
        <v>35237147704</v>
      </c>
      <c r="H293" s="999" t="s">
        <v>1356</v>
      </c>
      <c r="I293" s="999" t="s">
        <v>897</v>
      </c>
      <c r="J293" s="1001">
        <v>41974</v>
      </c>
      <c r="K293" s="1001">
        <v>45835</v>
      </c>
      <c r="L293" s="1000">
        <f t="shared" si="39"/>
        <v>126</v>
      </c>
      <c r="M293" s="1002">
        <f t="shared" si="40"/>
        <v>10.5</v>
      </c>
      <c r="N293" s="1000">
        <v>10</v>
      </c>
      <c r="O293" s="1000">
        <v>10</v>
      </c>
      <c r="P293" s="1000">
        <v>43</v>
      </c>
      <c r="Q293" s="999" t="s">
        <v>898</v>
      </c>
      <c r="R293" s="999" t="s">
        <v>899</v>
      </c>
      <c r="S293" s="999" t="s">
        <v>900</v>
      </c>
      <c r="T293" s="999" t="s">
        <v>1357</v>
      </c>
      <c r="U293" s="1000"/>
      <c r="V293" s="1000" t="s">
        <v>914</v>
      </c>
      <c r="W293" s="1003">
        <v>18088</v>
      </c>
      <c r="X293" s="1000" t="s">
        <v>903</v>
      </c>
      <c r="Y293" s="1000">
        <v>75</v>
      </c>
      <c r="Z293" s="1000" t="s">
        <v>904</v>
      </c>
      <c r="AA293" s="1000" t="s">
        <v>905</v>
      </c>
      <c r="AB293" s="1000" t="s">
        <v>938</v>
      </c>
      <c r="AC293" s="1000" t="s">
        <v>907</v>
      </c>
      <c r="AD293" s="1004">
        <v>3813.57</v>
      </c>
      <c r="AE293" s="1004">
        <f t="shared" si="37"/>
        <v>40042.485000000001</v>
      </c>
      <c r="AF293" s="1004">
        <f t="shared" si="41"/>
        <v>40042.485000000001</v>
      </c>
      <c r="AG293" s="1005">
        <f t="shared" si="36"/>
        <v>10.5</v>
      </c>
      <c r="AH293" s="1005">
        <f t="shared" si="38"/>
        <v>8.3186668107039061</v>
      </c>
    </row>
    <row r="294" spans="1:34" x14ac:dyDescent="0.25">
      <c r="A294" s="999">
        <v>41100</v>
      </c>
      <c r="B294" s="999" t="s">
        <v>1358</v>
      </c>
      <c r="C294" s="999" t="s">
        <v>1359</v>
      </c>
      <c r="D294" s="999" t="s">
        <v>894</v>
      </c>
      <c r="E294" s="999" t="s">
        <v>895</v>
      </c>
      <c r="F294" s="999">
        <v>1795309</v>
      </c>
      <c r="G294" s="1000">
        <v>39707008687</v>
      </c>
      <c r="H294" s="999" t="s">
        <v>1360</v>
      </c>
      <c r="I294" s="999" t="s">
        <v>897</v>
      </c>
      <c r="J294" s="1001">
        <v>40360</v>
      </c>
      <c r="K294" s="1001">
        <v>45835</v>
      </c>
      <c r="L294" s="1000">
        <f t="shared" si="39"/>
        <v>179</v>
      </c>
      <c r="M294" s="1002">
        <f t="shared" si="40"/>
        <v>14.916666666666666</v>
      </c>
      <c r="N294" s="1000">
        <v>14</v>
      </c>
      <c r="O294" s="1000">
        <v>14</v>
      </c>
      <c r="P294" s="1000">
        <v>43</v>
      </c>
      <c r="Q294" s="999" t="s">
        <v>898</v>
      </c>
      <c r="R294" s="999" t="s">
        <v>899</v>
      </c>
      <c r="S294" s="999" t="s">
        <v>900</v>
      </c>
      <c r="T294" s="999" t="s">
        <v>1361</v>
      </c>
      <c r="U294" s="1000" t="s">
        <v>54</v>
      </c>
      <c r="V294" s="1000" t="s">
        <v>902</v>
      </c>
      <c r="W294" s="1003">
        <v>17556</v>
      </c>
      <c r="X294" s="1000" t="s">
        <v>903</v>
      </c>
      <c r="Y294" s="1000">
        <v>77</v>
      </c>
      <c r="Z294" s="1000" t="s">
        <v>904</v>
      </c>
      <c r="AA294" s="1000" t="s">
        <v>905</v>
      </c>
      <c r="AB294" s="1000" t="s">
        <v>925</v>
      </c>
      <c r="AC294" s="1000" t="s">
        <v>907</v>
      </c>
      <c r="AD294" s="1004">
        <v>10126.049999999999</v>
      </c>
      <c r="AE294" s="1004">
        <f t="shared" si="37"/>
        <v>151046.91249999998</v>
      </c>
      <c r="AF294" s="1004">
        <f t="shared" si="41"/>
        <v>151046.91249999998</v>
      </c>
      <c r="AG294" s="1005">
        <f t="shared" si="36"/>
        <v>14.916666666666666</v>
      </c>
      <c r="AH294" s="1005">
        <f t="shared" si="38"/>
        <v>13.575969234364395</v>
      </c>
    </row>
    <row r="295" spans="1:34" x14ac:dyDescent="0.25">
      <c r="A295" s="999">
        <v>40108</v>
      </c>
      <c r="B295" s="999" t="s">
        <v>1310</v>
      </c>
      <c r="C295" s="999" t="s">
        <v>1311</v>
      </c>
      <c r="D295" s="999" t="s">
        <v>894</v>
      </c>
      <c r="E295" s="999" t="s">
        <v>895</v>
      </c>
      <c r="F295" s="999">
        <v>1876387</v>
      </c>
      <c r="G295" s="1000">
        <v>27279570763</v>
      </c>
      <c r="H295" s="999" t="s">
        <v>1362</v>
      </c>
      <c r="I295" s="999" t="s">
        <v>897</v>
      </c>
      <c r="J295" s="1001">
        <v>40728</v>
      </c>
      <c r="K295" s="1001">
        <v>45835</v>
      </c>
      <c r="L295" s="1000">
        <f t="shared" si="39"/>
        <v>167</v>
      </c>
      <c r="M295" s="1002">
        <f t="shared" si="40"/>
        <v>13.916666666666666</v>
      </c>
      <c r="N295" s="1000">
        <v>13</v>
      </c>
      <c r="O295" s="1000">
        <v>13</v>
      </c>
      <c r="P295" s="1000">
        <v>43</v>
      </c>
      <c r="Q295" s="999" t="s">
        <v>898</v>
      </c>
      <c r="R295" s="999" t="s">
        <v>899</v>
      </c>
      <c r="S295" s="999" t="s">
        <v>900</v>
      </c>
      <c r="T295" s="999" t="s">
        <v>1363</v>
      </c>
      <c r="U295" s="1000"/>
      <c r="V295" s="1000" t="s">
        <v>914</v>
      </c>
      <c r="W295" s="1003">
        <v>18298</v>
      </c>
      <c r="X295" s="1000" t="s">
        <v>903</v>
      </c>
      <c r="Y295" s="1000">
        <v>75</v>
      </c>
      <c r="Z295" s="1000" t="s">
        <v>904</v>
      </c>
      <c r="AA295" s="1000" t="s">
        <v>905</v>
      </c>
      <c r="AB295" s="1000" t="s">
        <v>938</v>
      </c>
      <c r="AC295" s="1000" t="s">
        <v>907</v>
      </c>
      <c r="AD295" s="1004">
        <v>3813.57</v>
      </c>
      <c r="AE295" s="1004">
        <f t="shared" si="37"/>
        <v>53072.182500000003</v>
      </c>
      <c r="AF295" s="1004">
        <f t="shared" si="41"/>
        <v>53072.182500000003</v>
      </c>
      <c r="AG295" s="1005">
        <f t="shared" ref="AG295:AG358" si="42">AF295/AD295</f>
        <v>13.916666666666666</v>
      </c>
      <c r="AH295" s="1005">
        <f t="shared" si="38"/>
        <v>11.025534582440892</v>
      </c>
    </row>
    <row r="296" spans="1:34" x14ac:dyDescent="0.25">
      <c r="A296" s="999">
        <v>41100</v>
      </c>
      <c r="B296" s="999" t="s">
        <v>1358</v>
      </c>
      <c r="C296" s="999" t="s">
        <v>1359</v>
      </c>
      <c r="D296" s="999" t="s">
        <v>894</v>
      </c>
      <c r="E296" s="999" t="s">
        <v>895</v>
      </c>
      <c r="F296" s="999">
        <v>839800</v>
      </c>
      <c r="G296" s="1000">
        <v>6759378091</v>
      </c>
      <c r="H296" s="999" t="s">
        <v>1364</v>
      </c>
      <c r="I296" s="999" t="s">
        <v>897</v>
      </c>
      <c r="J296" s="1001">
        <v>39994</v>
      </c>
      <c r="K296" s="1001">
        <v>45835</v>
      </c>
      <c r="L296" s="1000">
        <f t="shared" si="39"/>
        <v>191</v>
      </c>
      <c r="M296" s="1002">
        <f t="shared" si="40"/>
        <v>15.916666666666666</v>
      </c>
      <c r="N296" s="1000">
        <v>15</v>
      </c>
      <c r="O296" s="1000">
        <v>15</v>
      </c>
      <c r="P296" s="1000">
        <v>43</v>
      </c>
      <c r="Q296" s="999" t="s">
        <v>898</v>
      </c>
      <c r="R296" s="999" t="s">
        <v>899</v>
      </c>
      <c r="S296" s="999" t="s">
        <v>900</v>
      </c>
      <c r="T296" s="999" t="s">
        <v>1361</v>
      </c>
      <c r="U296" s="1000" t="s">
        <v>54</v>
      </c>
      <c r="V296" s="1000" t="s">
        <v>910</v>
      </c>
      <c r="W296" s="1003">
        <v>16924</v>
      </c>
      <c r="X296" s="1000" t="s">
        <v>903</v>
      </c>
      <c r="Y296" s="1000">
        <v>78</v>
      </c>
      <c r="Z296" s="1000" t="s">
        <v>904</v>
      </c>
      <c r="AA296" s="1000" t="s">
        <v>905</v>
      </c>
      <c r="AB296" s="1000" t="s">
        <v>925</v>
      </c>
      <c r="AC296" s="1000" t="s">
        <v>907</v>
      </c>
      <c r="AD296" s="1004">
        <v>12010.91</v>
      </c>
      <c r="AE296" s="1004">
        <f t="shared" si="37"/>
        <v>191173.65083333332</v>
      </c>
      <c r="AF296" s="1004">
        <f t="shared" si="41"/>
        <v>191173.65083333332</v>
      </c>
      <c r="AG296" s="1005">
        <f t="shared" si="42"/>
        <v>15.916666666666666</v>
      </c>
      <c r="AH296" s="1005">
        <f t="shared" si="38"/>
        <v>14.693334350428472</v>
      </c>
    </row>
    <row r="297" spans="1:34" x14ac:dyDescent="0.25">
      <c r="A297" s="999">
        <v>41100</v>
      </c>
      <c r="B297" s="999" t="s">
        <v>1358</v>
      </c>
      <c r="C297" s="999" t="s">
        <v>1359</v>
      </c>
      <c r="D297" s="999" t="s">
        <v>894</v>
      </c>
      <c r="E297" s="999" t="s">
        <v>895</v>
      </c>
      <c r="F297" s="999">
        <v>1794231</v>
      </c>
      <c r="G297" s="1000">
        <v>21941114253</v>
      </c>
      <c r="H297" s="999" t="s">
        <v>1365</v>
      </c>
      <c r="I297" s="999" t="s">
        <v>897</v>
      </c>
      <c r="J297" s="1001">
        <v>40360</v>
      </c>
      <c r="K297" s="1001">
        <v>45835</v>
      </c>
      <c r="L297" s="1000">
        <f t="shared" si="39"/>
        <v>179</v>
      </c>
      <c r="M297" s="1002">
        <f t="shared" si="40"/>
        <v>14.916666666666666</v>
      </c>
      <c r="N297" s="1000">
        <v>14</v>
      </c>
      <c r="O297" s="1000">
        <v>14</v>
      </c>
      <c r="P297" s="1000">
        <v>43</v>
      </c>
      <c r="Q297" s="999" t="s">
        <v>898</v>
      </c>
      <c r="R297" s="999" t="s">
        <v>899</v>
      </c>
      <c r="S297" s="999" t="s">
        <v>900</v>
      </c>
      <c r="T297" s="999" t="s">
        <v>1184</v>
      </c>
      <c r="U297" s="1000" t="s">
        <v>54</v>
      </c>
      <c r="V297" s="1000" t="s">
        <v>910</v>
      </c>
      <c r="W297" s="1003">
        <v>15029</v>
      </c>
      <c r="X297" s="1000" t="s">
        <v>930</v>
      </c>
      <c r="Y297" s="1000">
        <v>84</v>
      </c>
      <c r="Z297" s="1000" t="s">
        <v>904</v>
      </c>
      <c r="AA297" s="1000" t="s">
        <v>905</v>
      </c>
      <c r="AB297" s="1000" t="s">
        <v>925</v>
      </c>
      <c r="AC297" s="1000" t="s">
        <v>907</v>
      </c>
      <c r="AD297" s="1004">
        <v>10126.049999999999</v>
      </c>
      <c r="AE297" s="1004">
        <f t="shared" si="37"/>
        <v>151046.91249999998</v>
      </c>
      <c r="AF297" s="1004">
        <f t="shared" si="41"/>
        <v>151046.91249999998</v>
      </c>
      <c r="AG297" s="1005">
        <f t="shared" si="42"/>
        <v>14.916666666666666</v>
      </c>
      <c r="AH297" s="1005">
        <f t="shared" si="38"/>
        <v>13.575969234364395</v>
      </c>
    </row>
    <row r="298" spans="1:34" x14ac:dyDescent="0.25">
      <c r="A298" s="999">
        <v>40108</v>
      </c>
      <c r="B298" s="999" t="s">
        <v>1310</v>
      </c>
      <c r="C298" s="999" t="s">
        <v>1311</v>
      </c>
      <c r="D298" s="999" t="s">
        <v>894</v>
      </c>
      <c r="E298" s="999" t="s">
        <v>895</v>
      </c>
      <c r="F298" s="999">
        <v>1893860</v>
      </c>
      <c r="G298" s="1000">
        <v>11351900463</v>
      </c>
      <c r="H298" s="999" t="s">
        <v>1366</v>
      </c>
      <c r="I298" s="999" t="s">
        <v>897</v>
      </c>
      <c r="J298" s="1001">
        <v>40826</v>
      </c>
      <c r="K298" s="1001">
        <v>45835</v>
      </c>
      <c r="L298" s="1000">
        <f t="shared" si="39"/>
        <v>164</v>
      </c>
      <c r="M298" s="1002">
        <f t="shared" si="40"/>
        <v>13.666666666666666</v>
      </c>
      <c r="N298" s="1000">
        <v>13</v>
      </c>
      <c r="O298" s="1000">
        <v>13</v>
      </c>
      <c r="P298" s="1000">
        <v>43</v>
      </c>
      <c r="Q298" s="999" t="s">
        <v>898</v>
      </c>
      <c r="R298" s="999" t="s">
        <v>899</v>
      </c>
      <c r="S298" s="999" t="s">
        <v>900</v>
      </c>
      <c r="T298" s="999" t="s">
        <v>1367</v>
      </c>
      <c r="U298" s="1000"/>
      <c r="V298" s="1000" t="s">
        <v>914</v>
      </c>
      <c r="W298" s="1003">
        <v>17728</v>
      </c>
      <c r="X298" s="1000" t="s">
        <v>930</v>
      </c>
      <c r="Y298" s="1000">
        <v>76</v>
      </c>
      <c r="Z298" s="1000" t="s">
        <v>904</v>
      </c>
      <c r="AA298" s="1000" t="s">
        <v>1291</v>
      </c>
      <c r="AB298" s="1000" t="s">
        <v>938</v>
      </c>
      <c r="AC298" s="1000" t="s">
        <v>907</v>
      </c>
      <c r="AD298" s="1004">
        <v>3813.57</v>
      </c>
      <c r="AE298" s="1004">
        <f t="shared" si="37"/>
        <v>52118.79</v>
      </c>
      <c r="AF298" s="1004">
        <f t="shared" si="41"/>
        <v>52118.79</v>
      </c>
      <c r="AG298" s="1005">
        <f t="shared" si="42"/>
        <v>13.666666666666666</v>
      </c>
      <c r="AH298" s="1005">
        <f t="shared" si="38"/>
        <v>10.827471086947941</v>
      </c>
    </row>
    <row r="299" spans="1:34" x14ac:dyDescent="0.25">
      <c r="A299" s="999">
        <v>40108</v>
      </c>
      <c r="B299" s="999" t="s">
        <v>1310</v>
      </c>
      <c r="C299" s="999" t="s">
        <v>1311</v>
      </c>
      <c r="D299" s="999" t="s">
        <v>894</v>
      </c>
      <c r="E299" s="999" t="s">
        <v>895</v>
      </c>
      <c r="F299" s="999">
        <v>1012689</v>
      </c>
      <c r="G299" s="1000">
        <v>7044461468</v>
      </c>
      <c r="H299" s="999" t="s">
        <v>1368</v>
      </c>
      <c r="I299" s="999" t="s">
        <v>897</v>
      </c>
      <c r="J299" s="1001">
        <v>41365</v>
      </c>
      <c r="K299" s="1001">
        <v>45835</v>
      </c>
      <c r="L299" s="1000">
        <f t="shared" si="39"/>
        <v>146</v>
      </c>
      <c r="M299" s="1002">
        <f t="shared" si="40"/>
        <v>12.166666666666666</v>
      </c>
      <c r="N299" s="1000">
        <v>12</v>
      </c>
      <c r="O299" s="1000">
        <v>12</v>
      </c>
      <c r="P299" s="1000">
        <v>43</v>
      </c>
      <c r="Q299" s="999" t="s">
        <v>898</v>
      </c>
      <c r="R299" s="999" t="s">
        <v>899</v>
      </c>
      <c r="S299" s="999" t="s">
        <v>900</v>
      </c>
      <c r="T299" s="999" t="s">
        <v>1369</v>
      </c>
      <c r="U299" s="1000" t="s">
        <v>55</v>
      </c>
      <c r="V299" s="1000" t="s">
        <v>914</v>
      </c>
      <c r="W299" s="1003">
        <v>17565</v>
      </c>
      <c r="X299" s="1000" t="s">
        <v>903</v>
      </c>
      <c r="Y299" s="1000">
        <v>77</v>
      </c>
      <c r="Z299" s="1000" t="s">
        <v>904</v>
      </c>
      <c r="AA299" s="1000" t="s">
        <v>905</v>
      </c>
      <c r="AB299" s="1000" t="s">
        <v>911</v>
      </c>
      <c r="AC299" s="1000" t="s">
        <v>907</v>
      </c>
      <c r="AD299" s="1004">
        <v>5333.97</v>
      </c>
      <c r="AE299" s="1004">
        <f t="shared" si="37"/>
        <v>64896.635000000002</v>
      </c>
      <c r="AF299" s="1004">
        <f t="shared" si="41"/>
        <v>64896.635000000002</v>
      </c>
      <c r="AG299" s="1005">
        <f t="shared" si="42"/>
        <v>12.166666666666666</v>
      </c>
      <c r="AH299" s="1005">
        <f t="shared" si="38"/>
        <v>10.245807132019886</v>
      </c>
    </row>
    <row r="300" spans="1:34" x14ac:dyDescent="0.25">
      <c r="A300" s="999">
        <v>40108</v>
      </c>
      <c r="B300" s="999" t="s">
        <v>1310</v>
      </c>
      <c r="C300" s="999" t="s">
        <v>1311</v>
      </c>
      <c r="D300" s="999" t="s">
        <v>894</v>
      </c>
      <c r="E300" s="999" t="s">
        <v>895</v>
      </c>
      <c r="F300" s="999">
        <v>1989805</v>
      </c>
      <c r="G300" s="1000">
        <v>21976724791</v>
      </c>
      <c r="H300" s="999" t="s">
        <v>1370</v>
      </c>
      <c r="I300" s="999" t="s">
        <v>897</v>
      </c>
      <c r="J300" s="1001">
        <v>41276</v>
      </c>
      <c r="K300" s="1001">
        <v>45835</v>
      </c>
      <c r="L300" s="1000">
        <f t="shared" si="39"/>
        <v>149</v>
      </c>
      <c r="M300" s="1002">
        <f t="shared" si="40"/>
        <v>12.416666666666666</v>
      </c>
      <c r="N300" s="1000">
        <v>12</v>
      </c>
      <c r="O300" s="1000">
        <v>12</v>
      </c>
      <c r="P300" s="1000">
        <v>43</v>
      </c>
      <c r="Q300" s="999" t="s">
        <v>898</v>
      </c>
      <c r="R300" s="999" t="s">
        <v>899</v>
      </c>
      <c r="S300" s="999" t="s">
        <v>900</v>
      </c>
      <c r="T300" s="999" t="s">
        <v>1371</v>
      </c>
      <c r="U300" s="1000"/>
      <c r="V300" s="1000" t="s">
        <v>914</v>
      </c>
      <c r="W300" s="1003">
        <v>14424</v>
      </c>
      <c r="X300" s="1000" t="s">
        <v>903</v>
      </c>
      <c r="Y300" s="1000">
        <v>85</v>
      </c>
      <c r="Z300" s="1000" t="s">
        <v>904</v>
      </c>
      <c r="AA300" s="1000" t="s">
        <v>905</v>
      </c>
      <c r="AB300" s="1000" t="s">
        <v>938</v>
      </c>
      <c r="AC300" s="1000" t="s">
        <v>907</v>
      </c>
      <c r="AD300" s="1004">
        <v>3813.57</v>
      </c>
      <c r="AE300" s="1004">
        <f t="shared" si="37"/>
        <v>47351.827499999999</v>
      </c>
      <c r="AF300" s="1004">
        <f t="shared" si="41"/>
        <v>47351.827499999999</v>
      </c>
      <c r="AG300" s="1005">
        <f t="shared" si="42"/>
        <v>12.416666666666666</v>
      </c>
      <c r="AH300" s="1005">
        <f t="shared" si="38"/>
        <v>9.83715360948319</v>
      </c>
    </row>
    <row r="301" spans="1:34" x14ac:dyDescent="0.25">
      <c r="A301" s="999">
        <v>40108</v>
      </c>
      <c r="B301" s="999" t="s">
        <v>1310</v>
      </c>
      <c r="C301" s="999" t="s">
        <v>1311</v>
      </c>
      <c r="D301" s="999" t="s">
        <v>894</v>
      </c>
      <c r="E301" s="999" t="s">
        <v>895</v>
      </c>
      <c r="F301" s="999">
        <v>1880240</v>
      </c>
      <c r="G301" s="1000">
        <v>3300226449</v>
      </c>
      <c r="H301" s="999" t="s">
        <v>1372</v>
      </c>
      <c r="I301" s="999" t="s">
        <v>897</v>
      </c>
      <c r="J301" s="1001">
        <v>40749</v>
      </c>
      <c r="K301" s="1001">
        <v>45835</v>
      </c>
      <c r="L301" s="1000">
        <f t="shared" si="39"/>
        <v>167</v>
      </c>
      <c r="M301" s="1002">
        <f t="shared" si="40"/>
        <v>13.916666666666666</v>
      </c>
      <c r="N301" s="1000">
        <v>13</v>
      </c>
      <c r="O301" s="1000">
        <v>13</v>
      </c>
      <c r="P301" s="1000">
        <v>43</v>
      </c>
      <c r="Q301" s="999" t="s">
        <v>898</v>
      </c>
      <c r="R301" s="999" t="s">
        <v>899</v>
      </c>
      <c r="S301" s="999" t="s">
        <v>900</v>
      </c>
      <c r="T301" s="999" t="s">
        <v>909</v>
      </c>
      <c r="U301" s="1000"/>
      <c r="V301" s="1000" t="s">
        <v>914</v>
      </c>
      <c r="W301" s="1003">
        <v>16525</v>
      </c>
      <c r="X301" s="1000" t="s">
        <v>903</v>
      </c>
      <c r="Y301" s="1000">
        <v>80</v>
      </c>
      <c r="Z301" s="1000" t="s">
        <v>904</v>
      </c>
      <c r="AA301" s="1000" t="s">
        <v>1291</v>
      </c>
      <c r="AB301" s="1000" t="s">
        <v>938</v>
      </c>
      <c r="AC301" s="1000" t="s">
        <v>907</v>
      </c>
      <c r="AD301" s="1004">
        <v>3813.57</v>
      </c>
      <c r="AE301" s="1004">
        <f t="shared" si="37"/>
        <v>53072.182500000003</v>
      </c>
      <c r="AF301" s="1004">
        <f t="shared" si="41"/>
        <v>53072.182500000003</v>
      </c>
      <c r="AG301" s="1005">
        <f t="shared" si="42"/>
        <v>13.916666666666666</v>
      </c>
      <c r="AH301" s="1005">
        <f t="shared" si="38"/>
        <v>11.025534582440892</v>
      </c>
    </row>
    <row r="302" spans="1:34" x14ac:dyDescent="0.25">
      <c r="A302" s="999">
        <v>40108</v>
      </c>
      <c r="B302" s="999" t="s">
        <v>1310</v>
      </c>
      <c r="C302" s="999" t="s">
        <v>1311</v>
      </c>
      <c r="D302" s="999" t="s">
        <v>894</v>
      </c>
      <c r="E302" s="999" t="s">
        <v>895</v>
      </c>
      <c r="F302" s="999">
        <v>1761023</v>
      </c>
      <c r="G302" s="1000">
        <v>30831490187</v>
      </c>
      <c r="H302" s="999" t="s">
        <v>1373</v>
      </c>
      <c r="I302" s="999" t="s">
        <v>1374</v>
      </c>
      <c r="J302" s="1001">
        <v>40210</v>
      </c>
      <c r="K302" s="1001">
        <v>45835</v>
      </c>
      <c r="L302" s="1000">
        <f t="shared" si="39"/>
        <v>184</v>
      </c>
      <c r="M302" s="1002">
        <f t="shared" si="40"/>
        <v>15.333333333333334</v>
      </c>
      <c r="N302" s="1000">
        <v>15</v>
      </c>
      <c r="O302" s="1000">
        <v>15</v>
      </c>
      <c r="P302" s="1000">
        <v>43</v>
      </c>
      <c r="Q302" s="999" t="s">
        <v>898</v>
      </c>
      <c r="R302" s="999" t="s">
        <v>899</v>
      </c>
      <c r="S302" s="999" t="s">
        <v>900</v>
      </c>
      <c r="T302" s="999" t="s">
        <v>1375</v>
      </c>
      <c r="U302" s="1000"/>
      <c r="V302" s="1000" t="s">
        <v>921</v>
      </c>
      <c r="W302" s="1003">
        <v>17939</v>
      </c>
      <c r="X302" s="1000" t="s">
        <v>930</v>
      </c>
      <c r="Y302" s="1000">
        <v>76</v>
      </c>
      <c r="Z302" s="1000" t="s">
        <v>904</v>
      </c>
      <c r="AA302" s="1000" t="s">
        <v>905</v>
      </c>
      <c r="AB302" s="1000" t="s">
        <v>938</v>
      </c>
      <c r="AC302" s="1000" t="s">
        <v>907</v>
      </c>
      <c r="AD302" s="1004">
        <v>3813.57</v>
      </c>
      <c r="AE302" s="1004">
        <f t="shared" si="37"/>
        <v>58474.740000000005</v>
      </c>
      <c r="AF302" s="1004">
        <f t="shared" si="41"/>
        <v>58474.740000000005</v>
      </c>
      <c r="AG302" s="1005">
        <f t="shared" si="42"/>
        <v>15.333333333333334</v>
      </c>
      <c r="AH302" s="1005">
        <f t="shared" si="38"/>
        <v>12.147894390234278</v>
      </c>
    </row>
    <row r="303" spans="1:34" x14ac:dyDescent="0.25">
      <c r="A303" s="999">
        <v>40108</v>
      </c>
      <c r="B303" s="999" t="s">
        <v>1310</v>
      </c>
      <c r="C303" s="999" t="s">
        <v>1311</v>
      </c>
      <c r="D303" s="999" t="s">
        <v>894</v>
      </c>
      <c r="E303" s="999" t="s">
        <v>895</v>
      </c>
      <c r="F303" s="999">
        <v>1875063</v>
      </c>
      <c r="G303" s="1000">
        <v>22193790604</v>
      </c>
      <c r="H303" s="999" t="s">
        <v>1376</v>
      </c>
      <c r="I303" s="999" t="s">
        <v>897</v>
      </c>
      <c r="J303" s="1001">
        <v>40728</v>
      </c>
      <c r="K303" s="1001">
        <v>45835</v>
      </c>
      <c r="L303" s="1000">
        <f t="shared" si="39"/>
        <v>167</v>
      </c>
      <c r="M303" s="1002">
        <f t="shared" si="40"/>
        <v>13.916666666666666</v>
      </c>
      <c r="N303" s="1000">
        <v>13</v>
      </c>
      <c r="O303" s="1000">
        <v>13</v>
      </c>
      <c r="P303" s="1000">
        <v>43</v>
      </c>
      <c r="Q303" s="999" t="s">
        <v>898</v>
      </c>
      <c r="R303" s="999" t="s">
        <v>899</v>
      </c>
      <c r="S303" s="999" t="s">
        <v>900</v>
      </c>
      <c r="T303" s="999" t="s">
        <v>1357</v>
      </c>
      <c r="U303" s="1000"/>
      <c r="V303" s="1000" t="s">
        <v>914</v>
      </c>
      <c r="W303" s="1003">
        <v>17806</v>
      </c>
      <c r="X303" s="1000" t="s">
        <v>903</v>
      </c>
      <c r="Y303" s="1000">
        <v>76</v>
      </c>
      <c r="Z303" s="1000" t="s">
        <v>904</v>
      </c>
      <c r="AA303" s="1000" t="s">
        <v>905</v>
      </c>
      <c r="AB303" s="1000" t="s">
        <v>938</v>
      </c>
      <c r="AC303" s="1000" t="s">
        <v>907</v>
      </c>
      <c r="AD303" s="1004">
        <v>3813.57</v>
      </c>
      <c r="AE303" s="1004">
        <f t="shared" si="37"/>
        <v>53072.182500000003</v>
      </c>
      <c r="AF303" s="1004">
        <f t="shared" si="41"/>
        <v>53072.182500000003</v>
      </c>
      <c r="AG303" s="1005">
        <f t="shared" si="42"/>
        <v>13.916666666666666</v>
      </c>
      <c r="AH303" s="1005">
        <f t="shared" si="38"/>
        <v>11.025534582440892</v>
      </c>
    </row>
    <row r="304" spans="1:34" x14ac:dyDescent="0.25">
      <c r="A304" s="999">
        <v>40108</v>
      </c>
      <c r="B304" s="999" t="s">
        <v>1310</v>
      </c>
      <c r="C304" s="999" t="s">
        <v>1311</v>
      </c>
      <c r="D304" s="999" t="s">
        <v>894</v>
      </c>
      <c r="E304" s="999" t="s">
        <v>895</v>
      </c>
      <c r="F304" s="999">
        <v>1875982</v>
      </c>
      <c r="G304" s="1000">
        <v>23104449791</v>
      </c>
      <c r="H304" s="999" t="s">
        <v>1377</v>
      </c>
      <c r="I304" s="999" t="s">
        <v>897</v>
      </c>
      <c r="J304" s="1001">
        <v>40728</v>
      </c>
      <c r="K304" s="1001">
        <v>45835</v>
      </c>
      <c r="L304" s="1000">
        <f t="shared" si="39"/>
        <v>167</v>
      </c>
      <c r="M304" s="1002">
        <f t="shared" si="40"/>
        <v>13.916666666666666</v>
      </c>
      <c r="N304" s="1000">
        <v>13</v>
      </c>
      <c r="O304" s="1000">
        <v>13</v>
      </c>
      <c r="P304" s="1000">
        <v>43</v>
      </c>
      <c r="Q304" s="999" t="s">
        <v>898</v>
      </c>
      <c r="R304" s="999" t="s">
        <v>899</v>
      </c>
      <c r="S304" s="999" t="s">
        <v>900</v>
      </c>
      <c r="T304" s="999" t="s">
        <v>1297</v>
      </c>
      <c r="U304" s="1000"/>
      <c r="V304" s="1000" t="s">
        <v>914</v>
      </c>
      <c r="W304" s="1003">
        <v>16810</v>
      </c>
      <c r="X304" s="1000" t="s">
        <v>903</v>
      </c>
      <c r="Y304" s="1000">
        <v>79</v>
      </c>
      <c r="Z304" s="1000" t="s">
        <v>904</v>
      </c>
      <c r="AA304" s="1000" t="s">
        <v>905</v>
      </c>
      <c r="AB304" s="1000" t="s">
        <v>938</v>
      </c>
      <c r="AC304" s="1000" t="s">
        <v>907</v>
      </c>
      <c r="AD304" s="1004">
        <v>3813.57</v>
      </c>
      <c r="AE304" s="1004">
        <f t="shared" si="37"/>
        <v>53072.182500000003</v>
      </c>
      <c r="AF304" s="1004">
        <f t="shared" si="41"/>
        <v>53072.182500000003</v>
      </c>
      <c r="AG304" s="1005">
        <f t="shared" si="42"/>
        <v>13.916666666666666</v>
      </c>
      <c r="AH304" s="1005">
        <f t="shared" si="38"/>
        <v>11.025534582440892</v>
      </c>
    </row>
    <row r="305" spans="1:34" x14ac:dyDescent="0.25">
      <c r="A305" s="999">
        <v>40108</v>
      </c>
      <c r="B305" s="999" t="s">
        <v>1310</v>
      </c>
      <c r="C305" s="999" t="s">
        <v>1311</v>
      </c>
      <c r="D305" s="999" t="s">
        <v>894</v>
      </c>
      <c r="E305" s="999" t="s">
        <v>895</v>
      </c>
      <c r="F305" s="999">
        <v>1178629</v>
      </c>
      <c r="G305" s="1000">
        <v>13075349615</v>
      </c>
      <c r="H305" s="999" t="s">
        <v>1378</v>
      </c>
      <c r="I305" s="999" t="s">
        <v>897</v>
      </c>
      <c r="J305" s="1001">
        <v>41974</v>
      </c>
      <c r="K305" s="1001">
        <v>45835</v>
      </c>
      <c r="L305" s="1000">
        <f t="shared" si="39"/>
        <v>126</v>
      </c>
      <c r="M305" s="1002">
        <f t="shared" si="40"/>
        <v>10.5</v>
      </c>
      <c r="N305" s="1000">
        <v>10</v>
      </c>
      <c r="O305" s="1000">
        <v>10</v>
      </c>
      <c r="P305" s="1000">
        <v>43</v>
      </c>
      <c r="Q305" s="999" t="s">
        <v>898</v>
      </c>
      <c r="R305" s="999" t="s">
        <v>899</v>
      </c>
      <c r="S305" s="999" t="s">
        <v>900</v>
      </c>
      <c r="T305" s="999" t="s">
        <v>1379</v>
      </c>
      <c r="U305" s="1000"/>
      <c r="V305" s="1000" t="s">
        <v>914</v>
      </c>
      <c r="W305" s="1003">
        <v>17077</v>
      </c>
      <c r="X305" s="1000" t="s">
        <v>903</v>
      </c>
      <c r="Y305" s="1000">
        <v>78</v>
      </c>
      <c r="Z305" s="1000" t="s">
        <v>904</v>
      </c>
      <c r="AA305" s="1000" t="s">
        <v>905</v>
      </c>
      <c r="AB305" s="1000" t="s">
        <v>938</v>
      </c>
      <c r="AC305" s="1000" t="s">
        <v>907</v>
      </c>
      <c r="AD305" s="1004">
        <v>3813.57</v>
      </c>
      <c r="AE305" s="1004">
        <f t="shared" si="37"/>
        <v>40042.485000000001</v>
      </c>
      <c r="AF305" s="1004">
        <f t="shared" si="41"/>
        <v>40042.485000000001</v>
      </c>
      <c r="AG305" s="1005">
        <f t="shared" si="42"/>
        <v>10.5</v>
      </c>
      <c r="AH305" s="1005">
        <f t="shared" si="38"/>
        <v>8.3186668107039061</v>
      </c>
    </row>
    <row r="306" spans="1:34" x14ac:dyDescent="0.25">
      <c r="A306" s="999">
        <v>40108</v>
      </c>
      <c r="B306" s="999" t="s">
        <v>1310</v>
      </c>
      <c r="C306" s="999" t="s">
        <v>1311</v>
      </c>
      <c r="D306" s="999" t="s">
        <v>894</v>
      </c>
      <c r="E306" s="999" t="s">
        <v>895</v>
      </c>
      <c r="F306" s="999">
        <v>1875682</v>
      </c>
      <c r="G306" s="1000">
        <v>13300130697</v>
      </c>
      <c r="H306" s="999" t="s">
        <v>1380</v>
      </c>
      <c r="I306" s="999" t="s">
        <v>897</v>
      </c>
      <c r="J306" s="1001">
        <v>40728</v>
      </c>
      <c r="K306" s="1001">
        <v>45835</v>
      </c>
      <c r="L306" s="1000">
        <f t="shared" si="39"/>
        <v>167</v>
      </c>
      <c r="M306" s="1002">
        <f t="shared" si="40"/>
        <v>13.916666666666666</v>
      </c>
      <c r="N306" s="1000">
        <v>13</v>
      </c>
      <c r="O306" s="1000">
        <v>13</v>
      </c>
      <c r="P306" s="1000">
        <v>43</v>
      </c>
      <c r="Q306" s="999" t="s">
        <v>898</v>
      </c>
      <c r="R306" s="999" t="s">
        <v>899</v>
      </c>
      <c r="S306" s="999" t="s">
        <v>900</v>
      </c>
      <c r="T306" s="999" t="s">
        <v>1357</v>
      </c>
      <c r="U306" s="1000"/>
      <c r="V306" s="1000" t="s">
        <v>914</v>
      </c>
      <c r="W306" s="1003">
        <v>17879</v>
      </c>
      <c r="X306" s="1000" t="s">
        <v>903</v>
      </c>
      <c r="Y306" s="1000">
        <v>76</v>
      </c>
      <c r="Z306" s="1000" t="s">
        <v>904</v>
      </c>
      <c r="AA306" s="1000" t="s">
        <v>905</v>
      </c>
      <c r="AB306" s="1000" t="s">
        <v>938</v>
      </c>
      <c r="AC306" s="1000" t="s">
        <v>907</v>
      </c>
      <c r="AD306" s="1004">
        <v>3813.57</v>
      </c>
      <c r="AE306" s="1004">
        <f t="shared" si="37"/>
        <v>53072.182500000003</v>
      </c>
      <c r="AF306" s="1004">
        <f t="shared" si="41"/>
        <v>53072.182500000003</v>
      </c>
      <c r="AG306" s="1005">
        <f t="shared" si="42"/>
        <v>13.916666666666666</v>
      </c>
      <c r="AH306" s="1005">
        <f t="shared" si="38"/>
        <v>11.025534582440892</v>
      </c>
    </row>
    <row r="307" spans="1:34" x14ac:dyDescent="0.25">
      <c r="A307" s="999">
        <v>40108</v>
      </c>
      <c r="B307" s="999" t="s">
        <v>1310</v>
      </c>
      <c r="C307" s="999" t="s">
        <v>1311</v>
      </c>
      <c r="D307" s="999" t="s">
        <v>894</v>
      </c>
      <c r="E307" s="999" t="s">
        <v>895</v>
      </c>
      <c r="F307" s="999">
        <v>1877442</v>
      </c>
      <c r="G307" s="1000">
        <v>59310723815</v>
      </c>
      <c r="H307" s="999" t="s">
        <v>1381</v>
      </c>
      <c r="I307" s="999" t="s">
        <v>897</v>
      </c>
      <c r="J307" s="1001">
        <v>40728</v>
      </c>
      <c r="K307" s="1001">
        <v>45835</v>
      </c>
      <c r="L307" s="1000">
        <f t="shared" si="39"/>
        <v>167</v>
      </c>
      <c r="M307" s="1002">
        <f t="shared" si="40"/>
        <v>13.916666666666666</v>
      </c>
      <c r="N307" s="1000">
        <v>13</v>
      </c>
      <c r="O307" s="1000">
        <v>13</v>
      </c>
      <c r="P307" s="1000">
        <v>43</v>
      </c>
      <c r="Q307" s="999" t="s">
        <v>898</v>
      </c>
      <c r="R307" s="999" t="s">
        <v>899</v>
      </c>
      <c r="S307" s="999" t="s">
        <v>900</v>
      </c>
      <c r="T307" s="999" t="s">
        <v>1382</v>
      </c>
      <c r="U307" s="1000" t="s">
        <v>54</v>
      </c>
      <c r="V307" s="1000" t="s">
        <v>914</v>
      </c>
      <c r="W307" s="1003">
        <v>17038</v>
      </c>
      <c r="X307" s="1000" t="s">
        <v>903</v>
      </c>
      <c r="Y307" s="1000">
        <v>78</v>
      </c>
      <c r="Z307" s="1000" t="s">
        <v>904</v>
      </c>
      <c r="AA307" s="1000" t="s">
        <v>905</v>
      </c>
      <c r="AB307" s="1000" t="s">
        <v>925</v>
      </c>
      <c r="AC307" s="1000" t="s">
        <v>907</v>
      </c>
      <c r="AD307" s="1004">
        <v>19452.29</v>
      </c>
      <c r="AE307" s="1004">
        <f t="shared" si="37"/>
        <v>270711.03583333333</v>
      </c>
      <c r="AF307" s="1004">
        <f t="shared" si="41"/>
        <v>270711.03583333333</v>
      </c>
      <c r="AG307" s="1005">
        <f t="shared" si="42"/>
        <v>13.916666666666666</v>
      </c>
      <c r="AH307" s="1005">
        <f t="shared" si="38"/>
        <v>13.236221265850098</v>
      </c>
    </row>
    <row r="308" spans="1:34" x14ac:dyDescent="0.25">
      <c r="A308" s="999">
        <v>40108</v>
      </c>
      <c r="B308" s="999" t="s">
        <v>1310</v>
      </c>
      <c r="C308" s="999" t="s">
        <v>1311</v>
      </c>
      <c r="D308" s="999" t="s">
        <v>894</v>
      </c>
      <c r="E308" s="999" t="s">
        <v>895</v>
      </c>
      <c r="F308" s="999">
        <v>1880448</v>
      </c>
      <c r="G308" s="1000">
        <v>12289507415</v>
      </c>
      <c r="H308" s="999" t="s">
        <v>1383</v>
      </c>
      <c r="I308" s="999" t="s">
        <v>897</v>
      </c>
      <c r="J308" s="1001">
        <v>40749</v>
      </c>
      <c r="K308" s="1001">
        <v>45835</v>
      </c>
      <c r="L308" s="1000">
        <f t="shared" si="39"/>
        <v>167</v>
      </c>
      <c r="M308" s="1002">
        <f t="shared" si="40"/>
        <v>13.916666666666666</v>
      </c>
      <c r="N308" s="1000">
        <v>13</v>
      </c>
      <c r="O308" s="1000">
        <v>13</v>
      </c>
      <c r="P308" s="1000">
        <v>43</v>
      </c>
      <c r="Q308" s="999" t="s">
        <v>898</v>
      </c>
      <c r="R308" s="999" t="s">
        <v>899</v>
      </c>
      <c r="S308" s="999" t="s">
        <v>900</v>
      </c>
      <c r="T308" s="999" t="s">
        <v>1384</v>
      </c>
      <c r="U308" s="1000"/>
      <c r="V308" s="1000" t="s">
        <v>914</v>
      </c>
      <c r="W308" s="1003">
        <v>17875</v>
      </c>
      <c r="X308" s="1000" t="s">
        <v>903</v>
      </c>
      <c r="Y308" s="1000">
        <v>76</v>
      </c>
      <c r="Z308" s="1000" t="s">
        <v>904</v>
      </c>
      <c r="AA308" s="1000" t="s">
        <v>905</v>
      </c>
      <c r="AB308" s="1000" t="s">
        <v>938</v>
      </c>
      <c r="AC308" s="1000" t="s">
        <v>907</v>
      </c>
      <c r="AD308" s="1004">
        <v>3813.57</v>
      </c>
      <c r="AE308" s="1004">
        <f t="shared" si="37"/>
        <v>53072.182500000003</v>
      </c>
      <c r="AF308" s="1004">
        <f t="shared" si="41"/>
        <v>53072.182500000003</v>
      </c>
      <c r="AG308" s="1005">
        <f t="shared" si="42"/>
        <v>13.916666666666666</v>
      </c>
      <c r="AH308" s="1005">
        <f t="shared" si="38"/>
        <v>11.025534582440892</v>
      </c>
    </row>
    <row r="309" spans="1:34" x14ac:dyDescent="0.25">
      <c r="A309" s="999">
        <v>40108</v>
      </c>
      <c r="B309" s="999" t="s">
        <v>1310</v>
      </c>
      <c r="C309" s="999" t="s">
        <v>1311</v>
      </c>
      <c r="D309" s="999" t="s">
        <v>894</v>
      </c>
      <c r="E309" s="999" t="s">
        <v>895</v>
      </c>
      <c r="F309" s="999">
        <v>1894623</v>
      </c>
      <c r="G309" s="1000">
        <v>8062340406</v>
      </c>
      <c r="H309" s="999" t="s">
        <v>1385</v>
      </c>
      <c r="I309" s="999" t="s">
        <v>897</v>
      </c>
      <c r="J309" s="1001">
        <v>40827</v>
      </c>
      <c r="K309" s="1001">
        <v>45835</v>
      </c>
      <c r="L309" s="1000">
        <f t="shared" si="39"/>
        <v>164</v>
      </c>
      <c r="M309" s="1002">
        <f t="shared" si="40"/>
        <v>13.666666666666666</v>
      </c>
      <c r="N309" s="1000">
        <v>13</v>
      </c>
      <c r="O309" s="1000">
        <v>13</v>
      </c>
      <c r="P309" s="1000">
        <v>43</v>
      </c>
      <c r="Q309" s="999" t="s">
        <v>898</v>
      </c>
      <c r="R309" s="999" t="s">
        <v>899</v>
      </c>
      <c r="S309" s="999" t="s">
        <v>900</v>
      </c>
      <c r="T309" s="999" t="s">
        <v>1213</v>
      </c>
      <c r="U309" s="1000" t="s">
        <v>55</v>
      </c>
      <c r="V309" s="1000" t="s">
        <v>914</v>
      </c>
      <c r="W309" s="1003">
        <v>18035</v>
      </c>
      <c r="X309" s="1000" t="s">
        <v>930</v>
      </c>
      <c r="Y309" s="1000">
        <v>75</v>
      </c>
      <c r="Z309" s="1000" t="s">
        <v>904</v>
      </c>
      <c r="AA309" s="1000" t="s">
        <v>905</v>
      </c>
      <c r="AB309" s="1000" t="s">
        <v>911</v>
      </c>
      <c r="AC309" s="1000" t="s">
        <v>907</v>
      </c>
      <c r="AD309" s="1004">
        <v>5333.97</v>
      </c>
      <c r="AE309" s="1004">
        <f t="shared" si="37"/>
        <v>72897.59</v>
      </c>
      <c r="AF309" s="1004">
        <f t="shared" si="41"/>
        <v>72897.59</v>
      </c>
      <c r="AG309" s="1005">
        <f t="shared" si="42"/>
        <v>13.666666666666666</v>
      </c>
      <c r="AH309" s="1005">
        <f t="shared" si="38"/>
        <v>11.508988833227816</v>
      </c>
    </row>
    <row r="310" spans="1:34" x14ac:dyDescent="0.25">
      <c r="A310" s="999">
        <v>40108</v>
      </c>
      <c r="B310" s="999" t="s">
        <v>1310</v>
      </c>
      <c r="C310" s="999" t="s">
        <v>1311</v>
      </c>
      <c r="D310" s="999" t="s">
        <v>894</v>
      </c>
      <c r="E310" s="999" t="s">
        <v>895</v>
      </c>
      <c r="F310" s="999">
        <v>1883254</v>
      </c>
      <c r="G310" s="1000">
        <v>3911500734</v>
      </c>
      <c r="H310" s="999" t="s">
        <v>1386</v>
      </c>
      <c r="I310" s="999" t="s">
        <v>897</v>
      </c>
      <c r="J310" s="1001">
        <v>40763</v>
      </c>
      <c r="K310" s="1001">
        <v>45835</v>
      </c>
      <c r="L310" s="1000">
        <f t="shared" si="39"/>
        <v>166</v>
      </c>
      <c r="M310" s="1002">
        <f t="shared" si="40"/>
        <v>13.833333333333334</v>
      </c>
      <c r="N310" s="1000">
        <v>13</v>
      </c>
      <c r="O310" s="1000">
        <v>13</v>
      </c>
      <c r="P310" s="1000">
        <v>43</v>
      </c>
      <c r="Q310" s="999" t="s">
        <v>898</v>
      </c>
      <c r="R310" s="999" t="s">
        <v>899</v>
      </c>
      <c r="S310" s="999" t="s">
        <v>900</v>
      </c>
      <c r="T310" s="999" t="s">
        <v>1387</v>
      </c>
      <c r="U310" s="1000" t="s">
        <v>55</v>
      </c>
      <c r="V310" s="1000" t="s">
        <v>914</v>
      </c>
      <c r="W310" s="1003">
        <v>16666</v>
      </c>
      <c r="X310" s="1000" t="s">
        <v>903</v>
      </c>
      <c r="Y310" s="1000">
        <v>79</v>
      </c>
      <c r="Z310" s="1000" t="s">
        <v>904</v>
      </c>
      <c r="AA310" s="1000" t="s">
        <v>905</v>
      </c>
      <c r="AB310" s="1000" t="s">
        <v>911</v>
      </c>
      <c r="AC310" s="1000" t="s">
        <v>907</v>
      </c>
      <c r="AD310" s="1004">
        <v>5333.97</v>
      </c>
      <c r="AE310" s="1004">
        <f t="shared" si="37"/>
        <v>73786.585000000006</v>
      </c>
      <c r="AF310" s="1004">
        <f t="shared" si="41"/>
        <v>73786.585000000006</v>
      </c>
      <c r="AG310" s="1005">
        <f t="shared" si="42"/>
        <v>13.833333333333334</v>
      </c>
      <c r="AH310" s="1005">
        <f t="shared" si="38"/>
        <v>11.649342355584254</v>
      </c>
    </row>
    <row r="311" spans="1:34" x14ac:dyDescent="0.25">
      <c r="A311" s="999">
        <v>40108</v>
      </c>
      <c r="B311" s="999" t="s">
        <v>1310</v>
      </c>
      <c r="C311" s="999" t="s">
        <v>1311</v>
      </c>
      <c r="D311" s="999" t="s">
        <v>894</v>
      </c>
      <c r="E311" s="999" t="s">
        <v>895</v>
      </c>
      <c r="F311" s="999">
        <v>1947306</v>
      </c>
      <c r="G311" s="1000">
        <v>66682550782</v>
      </c>
      <c r="H311" s="999" t="s">
        <v>1388</v>
      </c>
      <c r="I311" s="999" t="s">
        <v>897</v>
      </c>
      <c r="J311" s="1001">
        <v>41061</v>
      </c>
      <c r="K311" s="1001">
        <v>45835</v>
      </c>
      <c r="L311" s="1000">
        <f t="shared" si="39"/>
        <v>156</v>
      </c>
      <c r="M311" s="1002">
        <f t="shared" si="40"/>
        <v>13</v>
      </c>
      <c r="N311" s="1000">
        <v>13</v>
      </c>
      <c r="O311" s="1000">
        <v>13</v>
      </c>
      <c r="P311" s="1000">
        <v>43</v>
      </c>
      <c r="Q311" s="999" t="s">
        <v>898</v>
      </c>
      <c r="R311" s="999" t="s">
        <v>899</v>
      </c>
      <c r="S311" s="999" t="s">
        <v>900</v>
      </c>
      <c r="T311" s="999" t="s">
        <v>1389</v>
      </c>
      <c r="U311" s="1000"/>
      <c r="V311" s="1000" t="s">
        <v>914</v>
      </c>
      <c r="W311" s="1003">
        <v>16670</v>
      </c>
      <c r="X311" s="1000" t="s">
        <v>930</v>
      </c>
      <c r="Y311" s="1000">
        <v>79</v>
      </c>
      <c r="Z311" s="1000" t="s">
        <v>904</v>
      </c>
      <c r="AA311" s="1000" t="s">
        <v>905</v>
      </c>
      <c r="AB311" s="1000" t="s">
        <v>938</v>
      </c>
      <c r="AC311" s="1000" t="s">
        <v>907</v>
      </c>
      <c r="AD311" s="1004">
        <v>3813.57</v>
      </c>
      <c r="AE311" s="1004">
        <f t="shared" si="37"/>
        <v>49576.41</v>
      </c>
      <c r="AF311" s="1004">
        <f t="shared" si="41"/>
        <v>49576.41</v>
      </c>
      <c r="AG311" s="1005">
        <f t="shared" si="42"/>
        <v>13</v>
      </c>
      <c r="AH311" s="1005">
        <f t="shared" si="38"/>
        <v>10.299301765633409</v>
      </c>
    </row>
    <row r="312" spans="1:34" x14ac:dyDescent="0.25">
      <c r="A312" s="999">
        <v>40108</v>
      </c>
      <c r="B312" s="999" t="s">
        <v>1310</v>
      </c>
      <c r="C312" s="999" t="s">
        <v>1311</v>
      </c>
      <c r="D312" s="999" t="s">
        <v>894</v>
      </c>
      <c r="E312" s="999" t="s">
        <v>895</v>
      </c>
      <c r="F312" s="999">
        <v>1905879</v>
      </c>
      <c r="G312" s="1000">
        <v>2170744720</v>
      </c>
      <c r="H312" s="999" t="s">
        <v>1390</v>
      </c>
      <c r="I312" s="999" t="s">
        <v>897</v>
      </c>
      <c r="J312" s="1001">
        <v>40910</v>
      </c>
      <c r="K312" s="1001">
        <v>45835</v>
      </c>
      <c r="L312" s="1000">
        <f t="shared" si="39"/>
        <v>161</v>
      </c>
      <c r="M312" s="1002">
        <f t="shared" si="40"/>
        <v>13.416666666666666</v>
      </c>
      <c r="N312" s="1000">
        <v>13</v>
      </c>
      <c r="O312" s="1000">
        <v>13</v>
      </c>
      <c r="P312" s="1000">
        <v>43</v>
      </c>
      <c r="Q312" s="999" t="s">
        <v>898</v>
      </c>
      <c r="R312" s="999" t="s">
        <v>899</v>
      </c>
      <c r="S312" s="999" t="s">
        <v>900</v>
      </c>
      <c r="T312" s="999" t="s">
        <v>1202</v>
      </c>
      <c r="U312" s="1000" t="s">
        <v>54</v>
      </c>
      <c r="V312" s="1000" t="s">
        <v>914</v>
      </c>
      <c r="W312" s="1003">
        <v>16388</v>
      </c>
      <c r="X312" s="1000" t="s">
        <v>903</v>
      </c>
      <c r="Y312" s="1000">
        <v>80</v>
      </c>
      <c r="Z312" s="1000" t="s">
        <v>904</v>
      </c>
      <c r="AA312" s="1000" t="s">
        <v>905</v>
      </c>
      <c r="AB312" s="1000" t="s">
        <v>925</v>
      </c>
      <c r="AC312" s="1000" t="s">
        <v>907</v>
      </c>
      <c r="AD312" s="1004">
        <v>17195.48</v>
      </c>
      <c r="AE312" s="1004">
        <f t="shared" si="37"/>
        <v>230706.02333333332</v>
      </c>
      <c r="AF312" s="1004">
        <f t="shared" si="41"/>
        <v>230706.02333333332</v>
      </c>
      <c r="AG312" s="1005">
        <f t="shared" si="42"/>
        <v>13.416666666666666</v>
      </c>
      <c r="AH312" s="1005">
        <f t="shared" si="38"/>
        <v>12.679304054266957</v>
      </c>
    </row>
    <row r="313" spans="1:34" x14ac:dyDescent="0.25">
      <c r="A313" s="999">
        <v>40108</v>
      </c>
      <c r="B313" s="999" t="s">
        <v>1310</v>
      </c>
      <c r="C313" s="999" t="s">
        <v>1311</v>
      </c>
      <c r="D313" s="999" t="s">
        <v>894</v>
      </c>
      <c r="E313" s="999" t="s">
        <v>895</v>
      </c>
      <c r="F313" s="999">
        <v>1883989</v>
      </c>
      <c r="G313" s="1000">
        <v>34419373768</v>
      </c>
      <c r="H313" s="999" t="s">
        <v>1391</v>
      </c>
      <c r="I313" s="999" t="s">
        <v>897</v>
      </c>
      <c r="J313" s="1001">
        <v>40763</v>
      </c>
      <c r="K313" s="1001">
        <v>45835</v>
      </c>
      <c r="L313" s="1000">
        <f t="shared" si="39"/>
        <v>166</v>
      </c>
      <c r="M313" s="1002">
        <f t="shared" si="40"/>
        <v>13.833333333333334</v>
      </c>
      <c r="N313" s="1000">
        <v>13</v>
      </c>
      <c r="O313" s="1000">
        <v>13</v>
      </c>
      <c r="P313" s="1000">
        <v>43</v>
      </c>
      <c r="Q313" s="999" t="s">
        <v>898</v>
      </c>
      <c r="R313" s="999" t="s">
        <v>899</v>
      </c>
      <c r="S313" s="999" t="s">
        <v>900</v>
      </c>
      <c r="T313" s="999" t="s">
        <v>1392</v>
      </c>
      <c r="U313" s="1000"/>
      <c r="V313" s="1000" t="s">
        <v>914</v>
      </c>
      <c r="W313" s="1003">
        <v>15765</v>
      </c>
      <c r="X313" s="1000" t="s">
        <v>903</v>
      </c>
      <c r="Y313" s="1000">
        <v>82</v>
      </c>
      <c r="Z313" s="1000" t="s">
        <v>904</v>
      </c>
      <c r="AA313" s="1000" t="s">
        <v>905</v>
      </c>
      <c r="AB313" s="1000" t="s">
        <v>938</v>
      </c>
      <c r="AC313" s="1000" t="s">
        <v>907</v>
      </c>
      <c r="AD313" s="1004">
        <v>3813.57</v>
      </c>
      <c r="AE313" s="1004">
        <f t="shared" si="37"/>
        <v>52754.385000000002</v>
      </c>
      <c r="AF313" s="1004">
        <f t="shared" si="41"/>
        <v>52754.385000000002</v>
      </c>
      <c r="AG313" s="1005">
        <f t="shared" si="42"/>
        <v>13.833333333333334</v>
      </c>
      <c r="AH313" s="1005">
        <f t="shared" si="38"/>
        <v>10.959513417276575</v>
      </c>
    </row>
    <row r="314" spans="1:34" x14ac:dyDescent="0.25">
      <c r="A314" s="999">
        <v>40108</v>
      </c>
      <c r="B314" s="999" t="s">
        <v>1310</v>
      </c>
      <c r="C314" s="999" t="s">
        <v>1311</v>
      </c>
      <c r="D314" s="999" t="s">
        <v>894</v>
      </c>
      <c r="E314" s="999" t="s">
        <v>895</v>
      </c>
      <c r="F314" s="999">
        <v>1882722</v>
      </c>
      <c r="G314" s="1000">
        <v>7943695534</v>
      </c>
      <c r="H314" s="999" t="s">
        <v>1393</v>
      </c>
      <c r="I314" s="999" t="s">
        <v>897</v>
      </c>
      <c r="J314" s="1001">
        <v>40744</v>
      </c>
      <c r="K314" s="1001">
        <v>45835</v>
      </c>
      <c r="L314" s="1000">
        <f t="shared" si="39"/>
        <v>167</v>
      </c>
      <c r="M314" s="1002">
        <f t="shared" si="40"/>
        <v>13.916666666666666</v>
      </c>
      <c r="N314" s="1000">
        <v>13</v>
      </c>
      <c r="O314" s="1000">
        <v>13</v>
      </c>
      <c r="P314" s="1000">
        <v>43</v>
      </c>
      <c r="Q314" s="999" t="s">
        <v>898</v>
      </c>
      <c r="R314" s="999" t="s">
        <v>899</v>
      </c>
      <c r="S314" s="999" t="s">
        <v>900</v>
      </c>
      <c r="T314" s="999" t="s">
        <v>1394</v>
      </c>
      <c r="U314" s="1000" t="s">
        <v>55</v>
      </c>
      <c r="V314" s="1000" t="s">
        <v>914</v>
      </c>
      <c r="W314" s="1003">
        <v>18320</v>
      </c>
      <c r="X314" s="1000" t="s">
        <v>903</v>
      </c>
      <c r="Y314" s="1000">
        <v>75</v>
      </c>
      <c r="Z314" s="1000" t="s">
        <v>904</v>
      </c>
      <c r="AA314" s="1000" t="s">
        <v>905</v>
      </c>
      <c r="AB314" s="1000" t="s">
        <v>911</v>
      </c>
      <c r="AC314" s="1000" t="s">
        <v>907</v>
      </c>
      <c r="AD314" s="1004">
        <v>5333.97</v>
      </c>
      <c r="AE314" s="1004">
        <f t="shared" si="37"/>
        <v>74231.082500000004</v>
      </c>
      <c r="AF314" s="1004">
        <f t="shared" si="41"/>
        <v>74231.082500000004</v>
      </c>
      <c r="AG314" s="1005">
        <f t="shared" si="42"/>
        <v>13.916666666666666</v>
      </c>
      <c r="AH314" s="1005">
        <f t="shared" si="38"/>
        <v>11.719519116762473</v>
      </c>
    </row>
    <row r="315" spans="1:34" x14ac:dyDescent="0.25">
      <c r="A315" s="999">
        <v>40108</v>
      </c>
      <c r="B315" s="999" t="s">
        <v>1310</v>
      </c>
      <c r="C315" s="999" t="s">
        <v>1311</v>
      </c>
      <c r="D315" s="999" t="s">
        <v>894</v>
      </c>
      <c r="E315" s="999" t="s">
        <v>895</v>
      </c>
      <c r="F315" s="999">
        <v>1758799</v>
      </c>
      <c r="G315" s="1000">
        <v>18313353104</v>
      </c>
      <c r="H315" s="999" t="s">
        <v>1395</v>
      </c>
      <c r="I315" s="999" t="s">
        <v>920</v>
      </c>
      <c r="J315" s="1001">
        <v>40214</v>
      </c>
      <c r="K315" s="1001">
        <v>45835</v>
      </c>
      <c r="L315" s="1000">
        <f t="shared" si="39"/>
        <v>184</v>
      </c>
      <c r="M315" s="1002">
        <f t="shared" si="40"/>
        <v>15.333333333333334</v>
      </c>
      <c r="N315" s="1000">
        <v>15</v>
      </c>
      <c r="O315" s="1000">
        <v>15</v>
      </c>
      <c r="P315" s="1000">
        <v>43</v>
      </c>
      <c r="Q315" s="999" t="s">
        <v>898</v>
      </c>
      <c r="R315" s="999" t="s">
        <v>899</v>
      </c>
      <c r="S315" s="999" t="s">
        <v>900</v>
      </c>
      <c r="T315" s="999" t="s">
        <v>1375</v>
      </c>
      <c r="U315" s="1000"/>
      <c r="V315" s="1000" t="s">
        <v>921</v>
      </c>
      <c r="W315" s="1003">
        <v>16329</v>
      </c>
      <c r="X315" s="1000" t="s">
        <v>930</v>
      </c>
      <c r="Y315" s="1000">
        <v>80</v>
      </c>
      <c r="Z315" s="1000" t="s">
        <v>904</v>
      </c>
      <c r="AA315" s="1000" t="s">
        <v>905</v>
      </c>
      <c r="AB315" s="1000" t="s">
        <v>938</v>
      </c>
      <c r="AC315" s="1000" t="s">
        <v>907</v>
      </c>
      <c r="AD315" s="1004">
        <v>3813.57</v>
      </c>
      <c r="AE315" s="1004">
        <f t="shared" si="37"/>
        <v>58474.740000000005</v>
      </c>
      <c r="AF315" s="1004">
        <f t="shared" si="41"/>
        <v>58474.740000000005</v>
      </c>
      <c r="AG315" s="1005">
        <f t="shared" si="42"/>
        <v>15.333333333333334</v>
      </c>
      <c r="AH315" s="1005">
        <f t="shared" si="38"/>
        <v>12.147894390234278</v>
      </c>
    </row>
    <row r="316" spans="1:34" x14ac:dyDescent="0.25">
      <c r="A316" s="999">
        <v>40108</v>
      </c>
      <c r="B316" s="999" t="s">
        <v>1310</v>
      </c>
      <c r="C316" s="999" t="s">
        <v>1311</v>
      </c>
      <c r="D316" s="999" t="s">
        <v>894</v>
      </c>
      <c r="E316" s="999" t="s">
        <v>895</v>
      </c>
      <c r="F316" s="999">
        <v>1906079</v>
      </c>
      <c r="G316" s="1000">
        <v>3500586791</v>
      </c>
      <c r="H316" s="999" t="s">
        <v>1396</v>
      </c>
      <c r="I316" s="999" t="s">
        <v>897</v>
      </c>
      <c r="J316" s="1001">
        <v>40910</v>
      </c>
      <c r="K316" s="1001">
        <v>45835</v>
      </c>
      <c r="L316" s="1000">
        <f t="shared" si="39"/>
        <v>161</v>
      </c>
      <c r="M316" s="1002">
        <f t="shared" si="40"/>
        <v>13.416666666666666</v>
      </c>
      <c r="N316" s="1000">
        <v>13</v>
      </c>
      <c r="O316" s="1000">
        <v>13</v>
      </c>
      <c r="P316" s="1000">
        <v>43</v>
      </c>
      <c r="Q316" s="999" t="s">
        <v>898</v>
      </c>
      <c r="R316" s="999" t="s">
        <v>899</v>
      </c>
      <c r="S316" s="999" t="s">
        <v>900</v>
      </c>
      <c r="T316" s="999" t="s">
        <v>1397</v>
      </c>
      <c r="U316" s="1000" t="s">
        <v>55</v>
      </c>
      <c r="V316" s="1000" t="s">
        <v>914</v>
      </c>
      <c r="W316" s="1003">
        <v>15966</v>
      </c>
      <c r="X316" s="1000" t="s">
        <v>903</v>
      </c>
      <c r="Y316" s="1000">
        <v>81</v>
      </c>
      <c r="Z316" s="1000" t="s">
        <v>904</v>
      </c>
      <c r="AA316" s="1000" t="s">
        <v>905</v>
      </c>
      <c r="AB316" s="1000" t="s">
        <v>911</v>
      </c>
      <c r="AC316" s="1000" t="s">
        <v>907</v>
      </c>
      <c r="AD316" s="1004">
        <v>13006.25</v>
      </c>
      <c r="AE316" s="1004">
        <f t="shared" si="37"/>
        <v>174500.52083333331</v>
      </c>
      <c r="AF316" s="1004">
        <f t="shared" si="41"/>
        <v>174500.52083333331</v>
      </c>
      <c r="AG316" s="1005">
        <f t="shared" si="42"/>
        <v>13.416666666666664</v>
      </c>
      <c r="AH316" s="1005">
        <f t="shared" si="38"/>
        <v>12.458760969805144</v>
      </c>
    </row>
    <row r="317" spans="1:34" x14ac:dyDescent="0.25">
      <c r="A317" s="999">
        <v>40108</v>
      </c>
      <c r="B317" s="999" t="s">
        <v>1310</v>
      </c>
      <c r="C317" s="999" t="s">
        <v>1311</v>
      </c>
      <c r="D317" s="999" t="s">
        <v>894</v>
      </c>
      <c r="E317" s="999" t="s">
        <v>895</v>
      </c>
      <c r="F317" s="999">
        <v>1759759</v>
      </c>
      <c r="G317" s="1000">
        <v>11674261187</v>
      </c>
      <c r="H317" s="999" t="s">
        <v>1398</v>
      </c>
      <c r="I317" s="999" t="s">
        <v>1374</v>
      </c>
      <c r="J317" s="1001">
        <v>40212</v>
      </c>
      <c r="K317" s="1001">
        <v>45835</v>
      </c>
      <c r="L317" s="1000">
        <f t="shared" si="39"/>
        <v>184</v>
      </c>
      <c r="M317" s="1002">
        <f t="shared" si="40"/>
        <v>15.333333333333334</v>
      </c>
      <c r="N317" s="1000">
        <v>15</v>
      </c>
      <c r="O317" s="1000">
        <v>15</v>
      </c>
      <c r="P317" s="1000">
        <v>43</v>
      </c>
      <c r="Q317" s="999" t="s">
        <v>898</v>
      </c>
      <c r="R317" s="999" t="s">
        <v>899</v>
      </c>
      <c r="S317" s="999" t="s">
        <v>900</v>
      </c>
      <c r="T317" s="999" t="s">
        <v>1399</v>
      </c>
      <c r="U317" s="1000" t="s">
        <v>55</v>
      </c>
      <c r="V317" s="1000" t="s">
        <v>921</v>
      </c>
      <c r="W317" s="1003">
        <v>18065</v>
      </c>
      <c r="X317" s="1000" t="s">
        <v>903</v>
      </c>
      <c r="Y317" s="1000">
        <v>75</v>
      </c>
      <c r="Z317" s="1000" t="s">
        <v>904</v>
      </c>
      <c r="AA317" s="1000" t="s">
        <v>905</v>
      </c>
      <c r="AB317" s="1000" t="s">
        <v>911</v>
      </c>
      <c r="AC317" s="1000" t="s">
        <v>907</v>
      </c>
      <c r="AD317" s="1004">
        <v>5333.97</v>
      </c>
      <c r="AE317" s="1004">
        <f t="shared" si="37"/>
        <v>81787.540000000008</v>
      </c>
      <c r="AF317" s="1004">
        <f t="shared" si="41"/>
        <v>81787.540000000008</v>
      </c>
      <c r="AG317" s="1005">
        <f t="shared" si="42"/>
        <v>15.333333333333334</v>
      </c>
      <c r="AH317" s="1005">
        <f t="shared" si="38"/>
        <v>12.912524056792186</v>
      </c>
    </row>
    <row r="318" spans="1:34" x14ac:dyDescent="0.25">
      <c r="A318" s="999">
        <v>40108</v>
      </c>
      <c r="B318" s="999" t="s">
        <v>1310</v>
      </c>
      <c r="C318" s="999" t="s">
        <v>1311</v>
      </c>
      <c r="D318" s="999" t="s">
        <v>894</v>
      </c>
      <c r="E318" s="999" t="s">
        <v>895</v>
      </c>
      <c r="F318" s="999">
        <v>1906313</v>
      </c>
      <c r="G318" s="1000">
        <v>7545673468</v>
      </c>
      <c r="H318" s="999" t="s">
        <v>1400</v>
      </c>
      <c r="I318" s="999" t="s">
        <v>897</v>
      </c>
      <c r="J318" s="1001">
        <v>40910</v>
      </c>
      <c r="K318" s="1001">
        <v>45835</v>
      </c>
      <c r="L318" s="1000">
        <f t="shared" si="39"/>
        <v>161</v>
      </c>
      <c r="M318" s="1002">
        <f t="shared" si="40"/>
        <v>13.416666666666666</v>
      </c>
      <c r="N318" s="1000">
        <v>13</v>
      </c>
      <c r="O318" s="1000">
        <v>13</v>
      </c>
      <c r="P318" s="1000">
        <v>43</v>
      </c>
      <c r="Q318" s="999" t="s">
        <v>898</v>
      </c>
      <c r="R318" s="999" t="s">
        <v>899</v>
      </c>
      <c r="S318" s="999" t="s">
        <v>900</v>
      </c>
      <c r="T318" s="999" t="s">
        <v>1401</v>
      </c>
      <c r="U318" s="1000" t="s">
        <v>55</v>
      </c>
      <c r="V318" s="1000" t="s">
        <v>914</v>
      </c>
      <c r="W318" s="1003">
        <v>18019</v>
      </c>
      <c r="X318" s="1000" t="s">
        <v>930</v>
      </c>
      <c r="Y318" s="1000">
        <v>75</v>
      </c>
      <c r="Z318" s="1000" t="s">
        <v>904</v>
      </c>
      <c r="AA318" s="1000" t="s">
        <v>905</v>
      </c>
      <c r="AB318" s="1000" t="s">
        <v>911</v>
      </c>
      <c r="AC318" s="1000" t="s">
        <v>907</v>
      </c>
      <c r="AD318" s="1004">
        <v>5333.97</v>
      </c>
      <c r="AE318" s="1004">
        <f t="shared" si="37"/>
        <v>71564.097500000003</v>
      </c>
      <c r="AF318" s="1004">
        <f t="shared" si="41"/>
        <v>71564.097500000003</v>
      </c>
      <c r="AG318" s="1005">
        <f t="shared" si="42"/>
        <v>13.416666666666666</v>
      </c>
      <c r="AH318" s="1005">
        <f t="shared" si="38"/>
        <v>11.298458549693162</v>
      </c>
    </row>
    <row r="319" spans="1:34" x14ac:dyDescent="0.25">
      <c r="A319" s="999">
        <v>40108</v>
      </c>
      <c r="B319" s="999" t="s">
        <v>1310</v>
      </c>
      <c r="C319" s="999" t="s">
        <v>1311</v>
      </c>
      <c r="D319" s="999" t="s">
        <v>894</v>
      </c>
      <c r="E319" s="999" t="s">
        <v>895</v>
      </c>
      <c r="F319" s="999">
        <v>1897515</v>
      </c>
      <c r="G319" s="1000">
        <v>21910642720</v>
      </c>
      <c r="H319" s="999" t="s">
        <v>1402</v>
      </c>
      <c r="I319" s="999" t="s">
        <v>897</v>
      </c>
      <c r="J319" s="1001">
        <v>40851</v>
      </c>
      <c r="K319" s="1001">
        <v>45835</v>
      </c>
      <c r="L319" s="1000">
        <f t="shared" si="39"/>
        <v>163</v>
      </c>
      <c r="M319" s="1002">
        <f t="shared" si="40"/>
        <v>13.583333333333334</v>
      </c>
      <c r="N319" s="1000">
        <v>13</v>
      </c>
      <c r="O319" s="1000">
        <v>13</v>
      </c>
      <c r="P319" s="1000">
        <v>43</v>
      </c>
      <c r="Q319" s="999" t="s">
        <v>898</v>
      </c>
      <c r="R319" s="999" t="s">
        <v>899</v>
      </c>
      <c r="S319" s="999" t="s">
        <v>900</v>
      </c>
      <c r="T319" s="999" t="s">
        <v>1389</v>
      </c>
      <c r="U319" s="1000"/>
      <c r="V319" s="1000" t="s">
        <v>914</v>
      </c>
      <c r="W319" s="1003">
        <v>17979</v>
      </c>
      <c r="X319" s="1000" t="s">
        <v>930</v>
      </c>
      <c r="Y319" s="1000">
        <v>76</v>
      </c>
      <c r="Z319" s="1000" t="s">
        <v>904</v>
      </c>
      <c r="AA319" s="1000" t="s">
        <v>905</v>
      </c>
      <c r="AB319" s="1000" t="s">
        <v>938</v>
      </c>
      <c r="AC319" s="1000" t="s">
        <v>907</v>
      </c>
      <c r="AD319" s="1004">
        <v>3813.57</v>
      </c>
      <c r="AE319" s="1004">
        <f t="shared" si="37"/>
        <v>51800.992500000008</v>
      </c>
      <c r="AF319" s="1004">
        <f t="shared" si="41"/>
        <v>51800.992500000008</v>
      </c>
      <c r="AG319" s="1005">
        <f t="shared" si="42"/>
        <v>13.583333333333334</v>
      </c>
      <c r="AH319" s="1005">
        <f t="shared" si="38"/>
        <v>10.761449921783626</v>
      </c>
    </row>
    <row r="320" spans="1:34" x14ac:dyDescent="0.25">
      <c r="A320" s="999">
        <v>40108</v>
      </c>
      <c r="B320" s="999" t="s">
        <v>1310</v>
      </c>
      <c r="C320" s="999" t="s">
        <v>1311</v>
      </c>
      <c r="D320" s="999" t="s">
        <v>894</v>
      </c>
      <c r="E320" s="999" t="s">
        <v>895</v>
      </c>
      <c r="F320" s="999">
        <v>1991417</v>
      </c>
      <c r="G320" s="1000">
        <v>7331126768</v>
      </c>
      <c r="H320" s="999" t="s">
        <v>1403</v>
      </c>
      <c r="I320" s="999" t="s">
        <v>897</v>
      </c>
      <c r="J320" s="1001">
        <v>41276</v>
      </c>
      <c r="K320" s="1001">
        <v>45835</v>
      </c>
      <c r="L320" s="1000">
        <f t="shared" si="39"/>
        <v>149</v>
      </c>
      <c r="M320" s="1002">
        <f t="shared" si="40"/>
        <v>12.416666666666666</v>
      </c>
      <c r="N320" s="1000">
        <v>12</v>
      </c>
      <c r="O320" s="1000">
        <v>12</v>
      </c>
      <c r="P320" s="1000">
        <v>43</v>
      </c>
      <c r="Q320" s="999" t="s">
        <v>898</v>
      </c>
      <c r="R320" s="999" t="s">
        <v>899</v>
      </c>
      <c r="S320" s="999" t="s">
        <v>900</v>
      </c>
      <c r="T320" s="999" t="s">
        <v>1404</v>
      </c>
      <c r="U320" s="1000"/>
      <c r="V320" s="1000" t="s">
        <v>914</v>
      </c>
      <c r="W320" s="1003">
        <v>15254</v>
      </c>
      <c r="X320" s="1000" t="s">
        <v>903</v>
      </c>
      <c r="Y320" s="1000">
        <v>83</v>
      </c>
      <c r="Z320" s="1000" t="s">
        <v>904</v>
      </c>
      <c r="AA320" s="1000" t="s">
        <v>905</v>
      </c>
      <c r="AB320" s="1000" t="s">
        <v>938</v>
      </c>
      <c r="AC320" s="1000" t="s">
        <v>907</v>
      </c>
      <c r="AD320" s="1004">
        <v>3813.57</v>
      </c>
      <c r="AE320" s="1004">
        <f t="shared" si="37"/>
        <v>47351.827499999999</v>
      </c>
      <c r="AF320" s="1004">
        <f t="shared" si="41"/>
        <v>47351.827499999999</v>
      </c>
      <c r="AG320" s="1005">
        <f t="shared" si="42"/>
        <v>12.416666666666666</v>
      </c>
      <c r="AH320" s="1005">
        <f t="shared" si="38"/>
        <v>9.83715360948319</v>
      </c>
    </row>
    <row r="321" spans="1:34" x14ac:dyDescent="0.25">
      <c r="A321" s="999">
        <v>40108</v>
      </c>
      <c r="B321" s="999" t="s">
        <v>1310</v>
      </c>
      <c r="C321" s="999" t="s">
        <v>1311</v>
      </c>
      <c r="D321" s="999" t="s">
        <v>894</v>
      </c>
      <c r="E321" s="999" t="s">
        <v>895</v>
      </c>
      <c r="F321" s="999">
        <v>1756249</v>
      </c>
      <c r="G321" s="1000">
        <v>842214100</v>
      </c>
      <c r="H321" s="999" t="s">
        <v>1405</v>
      </c>
      <c r="I321" s="999" t="s">
        <v>920</v>
      </c>
      <c r="J321" s="1001">
        <v>40210</v>
      </c>
      <c r="K321" s="1001">
        <v>45835</v>
      </c>
      <c r="L321" s="1000">
        <f t="shared" si="39"/>
        <v>184</v>
      </c>
      <c r="M321" s="1002">
        <f t="shared" si="40"/>
        <v>15.333333333333334</v>
      </c>
      <c r="N321" s="1000">
        <v>15</v>
      </c>
      <c r="O321" s="1000">
        <v>15</v>
      </c>
      <c r="P321" s="1000">
        <v>43</v>
      </c>
      <c r="Q321" s="999" t="s">
        <v>898</v>
      </c>
      <c r="R321" s="999" t="s">
        <v>899</v>
      </c>
      <c r="S321" s="999" t="s">
        <v>900</v>
      </c>
      <c r="T321" s="999" t="s">
        <v>924</v>
      </c>
      <c r="U321" s="1000" t="s">
        <v>55</v>
      </c>
      <c r="V321" s="1000" t="s">
        <v>921</v>
      </c>
      <c r="W321" s="1003">
        <v>15147</v>
      </c>
      <c r="X321" s="1000" t="s">
        <v>903</v>
      </c>
      <c r="Y321" s="1000">
        <v>83</v>
      </c>
      <c r="Z321" s="1000" t="s">
        <v>904</v>
      </c>
      <c r="AA321" s="1000" t="s">
        <v>905</v>
      </c>
      <c r="AB321" s="1000" t="s">
        <v>911</v>
      </c>
      <c r="AC321" s="1000" t="s">
        <v>907</v>
      </c>
      <c r="AD321" s="1004">
        <v>5333.97</v>
      </c>
      <c r="AE321" s="1004">
        <f t="shared" si="37"/>
        <v>81787.540000000008</v>
      </c>
      <c r="AF321" s="1004">
        <f t="shared" si="41"/>
        <v>81787.540000000008</v>
      </c>
      <c r="AG321" s="1005">
        <f t="shared" si="42"/>
        <v>15.333333333333334</v>
      </c>
      <c r="AH321" s="1005">
        <f t="shared" si="38"/>
        <v>12.912524056792186</v>
      </c>
    </row>
    <row r="322" spans="1:34" x14ac:dyDescent="0.25">
      <c r="A322" s="999">
        <v>40108</v>
      </c>
      <c r="B322" s="999" t="s">
        <v>1310</v>
      </c>
      <c r="C322" s="999" t="s">
        <v>1311</v>
      </c>
      <c r="D322" s="999" t="s">
        <v>894</v>
      </c>
      <c r="E322" s="999" t="s">
        <v>895</v>
      </c>
      <c r="F322" s="999">
        <v>1087143</v>
      </c>
      <c r="G322" s="1000">
        <v>46319590700</v>
      </c>
      <c r="H322" s="999" t="s">
        <v>1406</v>
      </c>
      <c r="I322" s="999" t="s">
        <v>897</v>
      </c>
      <c r="J322" s="1001">
        <v>41673</v>
      </c>
      <c r="K322" s="1001">
        <v>45835</v>
      </c>
      <c r="L322" s="1000">
        <f t="shared" si="39"/>
        <v>136</v>
      </c>
      <c r="M322" s="1002">
        <f t="shared" si="40"/>
        <v>11.333333333333334</v>
      </c>
      <c r="N322" s="1000">
        <v>11</v>
      </c>
      <c r="O322" s="1000">
        <v>11</v>
      </c>
      <c r="P322" s="1000">
        <v>43</v>
      </c>
      <c r="Q322" s="999" t="s">
        <v>898</v>
      </c>
      <c r="R322" s="999" t="s">
        <v>899</v>
      </c>
      <c r="S322" s="999" t="s">
        <v>900</v>
      </c>
      <c r="T322" s="999" t="s">
        <v>1407</v>
      </c>
      <c r="U322" s="1000"/>
      <c r="V322" s="1000" t="s">
        <v>914</v>
      </c>
      <c r="W322" s="1003">
        <v>18358</v>
      </c>
      <c r="X322" s="1000" t="s">
        <v>903</v>
      </c>
      <c r="Y322" s="1000">
        <v>75</v>
      </c>
      <c r="Z322" s="1000" t="s">
        <v>904</v>
      </c>
      <c r="AA322" s="1000" t="s">
        <v>905</v>
      </c>
      <c r="AB322" s="1000" t="s">
        <v>938</v>
      </c>
      <c r="AC322" s="1000" t="s">
        <v>907</v>
      </c>
      <c r="AD322" s="1004">
        <v>3813.57</v>
      </c>
      <c r="AE322" s="1004">
        <f t="shared" si="37"/>
        <v>43220.460000000006</v>
      </c>
      <c r="AF322" s="1004">
        <f t="shared" si="41"/>
        <v>43220.460000000006</v>
      </c>
      <c r="AG322" s="1005">
        <f t="shared" si="42"/>
        <v>11.333333333333334</v>
      </c>
      <c r="AH322" s="1005">
        <f t="shared" si="38"/>
        <v>8.9788784623470743</v>
      </c>
    </row>
    <row r="323" spans="1:34" x14ac:dyDescent="0.25">
      <c r="A323" s="999">
        <v>40108</v>
      </c>
      <c r="B323" s="999" t="s">
        <v>1310</v>
      </c>
      <c r="C323" s="999" t="s">
        <v>1311</v>
      </c>
      <c r="D323" s="999" t="s">
        <v>894</v>
      </c>
      <c r="E323" s="999" t="s">
        <v>895</v>
      </c>
      <c r="F323" s="999">
        <v>1946244</v>
      </c>
      <c r="G323" s="1000">
        <v>3191567453</v>
      </c>
      <c r="H323" s="999" t="s">
        <v>1408</v>
      </c>
      <c r="I323" s="999" t="s">
        <v>897</v>
      </c>
      <c r="J323" s="1001">
        <v>41061</v>
      </c>
      <c r="K323" s="1001">
        <v>45835</v>
      </c>
      <c r="L323" s="1000">
        <f t="shared" si="39"/>
        <v>156</v>
      </c>
      <c r="M323" s="1002">
        <f t="shared" si="40"/>
        <v>13</v>
      </c>
      <c r="N323" s="1000">
        <v>13</v>
      </c>
      <c r="O323" s="1000">
        <v>13</v>
      </c>
      <c r="P323" s="1000">
        <v>43</v>
      </c>
      <c r="Q323" s="999" t="s">
        <v>898</v>
      </c>
      <c r="R323" s="999" t="s">
        <v>899</v>
      </c>
      <c r="S323" s="999" t="s">
        <v>900</v>
      </c>
      <c r="T323" s="999" t="s">
        <v>1409</v>
      </c>
      <c r="U323" s="1000" t="s">
        <v>55</v>
      </c>
      <c r="V323" s="1000" t="s">
        <v>914</v>
      </c>
      <c r="W323" s="1003">
        <v>15063</v>
      </c>
      <c r="X323" s="1000" t="s">
        <v>930</v>
      </c>
      <c r="Y323" s="1000">
        <v>84</v>
      </c>
      <c r="Z323" s="1000" t="s">
        <v>904</v>
      </c>
      <c r="AA323" s="1000" t="s">
        <v>905</v>
      </c>
      <c r="AB323" s="1000" t="s">
        <v>911</v>
      </c>
      <c r="AC323" s="1000" t="s">
        <v>907</v>
      </c>
      <c r="AD323" s="1004">
        <v>5333.97</v>
      </c>
      <c r="AE323" s="1004">
        <f t="shared" si="37"/>
        <v>69341.61</v>
      </c>
      <c r="AF323" s="1004">
        <f t="shared" si="41"/>
        <v>69341.61</v>
      </c>
      <c r="AG323" s="1005">
        <f t="shared" si="42"/>
        <v>13</v>
      </c>
      <c r="AH323" s="1005">
        <f t="shared" si="38"/>
        <v>10.94757474380207</v>
      </c>
    </row>
    <row r="324" spans="1:34" x14ac:dyDescent="0.25">
      <c r="A324" s="999">
        <v>40108</v>
      </c>
      <c r="B324" s="999" t="s">
        <v>1310</v>
      </c>
      <c r="C324" s="999" t="s">
        <v>1311</v>
      </c>
      <c r="D324" s="999" t="s">
        <v>894</v>
      </c>
      <c r="E324" s="999" t="s">
        <v>895</v>
      </c>
      <c r="F324" s="999">
        <v>1906589</v>
      </c>
      <c r="G324" s="1000">
        <v>13497928453</v>
      </c>
      <c r="H324" s="999" t="s">
        <v>1410</v>
      </c>
      <c r="I324" s="999" t="s">
        <v>897</v>
      </c>
      <c r="J324" s="1001">
        <v>40910</v>
      </c>
      <c r="K324" s="1001">
        <v>45835</v>
      </c>
      <c r="L324" s="1000">
        <f t="shared" si="39"/>
        <v>161</v>
      </c>
      <c r="M324" s="1002">
        <f t="shared" si="40"/>
        <v>13.416666666666666</v>
      </c>
      <c r="N324" s="1000">
        <v>13</v>
      </c>
      <c r="O324" s="1000">
        <v>13</v>
      </c>
      <c r="P324" s="1000">
        <v>43</v>
      </c>
      <c r="Q324" s="999" t="s">
        <v>898</v>
      </c>
      <c r="R324" s="999" t="s">
        <v>899</v>
      </c>
      <c r="S324" s="999" t="s">
        <v>900</v>
      </c>
      <c r="T324" s="999" t="s">
        <v>1213</v>
      </c>
      <c r="U324" s="1000" t="s">
        <v>55</v>
      </c>
      <c r="V324" s="1000" t="s">
        <v>914</v>
      </c>
      <c r="W324" s="1003">
        <v>16989</v>
      </c>
      <c r="X324" s="1000" t="s">
        <v>930</v>
      </c>
      <c r="Y324" s="1000">
        <v>78</v>
      </c>
      <c r="Z324" s="1000" t="s">
        <v>904</v>
      </c>
      <c r="AA324" s="1000" t="s">
        <v>905</v>
      </c>
      <c r="AB324" s="1000" t="s">
        <v>911</v>
      </c>
      <c r="AC324" s="1000" t="s">
        <v>907</v>
      </c>
      <c r="AD324" s="1004">
        <v>5333.97</v>
      </c>
      <c r="AE324" s="1004">
        <f t="shared" si="37"/>
        <v>71564.097500000003</v>
      </c>
      <c r="AF324" s="1004">
        <f t="shared" si="41"/>
        <v>71564.097500000003</v>
      </c>
      <c r="AG324" s="1005">
        <f t="shared" si="42"/>
        <v>13.416666666666666</v>
      </c>
      <c r="AH324" s="1005">
        <f t="shared" si="38"/>
        <v>11.298458549693162</v>
      </c>
    </row>
    <row r="325" spans="1:34" x14ac:dyDescent="0.25">
      <c r="A325" s="999">
        <v>40108</v>
      </c>
      <c r="B325" s="999" t="s">
        <v>1310</v>
      </c>
      <c r="C325" s="999" t="s">
        <v>1311</v>
      </c>
      <c r="D325" s="999" t="s">
        <v>894</v>
      </c>
      <c r="E325" s="999" t="s">
        <v>895</v>
      </c>
      <c r="F325" s="999">
        <v>1835882</v>
      </c>
      <c r="G325" s="1000">
        <v>73869511834</v>
      </c>
      <c r="H325" s="999" t="s">
        <v>1411</v>
      </c>
      <c r="I325" s="999" t="s">
        <v>1374</v>
      </c>
      <c r="J325" s="1001">
        <v>40561</v>
      </c>
      <c r="K325" s="1001">
        <v>45835</v>
      </c>
      <c r="L325" s="1000">
        <f t="shared" si="39"/>
        <v>173</v>
      </c>
      <c r="M325" s="1002">
        <f t="shared" si="40"/>
        <v>14.416666666666666</v>
      </c>
      <c r="N325" s="1000">
        <v>14</v>
      </c>
      <c r="O325" s="1000">
        <v>14</v>
      </c>
      <c r="P325" s="1000">
        <v>43</v>
      </c>
      <c r="Q325" s="999" t="s">
        <v>898</v>
      </c>
      <c r="R325" s="999" t="s">
        <v>899</v>
      </c>
      <c r="S325" s="999" t="s">
        <v>900</v>
      </c>
      <c r="T325" s="999" t="s">
        <v>916</v>
      </c>
      <c r="U325" s="1000"/>
      <c r="V325" s="1000" t="s">
        <v>902</v>
      </c>
      <c r="W325" s="1003">
        <v>18275</v>
      </c>
      <c r="X325" s="1000" t="s">
        <v>903</v>
      </c>
      <c r="Y325" s="1000">
        <v>75</v>
      </c>
      <c r="Z325" s="1000" t="s">
        <v>904</v>
      </c>
      <c r="AA325" s="1000" t="s">
        <v>1169</v>
      </c>
      <c r="AB325" s="1000" t="s">
        <v>938</v>
      </c>
      <c r="AC325" s="1000" t="s">
        <v>907</v>
      </c>
      <c r="AD325" s="1004">
        <v>3813.57</v>
      </c>
      <c r="AE325" s="1004">
        <f t="shared" ref="AE325:AE388" si="43">AD325*M325</f>
        <v>54978.967499999999</v>
      </c>
      <c r="AF325" s="1004">
        <f t="shared" si="41"/>
        <v>54978.967499999999</v>
      </c>
      <c r="AG325" s="1005">
        <f t="shared" si="42"/>
        <v>14.416666666666666</v>
      </c>
      <c r="AH325" s="1005">
        <f t="shared" ref="AH325:AH388" si="44">AF325/(AD325+1000)</f>
        <v>11.421661573426793</v>
      </c>
    </row>
    <row r="326" spans="1:34" x14ac:dyDescent="0.25">
      <c r="A326" s="999">
        <v>40108</v>
      </c>
      <c r="B326" s="999" t="s">
        <v>1310</v>
      </c>
      <c r="C326" s="999" t="s">
        <v>1311</v>
      </c>
      <c r="D326" s="999" t="s">
        <v>894</v>
      </c>
      <c r="E326" s="999" t="s">
        <v>895</v>
      </c>
      <c r="F326" s="999">
        <v>2178962</v>
      </c>
      <c r="G326" s="1000">
        <v>11957828889</v>
      </c>
      <c r="H326" s="999" t="s">
        <v>1412</v>
      </c>
      <c r="I326" s="999" t="s">
        <v>897</v>
      </c>
      <c r="J326" s="1001">
        <v>41974</v>
      </c>
      <c r="K326" s="1001">
        <v>45835</v>
      </c>
      <c r="L326" s="1000">
        <f t="shared" ref="L326:L389" si="45">DATEDIF(J326,K326, "m")</f>
        <v>126</v>
      </c>
      <c r="M326" s="1002">
        <f t="shared" ref="M326:M389" si="46">L326/12</f>
        <v>10.5</v>
      </c>
      <c r="N326" s="1000">
        <v>10</v>
      </c>
      <c r="O326" s="1000">
        <v>10</v>
      </c>
      <c r="P326" s="1000">
        <v>43</v>
      </c>
      <c r="Q326" s="999" t="s">
        <v>898</v>
      </c>
      <c r="R326" s="999" t="s">
        <v>899</v>
      </c>
      <c r="S326" s="999" t="s">
        <v>900</v>
      </c>
      <c r="T326" s="999" t="s">
        <v>1389</v>
      </c>
      <c r="U326" s="1000"/>
      <c r="V326" s="1000" t="s">
        <v>910</v>
      </c>
      <c r="W326" s="1003">
        <v>17554</v>
      </c>
      <c r="X326" s="1000" t="s">
        <v>930</v>
      </c>
      <c r="Y326" s="1000">
        <v>77</v>
      </c>
      <c r="Z326" s="1000" t="s">
        <v>904</v>
      </c>
      <c r="AA326" s="1000" t="s">
        <v>905</v>
      </c>
      <c r="AB326" s="1000" t="s">
        <v>938</v>
      </c>
      <c r="AC326" s="1000" t="s">
        <v>907</v>
      </c>
      <c r="AD326" s="1004">
        <v>3813.57</v>
      </c>
      <c r="AE326" s="1004">
        <f t="shared" si="43"/>
        <v>40042.485000000001</v>
      </c>
      <c r="AF326" s="1004">
        <f t="shared" ref="AF326:AF389" si="47">AE326</f>
        <v>40042.485000000001</v>
      </c>
      <c r="AG326" s="1005">
        <f t="shared" si="42"/>
        <v>10.5</v>
      </c>
      <c r="AH326" s="1005">
        <f t="shared" si="44"/>
        <v>8.3186668107039061</v>
      </c>
    </row>
    <row r="327" spans="1:34" x14ac:dyDescent="0.25">
      <c r="A327" s="999">
        <v>40108</v>
      </c>
      <c r="B327" s="999" t="s">
        <v>1310</v>
      </c>
      <c r="C327" s="999" t="s">
        <v>1311</v>
      </c>
      <c r="D327" s="999" t="s">
        <v>894</v>
      </c>
      <c r="E327" s="999" t="s">
        <v>895</v>
      </c>
      <c r="F327" s="999">
        <v>1906632</v>
      </c>
      <c r="G327" s="1000">
        <v>8233365491</v>
      </c>
      <c r="H327" s="999" t="s">
        <v>1413</v>
      </c>
      <c r="I327" s="999" t="s">
        <v>897</v>
      </c>
      <c r="J327" s="1001">
        <v>40910</v>
      </c>
      <c r="K327" s="1001">
        <v>45835</v>
      </c>
      <c r="L327" s="1000">
        <f t="shared" si="45"/>
        <v>161</v>
      </c>
      <c r="M327" s="1002">
        <f t="shared" si="46"/>
        <v>13.416666666666666</v>
      </c>
      <c r="N327" s="1000">
        <v>13</v>
      </c>
      <c r="O327" s="1000">
        <v>13</v>
      </c>
      <c r="P327" s="1000">
        <v>43</v>
      </c>
      <c r="Q327" s="999" t="s">
        <v>898</v>
      </c>
      <c r="R327" s="999" t="s">
        <v>899</v>
      </c>
      <c r="S327" s="999" t="s">
        <v>900</v>
      </c>
      <c r="T327" s="999" t="s">
        <v>1414</v>
      </c>
      <c r="U327" s="1000"/>
      <c r="V327" s="1000" t="s">
        <v>902</v>
      </c>
      <c r="W327" s="1003">
        <v>16320</v>
      </c>
      <c r="X327" s="1000" t="s">
        <v>930</v>
      </c>
      <c r="Y327" s="1000">
        <v>80</v>
      </c>
      <c r="Z327" s="1000" t="s">
        <v>904</v>
      </c>
      <c r="AA327" s="1000" t="s">
        <v>905</v>
      </c>
      <c r="AB327" s="1000" t="s">
        <v>938</v>
      </c>
      <c r="AC327" s="1000" t="s">
        <v>907</v>
      </c>
      <c r="AD327" s="1004">
        <v>3813.57</v>
      </c>
      <c r="AE327" s="1004">
        <f t="shared" si="43"/>
        <v>51165.397499999999</v>
      </c>
      <c r="AF327" s="1004">
        <f t="shared" si="47"/>
        <v>51165.397499999999</v>
      </c>
      <c r="AG327" s="1005">
        <f t="shared" si="42"/>
        <v>13.416666666666666</v>
      </c>
      <c r="AH327" s="1005">
        <f t="shared" si="44"/>
        <v>10.62940759145499</v>
      </c>
    </row>
    <row r="328" spans="1:34" x14ac:dyDescent="0.25">
      <c r="A328" s="999">
        <v>40108</v>
      </c>
      <c r="B328" s="999" t="s">
        <v>1310</v>
      </c>
      <c r="C328" s="999" t="s">
        <v>1311</v>
      </c>
      <c r="D328" s="999" t="s">
        <v>894</v>
      </c>
      <c r="E328" s="999" t="s">
        <v>895</v>
      </c>
      <c r="F328" s="999">
        <v>1878230</v>
      </c>
      <c r="G328" s="1000">
        <v>2500086704</v>
      </c>
      <c r="H328" s="999" t="s">
        <v>1415</v>
      </c>
      <c r="I328" s="999" t="s">
        <v>897</v>
      </c>
      <c r="J328" s="1001">
        <v>40728</v>
      </c>
      <c r="K328" s="1001">
        <v>45835</v>
      </c>
      <c r="L328" s="1000">
        <f t="shared" si="45"/>
        <v>167</v>
      </c>
      <c r="M328" s="1002">
        <f t="shared" si="46"/>
        <v>13.916666666666666</v>
      </c>
      <c r="N328" s="1000">
        <v>13</v>
      </c>
      <c r="O328" s="1000">
        <v>13</v>
      </c>
      <c r="P328" s="1000">
        <v>43</v>
      </c>
      <c r="Q328" s="999" t="s">
        <v>898</v>
      </c>
      <c r="R328" s="999" t="s">
        <v>899</v>
      </c>
      <c r="S328" s="999" t="s">
        <v>900</v>
      </c>
      <c r="T328" s="999" t="s">
        <v>1416</v>
      </c>
      <c r="U328" s="1000" t="s">
        <v>54</v>
      </c>
      <c r="V328" s="1000" t="s">
        <v>914</v>
      </c>
      <c r="W328" s="1003">
        <v>16224</v>
      </c>
      <c r="X328" s="1000" t="s">
        <v>903</v>
      </c>
      <c r="Y328" s="1000">
        <v>80</v>
      </c>
      <c r="Z328" s="1000" t="s">
        <v>904</v>
      </c>
      <c r="AA328" s="1000" t="s">
        <v>905</v>
      </c>
      <c r="AB328" s="1000" t="s">
        <v>925</v>
      </c>
      <c r="AC328" s="1000" t="s">
        <v>907</v>
      </c>
      <c r="AD328" s="1004">
        <v>10911.34</v>
      </c>
      <c r="AE328" s="1004">
        <f t="shared" si="43"/>
        <v>151849.48166666666</v>
      </c>
      <c r="AF328" s="1004">
        <f t="shared" si="47"/>
        <v>151849.48166666666</v>
      </c>
      <c r="AG328" s="1005">
        <f t="shared" si="42"/>
        <v>13.916666666666666</v>
      </c>
      <c r="AH328" s="1005">
        <f t="shared" si="44"/>
        <v>12.748312252581712</v>
      </c>
    </row>
    <row r="329" spans="1:34" x14ac:dyDescent="0.25">
      <c r="A329" s="999">
        <v>40108</v>
      </c>
      <c r="B329" s="999" t="s">
        <v>1310</v>
      </c>
      <c r="C329" s="999" t="s">
        <v>1311</v>
      </c>
      <c r="D329" s="999" t="s">
        <v>894</v>
      </c>
      <c r="E329" s="999" t="s">
        <v>895</v>
      </c>
      <c r="F329" s="999">
        <v>1882946</v>
      </c>
      <c r="G329" s="1000">
        <v>4446593749</v>
      </c>
      <c r="H329" s="999" t="s">
        <v>1417</v>
      </c>
      <c r="I329" s="999" t="s">
        <v>897</v>
      </c>
      <c r="J329" s="1001">
        <v>40763</v>
      </c>
      <c r="K329" s="1001">
        <v>45835</v>
      </c>
      <c r="L329" s="1000">
        <f t="shared" si="45"/>
        <v>166</v>
      </c>
      <c r="M329" s="1002">
        <f t="shared" si="46"/>
        <v>13.833333333333334</v>
      </c>
      <c r="N329" s="1000">
        <v>13</v>
      </c>
      <c r="O329" s="1000">
        <v>13</v>
      </c>
      <c r="P329" s="1000">
        <v>43</v>
      </c>
      <c r="Q329" s="999" t="s">
        <v>898</v>
      </c>
      <c r="R329" s="999" t="s">
        <v>899</v>
      </c>
      <c r="S329" s="999" t="s">
        <v>900</v>
      </c>
      <c r="T329" s="999" t="s">
        <v>613</v>
      </c>
      <c r="U329" s="1000" t="s">
        <v>54</v>
      </c>
      <c r="V329" s="1000" t="s">
        <v>914</v>
      </c>
      <c r="W329" s="1003">
        <v>16167</v>
      </c>
      <c r="X329" s="1000" t="s">
        <v>903</v>
      </c>
      <c r="Y329" s="1000">
        <v>81</v>
      </c>
      <c r="Z329" s="1000" t="s">
        <v>904</v>
      </c>
      <c r="AA329" s="1000" t="s">
        <v>905</v>
      </c>
      <c r="AB329" s="1000" t="s">
        <v>925</v>
      </c>
      <c r="AC329" s="1000" t="s">
        <v>907</v>
      </c>
      <c r="AD329" s="1004">
        <v>10126.049999999999</v>
      </c>
      <c r="AE329" s="1004">
        <f t="shared" si="43"/>
        <v>140077.02499999999</v>
      </c>
      <c r="AF329" s="1004">
        <f t="shared" si="47"/>
        <v>140077.02499999999</v>
      </c>
      <c r="AG329" s="1005">
        <f t="shared" si="42"/>
        <v>13.833333333333334</v>
      </c>
      <c r="AH329" s="1005">
        <f t="shared" si="44"/>
        <v>12.59000498829324</v>
      </c>
    </row>
    <row r="330" spans="1:34" x14ac:dyDescent="0.25">
      <c r="A330" s="999">
        <v>40108</v>
      </c>
      <c r="B330" s="999" t="s">
        <v>1310</v>
      </c>
      <c r="C330" s="999" t="s">
        <v>1311</v>
      </c>
      <c r="D330" s="999" t="s">
        <v>894</v>
      </c>
      <c r="E330" s="999" t="s">
        <v>895</v>
      </c>
      <c r="F330" s="999">
        <v>1877164</v>
      </c>
      <c r="G330" s="1000">
        <v>21201188768</v>
      </c>
      <c r="H330" s="999" t="s">
        <v>1418</v>
      </c>
      <c r="I330" s="999" t="s">
        <v>897</v>
      </c>
      <c r="J330" s="1001">
        <v>40728</v>
      </c>
      <c r="K330" s="1001">
        <v>45835</v>
      </c>
      <c r="L330" s="1000">
        <f t="shared" si="45"/>
        <v>167</v>
      </c>
      <c r="M330" s="1002">
        <f t="shared" si="46"/>
        <v>13.916666666666666</v>
      </c>
      <c r="N330" s="1000">
        <v>13</v>
      </c>
      <c r="O330" s="1000">
        <v>13</v>
      </c>
      <c r="P330" s="1000">
        <v>43</v>
      </c>
      <c r="Q330" s="999" t="s">
        <v>898</v>
      </c>
      <c r="R330" s="999" t="s">
        <v>899</v>
      </c>
      <c r="S330" s="999" t="s">
        <v>900</v>
      </c>
      <c r="T330" s="999" t="s">
        <v>1037</v>
      </c>
      <c r="U330" s="1000"/>
      <c r="V330" s="1000" t="s">
        <v>914</v>
      </c>
      <c r="W330" s="1003">
        <v>16521</v>
      </c>
      <c r="X330" s="1000" t="s">
        <v>903</v>
      </c>
      <c r="Y330" s="1000">
        <v>80</v>
      </c>
      <c r="Z330" s="1000" t="s">
        <v>904</v>
      </c>
      <c r="AA330" s="1000" t="s">
        <v>905</v>
      </c>
      <c r="AB330" s="1000" t="s">
        <v>938</v>
      </c>
      <c r="AC330" s="1000" t="s">
        <v>907</v>
      </c>
      <c r="AD330" s="1004">
        <v>3813.57</v>
      </c>
      <c r="AE330" s="1004">
        <f t="shared" si="43"/>
        <v>53072.182500000003</v>
      </c>
      <c r="AF330" s="1004">
        <f t="shared" si="47"/>
        <v>53072.182500000003</v>
      </c>
      <c r="AG330" s="1005">
        <f t="shared" si="42"/>
        <v>13.916666666666666</v>
      </c>
      <c r="AH330" s="1005">
        <f t="shared" si="44"/>
        <v>11.025534582440892</v>
      </c>
    </row>
    <row r="331" spans="1:34" x14ac:dyDescent="0.25">
      <c r="A331" s="999">
        <v>40108</v>
      </c>
      <c r="B331" s="999" t="s">
        <v>1310</v>
      </c>
      <c r="C331" s="999" t="s">
        <v>1311</v>
      </c>
      <c r="D331" s="999" t="s">
        <v>894</v>
      </c>
      <c r="E331" s="999" t="s">
        <v>895</v>
      </c>
      <c r="F331" s="999">
        <v>1883668</v>
      </c>
      <c r="G331" s="1000">
        <v>312494777</v>
      </c>
      <c r="H331" s="999" t="s">
        <v>1419</v>
      </c>
      <c r="I331" s="999" t="s">
        <v>897</v>
      </c>
      <c r="J331" s="1001">
        <v>40763</v>
      </c>
      <c r="K331" s="1001">
        <v>45835</v>
      </c>
      <c r="L331" s="1000">
        <f t="shared" si="45"/>
        <v>166</v>
      </c>
      <c r="M331" s="1002">
        <f t="shared" si="46"/>
        <v>13.833333333333334</v>
      </c>
      <c r="N331" s="1000">
        <v>13</v>
      </c>
      <c r="O331" s="1000">
        <v>13</v>
      </c>
      <c r="P331" s="1000">
        <v>43</v>
      </c>
      <c r="Q331" s="999" t="s">
        <v>898</v>
      </c>
      <c r="R331" s="999" t="s">
        <v>899</v>
      </c>
      <c r="S331" s="999" t="s">
        <v>900</v>
      </c>
      <c r="T331" s="999" t="s">
        <v>1363</v>
      </c>
      <c r="U331" s="1000"/>
      <c r="V331" s="1000" t="s">
        <v>914</v>
      </c>
      <c r="W331" s="1003">
        <v>14918</v>
      </c>
      <c r="X331" s="1000" t="s">
        <v>930</v>
      </c>
      <c r="Y331" s="1000">
        <v>84</v>
      </c>
      <c r="Z331" s="1000" t="s">
        <v>904</v>
      </c>
      <c r="AA331" s="1000" t="s">
        <v>905</v>
      </c>
      <c r="AB331" s="1000" t="s">
        <v>938</v>
      </c>
      <c r="AC331" s="1000" t="s">
        <v>907</v>
      </c>
      <c r="AD331" s="1004">
        <v>3813.57</v>
      </c>
      <c r="AE331" s="1004">
        <f t="shared" si="43"/>
        <v>52754.385000000002</v>
      </c>
      <c r="AF331" s="1004">
        <f t="shared" si="47"/>
        <v>52754.385000000002</v>
      </c>
      <c r="AG331" s="1005">
        <f t="shared" si="42"/>
        <v>13.833333333333334</v>
      </c>
      <c r="AH331" s="1005">
        <f t="shared" si="44"/>
        <v>10.959513417276575</v>
      </c>
    </row>
    <row r="332" spans="1:34" x14ac:dyDescent="0.25">
      <c r="A332" s="999">
        <v>40108</v>
      </c>
      <c r="B332" s="999" t="s">
        <v>1310</v>
      </c>
      <c r="C332" s="999" t="s">
        <v>1311</v>
      </c>
      <c r="D332" s="999" t="s">
        <v>894</v>
      </c>
      <c r="E332" s="999" t="s">
        <v>895</v>
      </c>
      <c r="F332" s="999">
        <v>2081399</v>
      </c>
      <c r="G332" s="1000">
        <v>1600842291</v>
      </c>
      <c r="H332" s="999" t="s">
        <v>1420</v>
      </c>
      <c r="I332" s="999" t="s">
        <v>897</v>
      </c>
      <c r="J332" s="1001">
        <v>41654</v>
      </c>
      <c r="K332" s="1001">
        <v>45835</v>
      </c>
      <c r="L332" s="1000">
        <f t="shared" si="45"/>
        <v>137</v>
      </c>
      <c r="M332" s="1002">
        <f t="shared" si="46"/>
        <v>11.416666666666666</v>
      </c>
      <c r="N332" s="1000">
        <v>11</v>
      </c>
      <c r="O332" s="1000">
        <v>11</v>
      </c>
      <c r="P332" s="1000">
        <v>43</v>
      </c>
      <c r="Q332" s="999" t="s">
        <v>898</v>
      </c>
      <c r="R332" s="999" t="s">
        <v>899</v>
      </c>
      <c r="S332" s="999" t="s">
        <v>900</v>
      </c>
      <c r="T332" s="999" t="s">
        <v>1361</v>
      </c>
      <c r="U332" s="1000" t="s">
        <v>54</v>
      </c>
      <c r="V332" s="1000" t="s">
        <v>910</v>
      </c>
      <c r="W332" s="1003">
        <v>17329</v>
      </c>
      <c r="X332" s="1000" t="s">
        <v>903</v>
      </c>
      <c r="Y332" s="1000">
        <v>77</v>
      </c>
      <c r="Z332" s="1000" t="s">
        <v>904</v>
      </c>
      <c r="AA332" s="1000" t="s">
        <v>905</v>
      </c>
      <c r="AB332" s="1000" t="s">
        <v>925</v>
      </c>
      <c r="AC332" s="1000" t="s">
        <v>907</v>
      </c>
      <c r="AD332" s="1004">
        <v>10126.049999999999</v>
      </c>
      <c r="AE332" s="1004">
        <f t="shared" si="43"/>
        <v>115605.73749999999</v>
      </c>
      <c r="AF332" s="1004">
        <f t="shared" si="47"/>
        <v>115605.73749999999</v>
      </c>
      <c r="AG332" s="1005">
        <f t="shared" si="42"/>
        <v>11.416666666666666</v>
      </c>
      <c r="AH332" s="1005">
        <f t="shared" si="44"/>
        <v>10.39054628551912</v>
      </c>
    </row>
    <row r="333" spans="1:34" x14ac:dyDescent="0.25">
      <c r="A333" s="999">
        <v>40108</v>
      </c>
      <c r="B333" s="999" t="s">
        <v>1310</v>
      </c>
      <c r="C333" s="999" t="s">
        <v>1311</v>
      </c>
      <c r="D333" s="999" t="s">
        <v>894</v>
      </c>
      <c r="E333" s="999" t="s">
        <v>895</v>
      </c>
      <c r="F333" s="999">
        <v>1884083</v>
      </c>
      <c r="G333" s="1000">
        <v>23570881768</v>
      </c>
      <c r="H333" s="999" t="s">
        <v>1421</v>
      </c>
      <c r="I333" s="999" t="s">
        <v>897</v>
      </c>
      <c r="J333" s="1001">
        <v>40763</v>
      </c>
      <c r="K333" s="1001">
        <v>45835</v>
      </c>
      <c r="L333" s="1000">
        <f t="shared" si="45"/>
        <v>166</v>
      </c>
      <c r="M333" s="1002">
        <f t="shared" si="46"/>
        <v>13.833333333333334</v>
      </c>
      <c r="N333" s="1000">
        <v>13</v>
      </c>
      <c r="O333" s="1000">
        <v>13</v>
      </c>
      <c r="P333" s="1000">
        <v>43</v>
      </c>
      <c r="Q333" s="999" t="s">
        <v>898</v>
      </c>
      <c r="R333" s="999" t="s">
        <v>899</v>
      </c>
      <c r="S333" s="999" t="s">
        <v>900</v>
      </c>
      <c r="T333" s="999" t="s">
        <v>1387</v>
      </c>
      <c r="U333" s="1000" t="s">
        <v>55</v>
      </c>
      <c r="V333" s="1000" t="s">
        <v>914</v>
      </c>
      <c r="W333" s="1003">
        <v>14826</v>
      </c>
      <c r="X333" s="1000" t="s">
        <v>903</v>
      </c>
      <c r="Y333" s="1000">
        <v>84</v>
      </c>
      <c r="Z333" s="1000" t="s">
        <v>904</v>
      </c>
      <c r="AA333" s="1000" t="s">
        <v>905</v>
      </c>
      <c r="AB333" s="1000" t="s">
        <v>911</v>
      </c>
      <c r="AC333" s="1000" t="s">
        <v>907</v>
      </c>
      <c r="AD333" s="1004">
        <v>5333.97</v>
      </c>
      <c r="AE333" s="1004">
        <f t="shared" si="43"/>
        <v>73786.585000000006</v>
      </c>
      <c r="AF333" s="1004">
        <f t="shared" si="47"/>
        <v>73786.585000000006</v>
      </c>
      <c r="AG333" s="1005">
        <f t="shared" si="42"/>
        <v>13.833333333333334</v>
      </c>
      <c r="AH333" s="1005">
        <f t="shared" si="44"/>
        <v>11.649342355584254</v>
      </c>
    </row>
    <row r="334" spans="1:34" x14ac:dyDescent="0.25">
      <c r="A334" s="999">
        <v>40108</v>
      </c>
      <c r="B334" s="999" t="s">
        <v>1310</v>
      </c>
      <c r="C334" s="999" t="s">
        <v>1311</v>
      </c>
      <c r="D334" s="999" t="s">
        <v>894</v>
      </c>
      <c r="E334" s="999" t="s">
        <v>895</v>
      </c>
      <c r="F334" s="999">
        <v>1940222</v>
      </c>
      <c r="G334" s="1000">
        <v>10231463472</v>
      </c>
      <c r="H334" s="999" t="s">
        <v>1422</v>
      </c>
      <c r="I334" s="999" t="s">
        <v>897</v>
      </c>
      <c r="J334" s="1001">
        <v>41031</v>
      </c>
      <c r="K334" s="1001">
        <v>45835</v>
      </c>
      <c r="L334" s="1000">
        <f t="shared" si="45"/>
        <v>157</v>
      </c>
      <c r="M334" s="1002">
        <f t="shared" si="46"/>
        <v>13.083333333333334</v>
      </c>
      <c r="N334" s="1000">
        <v>13</v>
      </c>
      <c r="O334" s="1000">
        <v>13</v>
      </c>
      <c r="P334" s="1000">
        <v>43</v>
      </c>
      <c r="Q334" s="999" t="s">
        <v>898</v>
      </c>
      <c r="R334" s="999" t="s">
        <v>899</v>
      </c>
      <c r="S334" s="999" t="s">
        <v>900</v>
      </c>
      <c r="T334" s="999" t="s">
        <v>1401</v>
      </c>
      <c r="U334" s="1000" t="s">
        <v>55</v>
      </c>
      <c r="V334" s="1000" t="s">
        <v>914</v>
      </c>
      <c r="W334" s="1003">
        <v>17441</v>
      </c>
      <c r="X334" s="1000" t="s">
        <v>903</v>
      </c>
      <c r="Y334" s="1000">
        <v>77</v>
      </c>
      <c r="Z334" s="1000" t="s">
        <v>904</v>
      </c>
      <c r="AA334" s="1000" t="s">
        <v>1291</v>
      </c>
      <c r="AB334" s="1000" t="s">
        <v>911</v>
      </c>
      <c r="AC334" s="1000" t="s">
        <v>907</v>
      </c>
      <c r="AD334" s="1004">
        <v>5333.97</v>
      </c>
      <c r="AE334" s="1004">
        <f t="shared" si="43"/>
        <v>69786.107500000013</v>
      </c>
      <c r="AF334" s="1004">
        <f t="shared" si="47"/>
        <v>69786.107500000013</v>
      </c>
      <c r="AG334" s="1005">
        <f t="shared" si="42"/>
        <v>13.083333333333336</v>
      </c>
      <c r="AH334" s="1005">
        <f t="shared" si="44"/>
        <v>11.017751504980291</v>
      </c>
    </row>
    <row r="335" spans="1:34" x14ac:dyDescent="0.25">
      <c r="A335" s="999">
        <v>40108</v>
      </c>
      <c r="B335" s="999" t="s">
        <v>1310</v>
      </c>
      <c r="C335" s="999" t="s">
        <v>1311</v>
      </c>
      <c r="D335" s="999" t="s">
        <v>894</v>
      </c>
      <c r="E335" s="999" t="s">
        <v>895</v>
      </c>
      <c r="F335" s="999">
        <v>1875967</v>
      </c>
      <c r="G335" s="1000">
        <v>53692500734</v>
      </c>
      <c r="H335" s="999" t="s">
        <v>1423</v>
      </c>
      <c r="I335" s="999" t="s">
        <v>897</v>
      </c>
      <c r="J335" s="1001">
        <v>40728</v>
      </c>
      <c r="K335" s="1001">
        <v>45835</v>
      </c>
      <c r="L335" s="1000">
        <f t="shared" si="45"/>
        <v>167</v>
      </c>
      <c r="M335" s="1002">
        <f t="shared" si="46"/>
        <v>13.916666666666666</v>
      </c>
      <c r="N335" s="1000">
        <v>13</v>
      </c>
      <c r="O335" s="1000">
        <v>13</v>
      </c>
      <c r="P335" s="1000">
        <v>43</v>
      </c>
      <c r="Q335" s="999" t="s">
        <v>898</v>
      </c>
      <c r="R335" s="999" t="s">
        <v>899</v>
      </c>
      <c r="S335" s="999" t="s">
        <v>900</v>
      </c>
      <c r="T335" s="999" t="s">
        <v>1424</v>
      </c>
      <c r="U335" s="1000" t="s">
        <v>54</v>
      </c>
      <c r="V335" s="1000" t="s">
        <v>914</v>
      </c>
      <c r="W335" s="1003">
        <v>17844</v>
      </c>
      <c r="X335" s="1000" t="s">
        <v>930</v>
      </c>
      <c r="Y335" s="1000">
        <v>76</v>
      </c>
      <c r="Z335" s="1000" t="s">
        <v>904</v>
      </c>
      <c r="AA335" s="1000" t="s">
        <v>905</v>
      </c>
      <c r="AB335" s="1000" t="s">
        <v>925</v>
      </c>
      <c r="AC335" s="1000" t="s">
        <v>907</v>
      </c>
      <c r="AD335" s="1004">
        <v>10126.049999999999</v>
      </c>
      <c r="AE335" s="1004">
        <f t="shared" si="43"/>
        <v>140920.86249999999</v>
      </c>
      <c r="AF335" s="1004">
        <f t="shared" si="47"/>
        <v>140920.86249999999</v>
      </c>
      <c r="AG335" s="1005">
        <f t="shared" si="42"/>
        <v>13.916666666666666</v>
      </c>
      <c r="AH335" s="1005">
        <f t="shared" si="44"/>
        <v>12.665848391837175</v>
      </c>
    </row>
    <row r="336" spans="1:34" x14ac:dyDescent="0.25">
      <c r="A336" s="999">
        <v>40108</v>
      </c>
      <c r="B336" s="999" t="s">
        <v>1310</v>
      </c>
      <c r="C336" s="999" t="s">
        <v>1311</v>
      </c>
      <c r="D336" s="999" t="s">
        <v>894</v>
      </c>
      <c r="E336" s="999" t="s">
        <v>895</v>
      </c>
      <c r="F336" s="999">
        <v>1880233</v>
      </c>
      <c r="G336" s="1000">
        <v>3665348404</v>
      </c>
      <c r="H336" s="999" t="s">
        <v>1425</v>
      </c>
      <c r="I336" s="999" t="s">
        <v>897</v>
      </c>
      <c r="J336" s="1001">
        <v>40749</v>
      </c>
      <c r="K336" s="1001">
        <v>45835</v>
      </c>
      <c r="L336" s="1000">
        <f t="shared" si="45"/>
        <v>167</v>
      </c>
      <c r="M336" s="1002">
        <f t="shared" si="46"/>
        <v>13.916666666666666</v>
      </c>
      <c r="N336" s="1000">
        <v>13</v>
      </c>
      <c r="O336" s="1000">
        <v>13</v>
      </c>
      <c r="P336" s="1000">
        <v>43</v>
      </c>
      <c r="Q336" s="999" t="s">
        <v>898</v>
      </c>
      <c r="R336" s="999" t="s">
        <v>899</v>
      </c>
      <c r="S336" s="999" t="s">
        <v>900</v>
      </c>
      <c r="T336" s="999" t="s">
        <v>1213</v>
      </c>
      <c r="U336" s="1000" t="s">
        <v>55</v>
      </c>
      <c r="V336" s="1000" t="s">
        <v>914</v>
      </c>
      <c r="W336" s="1003">
        <v>17856</v>
      </c>
      <c r="X336" s="1000" t="s">
        <v>930</v>
      </c>
      <c r="Y336" s="1000">
        <v>76</v>
      </c>
      <c r="Z336" s="1000" t="s">
        <v>904</v>
      </c>
      <c r="AA336" s="1000" t="s">
        <v>905</v>
      </c>
      <c r="AB336" s="1000" t="s">
        <v>911</v>
      </c>
      <c r="AC336" s="1000" t="s">
        <v>907</v>
      </c>
      <c r="AD336" s="1004">
        <v>5333.97</v>
      </c>
      <c r="AE336" s="1004">
        <f t="shared" si="43"/>
        <v>74231.082500000004</v>
      </c>
      <c r="AF336" s="1004">
        <f t="shared" si="47"/>
        <v>74231.082500000004</v>
      </c>
      <c r="AG336" s="1005">
        <f t="shared" si="42"/>
        <v>13.916666666666666</v>
      </c>
      <c r="AH336" s="1005">
        <f t="shared" si="44"/>
        <v>11.719519116762473</v>
      </c>
    </row>
    <row r="337" spans="1:34" x14ac:dyDescent="0.25">
      <c r="A337" s="999">
        <v>40108</v>
      </c>
      <c r="B337" s="999" t="s">
        <v>1310</v>
      </c>
      <c r="C337" s="999" t="s">
        <v>1311</v>
      </c>
      <c r="D337" s="999" t="s">
        <v>894</v>
      </c>
      <c r="E337" s="999" t="s">
        <v>895</v>
      </c>
      <c r="F337" s="999">
        <v>839952</v>
      </c>
      <c r="G337" s="1000">
        <v>37197665787</v>
      </c>
      <c r="H337" s="999" t="s">
        <v>1426</v>
      </c>
      <c r="I337" s="999" t="s">
        <v>897</v>
      </c>
      <c r="J337" s="1001">
        <v>39989</v>
      </c>
      <c r="K337" s="1001">
        <v>45835</v>
      </c>
      <c r="L337" s="1000">
        <f t="shared" si="45"/>
        <v>192</v>
      </c>
      <c r="M337" s="1002">
        <f t="shared" si="46"/>
        <v>16</v>
      </c>
      <c r="N337" s="1000">
        <v>16</v>
      </c>
      <c r="O337" s="1000">
        <v>16</v>
      </c>
      <c r="P337" s="1000">
        <v>43</v>
      </c>
      <c r="Q337" s="999" t="s">
        <v>898</v>
      </c>
      <c r="R337" s="999" t="s">
        <v>899</v>
      </c>
      <c r="S337" s="999" t="s">
        <v>900</v>
      </c>
      <c r="T337" s="999" t="s">
        <v>1361</v>
      </c>
      <c r="U337" s="1000" t="s">
        <v>54</v>
      </c>
      <c r="V337" s="1000" t="s">
        <v>910</v>
      </c>
      <c r="W337" s="1003">
        <v>18349</v>
      </c>
      <c r="X337" s="1000" t="s">
        <v>903</v>
      </c>
      <c r="Y337" s="1000">
        <v>75</v>
      </c>
      <c r="Z337" s="1000" t="s">
        <v>904</v>
      </c>
      <c r="AA337" s="1000" t="s">
        <v>905</v>
      </c>
      <c r="AB337" s="1000" t="s">
        <v>925</v>
      </c>
      <c r="AC337" s="1000" t="s">
        <v>907</v>
      </c>
      <c r="AD337" s="1004">
        <v>11463.5</v>
      </c>
      <c r="AE337" s="1004">
        <f t="shared" si="43"/>
        <v>183416</v>
      </c>
      <c r="AF337" s="1004">
        <f t="shared" si="47"/>
        <v>183416</v>
      </c>
      <c r="AG337" s="1005">
        <f t="shared" si="42"/>
        <v>16</v>
      </c>
      <c r="AH337" s="1005">
        <f t="shared" si="44"/>
        <v>14.7162514542464</v>
      </c>
    </row>
    <row r="338" spans="1:34" x14ac:dyDescent="0.25">
      <c r="A338" s="999">
        <v>40108</v>
      </c>
      <c r="B338" s="999" t="s">
        <v>1310</v>
      </c>
      <c r="C338" s="999" t="s">
        <v>1311</v>
      </c>
      <c r="D338" s="999" t="s">
        <v>894</v>
      </c>
      <c r="E338" s="999" t="s">
        <v>895</v>
      </c>
      <c r="F338" s="999">
        <v>839723</v>
      </c>
      <c r="G338" s="1000">
        <v>20670338915</v>
      </c>
      <c r="H338" s="999" t="s">
        <v>1427</v>
      </c>
      <c r="I338" s="999" t="s">
        <v>897</v>
      </c>
      <c r="J338" s="1001">
        <v>39997</v>
      </c>
      <c r="K338" s="1001">
        <v>45835</v>
      </c>
      <c r="L338" s="1000">
        <f t="shared" si="45"/>
        <v>191</v>
      </c>
      <c r="M338" s="1002">
        <f t="shared" si="46"/>
        <v>15.916666666666666</v>
      </c>
      <c r="N338" s="1000">
        <v>15</v>
      </c>
      <c r="O338" s="1000">
        <v>15</v>
      </c>
      <c r="P338" s="1000">
        <v>43</v>
      </c>
      <c r="Q338" s="999" t="s">
        <v>898</v>
      </c>
      <c r="R338" s="999" t="s">
        <v>899</v>
      </c>
      <c r="S338" s="999" t="s">
        <v>900</v>
      </c>
      <c r="T338" s="999" t="s">
        <v>1361</v>
      </c>
      <c r="U338" s="1000" t="s">
        <v>54</v>
      </c>
      <c r="V338" s="1000" t="s">
        <v>910</v>
      </c>
      <c r="W338" s="1003">
        <v>18222</v>
      </c>
      <c r="X338" s="1000" t="s">
        <v>903</v>
      </c>
      <c r="Y338" s="1000">
        <v>75</v>
      </c>
      <c r="Z338" s="1000" t="s">
        <v>904</v>
      </c>
      <c r="AA338" s="1000" t="s">
        <v>905</v>
      </c>
      <c r="AB338" s="1000" t="s">
        <v>925</v>
      </c>
      <c r="AC338" s="1000" t="s">
        <v>907</v>
      </c>
      <c r="AD338" s="1004">
        <v>12034.29</v>
      </c>
      <c r="AE338" s="1004">
        <f t="shared" si="43"/>
        <v>191545.7825</v>
      </c>
      <c r="AF338" s="1004">
        <f t="shared" si="47"/>
        <v>191545.7825</v>
      </c>
      <c r="AG338" s="1005">
        <f t="shared" si="42"/>
        <v>15.916666666666666</v>
      </c>
      <c r="AH338" s="1005">
        <f t="shared" si="44"/>
        <v>14.695528678585484</v>
      </c>
    </row>
    <row r="339" spans="1:34" x14ac:dyDescent="0.25">
      <c r="A339" s="999">
        <v>40108</v>
      </c>
      <c r="B339" s="999" t="s">
        <v>1310</v>
      </c>
      <c r="C339" s="999" t="s">
        <v>1311</v>
      </c>
      <c r="D339" s="999" t="s">
        <v>894</v>
      </c>
      <c r="E339" s="999" t="s">
        <v>895</v>
      </c>
      <c r="F339" s="999">
        <v>1896202</v>
      </c>
      <c r="G339" s="1000">
        <v>8094810491</v>
      </c>
      <c r="H339" s="999" t="s">
        <v>1428</v>
      </c>
      <c r="I339" s="999" t="s">
        <v>897</v>
      </c>
      <c r="J339" s="1001">
        <v>40821</v>
      </c>
      <c r="K339" s="1001">
        <v>45835</v>
      </c>
      <c r="L339" s="1000">
        <f t="shared" si="45"/>
        <v>164</v>
      </c>
      <c r="M339" s="1002">
        <f t="shared" si="46"/>
        <v>13.666666666666666</v>
      </c>
      <c r="N339" s="1000">
        <v>13</v>
      </c>
      <c r="O339" s="1000">
        <v>13</v>
      </c>
      <c r="P339" s="1000">
        <v>43</v>
      </c>
      <c r="Q339" s="999" t="s">
        <v>898</v>
      </c>
      <c r="R339" s="999" t="s">
        <v>899</v>
      </c>
      <c r="S339" s="999" t="s">
        <v>900</v>
      </c>
      <c r="T339" s="999" t="s">
        <v>1389</v>
      </c>
      <c r="U339" s="1000"/>
      <c r="V339" s="1000" t="s">
        <v>914</v>
      </c>
      <c r="W339" s="1003">
        <v>17644</v>
      </c>
      <c r="X339" s="1000" t="s">
        <v>930</v>
      </c>
      <c r="Y339" s="1000">
        <v>76</v>
      </c>
      <c r="Z339" s="1000" t="s">
        <v>904</v>
      </c>
      <c r="AA339" s="1000" t="s">
        <v>905</v>
      </c>
      <c r="AB339" s="1000" t="s">
        <v>938</v>
      </c>
      <c r="AC339" s="1000" t="s">
        <v>907</v>
      </c>
      <c r="AD339" s="1004">
        <v>3813.57</v>
      </c>
      <c r="AE339" s="1004">
        <f t="shared" si="43"/>
        <v>52118.79</v>
      </c>
      <c r="AF339" s="1004">
        <f t="shared" si="47"/>
        <v>52118.79</v>
      </c>
      <c r="AG339" s="1005">
        <f t="shared" si="42"/>
        <v>13.666666666666666</v>
      </c>
      <c r="AH339" s="1005">
        <f t="shared" si="44"/>
        <v>10.827471086947941</v>
      </c>
    </row>
    <row r="340" spans="1:34" x14ac:dyDescent="0.25">
      <c r="A340" s="999">
        <v>40108</v>
      </c>
      <c r="B340" s="999" t="s">
        <v>1310</v>
      </c>
      <c r="C340" s="999" t="s">
        <v>1311</v>
      </c>
      <c r="D340" s="999" t="s">
        <v>894</v>
      </c>
      <c r="E340" s="999" t="s">
        <v>895</v>
      </c>
      <c r="F340" s="999">
        <v>1883935</v>
      </c>
      <c r="G340" s="1000">
        <v>53969464749</v>
      </c>
      <c r="H340" s="999" t="s">
        <v>1429</v>
      </c>
      <c r="I340" s="999" t="s">
        <v>897</v>
      </c>
      <c r="J340" s="1001">
        <v>40763</v>
      </c>
      <c r="K340" s="1001">
        <v>45835</v>
      </c>
      <c r="L340" s="1000">
        <f t="shared" si="45"/>
        <v>166</v>
      </c>
      <c r="M340" s="1002">
        <f t="shared" si="46"/>
        <v>13.833333333333334</v>
      </c>
      <c r="N340" s="1000">
        <v>13</v>
      </c>
      <c r="O340" s="1000">
        <v>13</v>
      </c>
      <c r="P340" s="1000">
        <v>43</v>
      </c>
      <c r="Q340" s="999" t="s">
        <v>898</v>
      </c>
      <c r="R340" s="999" t="s">
        <v>899</v>
      </c>
      <c r="S340" s="999" t="s">
        <v>900</v>
      </c>
      <c r="T340" s="999" t="s">
        <v>1297</v>
      </c>
      <c r="U340" s="1000"/>
      <c r="V340" s="1000" t="s">
        <v>914</v>
      </c>
      <c r="W340" s="1003">
        <v>16349</v>
      </c>
      <c r="X340" s="1000" t="s">
        <v>930</v>
      </c>
      <c r="Y340" s="1000">
        <v>80</v>
      </c>
      <c r="Z340" s="1000" t="s">
        <v>904</v>
      </c>
      <c r="AA340" s="1000" t="s">
        <v>905</v>
      </c>
      <c r="AB340" s="1000" t="s">
        <v>938</v>
      </c>
      <c r="AC340" s="1000" t="s">
        <v>907</v>
      </c>
      <c r="AD340" s="1004">
        <v>3813.57</v>
      </c>
      <c r="AE340" s="1004">
        <f t="shared" si="43"/>
        <v>52754.385000000002</v>
      </c>
      <c r="AF340" s="1004">
        <f t="shared" si="47"/>
        <v>52754.385000000002</v>
      </c>
      <c r="AG340" s="1005">
        <f t="shared" si="42"/>
        <v>13.833333333333334</v>
      </c>
      <c r="AH340" s="1005">
        <f t="shared" si="44"/>
        <v>10.959513417276575</v>
      </c>
    </row>
    <row r="341" spans="1:34" x14ac:dyDescent="0.25">
      <c r="A341" s="999">
        <v>40108</v>
      </c>
      <c r="B341" s="999" t="s">
        <v>1310</v>
      </c>
      <c r="C341" s="999" t="s">
        <v>1311</v>
      </c>
      <c r="D341" s="999" t="s">
        <v>894</v>
      </c>
      <c r="E341" s="999" t="s">
        <v>895</v>
      </c>
      <c r="F341" s="999">
        <v>1949796</v>
      </c>
      <c r="G341" s="1000">
        <v>80707319749</v>
      </c>
      <c r="H341" s="999" t="s">
        <v>1430</v>
      </c>
      <c r="I341" s="999" t="s">
        <v>897</v>
      </c>
      <c r="J341" s="1001">
        <v>41066</v>
      </c>
      <c r="K341" s="1001">
        <v>45835</v>
      </c>
      <c r="L341" s="1000">
        <f t="shared" si="45"/>
        <v>156</v>
      </c>
      <c r="M341" s="1002">
        <f t="shared" si="46"/>
        <v>13</v>
      </c>
      <c r="N341" s="1000">
        <v>13</v>
      </c>
      <c r="O341" s="1000">
        <v>13</v>
      </c>
      <c r="P341" s="1000">
        <v>43</v>
      </c>
      <c r="Q341" s="999" t="s">
        <v>898</v>
      </c>
      <c r="R341" s="999" t="s">
        <v>899</v>
      </c>
      <c r="S341" s="999" t="s">
        <v>900</v>
      </c>
      <c r="T341" s="999" t="s">
        <v>1431</v>
      </c>
      <c r="U341" s="1000" t="s">
        <v>54</v>
      </c>
      <c r="V341" s="1000" t="s">
        <v>914</v>
      </c>
      <c r="W341" s="1003">
        <v>17491</v>
      </c>
      <c r="X341" s="1000" t="s">
        <v>930</v>
      </c>
      <c r="Y341" s="1000">
        <v>77</v>
      </c>
      <c r="Z341" s="1000" t="s">
        <v>904</v>
      </c>
      <c r="AA341" s="1000" t="s">
        <v>905</v>
      </c>
      <c r="AB341" s="1000" t="s">
        <v>925</v>
      </c>
      <c r="AC341" s="1000" t="s">
        <v>907</v>
      </c>
      <c r="AD341" s="1004">
        <v>10126.049999999999</v>
      </c>
      <c r="AE341" s="1004">
        <f t="shared" si="43"/>
        <v>131638.65</v>
      </c>
      <c r="AF341" s="1004">
        <f t="shared" si="47"/>
        <v>131638.65</v>
      </c>
      <c r="AG341" s="1005">
        <f t="shared" si="42"/>
        <v>13</v>
      </c>
      <c r="AH341" s="1005">
        <f t="shared" si="44"/>
        <v>11.831570952853887</v>
      </c>
    </row>
    <row r="342" spans="1:34" x14ac:dyDescent="0.25">
      <c r="A342" s="999">
        <v>40108</v>
      </c>
      <c r="B342" s="999" t="s">
        <v>1310</v>
      </c>
      <c r="C342" s="999" t="s">
        <v>1311</v>
      </c>
      <c r="D342" s="999" t="s">
        <v>894</v>
      </c>
      <c r="E342" s="999" t="s">
        <v>895</v>
      </c>
      <c r="F342" s="999">
        <v>1876723</v>
      </c>
      <c r="G342" s="1000">
        <v>44846096734</v>
      </c>
      <c r="H342" s="999" t="s">
        <v>1432</v>
      </c>
      <c r="I342" s="999" t="s">
        <v>897</v>
      </c>
      <c r="J342" s="1001">
        <v>40728</v>
      </c>
      <c r="K342" s="1001">
        <v>45835</v>
      </c>
      <c r="L342" s="1000">
        <f t="shared" si="45"/>
        <v>167</v>
      </c>
      <c r="M342" s="1002">
        <f t="shared" si="46"/>
        <v>13.916666666666666</v>
      </c>
      <c r="N342" s="1000">
        <v>13</v>
      </c>
      <c r="O342" s="1000">
        <v>13</v>
      </c>
      <c r="P342" s="1000">
        <v>43</v>
      </c>
      <c r="Q342" s="999" t="s">
        <v>898</v>
      </c>
      <c r="R342" s="999" t="s">
        <v>899</v>
      </c>
      <c r="S342" s="999" t="s">
        <v>900</v>
      </c>
      <c r="T342" s="999" t="s">
        <v>1392</v>
      </c>
      <c r="U342" s="1000"/>
      <c r="V342" s="1000" t="s">
        <v>914</v>
      </c>
      <c r="W342" s="1003">
        <v>15270</v>
      </c>
      <c r="X342" s="1000" t="s">
        <v>903</v>
      </c>
      <c r="Y342" s="1000">
        <v>83</v>
      </c>
      <c r="Z342" s="1000" t="s">
        <v>904</v>
      </c>
      <c r="AA342" s="1000" t="s">
        <v>905</v>
      </c>
      <c r="AB342" s="1000" t="s">
        <v>938</v>
      </c>
      <c r="AC342" s="1000" t="s">
        <v>907</v>
      </c>
      <c r="AD342" s="1004">
        <v>3813.57</v>
      </c>
      <c r="AE342" s="1004">
        <f t="shared" si="43"/>
        <v>53072.182500000003</v>
      </c>
      <c r="AF342" s="1004">
        <f t="shared" si="47"/>
        <v>53072.182500000003</v>
      </c>
      <c r="AG342" s="1005">
        <f t="shared" si="42"/>
        <v>13.916666666666666</v>
      </c>
      <c r="AH342" s="1005">
        <f t="shared" si="44"/>
        <v>11.025534582440892</v>
      </c>
    </row>
    <row r="343" spans="1:34" x14ac:dyDescent="0.25">
      <c r="A343" s="999">
        <v>40108</v>
      </c>
      <c r="B343" s="999" t="s">
        <v>1310</v>
      </c>
      <c r="C343" s="999" t="s">
        <v>1311</v>
      </c>
      <c r="D343" s="999" t="s">
        <v>894</v>
      </c>
      <c r="E343" s="999" t="s">
        <v>895</v>
      </c>
      <c r="F343" s="999">
        <v>1906644</v>
      </c>
      <c r="G343" s="1000">
        <v>5448239404</v>
      </c>
      <c r="H343" s="999" t="s">
        <v>1433</v>
      </c>
      <c r="I343" s="999" t="s">
        <v>897</v>
      </c>
      <c r="J343" s="1001">
        <v>40910</v>
      </c>
      <c r="K343" s="1001">
        <v>45835</v>
      </c>
      <c r="L343" s="1000">
        <f t="shared" si="45"/>
        <v>161</v>
      </c>
      <c r="M343" s="1002">
        <f t="shared" si="46"/>
        <v>13.416666666666666</v>
      </c>
      <c r="N343" s="1000">
        <v>13</v>
      </c>
      <c r="O343" s="1000">
        <v>13</v>
      </c>
      <c r="P343" s="1000">
        <v>43</v>
      </c>
      <c r="Q343" s="999" t="s">
        <v>898</v>
      </c>
      <c r="R343" s="999" t="s">
        <v>899</v>
      </c>
      <c r="S343" s="999" t="s">
        <v>900</v>
      </c>
      <c r="T343" s="999" t="s">
        <v>1050</v>
      </c>
      <c r="U343" s="1000" t="s">
        <v>55</v>
      </c>
      <c r="V343" s="1000" t="s">
        <v>914</v>
      </c>
      <c r="W343" s="1003">
        <v>16170</v>
      </c>
      <c r="X343" s="1000" t="s">
        <v>903</v>
      </c>
      <c r="Y343" s="1000">
        <v>81</v>
      </c>
      <c r="Z343" s="1000" t="s">
        <v>904</v>
      </c>
      <c r="AA343" s="1000" t="s">
        <v>1291</v>
      </c>
      <c r="AB343" s="1000" t="s">
        <v>911</v>
      </c>
      <c r="AC343" s="1000" t="s">
        <v>907</v>
      </c>
      <c r="AD343" s="1004">
        <v>5333.97</v>
      </c>
      <c r="AE343" s="1004">
        <f t="shared" si="43"/>
        <v>71564.097500000003</v>
      </c>
      <c r="AF343" s="1004">
        <f t="shared" si="47"/>
        <v>71564.097500000003</v>
      </c>
      <c r="AG343" s="1005">
        <f t="shared" si="42"/>
        <v>13.416666666666666</v>
      </c>
      <c r="AH343" s="1005">
        <f t="shared" si="44"/>
        <v>11.298458549693162</v>
      </c>
    </row>
    <row r="344" spans="1:34" x14ac:dyDescent="0.25">
      <c r="A344" s="999">
        <v>40108</v>
      </c>
      <c r="B344" s="999" t="s">
        <v>1310</v>
      </c>
      <c r="C344" s="999" t="s">
        <v>1311</v>
      </c>
      <c r="D344" s="999" t="s">
        <v>894</v>
      </c>
      <c r="E344" s="999" t="s">
        <v>895</v>
      </c>
      <c r="F344" s="999">
        <v>1946214</v>
      </c>
      <c r="G344" s="1000">
        <v>6624146400</v>
      </c>
      <c r="H344" s="999" t="s">
        <v>1434</v>
      </c>
      <c r="I344" s="999" t="s">
        <v>897</v>
      </c>
      <c r="J344" s="1001">
        <v>41061</v>
      </c>
      <c r="K344" s="1001">
        <v>45835</v>
      </c>
      <c r="L344" s="1000">
        <f t="shared" si="45"/>
        <v>156</v>
      </c>
      <c r="M344" s="1002">
        <f t="shared" si="46"/>
        <v>13</v>
      </c>
      <c r="N344" s="1000">
        <v>13</v>
      </c>
      <c r="O344" s="1000">
        <v>13</v>
      </c>
      <c r="P344" s="1000">
        <v>43</v>
      </c>
      <c r="Q344" s="999" t="s">
        <v>898</v>
      </c>
      <c r="R344" s="999" t="s">
        <v>899</v>
      </c>
      <c r="S344" s="999" t="s">
        <v>900</v>
      </c>
      <c r="T344" s="999" t="s">
        <v>1050</v>
      </c>
      <c r="U344" s="1000" t="s">
        <v>55</v>
      </c>
      <c r="V344" s="1000" t="s">
        <v>914</v>
      </c>
      <c r="W344" s="1003">
        <v>17822</v>
      </c>
      <c r="X344" s="1000" t="s">
        <v>930</v>
      </c>
      <c r="Y344" s="1000">
        <v>76</v>
      </c>
      <c r="Z344" s="1000" t="s">
        <v>904</v>
      </c>
      <c r="AA344" s="1000" t="s">
        <v>905</v>
      </c>
      <c r="AB344" s="1000" t="s">
        <v>911</v>
      </c>
      <c r="AC344" s="1000" t="s">
        <v>907</v>
      </c>
      <c r="AD344" s="1004">
        <v>5333.97</v>
      </c>
      <c r="AE344" s="1004">
        <f t="shared" si="43"/>
        <v>69341.61</v>
      </c>
      <c r="AF344" s="1004">
        <f t="shared" si="47"/>
        <v>69341.61</v>
      </c>
      <c r="AG344" s="1005">
        <f t="shared" si="42"/>
        <v>13</v>
      </c>
      <c r="AH344" s="1005">
        <f t="shared" si="44"/>
        <v>10.94757474380207</v>
      </c>
    </row>
    <row r="345" spans="1:34" x14ac:dyDescent="0.25">
      <c r="A345" s="999">
        <v>40108</v>
      </c>
      <c r="B345" s="999" t="s">
        <v>1310</v>
      </c>
      <c r="C345" s="999" t="s">
        <v>1311</v>
      </c>
      <c r="D345" s="999" t="s">
        <v>894</v>
      </c>
      <c r="E345" s="999" t="s">
        <v>895</v>
      </c>
      <c r="F345" s="999">
        <v>1880413</v>
      </c>
      <c r="G345" s="1000">
        <v>12661619453</v>
      </c>
      <c r="H345" s="999" t="s">
        <v>1435</v>
      </c>
      <c r="I345" s="999" t="s">
        <v>897</v>
      </c>
      <c r="J345" s="1001">
        <v>40749</v>
      </c>
      <c r="K345" s="1001">
        <v>45835</v>
      </c>
      <c r="L345" s="1000">
        <f t="shared" si="45"/>
        <v>167</v>
      </c>
      <c r="M345" s="1002">
        <f t="shared" si="46"/>
        <v>13.916666666666666</v>
      </c>
      <c r="N345" s="1000">
        <v>13</v>
      </c>
      <c r="O345" s="1000">
        <v>13</v>
      </c>
      <c r="P345" s="1000">
        <v>43</v>
      </c>
      <c r="Q345" s="999" t="s">
        <v>898</v>
      </c>
      <c r="R345" s="999" t="s">
        <v>899</v>
      </c>
      <c r="S345" s="999" t="s">
        <v>900</v>
      </c>
      <c r="T345" s="999" t="s">
        <v>924</v>
      </c>
      <c r="U345" s="1000" t="s">
        <v>55</v>
      </c>
      <c r="V345" s="1000" t="s">
        <v>914</v>
      </c>
      <c r="W345" s="1003">
        <v>14998</v>
      </c>
      <c r="X345" s="1000" t="s">
        <v>930</v>
      </c>
      <c r="Y345" s="1000">
        <v>84</v>
      </c>
      <c r="Z345" s="1000" t="s">
        <v>904</v>
      </c>
      <c r="AA345" s="1000" t="s">
        <v>905</v>
      </c>
      <c r="AB345" s="1000" t="s">
        <v>911</v>
      </c>
      <c r="AC345" s="1000" t="s">
        <v>907</v>
      </c>
      <c r="AD345" s="1004">
        <v>5333.97</v>
      </c>
      <c r="AE345" s="1004">
        <f t="shared" si="43"/>
        <v>74231.082500000004</v>
      </c>
      <c r="AF345" s="1004">
        <f t="shared" si="47"/>
        <v>74231.082500000004</v>
      </c>
      <c r="AG345" s="1005">
        <f t="shared" si="42"/>
        <v>13.916666666666666</v>
      </c>
      <c r="AH345" s="1005">
        <f t="shared" si="44"/>
        <v>11.719519116762473</v>
      </c>
    </row>
    <row r="346" spans="1:34" x14ac:dyDescent="0.25">
      <c r="A346" s="999">
        <v>40108</v>
      </c>
      <c r="B346" s="999" t="s">
        <v>1310</v>
      </c>
      <c r="C346" s="999" t="s">
        <v>1311</v>
      </c>
      <c r="D346" s="999" t="s">
        <v>894</v>
      </c>
      <c r="E346" s="999" t="s">
        <v>895</v>
      </c>
      <c r="F346" s="999">
        <v>1759516</v>
      </c>
      <c r="G346" s="1000">
        <v>18630693134</v>
      </c>
      <c r="H346" s="999" t="s">
        <v>1436</v>
      </c>
      <c r="I346" s="999" t="s">
        <v>1374</v>
      </c>
      <c r="J346" s="1001">
        <v>40210</v>
      </c>
      <c r="K346" s="1001">
        <v>45835</v>
      </c>
      <c r="L346" s="1000">
        <f t="shared" si="45"/>
        <v>184</v>
      </c>
      <c r="M346" s="1002">
        <f t="shared" si="46"/>
        <v>15.333333333333334</v>
      </c>
      <c r="N346" s="1000">
        <v>15</v>
      </c>
      <c r="O346" s="1000">
        <v>15</v>
      </c>
      <c r="P346" s="1000">
        <v>43</v>
      </c>
      <c r="Q346" s="999" t="s">
        <v>898</v>
      </c>
      <c r="R346" s="999" t="s">
        <v>899</v>
      </c>
      <c r="S346" s="999" t="s">
        <v>900</v>
      </c>
      <c r="T346" s="999" t="s">
        <v>1437</v>
      </c>
      <c r="U346" s="1000" t="s">
        <v>55</v>
      </c>
      <c r="V346" s="1000" t="s">
        <v>921</v>
      </c>
      <c r="W346" s="1003">
        <v>17185</v>
      </c>
      <c r="X346" s="1000" t="s">
        <v>930</v>
      </c>
      <c r="Y346" s="1000">
        <v>78</v>
      </c>
      <c r="Z346" s="1000" t="s">
        <v>904</v>
      </c>
      <c r="AA346" s="1000" t="s">
        <v>905</v>
      </c>
      <c r="AB346" s="1000" t="s">
        <v>911</v>
      </c>
      <c r="AC346" s="1000" t="s">
        <v>907</v>
      </c>
      <c r="AD346" s="1004">
        <v>5333.97</v>
      </c>
      <c r="AE346" s="1004">
        <f t="shared" si="43"/>
        <v>81787.540000000008</v>
      </c>
      <c r="AF346" s="1004">
        <f t="shared" si="47"/>
        <v>81787.540000000008</v>
      </c>
      <c r="AG346" s="1005">
        <f t="shared" si="42"/>
        <v>15.333333333333334</v>
      </c>
      <c r="AH346" s="1005">
        <f t="shared" si="44"/>
        <v>12.912524056792186</v>
      </c>
    </row>
    <row r="347" spans="1:34" x14ac:dyDescent="0.25">
      <c r="A347" s="999">
        <v>40108</v>
      </c>
      <c r="B347" s="999" t="s">
        <v>1310</v>
      </c>
      <c r="C347" s="999" t="s">
        <v>1311</v>
      </c>
      <c r="D347" s="999" t="s">
        <v>894</v>
      </c>
      <c r="E347" s="999" t="s">
        <v>895</v>
      </c>
      <c r="F347" s="999">
        <v>1068828</v>
      </c>
      <c r="G347" s="1000">
        <v>22119108668</v>
      </c>
      <c r="H347" s="999" t="s">
        <v>1438</v>
      </c>
      <c r="I347" s="999" t="s">
        <v>897</v>
      </c>
      <c r="J347" s="1001">
        <v>41586</v>
      </c>
      <c r="K347" s="1001">
        <v>45835</v>
      </c>
      <c r="L347" s="1000">
        <f t="shared" si="45"/>
        <v>139</v>
      </c>
      <c r="M347" s="1002">
        <f t="shared" si="46"/>
        <v>11.583333333333334</v>
      </c>
      <c r="N347" s="1000">
        <v>11</v>
      </c>
      <c r="O347" s="1000">
        <v>11</v>
      </c>
      <c r="P347" s="1000">
        <v>43</v>
      </c>
      <c r="Q347" s="999" t="s">
        <v>898</v>
      </c>
      <c r="R347" s="999" t="s">
        <v>899</v>
      </c>
      <c r="S347" s="999" t="s">
        <v>900</v>
      </c>
      <c r="T347" s="999" t="s">
        <v>1319</v>
      </c>
      <c r="U347" s="1000"/>
      <c r="V347" s="1000" t="s">
        <v>914</v>
      </c>
      <c r="W347" s="1003">
        <v>17800</v>
      </c>
      <c r="X347" s="1000" t="s">
        <v>903</v>
      </c>
      <c r="Y347" s="1000">
        <v>76</v>
      </c>
      <c r="Z347" s="1000" t="s">
        <v>904</v>
      </c>
      <c r="AA347" s="1000" t="s">
        <v>905</v>
      </c>
      <c r="AB347" s="1000" t="s">
        <v>938</v>
      </c>
      <c r="AC347" s="1000" t="s">
        <v>907</v>
      </c>
      <c r="AD347" s="1004">
        <v>3813.57</v>
      </c>
      <c r="AE347" s="1004">
        <f t="shared" si="43"/>
        <v>44173.852500000001</v>
      </c>
      <c r="AF347" s="1004">
        <f t="shared" si="47"/>
        <v>44173.852500000001</v>
      </c>
      <c r="AG347" s="1005">
        <f t="shared" si="42"/>
        <v>11.583333333333334</v>
      </c>
      <c r="AH347" s="1005">
        <f t="shared" si="44"/>
        <v>9.1769419578400235</v>
      </c>
    </row>
    <row r="348" spans="1:34" x14ac:dyDescent="0.25">
      <c r="A348" s="999">
        <v>40108</v>
      </c>
      <c r="B348" s="999" t="s">
        <v>1310</v>
      </c>
      <c r="C348" s="999" t="s">
        <v>1311</v>
      </c>
      <c r="D348" s="999" t="s">
        <v>894</v>
      </c>
      <c r="E348" s="999" t="s">
        <v>895</v>
      </c>
      <c r="F348" s="999">
        <v>1876978</v>
      </c>
      <c r="G348" s="1000">
        <v>31710794704</v>
      </c>
      <c r="H348" s="999" t="s">
        <v>1439</v>
      </c>
      <c r="I348" s="999" t="s">
        <v>897</v>
      </c>
      <c r="J348" s="1001">
        <v>40728</v>
      </c>
      <c r="K348" s="1001">
        <v>45835</v>
      </c>
      <c r="L348" s="1000">
        <f t="shared" si="45"/>
        <v>167</v>
      </c>
      <c r="M348" s="1002">
        <f t="shared" si="46"/>
        <v>13.916666666666666</v>
      </c>
      <c r="N348" s="1000">
        <v>13</v>
      </c>
      <c r="O348" s="1000">
        <v>13</v>
      </c>
      <c r="P348" s="1000">
        <v>43</v>
      </c>
      <c r="Q348" s="999" t="s">
        <v>898</v>
      </c>
      <c r="R348" s="999" t="s">
        <v>899</v>
      </c>
      <c r="S348" s="999" t="s">
        <v>900</v>
      </c>
      <c r="T348" s="999" t="s">
        <v>1387</v>
      </c>
      <c r="U348" s="1000" t="s">
        <v>55</v>
      </c>
      <c r="V348" s="1000" t="s">
        <v>914</v>
      </c>
      <c r="W348" s="1003">
        <v>18262</v>
      </c>
      <c r="X348" s="1000" t="s">
        <v>903</v>
      </c>
      <c r="Y348" s="1000">
        <v>75</v>
      </c>
      <c r="Z348" s="1000" t="s">
        <v>904</v>
      </c>
      <c r="AA348" s="1000" t="s">
        <v>905</v>
      </c>
      <c r="AB348" s="1000" t="s">
        <v>911</v>
      </c>
      <c r="AC348" s="1000" t="s">
        <v>907</v>
      </c>
      <c r="AD348" s="1004">
        <v>7028.36</v>
      </c>
      <c r="AE348" s="1004">
        <f t="shared" si="43"/>
        <v>97811.343333333323</v>
      </c>
      <c r="AF348" s="1004">
        <f t="shared" si="47"/>
        <v>97811.343333333323</v>
      </c>
      <c r="AG348" s="1005">
        <f t="shared" si="42"/>
        <v>13.916666666666666</v>
      </c>
      <c r="AH348" s="1005">
        <f t="shared" si="44"/>
        <v>12.183228372087616</v>
      </c>
    </row>
    <row r="349" spans="1:34" x14ac:dyDescent="0.25">
      <c r="A349" s="999">
        <v>40108</v>
      </c>
      <c r="B349" s="999" t="s">
        <v>1310</v>
      </c>
      <c r="C349" s="999" t="s">
        <v>1311</v>
      </c>
      <c r="D349" s="999" t="s">
        <v>894</v>
      </c>
      <c r="E349" s="999" t="s">
        <v>895</v>
      </c>
      <c r="F349" s="999">
        <v>1888958</v>
      </c>
      <c r="G349" s="1000">
        <v>53361105749</v>
      </c>
      <c r="H349" s="999" t="s">
        <v>1440</v>
      </c>
      <c r="I349" s="999" t="s">
        <v>897</v>
      </c>
      <c r="J349" s="1001">
        <v>40770</v>
      </c>
      <c r="K349" s="1001">
        <v>45835</v>
      </c>
      <c r="L349" s="1000">
        <f t="shared" si="45"/>
        <v>166</v>
      </c>
      <c r="M349" s="1002">
        <f t="shared" si="46"/>
        <v>13.833333333333334</v>
      </c>
      <c r="N349" s="1000">
        <v>13</v>
      </c>
      <c r="O349" s="1000">
        <v>13</v>
      </c>
      <c r="P349" s="1000">
        <v>43</v>
      </c>
      <c r="Q349" s="999" t="s">
        <v>898</v>
      </c>
      <c r="R349" s="999" t="s">
        <v>899</v>
      </c>
      <c r="S349" s="999" t="s">
        <v>900</v>
      </c>
      <c r="T349" s="999" t="s">
        <v>1441</v>
      </c>
      <c r="U349" s="1000" t="s">
        <v>54</v>
      </c>
      <c r="V349" s="1000" t="s">
        <v>914</v>
      </c>
      <c r="W349" s="1003">
        <v>14195</v>
      </c>
      <c r="X349" s="1000" t="s">
        <v>930</v>
      </c>
      <c r="Y349" s="1000">
        <v>86</v>
      </c>
      <c r="Z349" s="1000" t="s">
        <v>904</v>
      </c>
      <c r="AA349" s="1000" t="s">
        <v>905</v>
      </c>
      <c r="AB349" s="1000" t="s">
        <v>925</v>
      </c>
      <c r="AC349" s="1000" t="s">
        <v>907</v>
      </c>
      <c r="AD349" s="1004">
        <v>10126.049999999999</v>
      </c>
      <c r="AE349" s="1004">
        <f t="shared" si="43"/>
        <v>140077.02499999999</v>
      </c>
      <c r="AF349" s="1004">
        <f t="shared" si="47"/>
        <v>140077.02499999999</v>
      </c>
      <c r="AG349" s="1005">
        <f t="shared" si="42"/>
        <v>13.833333333333334</v>
      </c>
      <c r="AH349" s="1005">
        <f t="shared" si="44"/>
        <v>12.59000498829324</v>
      </c>
    </row>
    <row r="350" spans="1:34" x14ac:dyDescent="0.25">
      <c r="A350" s="999">
        <v>40108</v>
      </c>
      <c r="B350" s="999" t="s">
        <v>1310</v>
      </c>
      <c r="C350" s="999" t="s">
        <v>1311</v>
      </c>
      <c r="D350" s="999" t="s">
        <v>894</v>
      </c>
      <c r="E350" s="999" t="s">
        <v>895</v>
      </c>
      <c r="F350" s="999">
        <v>1905854</v>
      </c>
      <c r="G350" s="1000">
        <v>33088403753</v>
      </c>
      <c r="H350" s="999" t="s">
        <v>1442</v>
      </c>
      <c r="I350" s="999" t="s">
        <v>897</v>
      </c>
      <c r="J350" s="1001">
        <v>40910</v>
      </c>
      <c r="K350" s="1001">
        <v>45835</v>
      </c>
      <c r="L350" s="1000">
        <f t="shared" si="45"/>
        <v>161</v>
      </c>
      <c r="M350" s="1002">
        <f t="shared" si="46"/>
        <v>13.416666666666666</v>
      </c>
      <c r="N350" s="1000">
        <v>13</v>
      </c>
      <c r="O350" s="1000">
        <v>13</v>
      </c>
      <c r="P350" s="1000">
        <v>43</v>
      </c>
      <c r="Q350" s="999" t="s">
        <v>898</v>
      </c>
      <c r="R350" s="999" t="s">
        <v>899</v>
      </c>
      <c r="S350" s="999" t="s">
        <v>900</v>
      </c>
      <c r="T350" s="999" t="s">
        <v>1363</v>
      </c>
      <c r="U350" s="1000"/>
      <c r="V350" s="1000" t="s">
        <v>914</v>
      </c>
      <c r="W350" s="1003">
        <v>15536</v>
      </c>
      <c r="X350" s="1000" t="s">
        <v>903</v>
      </c>
      <c r="Y350" s="1000">
        <v>82</v>
      </c>
      <c r="Z350" s="1000" t="s">
        <v>904</v>
      </c>
      <c r="AA350" s="1000" t="s">
        <v>905</v>
      </c>
      <c r="AB350" s="1000" t="s">
        <v>938</v>
      </c>
      <c r="AC350" s="1000" t="s">
        <v>907</v>
      </c>
      <c r="AD350" s="1004">
        <v>3813.57</v>
      </c>
      <c r="AE350" s="1004">
        <f t="shared" si="43"/>
        <v>51165.397499999999</v>
      </c>
      <c r="AF350" s="1004">
        <f t="shared" si="47"/>
        <v>51165.397499999999</v>
      </c>
      <c r="AG350" s="1005">
        <f t="shared" si="42"/>
        <v>13.416666666666666</v>
      </c>
      <c r="AH350" s="1005">
        <f t="shared" si="44"/>
        <v>10.62940759145499</v>
      </c>
    </row>
    <row r="351" spans="1:34" x14ac:dyDescent="0.25">
      <c r="A351" s="999">
        <v>13300</v>
      </c>
      <c r="B351" s="999" t="s">
        <v>1214</v>
      </c>
      <c r="C351" s="999" t="s">
        <v>421</v>
      </c>
      <c r="D351" s="999" t="s">
        <v>894</v>
      </c>
      <c r="E351" s="999" t="s">
        <v>895</v>
      </c>
      <c r="F351" s="999">
        <v>1671181</v>
      </c>
      <c r="G351" s="1000">
        <v>38679612120</v>
      </c>
      <c r="H351" s="999" t="s">
        <v>1443</v>
      </c>
      <c r="I351" s="999" t="s">
        <v>1444</v>
      </c>
      <c r="J351" s="1001">
        <v>45231</v>
      </c>
      <c r="K351" s="1001">
        <v>45835</v>
      </c>
      <c r="L351" s="1000">
        <f t="shared" si="45"/>
        <v>19</v>
      </c>
      <c r="M351" s="1002">
        <f t="shared" si="46"/>
        <v>1.5833333333333333</v>
      </c>
      <c r="N351" s="1000">
        <v>1</v>
      </c>
      <c r="O351" s="1000">
        <v>10</v>
      </c>
      <c r="P351" s="1000">
        <v>8</v>
      </c>
      <c r="Q351" s="999" t="s">
        <v>1445</v>
      </c>
      <c r="R351" s="999" t="s">
        <v>899</v>
      </c>
      <c r="S351" s="999" t="s">
        <v>900</v>
      </c>
      <c r="T351" s="999" t="s">
        <v>924</v>
      </c>
      <c r="U351" s="1000" t="s">
        <v>55</v>
      </c>
      <c r="V351" s="1000" t="s">
        <v>902</v>
      </c>
      <c r="W351" s="1003">
        <v>17342</v>
      </c>
      <c r="X351" s="1000" t="s">
        <v>930</v>
      </c>
      <c r="Y351" s="1000">
        <v>77</v>
      </c>
      <c r="Z351" s="1000" t="s">
        <v>904</v>
      </c>
      <c r="AA351" s="1000" t="s">
        <v>905</v>
      </c>
      <c r="AB351" s="1000" t="s">
        <v>906</v>
      </c>
      <c r="AC351" s="1000" t="s">
        <v>907</v>
      </c>
      <c r="AD351" s="1004">
        <v>4077.36</v>
      </c>
      <c r="AE351" s="1004">
        <f t="shared" si="43"/>
        <v>6455.82</v>
      </c>
      <c r="AF351" s="1004">
        <f t="shared" si="47"/>
        <v>6455.82</v>
      </c>
      <c r="AG351" s="1005">
        <f t="shared" si="42"/>
        <v>1.5833333333333333</v>
      </c>
      <c r="AH351" s="1005">
        <f t="shared" si="44"/>
        <v>1.2714914837632154</v>
      </c>
    </row>
    <row r="352" spans="1:34" x14ac:dyDescent="0.25">
      <c r="A352" s="999">
        <v>13300</v>
      </c>
      <c r="B352" s="999" t="s">
        <v>1214</v>
      </c>
      <c r="C352" s="999" t="s">
        <v>421</v>
      </c>
      <c r="D352" s="999" t="s">
        <v>894</v>
      </c>
      <c r="E352" s="999" t="s">
        <v>895</v>
      </c>
      <c r="F352" s="999">
        <v>1671158</v>
      </c>
      <c r="G352" s="1000">
        <v>29714486734</v>
      </c>
      <c r="H352" s="999" t="s">
        <v>1446</v>
      </c>
      <c r="I352" s="999" t="s">
        <v>897</v>
      </c>
      <c r="J352" s="1001">
        <v>39833</v>
      </c>
      <c r="K352" s="1001">
        <v>45835</v>
      </c>
      <c r="L352" s="1000">
        <f t="shared" si="45"/>
        <v>197</v>
      </c>
      <c r="M352" s="1002">
        <f t="shared" si="46"/>
        <v>16.416666666666668</v>
      </c>
      <c r="N352" s="1000">
        <v>16</v>
      </c>
      <c r="O352" s="1000">
        <v>16</v>
      </c>
      <c r="P352" s="1000">
        <v>43</v>
      </c>
      <c r="Q352" s="999" t="s">
        <v>898</v>
      </c>
      <c r="R352" s="999" t="s">
        <v>899</v>
      </c>
      <c r="S352" s="999" t="s">
        <v>900</v>
      </c>
      <c r="T352" s="999" t="s">
        <v>1196</v>
      </c>
      <c r="U352" s="1000" t="s">
        <v>54</v>
      </c>
      <c r="V352" s="1000" t="s">
        <v>914</v>
      </c>
      <c r="W352" s="1003">
        <v>17732</v>
      </c>
      <c r="X352" s="1000" t="s">
        <v>903</v>
      </c>
      <c r="Y352" s="1000">
        <v>76</v>
      </c>
      <c r="Z352" s="1000" t="s">
        <v>904</v>
      </c>
      <c r="AA352" s="1000" t="s">
        <v>1288</v>
      </c>
      <c r="AB352" s="1000" t="s">
        <v>925</v>
      </c>
      <c r="AC352" s="1000" t="s">
        <v>907</v>
      </c>
      <c r="AD352" s="1004">
        <v>15237.67</v>
      </c>
      <c r="AE352" s="1004">
        <f t="shared" si="43"/>
        <v>250151.74916666668</v>
      </c>
      <c r="AF352" s="1004">
        <f t="shared" si="47"/>
        <v>250151.74916666668</v>
      </c>
      <c r="AG352" s="1005">
        <f t="shared" si="42"/>
        <v>16.416666666666668</v>
      </c>
      <c r="AH352" s="1005">
        <f t="shared" si="44"/>
        <v>15.405643122853629</v>
      </c>
    </row>
    <row r="353" spans="1:34" x14ac:dyDescent="0.25">
      <c r="A353" s="999">
        <v>40108</v>
      </c>
      <c r="B353" s="999" t="s">
        <v>1310</v>
      </c>
      <c r="C353" s="999" t="s">
        <v>1311</v>
      </c>
      <c r="D353" s="999" t="s">
        <v>894</v>
      </c>
      <c r="E353" s="999" t="s">
        <v>895</v>
      </c>
      <c r="F353" s="999">
        <v>1878404</v>
      </c>
      <c r="G353" s="1000">
        <v>13173014634</v>
      </c>
      <c r="H353" s="999" t="s">
        <v>1447</v>
      </c>
      <c r="I353" s="999" t="s">
        <v>897</v>
      </c>
      <c r="J353" s="1001">
        <v>40728</v>
      </c>
      <c r="K353" s="1001">
        <v>45835</v>
      </c>
      <c r="L353" s="1000">
        <f t="shared" si="45"/>
        <v>167</v>
      </c>
      <c r="M353" s="1002">
        <f t="shared" si="46"/>
        <v>13.916666666666666</v>
      </c>
      <c r="N353" s="1000">
        <v>13</v>
      </c>
      <c r="O353" s="1000">
        <v>13</v>
      </c>
      <c r="P353" s="1000">
        <v>43</v>
      </c>
      <c r="Q353" s="999" t="s">
        <v>898</v>
      </c>
      <c r="R353" s="999" t="s">
        <v>899</v>
      </c>
      <c r="S353" s="999" t="s">
        <v>900</v>
      </c>
      <c r="T353" s="999" t="s">
        <v>1448</v>
      </c>
      <c r="U353" s="1000" t="s">
        <v>55</v>
      </c>
      <c r="V353" s="1000" t="s">
        <v>914</v>
      </c>
      <c r="W353" s="1003">
        <v>18058</v>
      </c>
      <c r="X353" s="1000" t="s">
        <v>903</v>
      </c>
      <c r="Y353" s="1000">
        <v>75</v>
      </c>
      <c r="Z353" s="1000" t="s">
        <v>904</v>
      </c>
      <c r="AA353" s="1000" t="s">
        <v>905</v>
      </c>
      <c r="AB353" s="1000" t="s">
        <v>911</v>
      </c>
      <c r="AC353" s="1000" t="s">
        <v>907</v>
      </c>
      <c r="AD353" s="1004">
        <v>5333.97</v>
      </c>
      <c r="AE353" s="1004">
        <f t="shared" si="43"/>
        <v>74231.082500000004</v>
      </c>
      <c r="AF353" s="1004">
        <f t="shared" si="47"/>
        <v>74231.082500000004</v>
      </c>
      <c r="AG353" s="1005">
        <f t="shared" si="42"/>
        <v>13.916666666666666</v>
      </c>
      <c r="AH353" s="1005">
        <f t="shared" si="44"/>
        <v>11.719519116762473</v>
      </c>
    </row>
    <row r="354" spans="1:34" x14ac:dyDescent="0.25">
      <c r="A354" s="999">
        <v>40108</v>
      </c>
      <c r="B354" s="999" t="s">
        <v>1310</v>
      </c>
      <c r="C354" s="999" t="s">
        <v>1311</v>
      </c>
      <c r="D354" s="999" t="s">
        <v>894</v>
      </c>
      <c r="E354" s="999" t="s">
        <v>895</v>
      </c>
      <c r="F354" s="999">
        <v>1761004</v>
      </c>
      <c r="G354" s="1000">
        <v>11332824153</v>
      </c>
      <c r="H354" s="999" t="s">
        <v>1449</v>
      </c>
      <c r="I354" s="999" t="s">
        <v>920</v>
      </c>
      <c r="J354" s="1001">
        <v>40210</v>
      </c>
      <c r="K354" s="1001">
        <v>45835</v>
      </c>
      <c r="L354" s="1000">
        <f t="shared" si="45"/>
        <v>184</v>
      </c>
      <c r="M354" s="1002">
        <f t="shared" si="46"/>
        <v>15.333333333333334</v>
      </c>
      <c r="N354" s="1000">
        <v>15</v>
      </c>
      <c r="O354" s="1000">
        <v>15</v>
      </c>
      <c r="P354" s="1000">
        <v>43</v>
      </c>
      <c r="Q354" s="999" t="s">
        <v>898</v>
      </c>
      <c r="R354" s="999" t="s">
        <v>899</v>
      </c>
      <c r="S354" s="999" t="s">
        <v>900</v>
      </c>
      <c r="T354" s="999" t="s">
        <v>1361</v>
      </c>
      <c r="U354" s="1000" t="s">
        <v>54</v>
      </c>
      <c r="V354" s="1000" t="s">
        <v>921</v>
      </c>
      <c r="W354" s="1003">
        <v>17448</v>
      </c>
      <c r="X354" s="1000" t="s">
        <v>903</v>
      </c>
      <c r="Y354" s="1000">
        <v>77</v>
      </c>
      <c r="Z354" s="1000" t="s">
        <v>904</v>
      </c>
      <c r="AA354" s="1000" t="s">
        <v>905</v>
      </c>
      <c r="AB354" s="1000" t="s">
        <v>925</v>
      </c>
      <c r="AC354" s="1000" t="s">
        <v>907</v>
      </c>
      <c r="AD354" s="1004">
        <v>10126.049999999999</v>
      </c>
      <c r="AE354" s="1004">
        <f t="shared" si="43"/>
        <v>155266.1</v>
      </c>
      <c r="AF354" s="1004">
        <f t="shared" si="47"/>
        <v>155266.1</v>
      </c>
      <c r="AG354" s="1005">
        <f t="shared" si="42"/>
        <v>15.333333333333336</v>
      </c>
      <c r="AH354" s="1005">
        <f t="shared" si="44"/>
        <v>13.955186252084074</v>
      </c>
    </row>
    <row r="355" spans="1:34" x14ac:dyDescent="0.25">
      <c r="A355" s="999">
        <v>13300</v>
      </c>
      <c r="B355" s="999" t="s">
        <v>1214</v>
      </c>
      <c r="C355" s="999" t="s">
        <v>421</v>
      </c>
      <c r="D355" s="999" t="s">
        <v>894</v>
      </c>
      <c r="E355" s="999" t="s">
        <v>895</v>
      </c>
      <c r="F355" s="999">
        <v>1671419</v>
      </c>
      <c r="G355" s="1000">
        <v>2533723720</v>
      </c>
      <c r="H355" s="999" t="s">
        <v>1450</v>
      </c>
      <c r="I355" s="999" t="s">
        <v>897</v>
      </c>
      <c r="J355" s="1001">
        <v>39805</v>
      </c>
      <c r="K355" s="1001">
        <v>45835</v>
      </c>
      <c r="L355" s="1000">
        <f t="shared" si="45"/>
        <v>198</v>
      </c>
      <c r="M355" s="1002">
        <f t="shared" si="46"/>
        <v>16.5</v>
      </c>
      <c r="N355" s="1000">
        <v>16</v>
      </c>
      <c r="O355" s="1000">
        <v>16</v>
      </c>
      <c r="P355" s="1000">
        <v>43</v>
      </c>
      <c r="Q355" s="999" t="s">
        <v>898</v>
      </c>
      <c r="R355" s="999" t="s">
        <v>899</v>
      </c>
      <c r="S355" s="999" t="s">
        <v>900</v>
      </c>
      <c r="T355" s="999" t="s">
        <v>924</v>
      </c>
      <c r="U355" s="1000" t="s">
        <v>55</v>
      </c>
      <c r="V355" s="1000" t="s">
        <v>914</v>
      </c>
      <c r="W355" s="1003">
        <v>15365</v>
      </c>
      <c r="X355" s="1000" t="s">
        <v>903</v>
      </c>
      <c r="Y355" s="1000">
        <v>83</v>
      </c>
      <c r="Z355" s="1000" t="s">
        <v>904</v>
      </c>
      <c r="AA355" s="1000" t="s">
        <v>905</v>
      </c>
      <c r="AB355" s="1000" t="s">
        <v>911</v>
      </c>
      <c r="AC355" s="1000" t="s">
        <v>907</v>
      </c>
      <c r="AD355" s="1004">
        <v>9823.25</v>
      </c>
      <c r="AE355" s="1004">
        <f t="shared" si="43"/>
        <v>162083.625</v>
      </c>
      <c r="AF355" s="1004">
        <f t="shared" si="47"/>
        <v>162083.625</v>
      </c>
      <c r="AG355" s="1005">
        <f t="shared" si="42"/>
        <v>16.5</v>
      </c>
      <c r="AH355" s="1005">
        <f t="shared" si="44"/>
        <v>14.975504123068394</v>
      </c>
    </row>
    <row r="356" spans="1:34" x14ac:dyDescent="0.25">
      <c r="A356" s="999">
        <v>40108</v>
      </c>
      <c r="B356" s="999" t="s">
        <v>1310</v>
      </c>
      <c r="C356" s="999" t="s">
        <v>1311</v>
      </c>
      <c r="D356" s="999" t="s">
        <v>894</v>
      </c>
      <c r="E356" s="999" t="s">
        <v>895</v>
      </c>
      <c r="F356" s="999">
        <v>1893892</v>
      </c>
      <c r="G356" s="1000">
        <v>8321752420</v>
      </c>
      <c r="H356" s="999" t="s">
        <v>1451</v>
      </c>
      <c r="I356" s="999" t="s">
        <v>897</v>
      </c>
      <c r="J356" s="1001">
        <v>40821</v>
      </c>
      <c r="K356" s="1001">
        <v>45835</v>
      </c>
      <c r="L356" s="1000">
        <f t="shared" si="45"/>
        <v>164</v>
      </c>
      <c r="M356" s="1002">
        <f t="shared" si="46"/>
        <v>13.666666666666666</v>
      </c>
      <c r="N356" s="1000">
        <v>13</v>
      </c>
      <c r="O356" s="1000">
        <v>13</v>
      </c>
      <c r="P356" s="1000">
        <v>43</v>
      </c>
      <c r="Q356" s="999" t="s">
        <v>898</v>
      </c>
      <c r="R356" s="999" t="s">
        <v>899</v>
      </c>
      <c r="S356" s="999" t="s">
        <v>900</v>
      </c>
      <c r="T356" s="999" t="s">
        <v>1213</v>
      </c>
      <c r="U356" s="1000" t="s">
        <v>55</v>
      </c>
      <c r="V356" s="1000" t="s">
        <v>914</v>
      </c>
      <c r="W356" s="1003">
        <v>17962</v>
      </c>
      <c r="X356" s="1000" t="s">
        <v>930</v>
      </c>
      <c r="Y356" s="1000">
        <v>76</v>
      </c>
      <c r="Z356" s="1000" t="s">
        <v>904</v>
      </c>
      <c r="AA356" s="1000" t="s">
        <v>1291</v>
      </c>
      <c r="AB356" s="1000" t="s">
        <v>911</v>
      </c>
      <c r="AC356" s="1000" t="s">
        <v>907</v>
      </c>
      <c r="AD356" s="1004">
        <v>5333.97</v>
      </c>
      <c r="AE356" s="1004">
        <f t="shared" si="43"/>
        <v>72897.59</v>
      </c>
      <c r="AF356" s="1004">
        <f t="shared" si="47"/>
        <v>72897.59</v>
      </c>
      <c r="AG356" s="1005">
        <f t="shared" si="42"/>
        <v>13.666666666666666</v>
      </c>
      <c r="AH356" s="1005">
        <f t="shared" si="44"/>
        <v>11.508988833227816</v>
      </c>
    </row>
    <row r="357" spans="1:34" x14ac:dyDescent="0.25">
      <c r="A357" s="999">
        <v>13300</v>
      </c>
      <c r="B357" s="999" t="s">
        <v>1214</v>
      </c>
      <c r="C357" s="999" t="s">
        <v>421</v>
      </c>
      <c r="D357" s="999" t="s">
        <v>894</v>
      </c>
      <c r="E357" s="999" t="s">
        <v>895</v>
      </c>
      <c r="F357" s="999">
        <v>1439536</v>
      </c>
      <c r="G357" s="1000">
        <v>526550406</v>
      </c>
      <c r="H357" s="999" t="s">
        <v>1452</v>
      </c>
      <c r="I357" s="999" t="s">
        <v>897</v>
      </c>
      <c r="J357" s="1001">
        <v>39812</v>
      </c>
      <c r="K357" s="1001">
        <v>45835</v>
      </c>
      <c r="L357" s="1000">
        <f t="shared" si="45"/>
        <v>197</v>
      </c>
      <c r="M357" s="1002">
        <f t="shared" si="46"/>
        <v>16.416666666666668</v>
      </c>
      <c r="N357" s="1000">
        <v>16</v>
      </c>
      <c r="O357" s="1000">
        <v>16</v>
      </c>
      <c r="P357" s="1000">
        <v>43</v>
      </c>
      <c r="Q357" s="999" t="s">
        <v>898</v>
      </c>
      <c r="R357" s="999" t="s">
        <v>899</v>
      </c>
      <c r="S357" s="999" t="s">
        <v>900</v>
      </c>
      <c r="T357" s="999" t="s">
        <v>924</v>
      </c>
      <c r="U357" s="1000" t="s">
        <v>55</v>
      </c>
      <c r="V357" s="1000" t="s">
        <v>914</v>
      </c>
      <c r="W357" s="1003">
        <v>15945</v>
      </c>
      <c r="X357" s="1000" t="s">
        <v>903</v>
      </c>
      <c r="Y357" s="1000">
        <v>81</v>
      </c>
      <c r="Z357" s="1000" t="s">
        <v>904</v>
      </c>
      <c r="AA357" s="1000" t="s">
        <v>905</v>
      </c>
      <c r="AB357" s="1000" t="s">
        <v>911</v>
      </c>
      <c r="AC357" s="1000" t="s">
        <v>907</v>
      </c>
      <c r="AD357" s="1004">
        <v>15335.98</v>
      </c>
      <c r="AE357" s="1004">
        <f t="shared" si="43"/>
        <v>251765.67166666669</v>
      </c>
      <c r="AF357" s="1004">
        <f t="shared" si="47"/>
        <v>251765.67166666669</v>
      </c>
      <c r="AG357" s="1005">
        <f t="shared" si="42"/>
        <v>16.416666666666668</v>
      </c>
      <c r="AH357" s="1005">
        <f t="shared" si="44"/>
        <v>15.411727467018611</v>
      </c>
    </row>
    <row r="358" spans="1:34" x14ac:dyDescent="0.25">
      <c r="A358" s="999">
        <v>40108</v>
      </c>
      <c r="B358" s="999" t="s">
        <v>1310</v>
      </c>
      <c r="C358" s="999" t="s">
        <v>1311</v>
      </c>
      <c r="D358" s="999" t="s">
        <v>894</v>
      </c>
      <c r="E358" s="999" t="s">
        <v>895</v>
      </c>
      <c r="F358" s="999">
        <v>1296879</v>
      </c>
      <c r="G358" s="1000">
        <v>12080829068</v>
      </c>
      <c r="H358" s="999" t="s">
        <v>1453</v>
      </c>
      <c r="I358" s="999" t="s">
        <v>897</v>
      </c>
      <c r="J358" s="1001">
        <v>39982</v>
      </c>
      <c r="K358" s="1001">
        <v>45835</v>
      </c>
      <c r="L358" s="1000">
        <f t="shared" si="45"/>
        <v>192</v>
      </c>
      <c r="M358" s="1002">
        <f t="shared" si="46"/>
        <v>16</v>
      </c>
      <c r="N358" s="1000">
        <v>16</v>
      </c>
      <c r="O358" s="1000">
        <v>16</v>
      </c>
      <c r="P358" s="1000">
        <v>43</v>
      </c>
      <c r="Q358" s="999" t="s">
        <v>898</v>
      </c>
      <c r="R358" s="999" t="s">
        <v>899</v>
      </c>
      <c r="S358" s="999" t="s">
        <v>900</v>
      </c>
      <c r="T358" s="999" t="s">
        <v>1361</v>
      </c>
      <c r="U358" s="1000" t="s">
        <v>54</v>
      </c>
      <c r="V358" s="1000" t="s">
        <v>910</v>
      </c>
      <c r="W358" s="1003">
        <v>15463</v>
      </c>
      <c r="X358" s="1000" t="s">
        <v>903</v>
      </c>
      <c r="Y358" s="1000">
        <v>82</v>
      </c>
      <c r="Z358" s="1000" t="s">
        <v>904</v>
      </c>
      <c r="AA358" s="1000" t="s">
        <v>905</v>
      </c>
      <c r="AB358" s="1000" t="s">
        <v>925</v>
      </c>
      <c r="AC358" s="1000" t="s">
        <v>907</v>
      </c>
      <c r="AD358" s="1004">
        <v>12952.16</v>
      </c>
      <c r="AE358" s="1004">
        <f t="shared" si="43"/>
        <v>207234.56</v>
      </c>
      <c r="AF358" s="1004">
        <f t="shared" si="47"/>
        <v>207234.56</v>
      </c>
      <c r="AG358" s="1005">
        <f t="shared" si="42"/>
        <v>16</v>
      </c>
      <c r="AH358" s="1005">
        <f t="shared" si="44"/>
        <v>14.853224160273392</v>
      </c>
    </row>
    <row r="359" spans="1:34" x14ac:dyDescent="0.25">
      <c r="A359" s="999">
        <v>40108</v>
      </c>
      <c r="B359" s="999" t="s">
        <v>1310</v>
      </c>
      <c r="C359" s="999" t="s">
        <v>1311</v>
      </c>
      <c r="D359" s="999" t="s">
        <v>894</v>
      </c>
      <c r="E359" s="999" t="s">
        <v>895</v>
      </c>
      <c r="F359" s="999">
        <v>1786941</v>
      </c>
      <c r="G359" s="1000">
        <v>24402435153</v>
      </c>
      <c r="H359" s="999" t="s">
        <v>1454</v>
      </c>
      <c r="I359" s="999" t="s">
        <v>920</v>
      </c>
      <c r="J359" s="1001">
        <v>40322</v>
      </c>
      <c r="K359" s="1001">
        <v>45835</v>
      </c>
      <c r="L359" s="1000">
        <f t="shared" si="45"/>
        <v>181</v>
      </c>
      <c r="M359" s="1002">
        <f t="shared" si="46"/>
        <v>15.083333333333334</v>
      </c>
      <c r="N359" s="1000">
        <v>15</v>
      </c>
      <c r="O359" s="1000">
        <v>15</v>
      </c>
      <c r="P359" s="1000">
        <v>43</v>
      </c>
      <c r="Q359" s="999" t="s">
        <v>898</v>
      </c>
      <c r="R359" s="999" t="s">
        <v>899</v>
      </c>
      <c r="S359" s="999" t="s">
        <v>900</v>
      </c>
      <c r="T359" s="999" t="s">
        <v>1363</v>
      </c>
      <c r="U359" s="1000"/>
      <c r="V359" s="1000" t="s">
        <v>921</v>
      </c>
      <c r="W359" s="1003">
        <v>17019</v>
      </c>
      <c r="X359" s="1000" t="s">
        <v>903</v>
      </c>
      <c r="Y359" s="1000">
        <v>78</v>
      </c>
      <c r="Z359" s="1000" t="s">
        <v>904</v>
      </c>
      <c r="AA359" s="1000" t="s">
        <v>905</v>
      </c>
      <c r="AB359" s="1000" t="s">
        <v>938</v>
      </c>
      <c r="AC359" s="1000" t="s">
        <v>907</v>
      </c>
      <c r="AD359" s="1004">
        <v>3813.57</v>
      </c>
      <c r="AE359" s="1004">
        <f t="shared" si="43"/>
        <v>57521.347500000003</v>
      </c>
      <c r="AF359" s="1004">
        <f t="shared" si="47"/>
        <v>57521.347500000003</v>
      </c>
      <c r="AG359" s="1005">
        <f t="shared" ref="AG359:AG422" si="48">AF359/AD359</f>
        <v>15.083333333333334</v>
      </c>
      <c r="AH359" s="1005">
        <f t="shared" si="44"/>
        <v>11.949830894741327</v>
      </c>
    </row>
    <row r="360" spans="1:34" x14ac:dyDescent="0.25">
      <c r="A360" s="999">
        <v>13300</v>
      </c>
      <c r="B360" s="999" t="s">
        <v>1214</v>
      </c>
      <c r="C360" s="999" t="s">
        <v>421</v>
      </c>
      <c r="D360" s="999" t="s">
        <v>894</v>
      </c>
      <c r="E360" s="999" t="s">
        <v>895</v>
      </c>
      <c r="F360" s="999">
        <v>1671606</v>
      </c>
      <c r="G360" s="1000">
        <v>3298787949</v>
      </c>
      <c r="H360" s="999" t="s">
        <v>1455</v>
      </c>
      <c r="I360" s="999" t="s">
        <v>897</v>
      </c>
      <c r="J360" s="1001">
        <v>39801</v>
      </c>
      <c r="K360" s="1001">
        <v>45835</v>
      </c>
      <c r="L360" s="1000">
        <f t="shared" si="45"/>
        <v>198</v>
      </c>
      <c r="M360" s="1002">
        <f t="shared" si="46"/>
        <v>16.5</v>
      </c>
      <c r="N360" s="1000">
        <v>16</v>
      </c>
      <c r="O360" s="1000">
        <v>16</v>
      </c>
      <c r="P360" s="1000">
        <v>43</v>
      </c>
      <c r="Q360" s="999" t="s">
        <v>898</v>
      </c>
      <c r="R360" s="999" t="s">
        <v>899</v>
      </c>
      <c r="S360" s="999" t="s">
        <v>900</v>
      </c>
      <c r="T360" s="999" t="s">
        <v>1216</v>
      </c>
      <c r="U360" s="1000" t="s">
        <v>54</v>
      </c>
      <c r="V360" s="1000" t="s">
        <v>914</v>
      </c>
      <c r="W360" s="1003">
        <v>17457</v>
      </c>
      <c r="X360" s="1000" t="s">
        <v>903</v>
      </c>
      <c r="Y360" s="1000">
        <v>77</v>
      </c>
      <c r="Z360" s="1000" t="s">
        <v>904</v>
      </c>
      <c r="AA360" s="1000" t="s">
        <v>1268</v>
      </c>
      <c r="AB360" s="1000" t="s">
        <v>925</v>
      </c>
      <c r="AC360" s="1000" t="s">
        <v>907</v>
      </c>
      <c r="AD360" s="1004">
        <v>21076.38</v>
      </c>
      <c r="AE360" s="1004">
        <f t="shared" si="43"/>
        <v>347760.27</v>
      </c>
      <c r="AF360" s="1004">
        <f t="shared" si="47"/>
        <v>347760.27</v>
      </c>
      <c r="AG360" s="1005">
        <f t="shared" si="48"/>
        <v>16.5</v>
      </c>
      <c r="AH360" s="1005">
        <f t="shared" si="44"/>
        <v>15.752594854772386</v>
      </c>
    </row>
    <row r="361" spans="1:34" x14ac:dyDescent="0.25">
      <c r="A361" s="999">
        <v>13300</v>
      </c>
      <c r="B361" s="999" t="s">
        <v>1214</v>
      </c>
      <c r="C361" s="999" t="s">
        <v>421</v>
      </c>
      <c r="D361" s="999" t="s">
        <v>894</v>
      </c>
      <c r="E361" s="999" t="s">
        <v>895</v>
      </c>
      <c r="F361" s="999">
        <v>1689918</v>
      </c>
      <c r="G361" s="1000">
        <v>3296032487</v>
      </c>
      <c r="H361" s="999" t="s">
        <v>1456</v>
      </c>
      <c r="I361" s="999" t="s">
        <v>897</v>
      </c>
      <c r="J361" s="1001">
        <v>39890</v>
      </c>
      <c r="K361" s="1001">
        <v>45835</v>
      </c>
      <c r="L361" s="1000">
        <f t="shared" si="45"/>
        <v>195</v>
      </c>
      <c r="M361" s="1002">
        <f t="shared" si="46"/>
        <v>16.25</v>
      </c>
      <c r="N361" s="1000">
        <v>16</v>
      </c>
      <c r="O361" s="1000">
        <v>16</v>
      </c>
      <c r="P361" s="1000">
        <v>43</v>
      </c>
      <c r="Q361" s="999" t="s">
        <v>898</v>
      </c>
      <c r="R361" s="999" t="s">
        <v>899</v>
      </c>
      <c r="S361" s="999" t="s">
        <v>900</v>
      </c>
      <c r="T361" s="999" t="s">
        <v>924</v>
      </c>
      <c r="U361" s="1000" t="s">
        <v>55</v>
      </c>
      <c r="V361" s="1000" t="s">
        <v>914</v>
      </c>
      <c r="W361" s="1003">
        <v>16321</v>
      </c>
      <c r="X361" s="1000" t="s">
        <v>930</v>
      </c>
      <c r="Y361" s="1000">
        <v>80</v>
      </c>
      <c r="Z361" s="1000" t="s">
        <v>904</v>
      </c>
      <c r="AA361" s="1000" t="s">
        <v>1291</v>
      </c>
      <c r="AB361" s="1000" t="s">
        <v>911</v>
      </c>
      <c r="AC361" s="1000" t="s">
        <v>907</v>
      </c>
      <c r="AD361" s="1004">
        <v>5746.55</v>
      </c>
      <c r="AE361" s="1004">
        <f t="shared" si="43"/>
        <v>93381.4375</v>
      </c>
      <c r="AF361" s="1004">
        <f t="shared" si="47"/>
        <v>93381.4375</v>
      </c>
      <c r="AG361" s="1005">
        <f t="shared" si="48"/>
        <v>16.25</v>
      </c>
      <c r="AH361" s="1005">
        <f t="shared" si="44"/>
        <v>13.841361510698061</v>
      </c>
    </row>
    <row r="362" spans="1:34" x14ac:dyDescent="0.25">
      <c r="A362" s="999">
        <v>40108</v>
      </c>
      <c r="B362" s="999" t="s">
        <v>1310</v>
      </c>
      <c r="C362" s="999" t="s">
        <v>1311</v>
      </c>
      <c r="D362" s="999" t="s">
        <v>894</v>
      </c>
      <c r="E362" s="999" t="s">
        <v>895</v>
      </c>
      <c r="F362" s="999">
        <v>1954077</v>
      </c>
      <c r="G362" s="1000">
        <v>8430519491</v>
      </c>
      <c r="H362" s="999" t="s">
        <v>1457</v>
      </c>
      <c r="I362" s="999" t="s">
        <v>897</v>
      </c>
      <c r="J362" s="1001">
        <v>41092</v>
      </c>
      <c r="K362" s="1001">
        <v>45835</v>
      </c>
      <c r="L362" s="1000">
        <f t="shared" si="45"/>
        <v>155</v>
      </c>
      <c r="M362" s="1002">
        <f t="shared" si="46"/>
        <v>12.916666666666666</v>
      </c>
      <c r="N362" s="1000">
        <v>12</v>
      </c>
      <c r="O362" s="1000">
        <v>12</v>
      </c>
      <c r="P362" s="1000">
        <v>43</v>
      </c>
      <c r="Q362" s="999" t="s">
        <v>898</v>
      </c>
      <c r="R362" s="999" t="s">
        <v>899</v>
      </c>
      <c r="S362" s="999" t="s">
        <v>900</v>
      </c>
      <c r="T362" s="999" t="s">
        <v>1389</v>
      </c>
      <c r="U362" s="1000"/>
      <c r="V362" s="1000" t="s">
        <v>914</v>
      </c>
      <c r="W362" s="1003">
        <v>18055</v>
      </c>
      <c r="X362" s="1000" t="s">
        <v>930</v>
      </c>
      <c r="Y362" s="1000">
        <v>75</v>
      </c>
      <c r="Z362" s="1000" t="s">
        <v>904</v>
      </c>
      <c r="AA362" s="1000" t="s">
        <v>905</v>
      </c>
      <c r="AB362" s="1000" t="s">
        <v>938</v>
      </c>
      <c r="AC362" s="1000" t="s">
        <v>907</v>
      </c>
      <c r="AD362" s="1004">
        <v>3813.57</v>
      </c>
      <c r="AE362" s="1004">
        <f t="shared" si="43"/>
        <v>49258.612500000003</v>
      </c>
      <c r="AF362" s="1004">
        <f t="shared" si="47"/>
        <v>49258.612500000003</v>
      </c>
      <c r="AG362" s="1005">
        <f t="shared" si="48"/>
        <v>12.916666666666666</v>
      </c>
      <c r="AH362" s="1005">
        <f t="shared" si="44"/>
        <v>10.233280600469092</v>
      </c>
    </row>
    <row r="363" spans="1:34" x14ac:dyDescent="0.25">
      <c r="A363" s="999">
        <v>13100</v>
      </c>
      <c r="B363" s="999" t="s">
        <v>1458</v>
      </c>
      <c r="C363" s="999" t="s">
        <v>1459</v>
      </c>
      <c r="D363" s="999" t="s">
        <v>894</v>
      </c>
      <c r="E363" s="999" t="s">
        <v>895</v>
      </c>
      <c r="F363" s="999">
        <v>1936091</v>
      </c>
      <c r="G363" s="1000">
        <v>5525039753</v>
      </c>
      <c r="H363" s="999" t="s">
        <v>1460</v>
      </c>
      <c r="I363" s="999" t="s">
        <v>897</v>
      </c>
      <c r="J363" s="1001">
        <v>41010</v>
      </c>
      <c r="K363" s="1001">
        <v>45835</v>
      </c>
      <c r="L363" s="1000">
        <f t="shared" si="45"/>
        <v>158</v>
      </c>
      <c r="M363" s="1002">
        <f t="shared" si="46"/>
        <v>13.166666666666666</v>
      </c>
      <c r="N363" s="1000">
        <v>13</v>
      </c>
      <c r="O363" s="1000">
        <v>13</v>
      </c>
      <c r="P363" s="1000">
        <v>43</v>
      </c>
      <c r="Q363" s="999" t="s">
        <v>898</v>
      </c>
      <c r="R363" s="999" t="s">
        <v>899</v>
      </c>
      <c r="S363" s="999" t="s">
        <v>900</v>
      </c>
      <c r="T363" s="999" t="s">
        <v>924</v>
      </c>
      <c r="U363" s="1000" t="s">
        <v>55</v>
      </c>
      <c r="V363" s="1000" t="s">
        <v>914</v>
      </c>
      <c r="W363" s="1003">
        <v>16158</v>
      </c>
      <c r="X363" s="1000" t="s">
        <v>903</v>
      </c>
      <c r="Y363" s="1000">
        <v>81</v>
      </c>
      <c r="Z363" s="1000" t="s">
        <v>904</v>
      </c>
      <c r="AA363" s="1000" t="s">
        <v>905</v>
      </c>
      <c r="AB363" s="1000" t="s">
        <v>911</v>
      </c>
      <c r="AC363" s="1000" t="s">
        <v>907</v>
      </c>
      <c r="AD363" s="1004">
        <v>5333.97</v>
      </c>
      <c r="AE363" s="1004">
        <f t="shared" si="43"/>
        <v>70230.604999999996</v>
      </c>
      <c r="AF363" s="1004">
        <f t="shared" si="47"/>
        <v>70230.604999999996</v>
      </c>
      <c r="AG363" s="1005">
        <f t="shared" si="48"/>
        <v>13.166666666666666</v>
      </c>
      <c r="AH363" s="1005">
        <f t="shared" si="44"/>
        <v>11.087928266158507</v>
      </c>
    </row>
    <row r="364" spans="1:34" x14ac:dyDescent="0.25">
      <c r="A364" s="999">
        <v>13100</v>
      </c>
      <c r="B364" s="999" t="s">
        <v>1458</v>
      </c>
      <c r="C364" s="999" t="s">
        <v>1459</v>
      </c>
      <c r="D364" s="999" t="s">
        <v>894</v>
      </c>
      <c r="E364" s="999" t="s">
        <v>895</v>
      </c>
      <c r="F364" s="999">
        <v>1868451</v>
      </c>
      <c r="G364" s="1000">
        <v>12646318120</v>
      </c>
      <c r="H364" s="999" t="s">
        <v>1461</v>
      </c>
      <c r="I364" s="999" t="s">
        <v>897</v>
      </c>
      <c r="J364" s="1001">
        <v>40694</v>
      </c>
      <c r="K364" s="1001">
        <v>45835</v>
      </c>
      <c r="L364" s="1000">
        <f t="shared" si="45"/>
        <v>168</v>
      </c>
      <c r="M364" s="1002">
        <f t="shared" si="46"/>
        <v>14</v>
      </c>
      <c r="N364" s="1000">
        <v>14</v>
      </c>
      <c r="O364" s="1000">
        <v>14</v>
      </c>
      <c r="P364" s="1000">
        <v>43</v>
      </c>
      <c r="Q364" s="999" t="s">
        <v>898</v>
      </c>
      <c r="R364" s="999" t="s">
        <v>899</v>
      </c>
      <c r="S364" s="999" t="s">
        <v>900</v>
      </c>
      <c r="T364" s="999" t="s">
        <v>1216</v>
      </c>
      <c r="U364" s="1000" t="s">
        <v>54</v>
      </c>
      <c r="V364" s="1000" t="s">
        <v>914</v>
      </c>
      <c r="W364" s="1003">
        <v>16346</v>
      </c>
      <c r="X364" s="1000" t="s">
        <v>903</v>
      </c>
      <c r="Y364" s="1000">
        <v>80</v>
      </c>
      <c r="Z364" s="1000" t="s">
        <v>904</v>
      </c>
      <c r="AA364" s="1000" t="s">
        <v>905</v>
      </c>
      <c r="AB364" s="1000" t="s">
        <v>925</v>
      </c>
      <c r="AC364" s="1000" t="s">
        <v>907</v>
      </c>
      <c r="AD364" s="1004">
        <v>16615.060000000001</v>
      </c>
      <c r="AE364" s="1004">
        <f t="shared" si="43"/>
        <v>232610.84000000003</v>
      </c>
      <c r="AF364" s="1004">
        <f t="shared" si="47"/>
        <v>232610.84000000003</v>
      </c>
      <c r="AG364" s="1005">
        <f t="shared" si="48"/>
        <v>14</v>
      </c>
      <c r="AH364" s="1005">
        <f t="shared" si="44"/>
        <v>13.205225528610178</v>
      </c>
    </row>
    <row r="365" spans="1:34" x14ac:dyDescent="0.25">
      <c r="A365" s="999">
        <v>55100</v>
      </c>
      <c r="B365" s="999" t="s">
        <v>1462</v>
      </c>
      <c r="C365" s="999" t="s">
        <v>1463</v>
      </c>
      <c r="D365" s="999" t="s">
        <v>894</v>
      </c>
      <c r="E365" s="999" t="s">
        <v>895</v>
      </c>
      <c r="F365" s="999">
        <v>746917</v>
      </c>
      <c r="G365" s="1000">
        <v>18573371749</v>
      </c>
      <c r="H365" s="999" t="s">
        <v>1464</v>
      </c>
      <c r="I365" s="999" t="s">
        <v>897</v>
      </c>
      <c r="J365" s="1001">
        <v>41106</v>
      </c>
      <c r="K365" s="1001">
        <v>45835</v>
      </c>
      <c r="L365" s="1000">
        <f t="shared" si="45"/>
        <v>155</v>
      </c>
      <c r="M365" s="1002">
        <f t="shared" si="46"/>
        <v>12.916666666666666</v>
      </c>
      <c r="N365" s="1000">
        <v>12</v>
      </c>
      <c r="O365" s="1000">
        <v>12</v>
      </c>
      <c r="P365" s="1000">
        <v>43</v>
      </c>
      <c r="Q365" s="999" t="s">
        <v>898</v>
      </c>
      <c r="R365" s="999" t="s">
        <v>899</v>
      </c>
      <c r="S365" s="999" t="s">
        <v>900</v>
      </c>
      <c r="T365" s="999" t="s">
        <v>1465</v>
      </c>
      <c r="U365" s="1000" t="s">
        <v>54</v>
      </c>
      <c r="V365" s="1000" t="s">
        <v>902</v>
      </c>
      <c r="W365" s="1003">
        <v>17254</v>
      </c>
      <c r="X365" s="1000" t="s">
        <v>903</v>
      </c>
      <c r="Y365" s="1000">
        <v>78</v>
      </c>
      <c r="Z365" s="1000" t="s">
        <v>904</v>
      </c>
      <c r="AA365" s="1000" t="s">
        <v>905</v>
      </c>
      <c r="AB365" s="1000" t="s">
        <v>925</v>
      </c>
      <c r="AC365" s="1000" t="s">
        <v>907</v>
      </c>
      <c r="AD365" s="1004">
        <v>10126.049999999999</v>
      </c>
      <c r="AE365" s="1004">
        <f t="shared" si="43"/>
        <v>130794.81249999999</v>
      </c>
      <c r="AF365" s="1004">
        <f t="shared" si="47"/>
        <v>130794.81249999999</v>
      </c>
      <c r="AG365" s="1005">
        <f t="shared" si="48"/>
        <v>12.916666666666666</v>
      </c>
      <c r="AH365" s="1005">
        <f t="shared" si="44"/>
        <v>11.755727549309952</v>
      </c>
    </row>
    <row r="366" spans="1:34" x14ac:dyDescent="0.25">
      <c r="A366" s="999">
        <v>13300</v>
      </c>
      <c r="B366" s="999" t="s">
        <v>1214</v>
      </c>
      <c r="C366" s="999" t="s">
        <v>421</v>
      </c>
      <c r="D366" s="999" t="s">
        <v>894</v>
      </c>
      <c r="E366" s="999" t="s">
        <v>895</v>
      </c>
      <c r="F366" s="999">
        <v>1670956</v>
      </c>
      <c r="G366" s="1000">
        <v>3831566100</v>
      </c>
      <c r="H366" s="999" t="s">
        <v>1466</v>
      </c>
      <c r="I366" s="999" t="s">
        <v>897</v>
      </c>
      <c r="J366" s="1001">
        <v>39799</v>
      </c>
      <c r="K366" s="1001">
        <v>45835</v>
      </c>
      <c r="L366" s="1000">
        <f t="shared" si="45"/>
        <v>198</v>
      </c>
      <c r="M366" s="1002">
        <f t="shared" si="46"/>
        <v>16.5</v>
      </c>
      <c r="N366" s="1000">
        <v>16</v>
      </c>
      <c r="O366" s="1000">
        <v>16</v>
      </c>
      <c r="P366" s="1000">
        <v>43</v>
      </c>
      <c r="Q366" s="999" t="s">
        <v>898</v>
      </c>
      <c r="R366" s="999" t="s">
        <v>899</v>
      </c>
      <c r="S366" s="999" t="s">
        <v>900</v>
      </c>
      <c r="T366" s="999" t="s">
        <v>924</v>
      </c>
      <c r="U366" s="1000" t="s">
        <v>55</v>
      </c>
      <c r="V366" s="1000" t="s">
        <v>914</v>
      </c>
      <c r="W366" s="1003">
        <v>17463</v>
      </c>
      <c r="X366" s="1000" t="s">
        <v>903</v>
      </c>
      <c r="Y366" s="1000">
        <v>77</v>
      </c>
      <c r="Z366" s="1000" t="s">
        <v>904</v>
      </c>
      <c r="AA366" s="1000" t="s">
        <v>905</v>
      </c>
      <c r="AB366" s="1000" t="s">
        <v>911</v>
      </c>
      <c r="AC366" s="1000" t="s">
        <v>907</v>
      </c>
      <c r="AD366" s="1004">
        <v>13913.07</v>
      </c>
      <c r="AE366" s="1004">
        <f t="shared" si="43"/>
        <v>229565.655</v>
      </c>
      <c r="AF366" s="1004">
        <f t="shared" si="47"/>
        <v>229565.655</v>
      </c>
      <c r="AG366" s="1005">
        <f t="shared" si="48"/>
        <v>16.5</v>
      </c>
      <c r="AH366" s="1005">
        <f t="shared" si="44"/>
        <v>15.393587973502438</v>
      </c>
    </row>
    <row r="367" spans="1:34" x14ac:dyDescent="0.25">
      <c r="A367" s="999">
        <v>13300</v>
      </c>
      <c r="B367" s="999" t="s">
        <v>1214</v>
      </c>
      <c r="C367" s="999" t="s">
        <v>421</v>
      </c>
      <c r="D367" s="999" t="s">
        <v>894</v>
      </c>
      <c r="E367" s="999" t="s">
        <v>895</v>
      </c>
      <c r="F367" s="999">
        <v>1669205</v>
      </c>
      <c r="G367" s="1000">
        <v>6681255191</v>
      </c>
      <c r="H367" s="999" t="s">
        <v>1467</v>
      </c>
      <c r="I367" s="999" t="s">
        <v>897</v>
      </c>
      <c r="J367" s="1001">
        <v>39787</v>
      </c>
      <c r="K367" s="1001">
        <v>45835</v>
      </c>
      <c r="L367" s="1000">
        <f t="shared" si="45"/>
        <v>198</v>
      </c>
      <c r="M367" s="1002">
        <f t="shared" si="46"/>
        <v>16.5</v>
      </c>
      <c r="N367" s="1000">
        <v>16</v>
      </c>
      <c r="O367" s="1000">
        <v>16</v>
      </c>
      <c r="P367" s="1000">
        <v>43</v>
      </c>
      <c r="Q367" s="999" t="s">
        <v>898</v>
      </c>
      <c r="R367" s="999" t="s">
        <v>899</v>
      </c>
      <c r="S367" s="999" t="s">
        <v>900</v>
      </c>
      <c r="T367" s="999" t="s">
        <v>924</v>
      </c>
      <c r="U367" s="1000" t="s">
        <v>55</v>
      </c>
      <c r="V367" s="1000" t="s">
        <v>914</v>
      </c>
      <c r="W367" s="1003">
        <v>17101</v>
      </c>
      <c r="X367" s="1000" t="s">
        <v>903</v>
      </c>
      <c r="Y367" s="1000">
        <v>78</v>
      </c>
      <c r="Z367" s="1000" t="s">
        <v>904</v>
      </c>
      <c r="AA367" s="1000" t="s">
        <v>1468</v>
      </c>
      <c r="AB367" s="1000" t="s">
        <v>911</v>
      </c>
      <c r="AC367" s="1000" t="s">
        <v>907</v>
      </c>
      <c r="AD367" s="1004">
        <v>14663.08</v>
      </c>
      <c r="AE367" s="1004">
        <f t="shared" si="43"/>
        <v>241940.82</v>
      </c>
      <c r="AF367" s="1004">
        <f t="shared" si="47"/>
        <v>241940.82</v>
      </c>
      <c r="AG367" s="1005">
        <f t="shared" si="48"/>
        <v>16.5</v>
      </c>
      <c r="AH367" s="1005">
        <f t="shared" si="44"/>
        <v>15.446567341799954</v>
      </c>
    </row>
    <row r="368" spans="1:34" x14ac:dyDescent="0.25">
      <c r="A368" s="999">
        <v>13300</v>
      </c>
      <c r="B368" s="999" t="s">
        <v>1214</v>
      </c>
      <c r="C368" s="999" t="s">
        <v>421</v>
      </c>
      <c r="D368" s="999" t="s">
        <v>894</v>
      </c>
      <c r="E368" s="999" t="s">
        <v>895</v>
      </c>
      <c r="F368" s="999">
        <v>1670977</v>
      </c>
      <c r="G368" s="1000">
        <v>818208600</v>
      </c>
      <c r="H368" s="999" t="s">
        <v>1469</v>
      </c>
      <c r="I368" s="999" t="s">
        <v>897</v>
      </c>
      <c r="J368" s="1001">
        <v>39825</v>
      </c>
      <c r="K368" s="1001">
        <v>45835</v>
      </c>
      <c r="L368" s="1000">
        <f t="shared" si="45"/>
        <v>197</v>
      </c>
      <c r="M368" s="1002">
        <f t="shared" si="46"/>
        <v>16.416666666666668</v>
      </c>
      <c r="N368" s="1000">
        <v>16</v>
      </c>
      <c r="O368" s="1000">
        <v>16</v>
      </c>
      <c r="P368" s="1000">
        <v>43</v>
      </c>
      <c r="Q368" s="999" t="s">
        <v>898</v>
      </c>
      <c r="R368" s="999" t="s">
        <v>899</v>
      </c>
      <c r="S368" s="999" t="s">
        <v>900</v>
      </c>
      <c r="T368" s="999" t="s">
        <v>924</v>
      </c>
      <c r="U368" s="1000" t="s">
        <v>55</v>
      </c>
      <c r="V368" s="1000" t="s">
        <v>914</v>
      </c>
      <c r="W368" s="1003">
        <v>16435</v>
      </c>
      <c r="X368" s="1000" t="s">
        <v>903</v>
      </c>
      <c r="Y368" s="1000">
        <v>80</v>
      </c>
      <c r="Z368" s="1000" t="s">
        <v>904</v>
      </c>
      <c r="AA368" s="1000" t="s">
        <v>1174</v>
      </c>
      <c r="AB368" s="1000" t="s">
        <v>911</v>
      </c>
      <c r="AC368" s="1000" t="s">
        <v>907</v>
      </c>
      <c r="AD368" s="1004">
        <v>14469.91</v>
      </c>
      <c r="AE368" s="1004">
        <f t="shared" si="43"/>
        <v>237547.68916666668</v>
      </c>
      <c r="AF368" s="1004">
        <f t="shared" si="47"/>
        <v>237547.68916666668</v>
      </c>
      <c r="AG368" s="1005">
        <f t="shared" si="48"/>
        <v>16.416666666666668</v>
      </c>
      <c r="AH368" s="1005">
        <f t="shared" si="44"/>
        <v>15.355466784659166</v>
      </c>
    </row>
    <row r="369" spans="1:34" x14ac:dyDescent="0.25">
      <c r="A369" s="999">
        <v>13300</v>
      </c>
      <c r="B369" s="999" t="s">
        <v>1214</v>
      </c>
      <c r="C369" s="999" t="s">
        <v>421</v>
      </c>
      <c r="D369" s="999" t="s">
        <v>894</v>
      </c>
      <c r="E369" s="999" t="s">
        <v>895</v>
      </c>
      <c r="F369" s="999">
        <v>1670971</v>
      </c>
      <c r="G369" s="1000">
        <v>2907682172</v>
      </c>
      <c r="H369" s="999" t="s">
        <v>1470</v>
      </c>
      <c r="I369" s="999" t="s">
        <v>897</v>
      </c>
      <c r="J369" s="1001">
        <v>39819</v>
      </c>
      <c r="K369" s="1001">
        <v>45835</v>
      </c>
      <c r="L369" s="1000">
        <f t="shared" si="45"/>
        <v>197</v>
      </c>
      <c r="M369" s="1002">
        <f t="shared" si="46"/>
        <v>16.416666666666668</v>
      </c>
      <c r="N369" s="1000">
        <v>16</v>
      </c>
      <c r="O369" s="1000">
        <v>16</v>
      </c>
      <c r="P369" s="1000">
        <v>43</v>
      </c>
      <c r="Q369" s="999" t="s">
        <v>898</v>
      </c>
      <c r="R369" s="999" t="s">
        <v>899</v>
      </c>
      <c r="S369" s="999" t="s">
        <v>900</v>
      </c>
      <c r="T369" s="999" t="s">
        <v>924</v>
      </c>
      <c r="U369" s="1000" t="s">
        <v>55</v>
      </c>
      <c r="V369" s="1000" t="s">
        <v>914</v>
      </c>
      <c r="W369" s="1003">
        <v>17756</v>
      </c>
      <c r="X369" s="1000" t="s">
        <v>903</v>
      </c>
      <c r="Y369" s="1000">
        <v>76</v>
      </c>
      <c r="Z369" s="1000" t="s">
        <v>904</v>
      </c>
      <c r="AA369" s="1000" t="s">
        <v>905</v>
      </c>
      <c r="AB369" s="1000" t="s">
        <v>911</v>
      </c>
      <c r="AC369" s="1000" t="s">
        <v>907</v>
      </c>
      <c r="AD369" s="1004">
        <v>11215.83</v>
      </c>
      <c r="AE369" s="1004">
        <f t="shared" si="43"/>
        <v>184126.54250000001</v>
      </c>
      <c r="AF369" s="1004">
        <f t="shared" si="47"/>
        <v>184126.54250000001</v>
      </c>
      <c r="AG369" s="1005">
        <f t="shared" si="48"/>
        <v>16.416666666666668</v>
      </c>
      <c r="AH369" s="1005">
        <f t="shared" si="44"/>
        <v>15.07278199680251</v>
      </c>
    </row>
    <row r="370" spans="1:34" x14ac:dyDescent="0.25">
      <c r="A370" s="999">
        <v>13300</v>
      </c>
      <c r="B370" s="999" t="s">
        <v>1214</v>
      </c>
      <c r="C370" s="999" t="s">
        <v>421</v>
      </c>
      <c r="D370" s="999" t="s">
        <v>894</v>
      </c>
      <c r="E370" s="999" t="s">
        <v>895</v>
      </c>
      <c r="F370" s="999">
        <v>1671868</v>
      </c>
      <c r="G370" s="1000">
        <v>9140590682</v>
      </c>
      <c r="H370" s="999" t="s">
        <v>1471</v>
      </c>
      <c r="I370" s="999" t="s">
        <v>897</v>
      </c>
      <c r="J370" s="1001">
        <v>39834</v>
      </c>
      <c r="K370" s="1001">
        <v>45835</v>
      </c>
      <c r="L370" s="1000">
        <f t="shared" si="45"/>
        <v>197</v>
      </c>
      <c r="M370" s="1002">
        <f t="shared" si="46"/>
        <v>16.416666666666668</v>
      </c>
      <c r="N370" s="1000">
        <v>16</v>
      </c>
      <c r="O370" s="1000">
        <v>16</v>
      </c>
      <c r="P370" s="1000">
        <v>43</v>
      </c>
      <c r="Q370" s="999" t="s">
        <v>898</v>
      </c>
      <c r="R370" s="999" t="s">
        <v>899</v>
      </c>
      <c r="S370" s="999" t="s">
        <v>900</v>
      </c>
      <c r="T370" s="999" t="s">
        <v>1196</v>
      </c>
      <c r="U370" s="1000" t="s">
        <v>54</v>
      </c>
      <c r="V370" s="1000" t="s">
        <v>914</v>
      </c>
      <c r="W370" s="1003">
        <v>17312</v>
      </c>
      <c r="X370" s="1000" t="s">
        <v>903</v>
      </c>
      <c r="Y370" s="1000">
        <v>77</v>
      </c>
      <c r="Z370" s="1000" t="s">
        <v>904</v>
      </c>
      <c r="AA370" s="1000" t="s">
        <v>1174</v>
      </c>
      <c r="AB370" s="1000" t="s">
        <v>925</v>
      </c>
      <c r="AC370" s="1000" t="s">
        <v>907</v>
      </c>
      <c r="AD370" s="1004">
        <v>12909.53</v>
      </c>
      <c r="AE370" s="1004">
        <f t="shared" si="43"/>
        <v>211931.45083333337</v>
      </c>
      <c r="AF370" s="1004">
        <f t="shared" si="47"/>
        <v>211931.45083333337</v>
      </c>
      <c r="AG370" s="1005">
        <f t="shared" si="48"/>
        <v>16.416666666666668</v>
      </c>
      <c r="AH370" s="1005">
        <f t="shared" si="44"/>
        <v>15.236420701010987</v>
      </c>
    </row>
    <row r="371" spans="1:34" x14ac:dyDescent="0.25">
      <c r="A371" s="999">
        <v>15000</v>
      </c>
      <c r="B371" s="999" t="s">
        <v>1472</v>
      </c>
      <c r="C371" s="999" t="s">
        <v>1473</v>
      </c>
      <c r="D371" s="999" t="s">
        <v>894</v>
      </c>
      <c r="E371" s="999" t="s">
        <v>895</v>
      </c>
      <c r="F371" s="999">
        <v>6040502</v>
      </c>
      <c r="G371" s="1000">
        <v>29005558172</v>
      </c>
      <c r="H371" s="999" t="s">
        <v>1474</v>
      </c>
      <c r="I371" s="999" t="s">
        <v>897</v>
      </c>
      <c r="J371" s="1001">
        <v>40498</v>
      </c>
      <c r="K371" s="1001">
        <v>45835</v>
      </c>
      <c r="L371" s="1000">
        <f t="shared" si="45"/>
        <v>175</v>
      </c>
      <c r="M371" s="1002">
        <f t="shared" si="46"/>
        <v>14.583333333333334</v>
      </c>
      <c r="N371" s="1000">
        <v>14</v>
      </c>
      <c r="O371" s="1000">
        <v>14</v>
      </c>
      <c r="P371" s="1000">
        <v>43</v>
      </c>
      <c r="Q371" s="999" t="s">
        <v>898</v>
      </c>
      <c r="R371" s="999" t="s">
        <v>899</v>
      </c>
      <c r="S371" s="999" t="s">
        <v>900</v>
      </c>
      <c r="T371" s="999" t="s">
        <v>924</v>
      </c>
      <c r="U371" s="1000" t="s">
        <v>55</v>
      </c>
      <c r="V371" s="1000" t="s">
        <v>910</v>
      </c>
      <c r="W371" s="1003">
        <v>14552</v>
      </c>
      <c r="X371" s="1000" t="s">
        <v>930</v>
      </c>
      <c r="Y371" s="1000">
        <v>85</v>
      </c>
      <c r="Z371" s="1000" t="s">
        <v>904</v>
      </c>
      <c r="AA371" s="1000" t="s">
        <v>905</v>
      </c>
      <c r="AB371" s="1000" t="s">
        <v>911</v>
      </c>
      <c r="AC371" s="1000" t="s">
        <v>907</v>
      </c>
      <c r="AD371" s="1004">
        <v>5333.97</v>
      </c>
      <c r="AE371" s="1004">
        <f t="shared" si="43"/>
        <v>77787.0625</v>
      </c>
      <c r="AF371" s="1004">
        <f t="shared" si="47"/>
        <v>77787.0625</v>
      </c>
      <c r="AG371" s="1005">
        <f t="shared" si="48"/>
        <v>14.583333333333332</v>
      </c>
      <c r="AH371" s="1005">
        <f t="shared" si="44"/>
        <v>12.280933206188219</v>
      </c>
    </row>
    <row r="372" spans="1:34" x14ac:dyDescent="0.25">
      <c r="A372" s="999">
        <v>15000</v>
      </c>
      <c r="B372" s="999" t="s">
        <v>1472</v>
      </c>
      <c r="C372" s="999" t="s">
        <v>1473</v>
      </c>
      <c r="D372" s="999" t="s">
        <v>894</v>
      </c>
      <c r="E372" s="999" t="s">
        <v>895</v>
      </c>
      <c r="F372" s="999">
        <v>1079069</v>
      </c>
      <c r="G372" s="1000">
        <v>72108363734</v>
      </c>
      <c r="H372" s="999" t="s">
        <v>1475</v>
      </c>
      <c r="I372" s="999" t="s">
        <v>897</v>
      </c>
      <c r="J372" s="1001">
        <v>40276</v>
      </c>
      <c r="K372" s="1001">
        <v>45835</v>
      </c>
      <c r="L372" s="1000">
        <f t="shared" si="45"/>
        <v>182</v>
      </c>
      <c r="M372" s="1002">
        <f t="shared" si="46"/>
        <v>15.166666666666666</v>
      </c>
      <c r="N372" s="1000">
        <v>15</v>
      </c>
      <c r="O372" s="1000">
        <v>15</v>
      </c>
      <c r="P372" s="1000">
        <v>43</v>
      </c>
      <c r="Q372" s="999" t="s">
        <v>898</v>
      </c>
      <c r="R372" s="999" t="s">
        <v>899</v>
      </c>
      <c r="S372" s="999" t="s">
        <v>900</v>
      </c>
      <c r="T372" s="999" t="s">
        <v>950</v>
      </c>
      <c r="U372" s="1000" t="s">
        <v>55</v>
      </c>
      <c r="V372" s="1000" t="s">
        <v>902</v>
      </c>
      <c r="W372" s="1003">
        <v>15886</v>
      </c>
      <c r="X372" s="1000" t="s">
        <v>930</v>
      </c>
      <c r="Y372" s="1000">
        <v>81</v>
      </c>
      <c r="Z372" s="1000" t="s">
        <v>904</v>
      </c>
      <c r="AA372" s="1000" t="s">
        <v>905</v>
      </c>
      <c r="AB372" s="1000" t="s">
        <v>911</v>
      </c>
      <c r="AC372" s="1000" t="s">
        <v>907</v>
      </c>
      <c r="AD372" s="1004">
        <v>5333.97</v>
      </c>
      <c r="AE372" s="1004">
        <f t="shared" si="43"/>
        <v>80898.544999999998</v>
      </c>
      <c r="AF372" s="1004">
        <f t="shared" si="47"/>
        <v>80898.544999999998</v>
      </c>
      <c r="AG372" s="1005">
        <f t="shared" si="48"/>
        <v>15.166666666666666</v>
      </c>
      <c r="AH372" s="1005">
        <f t="shared" si="44"/>
        <v>12.772170534435748</v>
      </c>
    </row>
    <row r="373" spans="1:34" x14ac:dyDescent="0.25">
      <c r="A373" s="999">
        <v>13300</v>
      </c>
      <c r="B373" s="999" t="s">
        <v>1214</v>
      </c>
      <c r="C373" s="999" t="s">
        <v>421</v>
      </c>
      <c r="D373" s="999" t="s">
        <v>894</v>
      </c>
      <c r="E373" s="999" t="s">
        <v>895</v>
      </c>
      <c r="F373" s="999">
        <v>1670797</v>
      </c>
      <c r="G373" s="1000">
        <v>246778334</v>
      </c>
      <c r="H373" s="999" t="s">
        <v>1476</v>
      </c>
      <c r="I373" s="999" t="s">
        <v>897</v>
      </c>
      <c r="J373" s="1001">
        <v>39815</v>
      </c>
      <c r="K373" s="1001">
        <v>45835</v>
      </c>
      <c r="L373" s="1000">
        <f t="shared" si="45"/>
        <v>197</v>
      </c>
      <c r="M373" s="1002">
        <f t="shared" si="46"/>
        <v>16.416666666666668</v>
      </c>
      <c r="N373" s="1000">
        <v>16</v>
      </c>
      <c r="O373" s="1000">
        <v>16</v>
      </c>
      <c r="P373" s="1000">
        <v>43</v>
      </c>
      <c r="Q373" s="999" t="s">
        <v>898</v>
      </c>
      <c r="R373" s="999" t="s">
        <v>899</v>
      </c>
      <c r="S373" s="999" t="s">
        <v>900</v>
      </c>
      <c r="T373" s="999" t="s">
        <v>1196</v>
      </c>
      <c r="U373" s="1000" t="s">
        <v>54</v>
      </c>
      <c r="V373" s="1000" t="s">
        <v>914</v>
      </c>
      <c r="W373" s="1003">
        <v>16526</v>
      </c>
      <c r="X373" s="1000" t="s">
        <v>903</v>
      </c>
      <c r="Y373" s="1000">
        <v>80</v>
      </c>
      <c r="Z373" s="1000" t="s">
        <v>904</v>
      </c>
      <c r="AA373" s="1000" t="s">
        <v>1255</v>
      </c>
      <c r="AB373" s="1000" t="s">
        <v>925</v>
      </c>
      <c r="AC373" s="1000" t="s">
        <v>907</v>
      </c>
      <c r="AD373" s="1004">
        <v>14604.83</v>
      </c>
      <c r="AE373" s="1004">
        <f t="shared" si="43"/>
        <v>239762.62583333335</v>
      </c>
      <c r="AF373" s="1004">
        <f t="shared" si="47"/>
        <v>239762.62583333335</v>
      </c>
      <c r="AG373" s="1005">
        <f t="shared" si="48"/>
        <v>16.416666666666668</v>
      </c>
      <c r="AH373" s="1005">
        <f t="shared" si="44"/>
        <v>15.364641962349692</v>
      </c>
    </row>
    <row r="374" spans="1:34" x14ac:dyDescent="0.25">
      <c r="A374" s="999">
        <v>13300</v>
      </c>
      <c r="B374" s="999" t="s">
        <v>1214</v>
      </c>
      <c r="C374" s="999" t="s">
        <v>421</v>
      </c>
      <c r="D374" s="999" t="s">
        <v>894</v>
      </c>
      <c r="E374" s="999" t="s">
        <v>895</v>
      </c>
      <c r="F374" s="999">
        <v>1670789</v>
      </c>
      <c r="G374" s="1000">
        <v>3302377134</v>
      </c>
      <c r="H374" s="999" t="s">
        <v>1477</v>
      </c>
      <c r="I374" s="999" t="s">
        <v>897</v>
      </c>
      <c r="J374" s="1001">
        <v>39800</v>
      </c>
      <c r="K374" s="1001">
        <v>45835</v>
      </c>
      <c r="L374" s="1000">
        <f t="shared" si="45"/>
        <v>198</v>
      </c>
      <c r="M374" s="1002">
        <f t="shared" si="46"/>
        <v>16.5</v>
      </c>
      <c r="N374" s="1000">
        <v>16</v>
      </c>
      <c r="O374" s="1000">
        <v>16</v>
      </c>
      <c r="P374" s="1000">
        <v>43</v>
      </c>
      <c r="Q374" s="999" t="s">
        <v>898</v>
      </c>
      <c r="R374" s="999" t="s">
        <v>899</v>
      </c>
      <c r="S374" s="999" t="s">
        <v>900</v>
      </c>
      <c r="T374" s="999" t="s">
        <v>1009</v>
      </c>
      <c r="U374" s="1000"/>
      <c r="V374" s="1000" t="s">
        <v>914</v>
      </c>
      <c r="W374" s="1003">
        <v>18103</v>
      </c>
      <c r="X374" s="1000" t="s">
        <v>903</v>
      </c>
      <c r="Y374" s="1000">
        <v>75</v>
      </c>
      <c r="Z374" s="1000" t="s">
        <v>904</v>
      </c>
      <c r="AA374" s="1000" t="s">
        <v>905</v>
      </c>
      <c r="AB374" s="1000" t="s">
        <v>938</v>
      </c>
      <c r="AC374" s="1000" t="s">
        <v>907</v>
      </c>
      <c r="AD374" s="1004">
        <v>4998.03</v>
      </c>
      <c r="AE374" s="1004">
        <f t="shared" si="43"/>
        <v>82467.494999999995</v>
      </c>
      <c r="AF374" s="1004">
        <f t="shared" si="47"/>
        <v>82467.494999999995</v>
      </c>
      <c r="AG374" s="1005">
        <f t="shared" si="48"/>
        <v>16.5</v>
      </c>
      <c r="AH374" s="1005">
        <f t="shared" si="44"/>
        <v>13.749096786778326</v>
      </c>
    </row>
    <row r="375" spans="1:34" x14ac:dyDescent="0.25">
      <c r="A375" s="999">
        <v>17600</v>
      </c>
      <c r="B375" s="999" t="s">
        <v>1478</v>
      </c>
      <c r="C375" s="999" t="s">
        <v>1479</v>
      </c>
      <c r="D375" s="999" t="s">
        <v>894</v>
      </c>
      <c r="E375" s="999" t="s">
        <v>895</v>
      </c>
      <c r="F375" s="999">
        <v>1788085</v>
      </c>
      <c r="G375" s="1000">
        <v>10614001668</v>
      </c>
      <c r="H375" s="999" t="s">
        <v>1480</v>
      </c>
      <c r="I375" s="999" t="s">
        <v>897</v>
      </c>
      <c r="J375" s="1001">
        <v>40322</v>
      </c>
      <c r="K375" s="1001">
        <v>45835</v>
      </c>
      <c r="L375" s="1000">
        <f t="shared" si="45"/>
        <v>181</v>
      </c>
      <c r="M375" s="1002">
        <f t="shared" si="46"/>
        <v>15.083333333333334</v>
      </c>
      <c r="N375" s="1000">
        <v>15</v>
      </c>
      <c r="O375" s="1000">
        <v>15</v>
      </c>
      <c r="P375" s="1000">
        <v>43</v>
      </c>
      <c r="Q375" s="999" t="s">
        <v>898</v>
      </c>
      <c r="R375" s="999" t="s">
        <v>899</v>
      </c>
      <c r="S375" s="999" t="s">
        <v>900</v>
      </c>
      <c r="T375" s="999" t="s">
        <v>1481</v>
      </c>
      <c r="U375" s="1000" t="s">
        <v>55</v>
      </c>
      <c r="V375" s="1000" t="s">
        <v>914</v>
      </c>
      <c r="W375" s="1003">
        <v>16889</v>
      </c>
      <c r="X375" s="1000" t="s">
        <v>930</v>
      </c>
      <c r="Y375" s="1000">
        <v>79</v>
      </c>
      <c r="Z375" s="1000" t="s">
        <v>904</v>
      </c>
      <c r="AA375" s="1000" t="s">
        <v>905</v>
      </c>
      <c r="AB375" s="1000" t="s">
        <v>911</v>
      </c>
      <c r="AC375" s="1000" t="s">
        <v>907</v>
      </c>
      <c r="AD375" s="1004">
        <v>5333.97</v>
      </c>
      <c r="AE375" s="1004">
        <f t="shared" si="43"/>
        <v>80454.047500000001</v>
      </c>
      <c r="AF375" s="1004">
        <f t="shared" si="47"/>
        <v>80454.047500000001</v>
      </c>
      <c r="AG375" s="1005">
        <f t="shared" si="48"/>
        <v>15.083333333333332</v>
      </c>
      <c r="AH375" s="1005">
        <f t="shared" si="44"/>
        <v>12.701993773257531</v>
      </c>
    </row>
    <row r="376" spans="1:34" x14ac:dyDescent="0.25">
      <c r="A376" s="999">
        <v>17600</v>
      </c>
      <c r="B376" s="999" t="s">
        <v>1478</v>
      </c>
      <c r="C376" s="999" t="s">
        <v>1479</v>
      </c>
      <c r="D376" s="999" t="s">
        <v>894</v>
      </c>
      <c r="E376" s="999" t="s">
        <v>895</v>
      </c>
      <c r="F376" s="999">
        <v>1782868</v>
      </c>
      <c r="G376" s="1000">
        <v>43076793772</v>
      </c>
      <c r="H376" s="999" t="s">
        <v>1482</v>
      </c>
      <c r="I376" s="999" t="s">
        <v>920</v>
      </c>
      <c r="J376" s="1001">
        <v>40303</v>
      </c>
      <c r="K376" s="1001">
        <v>45835</v>
      </c>
      <c r="L376" s="1000">
        <f t="shared" si="45"/>
        <v>181</v>
      </c>
      <c r="M376" s="1002">
        <f t="shared" si="46"/>
        <v>15.083333333333334</v>
      </c>
      <c r="N376" s="1000">
        <v>15</v>
      </c>
      <c r="O376" s="1000">
        <v>15</v>
      </c>
      <c r="P376" s="1000">
        <v>43</v>
      </c>
      <c r="Q376" s="999" t="s">
        <v>898</v>
      </c>
      <c r="R376" s="999" t="s">
        <v>899</v>
      </c>
      <c r="S376" s="999" t="s">
        <v>900</v>
      </c>
      <c r="T376" s="999" t="s">
        <v>616</v>
      </c>
      <c r="U376" s="1000" t="s">
        <v>54</v>
      </c>
      <c r="V376" s="1000" t="s">
        <v>914</v>
      </c>
      <c r="W376" s="1003">
        <v>18247</v>
      </c>
      <c r="X376" s="1000" t="s">
        <v>930</v>
      </c>
      <c r="Y376" s="1000">
        <v>75</v>
      </c>
      <c r="Z376" s="1000" t="s">
        <v>904</v>
      </c>
      <c r="AA376" s="1000" t="s">
        <v>1179</v>
      </c>
      <c r="AB376" s="1000" t="s">
        <v>925</v>
      </c>
      <c r="AC376" s="1000" t="s">
        <v>907</v>
      </c>
      <c r="AD376" s="1004">
        <v>10126.049999999999</v>
      </c>
      <c r="AE376" s="1004">
        <f t="shared" si="43"/>
        <v>152734.58749999999</v>
      </c>
      <c r="AF376" s="1004">
        <f t="shared" si="47"/>
        <v>152734.58749999999</v>
      </c>
      <c r="AG376" s="1005">
        <f t="shared" si="48"/>
        <v>15.083333333333334</v>
      </c>
      <c r="AH376" s="1005">
        <f t="shared" si="44"/>
        <v>13.727656041452267</v>
      </c>
    </row>
    <row r="377" spans="1:34" x14ac:dyDescent="0.25">
      <c r="A377" s="999">
        <v>17600</v>
      </c>
      <c r="B377" s="999" t="s">
        <v>1478</v>
      </c>
      <c r="C377" s="999" t="s">
        <v>1479</v>
      </c>
      <c r="D377" s="999" t="s">
        <v>894</v>
      </c>
      <c r="E377" s="999" t="s">
        <v>895</v>
      </c>
      <c r="F377" s="999">
        <v>1782231</v>
      </c>
      <c r="G377" s="1000">
        <v>10925139068</v>
      </c>
      <c r="H377" s="999" t="s">
        <v>1483</v>
      </c>
      <c r="I377" s="999" t="s">
        <v>897</v>
      </c>
      <c r="J377" s="1001">
        <v>40291</v>
      </c>
      <c r="K377" s="1001">
        <v>45835</v>
      </c>
      <c r="L377" s="1000">
        <f t="shared" si="45"/>
        <v>182</v>
      </c>
      <c r="M377" s="1002">
        <f t="shared" si="46"/>
        <v>15.166666666666666</v>
      </c>
      <c r="N377" s="1000">
        <v>15</v>
      </c>
      <c r="O377" s="1000">
        <v>15</v>
      </c>
      <c r="P377" s="1000">
        <v>43</v>
      </c>
      <c r="Q377" s="999" t="s">
        <v>898</v>
      </c>
      <c r="R377" s="999" t="s">
        <v>899</v>
      </c>
      <c r="S377" s="999" t="s">
        <v>900</v>
      </c>
      <c r="T377" s="999" t="s">
        <v>1484</v>
      </c>
      <c r="U377" s="1000" t="s">
        <v>55</v>
      </c>
      <c r="V377" s="1000" t="s">
        <v>914</v>
      </c>
      <c r="W377" s="1003">
        <v>16528</v>
      </c>
      <c r="X377" s="1000" t="s">
        <v>903</v>
      </c>
      <c r="Y377" s="1000">
        <v>80</v>
      </c>
      <c r="Z377" s="1000" t="s">
        <v>904</v>
      </c>
      <c r="AA377" s="1000" t="s">
        <v>1244</v>
      </c>
      <c r="AB377" s="1000" t="s">
        <v>911</v>
      </c>
      <c r="AC377" s="1000" t="s">
        <v>907</v>
      </c>
      <c r="AD377" s="1004">
        <v>5333.97</v>
      </c>
      <c r="AE377" s="1004">
        <f t="shared" si="43"/>
        <v>80898.544999999998</v>
      </c>
      <c r="AF377" s="1004">
        <f t="shared" si="47"/>
        <v>80898.544999999998</v>
      </c>
      <c r="AG377" s="1005">
        <f t="shared" si="48"/>
        <v>15.166666666666666</v>
      </c>
      <c r="AH377" s="1005">
        <f t="shared" si="44"/>
        <v>12.772170534435748</v>
      </c>
    </row>
    <row r="378" spans="1:34" x14ac:dyDescent="0.25">
      <c r="A378" s="999">
        <v>17600</v>
      </c>
      <c r="B378" s="999" t="s">
        <v>1478</v>
      </c>
      <c r="C378" s="999" t="s">
        <v>1479</v>
      </c>
      <c r="D378" s="999" t="s">
        <v>894</v>
      </c>
      <c r="E378" s="999" t="s">
        <v>895</v>
      </c>
      <c r="F378" s="999">
        <v>1785276</v>
      </c>
      <c r="G378" s="1000">
        <v>13196561020</v>
      </c>
      <c r="H378" s="999" t="s">
        <v>1485</v>
      </c>
      <c r="I378" s="999" t="s">
        <v>897</v>
      </c>
      <c r="J378" s="1001">
        <v>40298</v>
      </c>
      <c r="K378" s="1001">
        <v>45835</v>
      </c>
      <c r="L378" s="1000">
        <f t="shared" si="45"/>
        <v>181</v>
      </c>
      <c r="M378" s="1002">
        <f t="shared" si="46"/>
        <v>15.083333333333334</v>
      </c>
      <c r="N378" s="1000">
        <v>15</v>
      </c>
      <c r="O378" s="1000">
        <v>15</v>
      </c>
      <c r="P378" s="1000">
        <v>43</v>
      </c>
      <c r="Q378" s="999" t="s">
        <v>898</v>
      </c>
      <c r="R378" s="999" t="s">
        <v>899</v>
      </c>
      <c r="S378" s="999" t="s">
        <v>900</v>
      </c>
      <c r="T378" s="999" t="s">
        <v>1486</v>
      </c>
      <c r="U378" s="1000" t="s">
        <v>55</v>
      </c>
      <c r="V378" s="1000" t="s">
        <v>914</v>
      </c>
      <c r="W378" s="1003">
        <v>18294</v>
      </c>
      <c r="X378" s="1000" t="s">
        <v>903</v>
      </c>
      <c r="Y378" s="1000">
        <v>75</v>
      </c>
      <c r="Z378" s="1000" t="s">
        <v>904</v>
      </c>
      <c r="AA378" s="1000" t="s">
        <v>905</v>
      </c>
      <c r="AB378" s="1000" t="s">
        <v>911</v>
      </c>
      <c r="AC378" s="1000" t="s">
        <v>907</v>
      </c>
      <c r="AD378" s="1004">
        <v>5333.97</v>
      </c>
      <c r="AE378" s="1004">
        <f t="shared" si="43"/>
        <v>80454.047500000001</v>
      </c>
      <c r="AF378" s="1004">
        <f t="shared" si="47"/>
        <v>80454.047500000001</v>
      </c>
      <c r="AG378" s="1005">
        <f t="shared" si="48"/>
        <v>15.083333333333332</v>
      </c>
      <c r="AH378" s="1005">
        <f t="shared" si="44"/>
        <v>12.701993773257531</v>
      </c>
    </row>
    <row r="379" spans="1:34" x14ac:dyDescent="0.25">
      <c r="A379" s="999">
        <v>17500</v>
      </c>
      <c r="B379" s="999" t="s">
        <v>1276</v>
      </c>
      <c r="C379" s="999" t="s">
        <v>1277</v>
      </c>
      <c r="D379" s="999" t="s">
        <v>894</v>
      </c>
      <c r="E379" s="999" t="s">
        <v>895</v>
      </c>
      <c r="F379" s="999">
        <v>1783640</v>
      </c>
      <c r="G379" s="1000">
        <v>506940730</v>
      </c>
      <c r="H379" s="999" t="s">
        <v>1487</v>
      </c>
      <c r="I379" s="999" t="s">
        <v>920</v>
      </c>
      <c r="J379" s="1001">
        <v>40266</v>
      </c>
      <c r="K379" s="1001">
        <v>45835</v>
      </c>
      <c r="L379" s="1000">
        <f t="shared" si="45"/>
        <v>182</v>
      </c>
      <c r="M379" s="1002">
        <f t="shared" si="46"/>
        <v>15.166666666666666</v>
      </c>
      <c r="N379" s="1000">
        <v>15</v>
      </c>
      <c r="O379" s="1000">
        <v>15</v>
      </c>
      <c r="P379" s="1000">
        <v>43</v>
      </c>
      <c r="Q379" s="999" t="s">
        <v>898</v>
      </c>
      <c r="R379" s="999" t="s">
        <v>899</v>
      </c>
      <c r="S379" s="999" t="s">
        <v>900</v>
      </c>
      <c r="T379" s="999" t="s">
        <v>1488</v>
      </c>
      <c r="U379" s="1000" t="s">
        <v>54</v>
      </c>
      <c r="V379" s="1000" t="s">
        <v>914</v>
      </c>
      <c r="W379" s="1003">
        <v>12927</v>
      </c>
      <c r="X379" s="1000" t="s">
        <v>903</v>
      </c>
      <c r="Y379" s="1000">
        <v>89</v>
      </c>
      <c r="Z379" s="1000" t="s">
        <v>904</v>
      </c>
      <c r="AA379" s="1000" t="s">
        <v>905</v>
      </c>
      <c r="AB379" s="1000" t="s">
        <v>925</v>
      </c>
      <c r="AC379" s="1000" t="s">
        <v>907</v>
      </c>
      <c r="AD379" s="1004">
        <v>10126.049999999999</v>
      </c>
      <c r="AE379" s="1004">
        <f t="shared" si="43"/>
        <v>153578.42499999999</v>
      </c>
      <c r="AF379" s="1004">
        <f t="shared" si="47"/>
        <v>153578.42499999999</v>
      </c>
      <c r="AG379" s="1005">
        <f t="shared" si="48"/>
        <v>15.166666666666666</v>
      </c>
      <c r="AH379" s="1005">
        <f t="shared" si="44"/>
        <v>13.803499444996202</v>
      </c>
    </row>
    <row r="380" spans="1:34" x14ac:dyDescent="0.25">
      <c r="A380" s="999">
        <v>17500</v>
      </c>
      <c r="B380" s="999" t="s">
        <v>1276</v>
      </c>
      <c r="C380" s="999" t="s">
        <v>1277</v>
      </c>
      <c r="D380" s="999" t="s">
        <v>894</v>
      </c>
      <c r="E380" s="999" t="s">
        <v>895</v>
      </c>
      <c r="F380" s="999">
        <v>1782607</v>
      </c>
      <c r="G380" s="1000">
        <v>27142019700</v>
      </c>
      <c r="H380" s="999" t="s">
        <v>1489</v>
      </c>
      <c r="I380" s="999" t="s">
        <v>920</v>
      </c>
      <c r="J380" s="1001">
        <v>40295</v>
      </c>
      <c r="K380" s="1001">
        <v>45835</v>
      </c>
      <c r="L380" s="1000">
        <f t="shared" si="45"/>
        <v>182</v>
      </c>
      <c r="M380" s="1002">
        <f t="shared" si="46"/>
        <v>15.166666666666666</v>
      </c>
      <c r="N380" s="1000">
        <v>15</v>
      </c>
      <c r="O380" s="1000">
        <v>15</v>
      </c>
      <c r="P380" s="1000">
        <v>43</v>
      </c>
      <c r="Q380" s="999" t="s">
        <v>898</v>
      </c>
      <c r="R380" s="999" t="s">
        <v>899</v>
      </c>
      <c r="S380" s="999" t="s">
        <v>900</v>
      </c>
      <c r="T380" s="999" t="s">
        <v>1481</v>
      </c>
      <c r="U380" s="1000" t="s">
        <v>55</v>
      </c>
      <c r="V380" s="1000" t="s">
        <v>914</v>
      </c>
      <c r="W380" s="1003">
        <v>18069</v>
      </c>
      <c r="X380" s="1000" t="s">
        <v>903</v>
      </c>
      <c r="Y380" s="1000">
        <v>75</v>
      </c>
      <c r="Z380" s="1000" t="s">
        <v>904</v>
      </c>
      <c r="AA380" s="1000" t="s">
        <v>905</v>
      </c>
      <c r="AB380" s="1000" t="s">
        <v>911</v>
      </c>
      <c r="AC380" s="1000" t="s">
        <v>907</v>
      </c>
      <c r="AD380" s="1004">
        <v>5333.97</v>
      </c>
      <c r="AE380" s="1004">
        <f t="shared" si="43"/>
        <v>80898.544999999998</v>
      </c>
      <c r="AF380" s="1004">
        <f t="shared" si="47"/>
        <v>80898.544999999998</v>
      </c>
      <c r="AG380" s="1005">
        <f t="shared" si="48"/>
        <v>15.166666666666666</v>
      </c>
      <c r="AH380" s="1005">
        <f t="shared" si="44"/>
        <v>12.772170534435748</v>
      </c>
    </row>
    <row r="381" spans="1:34" x14ac:dyDescent="0.25">
      <c r="A381" s="999">
        <v>13300</v>
      </c>
      <c r="B381" s="999" t="s">
        <v>1214</v>
      </c>
      <c r="C381" s="999" t="s">
        <v>421</v>
      </c>
      <c r="D381" s="999" t="s">
        <v>894</v>
      </c>
      <c r="E381" s="999" t="s">
        <v>895</v>
      </c>
      <c r="F381" s="999">
        <v>1671128</v>
      </c>
      <c r="G381" s="1000">
        <v>432474404</v>
      </c>
      <c r="H381" s="999" t="s">
        <v>1490</v>
      </c>
      <c r="I381" s="999" t="s">
        <v>897</v>
      </c>
      <c r="J381" s="1001">
        <v>39791</v>
      </c>
      <c r="K381" s="1001">
        <v>45835</v>
      </c>
      <c r="L381" s="1000">
        <f t="shared" si="45"/>
        <v>198</v>
      </c>
      <c r="M381" s="1002">
        <f t="shared" si="46"/>
        <v>16.5</v>
      </c>
      <c r="N381" s="1000">
        <v>16</v>
      </c>
      <c r="O381" s="1000">
        <v>16</v>
      </c>
      <c r="P381" s="1000">
        <v>43</v>
      </c>
      <c r="Q381" s="999" t="s">
        <v>898</v>
      </c>
      <c r="R381" s="999" t="s">
        <v>899</v>
      </c>
      <c r="S381" s="999" t="s">
        <v>900</v>
      </c>
      <c r="T381" s="999" t="s">
        <v>1196</v>
      </c>
      <c r="U381" s="1000" t="s">
        <v>54</v>
      </c>
      <c r="V381" s="1000" t="s">
        <v>914</v>
      </c>
      <c r="W381" s="1003">
        <v>15583</v>
      </c>
      <c r="X381" s="1000" t="s">
        <v>903</v>
      </c>
      <c r="Y381" s="1000">
        <v>82</v>
      </c>
      <c r="Z381" s="1000" t="s">
        <v>904</v>
      </c>
      <c r="AA381" s="1000" t="s">
        <v>1291</v>
      </c>
      <c r="AB381" s="1000" t="s">
        <v>925</v>
      </c>
      <c r="AC381" s="1000" t="s">
        <v>907</v>
      </c>
      <c r="AD381" s="1004">
        <v>10126.049999999999</v>
      </c>
      <c r="AE381" s="1004">
        <f t="shared" si="43"/>
        <v>167079.82499999998</v>
      </c>
      <c r="AF381" s="1004">
        <f t="shared" si="47"/>
        <v>167079.82499999998</v>
      </c>
      <c r="AG381" s="1005">
        <f t="shared" si="48"/>
        <v>16.5</v>
      </c>
      <c r="AH381" s="1005">
        <f t="shared" si="44"/>
        <v>15.016993901699164</v>
      </c>
    </row>
    <row r="382" spans="1:34" x14ac:dyDescent="0.25">
      <c r="A382" s="999">
        <v>17500</v>
      </c>
      <c r="B382" s="999" t="s">
        <v>1276</v>
      </c>
      <c r="C382" s="999" t="s">
        <v>1277</v>
      </c>
      <c r="D382" s="999" t="s">
        <v>894</v>
      </c>
      <c r="E382" s="999" t="s">
        <v>895</v>
      </c>
      <c r="F382" s="999">
        <v>1781612</v>
      </c>
      <c r="G382" s="1000">
        <v>20233370625</v>
      </c>
      <c r="H382" s="999" t="s">
        <v>1491</v>
      </c>
      <c r="I382" s="999" t="s">
        <v>897</v>
      </c>
      <c r="J382" s="1001">
        <v>40301</v>
      </c>
      <c r="K382" s="1001">
        <v>45835</v>
      </c>
      <c r="L382" s="1000">
        <f t="shared" si="45"/>
        <v>181</v>
      </c>
      <c r="M382" s="1002">
        <f t="shared" si="46"/>
        <v>15.083333333333334</v>
      </c>
      <c r="N382" s="1000">
        <v>15</v>
      </c>
      <c r="O382" s="1000">
        <v>15</v>
      </c>
      <c r="P382" s="1000">
        <v>43</v>
      </c>
      <c r="Q382" s="999" t="s">
        <v>898</v>
      </c>
      <c r="R382" s="999" t="s">
        <v>899</v>
      </c>
      <c r="S382" s="999" t="s">
        <v>900</v>
      </c>
      <c r="T382" s="999" t="s">
        <v>1492</v>
      </c>
      <c r="U382" s="1000" t="s">
        <v>55</v>
      </c>
      <c r="V382" s="1000" t="s">
        <v>902</v>
      </c>
      <c r="W382" s="1003">
        <v>17544</v>
      </c>
      <c r="X382" s="1000" t="s">
        <v>903</v>
      </c>
      <c r="Y382" s="1000">
        <v>77</v>
      </c>
      <c r="Z382" s="1000" t="s">
        <v>904</v>
      </c>
      <c r="AA382" s="1000" t="s">
        <v>905</v>
      </c>
      <c r="AB382" s="1000" t="s">
        <v>911</v>
      </c>
      <c r="AC382" s="1000" t="s">
        <v>907</v>
      </c>
      <c r="AD382" s="1004">
        <v>5333.97</v>
      </c>
      <c r="AE382" s="1004">
        <f t="shared" si="43"/>
        <v>80454.047500000001</v>
      </c>
      <c r="AF382" s="1004">
        <f t="shared" si="47"/>
        <v>80454.047500000001</v>
      </c>
      <c r="AG382" s="1005">
        <f t="shared" si="48"/>
        <v>15.083333333333332</v>
      </c>
      <c r="AH382" s="1005">
        <f t="shared" si="44"/>
        <v>12.701993773257531</v>
      </c>
    </row>
    <row r="383" spans="1:34" x14ac:dyDescent="0.25">
      <c r="A383" s="999">
        <v>13300</v>
      </c>
      <c r="B383" s="999" t="s">
        <v>1214</v>
      </c>
      <c r="C383" s="999" t="s">
        <v>421</v>
      </c>
      <c r="D383" s="999" t="s">
        <v>894</v>
      </c>
      <c r="E383" s="999" t="s">
        <v>895</v>
      </c>
      <c r="F383" s="999">
        <v>1671620</v>
      </c>
      <c r="G383" s="1000">
        <v>1655795953</v>
      </c>
      <c r="H383" s="999" t="s">
        <v>1493</v>
      </c>
      <c r="I383" s="999" t="s">
        <v>897</v>
      </c>
      <c r="J383" s="1001">
        <v>39800</v>
      </c>
      <c r="K383" s="1001">
        <v>45835</v>
      </c>
      <c r="L383" s="1000">
        <f t="shared" si="45"/>
        <v>198</v>
      </c>
      <c r="M383" s="1002">
        <f t="shared" si="46"/>
        <v>16.5</v>
      </c>
      <c r="N383" s="1000">
        <v>16</v>
      </c>
      <c r="O383" s="1000">
        <v>16</v>
      </c>
      <c r="P383" s="1000">
        <v>43</v>
      </c>
      <c r="Q383" s="999" t="s">
        <v>898</v>
      </c>
      <c r="R383" s="999" t="s">
        <v>899</v>
      </c>
      <c r="S383" s="999" t="s">
        <v>900</v>
      </c>
      <c r="T383" s="999" t="s">
        <v>924</v>
      </c>
      <c r="U383" s="1000" t="s">
        <v>55</v>
      </c>
      <c r="V383" s="1000" t="s">
        <v>914</v>
      </c>
      <c r="W383" s="1003">
        <v>17124</v>
      </c>
      <c r="X383" s="1000" t="s">
        <v>903</v>
      </c>
      <c r="Y383" s="1000">
        <v>78</v>
      </c>
      <c r="Z383" s="1000" t="s">
        <v>904</v>
      </c>
      <c r="AA383" s="1000" t="s">
        <v>1268</v>
      </c>
      <c r="AB383" s="1000" t="s">
        <v>911</v>
      </c>
      <c r="AC383" s="1000" t="s">
        <v>907</v>
      </c>
      <c r="AD383" s="1004">
        <v>23880.47</v>
      </c>
      <c r="AE383" s="1004">
        <f t="shared" si="43"/>
        <v>394027.755</v>
      </c>
      <c r="AF383" s="1004">
        <v>350000</v>
      </c>
      <c r="AG383" s="1005">
        <f t="shared" si="48"/>
        <v>14.6563279533443</v>
      </c>
      <c r="AH383" s="1005">
        <f t="shared" si="44"/>
        <v>14.067258375746116</v>
      </c>
    </row>
    <row r="384" spans="1:34" x14ac:dyDescent="0.25">
      <c r="A384" s="999">
        <v>13300</v>
      </c>
      <c r="B384" s="999" t="s">
        <v>1214</v>
      </c>
      <c r="C384" s="999" t="s">
        <v>421</v>
      </c>
      <c r="D384" s="999" t="s">
        <v>894</v>
      </c>
      <c r="E384" s="999" t="s">
        <v>895</v>
      </c>
      <c r="F384" s="999">
        <v>1670963</v>
      </c>
      <c r="G384" s="1000">
        <v>19595760625</v>
      </c>
      <c r="H384" s="999" t="s">
        <v>1494</v>
      </c>
      <c r="I384" s="999" t="s">
        <v>897</v>
      </c>
      <c r="J384" s="1001">
        <v>39819</v>
      </c>
      <c r="K384" s="1001">
        <v>45835</v>
      </c>
      <c r="L384" s="1000">
        <f t="shared" si="45"/>
        <v>197</v>
      </c>
      <c r="M384" s="1002">
        <f t="shared" si="46"/>
        <v>16.416666666666668</v>
      </c>
      <c r="N384" s="1000">
        <v>16</v>
      </c>
      <c r="O384" s="1000">
        <v>16</v>
      </c>
      <c r="P384" s="1000">
        <v>43</v>
      </c>
      <c r="Q384" s="999" t="s">
        <v>898</v>
      </c>
      <c r="R384" s="999" t="s">
        <v>899</v>
      </c>
      <c r="S384" s="999" t="s">
        <v>900</v>
      </c>
      <c r="T384" s="999" t="s">
        <v>924</v>
      </c>
      <c r="U384" s="1000" t="s">
        <v>55</v>
      </c>
      <c r="V384" s="1000" t="s">
        <v>910</v>
      </c>
      <c r="W384" s="1003">
        <v>17286</v>
      </c>
      <c r="X384" s="1000" t="s">
        <v>903</v>
      </c>
      <c r="Y384" s="1000">
        <v>77</v>
      </c>
      <c r="Z384" s="1000" t="s">
        <v>904</v>
      </c>
      <c r="AA384" s="1000" t="s">
        <v>1174</v>
      </c>
      <c r="AB384" s="1000" t="s">
        <v>911</v>
      </c>
      <c r="AC384" s="1000" t="s">
        <v>907</v>
      </c>
      <c r="AD384" s="1004">
        <v>5333.97</v>
      </c>
      <c r="AE384" s="1004">
        <f t="shared" si="43"/>
        <v>87566.007500000007</v>
      </c>
      <c r="AF384" s="1004">
        <f t="shared" si="47"/>
        <v>87566.007500000007</v>
      </c>
      <c r="AG384" s="1005">
        <f t="shared" si="48"/>
        <v>16.416666666666668</v>
      </c>
      <c r="AH384" s="1005">
        <f t="shared" si="44"/>
        <v>13.824821952109025</v>
      </c>
    </row>
    <row r="385" spans="1:34" x14ac:dyDescent="0.25">
      <c r="A385" s="999">
        <v>17500</v>
      </c>
      <c r="B385" s="999" t="s">
        <v>1276</v>
      </c>
      <c r="C385" s="999" t="s">
        <v>1277</v>
      </c>
      <c r="D385" s="999" t="s">
        <v>894</v>
      </c>
      <c r="E385" s="999" t="s">
        <v>895</v>
      </c>
      <c r="F385" s="999">
        <v>1780688</v>
      </c>
      <c r="G385" s="1000">
        <v>3116778787</v>
      </c>
      <c r="H385" s="999" t="s">
        <v>1495</v>
      </c>
      <c r="I385" s="999" t="s">
        <v>920</v>
      </c>
      <c r="J385" s="1001">
        <v>40297</v>
      </c>
      <c r="K385" s="1001">
        <v>45835</v>
      </c>
      <c r="L385" s="1000">
        <f t="shared" si="45"/>
        <v>181</v>
      </c>
      <c r="M385" s="1002">
        <f t="shared" si="46"/>
        <v>15.083333333333334</v>
      </c>
      <c r="N385" s="1000">
        <v>15</v>
      </c>
      <c r="O385" s="1000">
        <v>15</v>
      </c>
      <c r="P385" s="1000">
        <v>43</v>
      </c>
      <c r="Q385" s="999" t="s">
        <v>898</v>
      </c>
      <c r="R385" s="999" t="s">
        <v>899</v>
      </c>
      <c r="S385" s="999" t="s">
        <v>900</v>
      </c>
      <c r="T385" s="999" t="s">
        <v>1486</v>
      </c>
      <c r="U385" s="1000" t="s">
        <v>55</v>
      </c>
      <c r="V385" s="1000" t="s">
        <v>914</v>
      </c>
      <c r="W385" s="1003">
        <v>14767</v>
      </c>
      <c r="X385" s="1000" t="s">
        <v>903</v>
      </c>
      <c r="Y385" s="1000">
        <v>84</v>
      </c>
      <c r="Z385" s="1000" t="s">
        <v>904</v>
      </c>
      <c r="AA385" s="1000" t="s">
        <v>905</v>
      </c>
      <c r="AB385" s="1000" t="s">
        <v>911</v>
      </c>
      <c r="AC385" s="1000" t="s">
        <v>907</v>
      </c>
      <c r="AD385" s="1004">
        <v>5333.97</v>
      </c>
      <c r="AE385" s="1004">
        <f t="shared" si="43"/>
        <v>80454.047500000001</v>
      </c>
      <c r="AF385" s="1004">
        <f t="shared" si="47"/>
        <v>80454.047500000001</v>
      </c>
      <c r="AG385" s="1005">
        <f t="shared" si="48"/>
        <v>15.083333333333332</v>
      </c>
      <c r="AH385" s="1005">
        <f t="shared" si="44"/>
        <v>12.701993773257531</v>
      </c>
    </row>
    <row r="386" spans="1:34" x14ac:dyDescent="0.25">
      <c r="A386" s="999">
        <v>13300</v>
      </c>
      <c r="B386" s="999" t="s">
        <v>1214</v>
      </c>
      <c r="C386" s="999" t="s">
        <v>421</v>
      </c>
      <c r="D386" s="999" t="s">
        <v>894</v>
      </c>
      <c r="E386" s="999" t="s">
        <v>895</v>
      </c>
      <c r="F386" s="999">
        <v>1671245</v>
      </c>
      <c r="G386" s="1000">
        <v>28404874700</v>
      </c>
      <c r="H386" s="999" t="s">
        <v>1496</v>
      </c>
      <c r="I386" s="999" t="s">
        <v>897</v>
      </c>
      <c r="J386" s="1001">
        <v>39815</v>
      </c>
      <c r="K386" s="1001">
        <v>45835</v>
      </c>
      <c r="L386" s="1000">
        <f t="shared" si="45"/>
        <v>197</v>
      </c>
      <c r="M386" s="1002">
        <f t="shared" si="46"/>
        <v>16.416666666666668</v>
      </c>
      <c r="N386" s="1000">
        <v>16</v>
      </c>
      <c r="O386" s="1000">
        <v>16</v>
      </c>
      <c r="P386" s="1000">
        <v>43</v>
      </c>
      <c r="Q386" s="999" t="s">
        <v>898</v>
      </c>
      <c r="R386" s="999" t="s">
        <v>899</v>
      </c>
      <c r="S386" s="999" t="s">
        <v>900</v>
      </c>
      <c r="T386" s="999" t="s">
        <v>924</v>
      </c>
      <c r="U386" s="1000" t="s">
        <v>55</v>
      </c>
      <c r="V386" s="1000" t="s">
        <v>910</v>
      </c>
      <c r="W386" s="1003">
        <v>18179</v>
      </c>
      <c r="X386" s="1000" t="s">
        <v>903</v>
      </c>
      <c r="Y386" s="1000">
        <v>75</v>
      </c>
      <c r="Z386" s="1000" t="s">
        <v>904</v>
      </c>
      <c r="AA386" s="1000" t="s">
        <v>1179</v>
      </c>
      <c r="AB386" s="1000" t="s">
        <v>911</v>
      </c>
      <c r="AC386" s="1000" t="s">
        <v>907</v>
      </c>
      <c r="AD386" s="1004">
        <v>5333.97</v>
      </c>
      <c r="AE386" s="1004">
        <f t="shared" si="43"/>
        <v>87566.007500000007</v>
      </c>
      <c r="AF386" s="1004">
        <f t="shared" si="47"/>
        <v>87566.007500000007</v>
      </c>
      <c r="AG386" s="1005">
        <f t="shared" si="48"/>
        <v>16.416666666666668</v>
      </c>
      <c r="AH386" s="1005">
        <f t="shared" si="44"/>
        <v>13.824821952109025</v>
      </c>
    </row>
    <row r="387" spans="1:34" x14ac:dyDescent="0.25">
      <c r="A387" s="999">
        <v>17500</v>
      </c>
      <c r="B387" s="999" t="s">
        <v>1276</v>
      </c>
      <c r="C387" s="999" t="s">
        <v>1277</v>
      </c>
      <c r="D387" s="999" t="s">
        <v>894</v>
      </c>
      <c r="E387" s="999" t="s">
        <v>895</v>
      </c>
      <c r="F387" s="999">
        <v>1305690</v>
      </c>
      <c r="G387" s="1000">
        <v>1031872353</v>
      </c>
      <c r="H387" s="999" t="s">
        <v>1497</v>
      </c>
      <c r="I387" s="999" t="s">
        <v>897</v>
      </c>
      <c r="J387" s="1001">
        <v>42368</v>
      </c>
      <c r="K387" s="1001">
        <v>45835</v>
      </c>
      <c r="L387" s="1000">
        <f t="shared" si="45"/>
        <v>113</v>
      </c>
      <c r="M387" s="1002">
        <f t="shared" si="46"/>
        <v>9.4166666666666661</v>
      </c>
      <c r="N387" s="1000">
        <v>9</v>
      </c>
      <c r="O387" s="1000">
        <v>10</v>
      </c>
      <c r="P387" s="1000">
        <v>43</v>
      </c>
      <c r="Q387" s="999" t="s">
        <v>898</v>
      </c>
      <c r="R387" s="999" t="s">
        <v>899</v>
      </c>
      <c r="S387" s="999" t="s">
        <v>900</v>
      </c>
      <c r="T387" s="999" t="s">
        <v>1498</v>
      </c>
      <c r="U387" s="1000" t="s">
        <v>55</v>
      </c>
      <c r="V387" s="1000" t="s">
        <v>914</v>
      </c>
      <c r="W387" s="1003">
        <v>16127</v>
      </c>
      <c r="X387" s="1000" t="s">
        <v>903</v>
      </c>
      <c r="Y387" s="1000">
        <v>81</v>
      </c>
      <c r="Z387" s="1000" t="s">
        <v>904</v>
      </c>
      <c r="AA387" s="1000" t="s">
        <v>905</v>
      </c>
      <c r="AB387" s="1000" t="s">
        <v>911</v>
      </c>
      <c r="AC387" s="1000" t="s">
        <v>907</v>
      </c>
      <c r="AD387" s="1004">
        <v>5333.97</v>
      </c>
      <c r="AE387" s="1004">
        <f t="shared" si="43"/>
        <v>50228.217499999999</v>
      </c>
      <c r="AF387" s="1004">
        <f t="shared" si="47"/>
        <v>50228.217499999999</v>
      </c>
      <c r="AG387" s="1005">
        <f t="shared" si="48"/>
        <v>9.4166666666666661</v>
      </c>
      <c r="AH387" s="1005">
        <f t="shared" si="44"/>
        <v>7.9299740131386791</v>
      </c>
    </row>
    <row r="388" spans="1:34" x14ac:dyDescent="0.25">
      <c r="A388" s="999">
        <v>17500</v>
      </c>
      <c r="B388" s="999" t="s">
        <v>1276</v>
      </c>
      <c r="C388" s="999" t="s">
        <v>1277</v>
      </c>
      <c r="D388" s="999" t="s">
        <v>894</v>
      </c>
      <c r="E388" s="999" t="s">
        <v>895</v>
      </c>
      <c r="F388" s="999">
        <v>1248488</v>
      </c>
      <c r="G388" s="1000">
        <v>4284887149</v>
      </c>
      <c r="H388" s="999" t="s">
        <v>1499</v>
      </c>
      <c r="I388" s="999" t="s">
        <v>897</v>
      </c>
      <c r="J388" s="1001">
        <v>42247</v>
      </c>
      <c r="K388" s="1001">
        <v>45835</v>
      </c>
      <c r="L388" s="1000">
        <f t="shared" si="45"/>
        <v>117</v>
      </c>
      <c r="M388" s="1002">
        <f t="shared" si="46"/>
        <v>9.75</v>
      </c>
      <c r="N388" s="1000">
        <v>9</v>
      </c>
      <c r="O388" s="1000">
        <v>10</v>
      </c>
      <c r="P388" s="1000">
        <v>43</v>
      </c>
      <c r="Q388" s="999" t="s">
        <v>898</v>
      </c>
      <c r="R388" s="999" t="s">
        <v>899</v>
      </c>
      <c r="S388" s="999" t="s">
        <v>900</v>
      </c>
      <c r="T388" s="999" t="s">
        <v>1500</v>
      </c>
      <c r="U388" s="1000"/>
      <c r="V388" s="1000" t="s">
        <v>902</v>
      </c>
      <c r="W388" s="1003">
        <v>14380</v>
      </c>
      <c r="X388" s="1000" t="s">
        <v>903</v>
      </c>
      <c r="Y388" s="1000">
        <v>85</v>
      </c>
      <c r="Z388" s="1000" t="s">
        <v>904</v>
      </c>
      <c r="AA388" s="1000" t="s">
        <v>905</v>
      </c>
      <c r="AB388" s="1000" t="s">
        <v>1134</v>
      </c>
      <c r="AC388" s="1000" t="s">
        <v>907</v>
      </c>
      <c r="AD388" s="1004">
        <v>3417.68</v>
      </c>
      <c r="AE388" s="1004">
        <f t="shared" si="43"/>
        <v>33322.379999999997</v>
      </c>
      <c r="AF388" s="1004">
        <f t="shared" si="47"/>
        <v>33322.379999999997</v>
      </c>
      <c r="AG388" s="1005">
        <f t="shared" si="48"/>
        <v>9.75</v>
      </c>
      <c r="AH388" s="1005">
        <f t="shared" si="44"/>
        <v>7.5429592003042307</v>
      </c>
    </row>
    <row r="389" spans="1:34" x14ac:dyDescent="0.25">
      <c r="A389" s="999">
        <v>13300</v>
      </c>
      <c r="B389" s="999" t="s">
        <v>1214</v>
      </c>
      <c r="C389" s="999" t="s">
        <v>421</v>
      </c>
      <c r="D389" s="999" t="s">
        <v>894</v>
      </c>
      <c r="E389" s="999" t="s">
        <v>895</v>
      </c>
      <c r="F389" s="999">
        <v>1670755</v>
      </c>
      <c r="G389" s="1000">
        <v>27164276668</v>
      </c>
      <c r="H389" s="999" t="s">
        <v>1501</v>
      </c>
      <c r="I389" s="999" t="s">
        <v>897</v>
      </c>
      <c r="J389" s="1001">
        <v>39815</v>
      </c>
      <c r="K389" s="1001">
        <v>45835</v>
      </c>
      <c r="L389" s="1000">
        <f t="shared" si="45"/>
        <v>197</v>
      </c>
      <c r="M389" s="1002">
        <f t="shared" si="46"/>
        <v>16.416666666666668</v>
      </c>
      <c r="N389" s="1000">
        <v>16</v>
      </c>
      <c r="O389" s="1000">
        <v>16</v>
      </c>
      <c r="P389" s="1000">
        <v>43</v>
      </c>
      <c r="Q389" s="999" t="s">
        <v>898</v>
      </c>
      <c r="R389" s="999" t="s">
        <v>899</v>
      </c>
      <c r="S389" s="999" t="s">
        <v>900</v>
      </c>
      <c r="T389" s="999" t="s">
        <v>924</v>
      </c>
      <c r="U389" s="1000" t="s">
        <v>55</v>
      </c>
      <c r="V389" s="1000" t="s">
        <v>914</v>
      </c>
      <c r="W389" s="1003">
        <v>15234</v>
      </c>
      <c r="X389" s="1000" t="s">
        <v>903</v>
      </c>
      <c r="Y389" s="1000">
        <v>83</v>
      </c>
      <c r="Z389" s="1000" t="s">
        <v>904</v>
      </c>
      <c r="AA389" s="1000" t="s">
        <v>1174</v>
      </c>
      <c r="AB389" s="1000" t="s">
        <v>911</v>
      </c>
      <c r="AC389" s="1000" t="s">
        <v>907</v>
      </c>
      <c r="AD389" s="1004">
        <v>5333.97</v>
      </c>
      <c r="AE389" s="1004">
        <f t="shared" ref="AE389:AE451" si="49">AD389*M389</f>
        <v>87566.007500000007</v>
      </c>
      <c r="AF389" s="1004">
        <f t="shared" si="47"/>
        <v>87566.007500000007</v>
      </c>
      <c r="AG389" s="1005">
        <f t="shared" si="48"/>
        <v>16.416666666666668</v>
      </c>
      <c r="AH389" s="1005">
        <f t="shared" ref="AH389:AH451" si="50">AF389/(AD389+1000)</f>
        <v>13.824821952109025</v>
      </c>
    </row>
    <row r="390" spans="1:34" x14ac:dyDescent="0.25">
      <c r="A390" s="999">
        <v>54100</v>
      </c>
      <c r="B390" s="999" t="s">
        <v>1502</v>
      </c>
      <c r="C390" s="999" t="s">
        <v>1503</v>
      </c>
      <c r="D390" s="999" t="s">
        <v>894</v>
      </c>
      <c r="E390" s="999" t="s">
        <v>895</v>
      </c>
      <c r="F390" s="999">
        <v>1720420</v>
      </c>
      <c r="G390" s="1000">
        <v>13287214691</v>
      </c>
      <c r="H390" s="999" t="s">
        <v>1504</v>
      </c>
      <c r="I390" s="999" t="s">
        <v>1444</v>
      </c>
      <c r="J390" s="1001">
        <v>45108</v>
      </c>
      <c r="K390" s="1001">
        <v>45835</v>
      </c>
      <c r="L390" s="1000">
        <f t="shared" ref="L390:L452" si="51">DATEDIF(J390,K390, "m")</f>
        <v>23</v>
      </c>
      <c r="M390" s="1002">
        <f t="shared" ref="M390:M452" si="52">L390/12</f>
        <v>1.9166666666666667</v>
      </c>
      <c r="N390" s="1000">
        <v>1</v>
      </c>
      <c r="O390" s="1000">
        <v>10</v>
      </c>
      <c r="P390" s="1000">
        <v>8</v>
      </c>
      <c r="Q390" s="999" t="s">
        <v>1445</v>
      </c>
      <c r="R390" s="999" t="s">
        <v>899</v>
      </c>
      <c r="S390" s="999" t="s">
        <v>900</v>
      </c>
      <c r="T390" s="999" t="s">
        <v>1505</v>
      </c>
      <c r="U390" s="1000" t="s">
        <v>54</v>
      </c>
      <c r="V390" s="1000" t="s">
        <v>914</v>
      </c>
      <c r="W390" s="1003">
        <v>17386</v>
      </c>
      <c r="X390" s="1000" t="s">
        <v>903</v>
      </c>
      <c r="Y390" s="1000">
        <v>77</v>
      </c>
      <c r="Z390" s="1000" t="s">
        <v>904</v>
      </c>
      <c r="AA390" s="1000" t="s">
        <v>905</v>
      </c>
      <c r="AB390" s="1000" t="s">
        <v>925</v>
      </c>
      <c r="AC390" s="1000" t="s">
        <v>907</v>
      </c>
      <c r="AD390" s="1004">
        <v>10126.049999999999</v>
      </c>
      <c r="AE390" s="1004">
        <f t="shared" si="49"/>
        <v>19408.262500000001</v>
      </c>
      <c r="AF390" s="1004">
        <f t="shared" ref="AF390:AF452" si="53">AE390</f>
        <v>19408.262500000001</v>
      </c>
      <c r="AG390" s="1005">
        <f t="shared" si="48"/>
        <v>1.916666666666667</v>
      </c>
      <c r="AH390" s="1005">
        <f t="shared" si="50"/>
        <v>1.7443982815105092</v>
      </c>
    </row>
    <row r="391" spans="1:34" x14ac:dyDescent="0.25">
      <c r="A391" s="999">
        <v>17500</v>
      </c>
      <c r="B391" s="999" t="s">
        <v>1276</v>
      </c>
      <c r="C391" s="999" t="s">
        <v>1277</v>
      </c>
      <c r="D391" s="999" t="s">
        <v>894</v>
      </c>
      <c r="E391" s="999" t="s">
        <v>895</v>
      </c>
      <c r="F391" s="999">
        <v>1308890</v>
      </c>
      <c r="G391" s="1000">
        <v>21296049000</v>
      </c>
      <c r="H391" s="999" t="s">
        <v>1506</v>
      </c>
      <c r="I391" s="999" t="s">
        <v>897</v>
      </c>
      <c r="J391" s="1001">
        <v>44812</v>
      </c>
      <c r="K391" s="1001">
        <v>45835</v>
      </c>
      <c r="L391" s="1000">
        <f t="shared" si="51"/>
        <v>33</v>
      </c>
      <c r="M391" s="1002">
        <f t="shared" si="52"/>
        <v>2.75</v>
      </c>
      <c r="N391" s="1000">
        <v>2</v>
      </c>
      <c r="O391" s="1000">
        <v>10</v>
      </c>
      <c r="P391" s="1000">
        <v>43</v>
      </c>
      <c r="Q391" s="999" t="s">
        <v>898</v>
      </c>
      <c r="R391" s="999" t="s">
        <v>899</v>
      </c>
      <c r="S391" s="999" t="s">
        <v>900</v>
      </c>
      <c r="T391" s="999" t="s">
        <v>1486</v>
      </c>
      <c r="U391" s="1000" t="s">
        <v>55</v>
      </c>
      <c r="V391" s="1000" t="s">
        <v>914</v>
      </c>
      <c r="W391" s="1003">
        <v>18255</v>
      </c>
      <c r="X391" s="1000" t="s">
        <v>903</v>
      </c>
      <c r="Y391" s="1000">
        <v>75</v>
      </c>
      <c r="Z391" s="1000" t="s">
        <v>904</v>
      </c>
      <c r="AA391" s="1000" t="s">
        <v>905</v>
      </c>
      <c r="AB391" s="1000" t="s">
        <v>911</v>
      </c>
      <c r="AC391" s="1000" t="s">
        <v>907</v>
      </c>
      <c r="AD391" s="1004">
        <v>5485.93</v>
      </c>
      <c r="AE391" s="1004">
        <f t="shared" si="49"/>
        <v>15086.307500000001</v>
      </c>
      <c r="AF391" s="1004">
        <f t="shared" si="53"/>
        <v>15086.307500000001</v>
      </c>
      <c r="AG391" s="1005">
        <f t="shared" si="48"/>
        <v>2.75</v>
      </c>
      <c r="AH391" s="1005">
        <f t="shared" si="50"/>
        <v>2.3260052914539626</v>
      </c>
    </row>
    <row r="392" spans="1:34" x14ac:dyDescent="0.25">
      <c r="A392" s="999">
        <v>54100</v>
      </c>
      <c r="B392" s="999" t="s">
        <v>1502</v>
      </c>
      <c r="C392" s="999" t="s">
        <v>1503</v>
      </c>
      <c r="D392" s="999" t="s">
        <v>894</v>
      </c>
      <c r="E392" s="999" t="s">
        <v>895</v>
      </c>
      <c r="F392" s="999">
        <v>1718742</v>
      </c>
      <c r="G392" s="1000">
        <v>3351050763</v>
      </c>
      <c r="H392" s="999" t="s">
        <v>1507</v>
      </c>
      <c r="I392" s="999" t="s">
        <v>1444</v>
      </c>
      <c r="J392" s="1001">
        <v>45108</v>
      </c>
      <c r="K392" s="1001">
        <v>45835</v>
      </c>
      <c r="L392" s="1000">
        <f t="shared" si="51"/>
        <v>23</v>
      </c>
      <c r="M392" s="1002">
        <f t="shared" si="52"/>
        <v>1.9166666666666667</v>
      </c>
      <c r="N392" s="1000">
        <v>1</v>
      </c>
      <c r="O392" s="1000">
        <v>10</v>
      </c>
      <c r="P392" s="1000">
        <v>8</v>
      </c>
      <c r="Q392" s="999" t="s">
        <v>1445</v>
      </c>
      <c r="R392" s="999" t="s">
        <v>899</v>
      </c>
      <c r="S392" s="999" t="s">
        <v>900</v>
      </c>
      <c r="T392" s="999" t="s">
        <v>1508</v>
      </c>
      <c r="U392" s="1000" t="s">
        <v>54</v>
      </c>
      <c r="V392" s="1000" t="s">
        <v>914</v>
      </c>
      <c r="W392" s="1003">
        <v>13401</v>
      </c>
      <c r="X392" s="1000" t="s">
        <v>903</v>
      </c>
      <c r="Y392" s="1000">
        <v>88</v>
      </c>
      <c r="Z392" s="1000" t="s">
        <v>904</v>
      </c>
      <c r="AA392" s="1000" t="s">
        <v>905</v>
      </c>
      <c r="AB392" s="1000" t="s">
        <v>925</v>
      </c>
      <c r="AC392" s="1000" t="s">
        <v>907</v>
      </c>
      <c r="AD392" s="1004">
        <v>10126.049999999999</v>
      </c>
      <c r="AE392" s="1004">
        <f t="shared" si="49"/>
        <v>19408.262500000001</v>
      </c>
      <c r="AF392" s="1004">
        <f t="shared" si="53"/>
        <v>19408.262500000001</v>
      </c>
      <c r="AG392" s="1005">
        <f t="shared" si="48"/>
        <v>1.916666666666667</v>
      </c>
      <c r="AH392" s="1005">
        <f t="shared" si="50"/>
        <v>1.7443982815105092</v>
      </c>
    </row>
    <row r="393" spans="1:34" x14ac:dyDescent="0.25">
      <c r="A393" s="999">
        <v>54100</v>
      </c>
      <c r="B393" s="999" t="s">
        <v>1502</v>
      </c>
      <c r="C393" s="999" t="s">
        <v>1503</v>
      </c>
      <c r="D393" s="999" t="s">
        <v>894</v>
      </c>
      <c r="E393" s="999" t="s">
        <v>895</v>
      </c>
      <c r="F393" s="999">
        <v>1717701</v>
      </c>
      <c r="G393" s="1000">
        <v>9849505753</v>
      </c>
      <c r="H393" s="999" t="s">
        <v>1509</v>
      </c>
      <c r="I393" s="999" t="s">
        <v>1444</v>
      </c>
      <c r="J393" s="1001">
        <v>45108</v>
      </c>
      <c r="K393" s="1001">
        <v>45835</v>
      </c>
      <c r="L393" s="1000">
        <f t="shared" si="51"/>
        <v>23</v>
      </c>
      <c r="M393" s="1002">
        <f t="shared" si="52"/>
        <v>1.9166666666666667</v>
      </c>
      <c r="N393" s="1000">
        <v>1</v>
      </c>
      <c r="O393" s="1000">
        <v>10</v>
      </c>
      <c r="P393" s="1000">
        <v>8</v>
      </c>
      <c r="Q393" s="999" t="s">
        <v>1445</v>
      </c>
      <c r="R393" s="999" t="s">
        <v>899</v>
      </c>
      <c r="S393" s="999" t="s">
        <v>900</v>
      </c>
      <c r="T393" s="999" t="s">
        <v>924</v>
      </c>
      <c r="U393" s="1000" t="s">
        <v>55</v>
      </c>
      <c r="V393" s="1000" t="s">
        <v>914</v>
      </c>
      <c r="W393" s="1003">
        <v>17193</v>
      </c>
      <c r="X393" s="1000" t="s">
        <v>930</v>
      </c>
      <c r="Y393" s="1000">
        <v>78</v>
      </c>
      <c r="Z393" s="1000" t="s">
        <v>904</v>
      </c>
      <c r="AA393" s="1000" t="s">
        <v>905</v>
      </c>
      <c r="AB393" s="1000" t="s">
        <v>911</v>
      </c>
      <c r="AC393" s="1000" t="s">
        <v>907</v>
      </c>
      <c r="AD393" s="1004">
        <v>5333.97</v>
      </c>
      <c r="AE393" s="1004">
        <f t="shared" si="49"/>
        <v>10223.442500000001</v>
      </c>
      <c r="AF393" s="1004">
        <f t="shared" si="53"/>
        <v>10223.442500000001</v>
      </c>
      <c r="AG393" s="1005">
        <f t="shared" si="48"/>
        <v>1.9166666666666667</v>
      </c>
      <c r="AH393" s="1005">
        <f t="shared" si="50"/>
        <v>1.6140655070990233</v>
      </c>
    </row>
    <row r="394" spans="1:34" x14ac:dyDescent="0.25">
      <c r="A394" s="999">
        <v>54100</v>
      </c>
      <c r="B394" s="999" t="s">
        <v>1502</v>
      </c>
      <c r="C394" s="999" t="s">
        <v>1503</v>
      </c>
      <c r="D394" s="999" t="s">
        <v>894</v>
      </c>
      <c r="E394" s="999" t="s">
        <v>895</v>
      </c>
      <c r="F394" s="999">
        <v>1718713</v>
      </c>
      <c r="G394" s="1000">
        <v>23257636768</v>
      </c>
      <c r="H394" s="999" t="s">
        <v>1510</v>
      </c>
      <c r="I394" s="999" t="s">
        <v>1444</v>
      </c>
      <c r="J394" s="1001">
        <v>45108</v>
      </c>
      <c r="K394" s="1001">
        <v>45835</v>
      </c>
      <c r="L394" s="1000">
        <f t="shared" si="51"/>
        <v>23</v>
      </c>
      <c r="M394" s="1002">
        <f t="shared" si="52"/>
        <v>1.9166666666666667</v>
      </c>
      <c r="N394" s="1000">
        <v>1</v>
      </c>
      <c r="O394" s="1000">
        <v>10</v>
      </c>
      <c r="P394" s="1000">
        <v>8</v>
      </c>
      <c r="Q394" s="999" t="s">
        <v>1445</v>
      </c>
      <c r="R394" s="999" t="s">
        <v>899</v>
      </c>
      <c r="S394" s="999" t="s">
        <v>900</v>
      </c>
      <c r="T394" s="999" t="s">
        <v>635</v>
      </c>
      <c r="U394" s="1000" t="s">
        <v>54</v>
      </c>
      <c r="V394" s="1000" t="s">
        <v>914</v>
      </c>
      <c r="W394" s="1003">
        <v>18217</v>
      </c>
      <c r="X394" s="1000" t="s">
        <v>903</v>
      </c>
      <c r="Y394" s="1000">
        <v>75</v>
      </c>
      <c r="Z394" s="1000" t="s">
        <v>904</v>
      </c>
      <c r="AA394" s="1000" t="s">
        <v>905</v>
      </c>
      <c r="AB394" s="1000" t="s">
        <v>925</v>
      </c>
      <c r="AC394" s="1000" t="s">
        <v>907</v>
      </c>
      <c r="AD394" s="1004">
        <v>10126.049999999999</v>
      </c>
      <c r="AE394" s="1004">
        <f t="shared" si="49"/>
        <v>19408.262500000001</v>
      </c>
      <c r="AF394" s="1004">
        <f t="shared" si="53"/>
        <v>19408.262500000001</v>
      </c>
      <c r="AG394" s="1005">
        <f t="shared" si="48"/>
        <v>1.916666666666667</v>
      </c>
      <c r="AH394" s="1005">
        <f t="shared" si="50"/>
        <v>1.7443982815105092</v>
      </c>
    </row>
    <row r="395" spans="1:34" x14ac:dyDescent="0.25">
      <c r="A395" s="999">
        <v>17500</v>
      </c>
      <c r="B395" s="999" t="s">
        <v>1276</v>
      </c>
      <c r="C395" s="999" t="s">
        <v>1277</v>
      </c>
      <c r="D395" s="999" t="s">
        <v>894</v>
      </c>
      <c r="E395" s="999" t="s">
        <v>895</v>
      </c>
      <c r="F395" s="999">
        <v>1788013</v>
      </c>
      <c r="G395" s="1000">
        <v>69288119868</v>
      </c>
      <c r="H395" s="999" t="s">
        <v>1511</v>
      </c>
      <c r="I395" s="999" t="s">
        <v>920</v>
      </c>
      <c r="J395" s="1001">
        <v>40319</v>
      </c>
      <c r="K395" s="1001">
        <v>45835</v>
      </c>
      <c r="L395" s="1000">
        <f t="shared" si="51"/>
        <v>181</v>
      </c>
      <c r="M395" s="1002">
        <f t="shared" si="52"/>
        <v>15.083333333333334</v>
      </c>
      <c r="N395" s="1000">
        <v>15</v>
      </c>
      <c r="O395" s="1000">
        <v>15</v>
      </c>
      <c r="P395" s="1000">
        <v>43</v>
      </c>
      <c r="Q395" s="999" t="s">
        <v>898</v>
      </c>
      <c r="R395" s="999" t="s">
        <v>899</v>
      </c>
      <c r="S395" s="999" t="s">
        <v>900</v>
      </c>
      <c r="T395" s="999" t="s">
        <v>1512</v>
      </c>
      <c r="U395" s="1000" t="s">
        <v>54</v>
      </c>
      <c r="V395" s="1000" t="s">
        <v>902</v>
      </c>
      <c r="W395" s="1003">
        <v>16223</v>
      </c>
      <c r="X395" s="1000" t="s">
        <v>903</v>
      </c>
      <c r="Y395" s="1000">
        <v>80</v>
      </c>
      <c r="Z395" s="1000" t="s">
        <v>904</v>
      </c>
      <c r="AA395" s="1000" t="s">
        <v>905</v>
      </c>
      <c r="AB395" s="1000" t="s">
        <v>925</v>
      </c>
      <c r="AC395" s="1000" t="s">
        <v>907</v>
      </c>
      <c r="AD395" s="1004">
        <v>10126.049999999999</v>
      </c>
      <c r="AE395" s="1004">
        <f t="shared" si="49"/>
        <v>152734.58749999999</v>
      </c>
      <c r="AF395" s="1004">
        <f t="shared" si="53"/>
        <v>152734.58749999999</v>
      </c>
      <c r="AG395" s="1005">
        <f t="shared" si="48"/>
        <v>15.083333333333334</v>
      </c>
      <c r="AH395" s="1005">
        <f t="shared" si="50"/>
        <v>13.727656041452267</v>
      </c>
    </row>
    <row r="396" spans="1:34" x14ac:dyDescent="0.25">
      <c r="A396" s="999">
        <v>54100</v>
      </c>
      <c r="B396" s="999" t="s">
        <v>1502</v>
      </c>
      <c r="C396" s="999" t="s">
        <v>1503</v>
      </c>
      <c r="D396" s="999" t="s">
        <v>894</v>
      </c>
      <c r="E396" s="999" t="s">
        <v>895</v>
      </c>
      <c r="F396" s="999">
        <v>1721840</v>
      </c>
      <c r="G396" s="1000">
        <v>3812782715</v>
      </c>
      <c r="H396" s="999" t="s">
        <v>1513</v>
      </c>
      <c r="I396" s="999" t="s">
        <v>897</v>
      </c>
      <c r="J396" s="1001">
        <v>40049</v>
      </c>
      <c r="K396" s="1001">
        <v>45835</v>
      </c>
      <c r="L396" s="1000">
        <f t="shared" si="51"/>
        <v>190</v>
      </c>
      <c r="M396" s="1002">
        <f t="shared" si="52"/>
        <v>15.833333333333334</v>
      </c>
      <c r="N396" s="1000">
        <v>15</v>
      </c>
      <c r="O396" s="1000">
        <v>15</v>
      </c>
      <c r="P396" s="1000">
        <v>8</v>
      </c>
      <c r="Q396" s="999" t="s">
        <v>1445</v>
      </c>
      <c r="R396" s="999" t="s">
        <v>899</v>
      </c>
      <c r="S396" s="999" t="s">
        <v>900</v>
      </c>
      <c r="T396" s="999" t="s">
        <v>1514</v>
      </c>
      <c r="U396" s="1000" t="s">
        <v>55</v>
      </c>
      <c r="V396" s="1000" t="s">
        <v>910</v>
      </c>
      <c r="W396" s="1003">
        <v>15590</v>
      </c>
      <c r="X396" s="1000" t="s">
        <v>903</v>
      </c>
      <c r="Y396" s="1000">
        <v>82</v>
      </c>
      <c r="Z396" s="1000" t="s">
        <v>904</v>
      </c>
      <c r="AA396" s="1000" t="s">
        <v>905</v>
      </c>
      <c r="AB396" s="1000" t="s">
        <v>911</v>
      </c>
      <c r="AC396" s="1000" t="s">
        <v>907</v>
      </c>
      <c r="AD396" s="1004">
        <v>5333.97</v>
      </c>
      <c r="AE396" s="1004">
        <f t="shared" si="49"/>
        <v>84454.525000000009</v>
      </c>
      <c r="AF396" s="1004">
        <f t="shared" si="53"/>
        <v>84454.525000000009</v>
      </c>
      <c r="AG396" s="1005">
        <f t="shared" si="48"/>
        <v>15.833333333333334</v>
      </c>
      <c r="AH396" s="1005">
        <f t="shared" si="50"/>
        <v>13.333584623861498</v>
      </c>
    </row>
    <row r="397" spans="1:34" x14ac:dyDescent="0.25">
      <c r="A397" s="999">
        <v>40100</v>
      </c>
      <c r="B397" s="999" t="s">
        <v>1221</v>
      </c>
      <c r="C397" s="999" t="s">
        <v>1222</v>
      </c>
      <c r="D397" s="999" t="s">
        <v>894</v>
      </c>
      <c r="E397" s="999" t="s">
        <v>895</v>
      </c>
      <c r="F397" s="999">
        <v>1692725</v>
      </c>
      <c r="G397" s="1000">
        <v>7661096153</v>
      </c>
      <c r="H397" s="999" t="s">
        <v>1515</v>
      </c>
      <c r="I397" s="999" t="s">
        <v>897</v>
      </c>
      <c r="J397" s="1001">
        <v>39916</v>
      </c>
      <c r="K397" s="1001">
        <v>45835</v>
      </c>
      <c r="L397" s="1000">
        <f t="shared" si="51"/>
        <v>194</v>
      </c>
      <c r="M397" s="1002">
        <f t="shared" si="52"/>
        <v>16.166666666666668</v>
      </c>
      <c r="N397" s="1000">
        <v>16</v>
      </c>
      <c r="O397" s="1000">
        <v>16</v>
      </c>
      <c r="P397" s="1000">
        <v>43</v>
      </c>
      <c r="Q397" s="999" t="s">
        <v>898</v>
      </c>
      <c r="R397" s="999" t="s">
        <v>899</v>
      </c>
      <c r="S397" s="999" t="s">
        <v>900</v>
      </c>
      <c r="T397" s="999" t="s">
        <v>1516</v>
      </c>
      <c r="U397" s="1000"/>
      <c r="V397" s="1000" t="s">
        <v>910</v>
      </c>
      <c r="W397" s="1003">
        <v>14778</v>
      </c>
      <c r="X397" s="1000" t="s">
        <v>903</v>
      </c>
      <c r="Y397" s="1000">
        <v>84</v>
      </c>
      <c r="Z397" s="1000" t="s">
        <v>904</v>
      </c>
      <c r="AA397" s="1000" t="s">
        <v>905</v>
      </c>
      <c r="AB397" s="1000" t="s">
        <v>938</v>
      </c>
      <c r="AC397" s="1000" t="s">
        <v>907</v>
      </c>
      <c r="AD397" s="1004">
        <v>3813.57</v>
      </c>
      <c r="AE397" s="1004">
        <f t="shared" si="49"/>
        <v>61652.715000000004</v>
      </c>
      <c r="AF397" s="1004">
        <f t="shared" si="53"/>
        <v>61652.715000000004</v>
      </c>
      <c r="AG397" s="1005">
        <f t="shared" si="48"/>
        <v>16.166666666666668</v>
      </c>
      <c r="AH397" s="1005">
        <f t="shared" si="50"/>
        <v>12.808106041877444</v>
      </c>
    </row>
    <row r="398" spans="1:34" x14ac:dyDescent="0.25">
      <c r="A398" s="999">
        <v>54100</v>
      </c>
      <c r="B398" s="999" t="s">
        <v>1502</v>
      </c>
      <c r="C398" s="999" t="s">
        <v>1503</v>
      </c>
      <c r="D398" s="999" t="s">
        <v>894</v>
      </c>
      <c r="E398" s="999" t="s">
        <v>895</v>
      </c>
      <c r="F398" s="999">
        <v>1719583</v>
      </c>
      <c r="G398" s="1000">
        <v>3720187772</v>
      </c>
      <c r="H398" s="999" t="s">
        <v>1517</v>
      </c>
      <c r="I398" s="999" t="s">
        <v>897</v>
      </c>
      <c r="J398" s="1001">
        <v>40025</v>
      </c>
      <c r="K398" s="1001">
        <v>45835</v>
      </c>
      <c r="L398" s="1000">
        <f t="shared" si="51"/>
        <v>190</v>
      </c>
      <c r="M398" s="1002">
        <f t="shared" si="52"/>
        <v>15.833333333333334</v>
      </c>
      <c r="N398" s="1000">
        <v>15</v>
      </c>
      <c r="O398" s="1000">
        <v>15</v>
      </c>
      <c r="P398" s="1000">
        <v>8</v>
      </c>
      <c r="Q398" s="999" t="s">
        <v>1445</v>
      </c>
      <c r="R398" s="999" t="s">
        <v>899</v>
      </c>
      <c r="S398" s="999" t="s">
        <v>900</v>
      </c>
      <c r="T398" s="999" t="s">
        <v>1518</v>
      </c>
      <c r="U398" s="1000" t="s">
        <v>54</v>
      </c>
      <c r="V398" s="1000" t="s">
        <v>914</v>
      </c>
      <c r="W398" s="1003">
        <v>16554</v>
      </c>
      <c r="X398" s="1000" t="s">
        <v>930</v>
      </c>
      <c r="Y398" s="1000">
        <v>79</v>
      </c>
      <c r="Z398" s="1000" t="s">
        <v>904</v>
      </c>
      <c r="AA398" s="1000" t="s">
        <v>905</v>
      </c>
      <c r="AB398" s="1000" t="s">
        <v>925</v>
      </c>
      <c r="AC398" s="1000" t="s">
        <v>907</v>
      </c>
      <c r="AD398" s="1004">
        <v>10126.049999999999</v>
      </c>
      <c r="AE398" s="1004">
        <f t="shared" si="49"/>
        <v>160329.125</v>
      </c>
      <c r="AF398" s="1004">
        <f t="shared" si="53"/>
        <v>160329.125</v>
      </c>
      <c r="AG398" s="1005">
        <f t="shared" si="48"/>
        <v>15.833333333333334</v>
      </c>
      <c r="AH398" s="1005">
        <f t="shared" si="50"/>
        <v>14.410246673347684</v>
      </c>
    </row>
    <row r="399" spans="1:34" x14ac:dyDescent="0.25">
      <c r="A399" s="999">
        <v>54100</v>
      </c>
      <c r="B399" s="999" t="s">
        <v>1502</v>
      </c>
      <c r="C399" s="999" t="s">
        <v>1503</v>
      </c>
      <c r="D399" s="999" t="s">
        <v>894</v>
      </c>
      <c r="E399" s="999" t="s">
        <v>895</v>
      </c>
      <c r="F399" s="999">
        <v>1718208</v>
      </c>
      <c r="G399" s="1000">
        <v>27194353768</v>
      </c>
      <c r="H399" s="999" t="s">
        <v>1519</v>
      </c>
      <c r="I399" s="999" t="s">
        <v>897</v>
      </c>
      <c r="J399" s="1001">
        <v>40030</v>
      </c>
      <c r="K399" s="1001">
        <v>45835</v>
      </c>
      <c r="L399" s="1000">
        <f t="shared" si="51"/>
        <v>190</v>
      </c>
      <c r="M399" s="1002">
        <f t="shared" si="52"/>
        <v>15.833333333333334</v>
      </c>
      <c r="N399" s="1000">
        <v>15</v>
      </c>
      <c r="O399" s="1000">
        <v>15</v>
      </c>
      <c r="P399" s="1000">
        <v>43</v>
      </c>
      <c r="Q399" s="999" t="s">
        <v>898</v>
      </c>
      <c r="R399" s="999" t="s">
        <v>899</v>
      </c>
      <c r="S399" s="999" t="s">
        <v>900</v>
      </c>
      <c r="T399" s="999" t="s">
        <v>616</v>
      </c>
      <c r="U399" s="1000" t="s">
        <v>54</v>
      </c>
      <c r="V399" s="1000" t="s">
        <v>902</v>
      </c>
      <c r="W399" s="1003">
        <v>18363</v>
      </c>
      <c r="X399" s="1000" t="s">
        <v>903</v>
      </c>
      <c r="Y399" s="1000">
        <v>75</v>
      </c>
      <c r="Z399" s="1000" t="s">
        <v>904</v>
      </c>
      <c r="AA399" s="1000" t="s">
        <v>905</v>
      </c>
      <c r="AB399" s="1000" t="s">
        <v>925</v>
      </c>
      <c r="AC399" s="1000" t="s">
        <v>907</v>
      </c>
      <c r="AD399" s="1004">
        <v>10126.049999999999</v>
      </c>
      <c r="AE399" s="1004">
        <f t="shared" si="49"/>
        <v>160329.125</v>
      </c>
      <c r="AF399" s="1004">
        <f t="shared" si="53"/>
        <v>160329.125</v>
      </c>
      <c r="AG399" s="1005">
        <f t="shared" si="48"/>
        <v>15.833333333333334</v>
      </c>
      <c r="AH399" s="1005">
        <f t="shared" si="50"/>
        <v>14.410246673347684</v>
      </c>
    </row>
    <row r="400" spans="1:34" x14ac:dyDescent="0.25">
      <c r="A400" s="999">
        <v>40100</v>
      </c>
      <c r="B400" s="999" t="s">
        <v>1221</v>
      </c>
      <c r="C400" s="999" t="s">
        <v>1222</v>
      </c>
      <c r="D400" s="999" t="s">
        <v>894</v>
      </c>
      <c r="E400" s="999" t="s">
        <v>895</v>
      </c>
      <c r="F400" s="999">
        <v>1712183</v>
      </c>
      <c r="G400" s="1000">
        <v>7607920110</v>
      </c>
      <c r="H400" s="999" t="s">
        <v>1520</v>
      </c>
      <c r="I400" s="999" t="s">
        <v>897</v>
      </c>
      <c r="J400" s="1001">
        <v>40000</v>
      </c>
      <c r="K400" s="1001">
        <v>45835</v>
      </c>
      <c r="L400" s="1000">
        <f t="shared" si="51"/>
        <v>191</v>
      </c>
      <c r="M400" s="1002">
        <f t="shared" si="52"/>
        <v>15.916666666666666</v>
      </c>
      <c r="N400" s="1000">
        <v>15</v>
      </c>
      <c r="O400" s="1000">
        <v>15</v>
      </c>
      <c r="P400" s="1000">
        <v>43</v>
      </c>
      <c r="Q400" s="999" t="s">
        <v>898</v>
      </c>
      <c r="R400" s="999" t="s">
        <v>899</v>
      </c>
      <c r="S400" s="999" t="s">
        <v>900</v>
      </c>
      <c r="T400" s="999" t="s">
        <v>1516</v>
      </c>
      <c r="U400" s="1000"/>
      <c r="V400" s="1000" t="s">
        <v>914</v>
      </c>
      <c r="W400" s="1003">
        <v>14056</v>
      </c>
      <c r="X400" s="1000" t="s">
        <v>903</v>
      </c>
      <c r="Y400" s="1000">
        <v>86</v>
      </c>
      <c r="Z400" s="1000" t="s">
        <v>904</v>
      </c>
      <c r="AA400" s="1000" t="s">
        <v>905</v>
      </c>
      <c r="AB400" s="1000" t="s">
        <v>938</v>
      </c>
      <c r="AC400" s="1000" t="s">
        <v>907</v>
      </c>
      <c r="AD400" s="1004">
        <v>3813.57</v>
      </c>
      <c r="AE400" s="1004">
        <f t="shared" si="49"/>
        <v>60699.322500000002</v>
      </c>
      <c r="AF400" s="1004">
        <f t="shared" si="53"/>
        <v>60699.322500000002</v>
      </c>
      <c r="AG400" s="1005">
        <f t="shared" si="48"/>
        <v>15.916666666666666</v>
      </c>
      <c r="AH400" s="1005">
        <f t="shared" si="50"/>
        <v>12.610042546384493</v>
      </c>
    </row>
    <row r="401" spans="1:34" x14ac:dyDescent="0.25">
      <c r="A401" s="999">
        <v>15000</v>
      </c>
      <c r="B401" s="999" t="s">
        <v>1472</v>
      </c>
      <c r="C401" s="999" t="s">
        <v>1473</v>
      </c>
      <c r="D401" s="999" t="s">
        <v>894</v>
      </c>
      <c r="E401" s="999" t="s">
        <v>895</v>
      </c>
      <c r="F401" s="999">
        <v>1665710</v>
      </c>
      <c r="G401" s="1000">
        <v>27415422791</v>
      </c>
      <c r="H401" s="999" t="s">
        <v>1521</v>
      </c>
      <c r="I401" s="999" t="s">
        <v>897</v>
      </c>
      <c r="J401" s="1001">
        <v>39773</v>
      </c>
      <c r="K401" s="1001">
        <v>45835</v>
      </c>
      <c r="L401" s="1000">
        <f t="shared" si="51"/>
        <v>199</v>
      </c>
      <c r="M401" s="1002">
        <f t="shared" si="52"/>
        <v>16.583333333333332</v>
      </c>
      <c r="N401" s="1000">
        <v>16</v>
      </c>
      <c r="O401" s="1000">
        <v>16</v>
      </c>
      <c r="P401" s="1000">
        <v>43</v>
      </c>
      <c r="Q401" s="999" t="s">
        <v>898</v>
      </c>
      <c r="R401" s="999" t="s">
        <v>899</v>
      </c>
      <c r="S401" s="999" t="s">
        <v>900</v>
      </c>
      <c r="T401" s="999" t="s">
        <v>1424</v>
      </c>
      <c r="U401" s="1000" t="s">
        <v>54</v>
      </c>
      <c r="V401" s="1000" t="s">
        <v>914</v>
      </c>
      <c r="W401" s="1003">
        <v>17898</v>
      </c>
      <c r="X401" s="1000" t="s">
        <v>930</v>
      </c>
      <c r="Y401" s="1000">
        <v>76</v>
      </c>
      <c r="Z401" s="1000" t="s">
        <v>904</v>
      </c>
      <c r="AA401" s="1000" t="s">
        <v>905</v>
      </c>
      <c r="AB401" s="1000" t="s">
        <v>925</v>
      </c>
      <c r="AC401" s="1000" t="s">
        <v>907</v>
      </c>
      <c r="AD401" s="1004">
        <v>10126.049999999999</v>
      </c>
      <c r="AE401" s="1004">
        <f t="shared" si="49"/>
        <v>167923.66249999998</v>
      </c>
      <c r="AF401" s="1004">
        <f t="shared" si="53"/>
        <v>167923.66249999998</v>
      </c>
      <c r="AG401" s="1005">
        <f t="shared" si="48"/>
        <v>16.583333333333332</v>
      </c>
      <c r="AH401" s="1005">
        <f t="shared" si="50"/>
        <v>15.0928373052431</v>
      </c>
    </row>
    <row r="402" spans="1:34" x14ac:dyDescent="0.25">
      <c r="A402" s="999">
        <v>40100</v>
      </c>
      <c r="B402" s="999" t="s">
        <v>1221</v>
      </c>
      <c r="C402" s="999" t="s">
        <v>1222</v>
      </c>
      <c r="D402" s="999" t="s">
        <v>894</v>
      </c>
      <c r="E402" s="999" t="s">
        <v>895</v>
      </c>
      <c r="F402" s="999">
        <v>1697606</v>
      </c>
      <c r="G402" s="1000">
        <v>2342308191</v>
      </c>
      <c r="H402" s="999" t="s">
        <v>1522</v>
      </c>
      <c r="I402" s="999" t="s">
        <v>897</v>
      </c>
      <c r="J402" s="1001">
        <v>39944</v>
      </c>
      <c r="K402" s="1001">
        <v>45835</v>
      </c>
      <c r="L402" s="1000">
        <f t="shared" si="51"/>
        <v>193</v>
      </c>
      <c r="M402" s="1002">
        <f t="shared" si="52"/>
        <v>16.083333333333332</v>
      </c>
      <c r="N402" s="1000">
        <v>16</v>
      </c>
      <c r="O402" s="1000">
        <v>16</v>
      </c>
      <c r="P402" s="1000">
        <v>43</v>
      </c>
      <c r="Q402" s="999" t="s">
        <v>898</v>
      </c>
      <c r="R402" s="999" t="s">
        <v>899</v>
      </c>
      <c r="S402" s="999" t="s">
        <v>900</v>
      </c>
      <c r="T402" s="999" t="s">
        <v>1523</v>
      </c>
      <c r="U402" s="1000" t="s">
        <v>55</v>
      </c>
      <c r="V402" s="1000" t="s">
        <v>914</v>
      </c>
      <c r="W402" s="1003">
        <v>17106</v>
      </c>
      <c r="X402" s="1000" t="s">
        <v>903</v>
      </c>
      <c r="Y402" s="1000">
        <v>78</v>
      </c>
      <c r="Z402" s="1000" t="s">
        <v>904</v>
      </c>
      <c r="AA402" s="1000" t="s">
        <v>905</v>
      </c>
      <c r="AB402" s="1000" t="s">
        <v>911</v>
      </c>
      <c r="AC402" s="1000" t="s">
        <v>907</v>
      </c>
      <c r="AD402" s="1004">
        <v>5333.97</v>
      </c>
      <c r="AE402" s="1004">
        <f t="shared" si="49"/>
        <v>85788.017500000002</v>
      </c>
      <c r="AF402" s="1004">
        <f t="shared" si="53"/>
        <v>85788.017500000002</v>
      </c>
      <c r="AG402" s="1005">
        <f t="shared" si="48"/>
        <v>16.083333333333332</v>
      </c>
      <c r="AH402" s="1005">
        <f t="shared" si="50"/>
        <v>13.544114907396152</v>
      </c>
    </row>
    <row r="403" spans="1:34" x14ac:dyDescent="0.25">
      <c r="A403" s="999">
        <v>15000</v>
      </c>
      <c r="B403" s="999" t="s">
        <v>1472</v>
      </c>
      <c r="C403" s="999" t="s">
        <v>1473</v>
      </c>
      <c r="D403" s="999" t="s">
        <v>894</v>
      </c>
      <c r="E403" s="999" t="s">
        <v>895</v>
      </c>
      <c r="F403" s="999">
        <v>1884063</v>
      </c>
      <c r="G403" s="1000">
        <v>10739394215</v>
      </c>
      <c r="H403" s="999" t="s">
        <v>1524</v>
      </c>
      <c r="I403" s="999" t="s">
        <v>897</v>
      </c>
      <c r="J403" s="1001">
        <v>40772</v>
      </c>
      <c r="K403" s="1001">
        <v>45835</v>
      </c>
      <c r="L403" s="1000">
        <f t="shared" si="51"/>
        <v>166</v>
      </c>
      <c r="M403" s="1002">
        <f t="shared" si="52"/>
        <v>13.833333333333334</v>
      </c>
      <c r="N403" s="1000">
        <v>13</v>
      </c>
      <c r="O403" s="1000">
        <v>13</v>
      </c>
      <c r="P403" s="1000">
        <v>43</v>
      </c>
      <c r="Q403" s="999" t="s">
        <v>898</v>
      </c>
      <c r="R403" s="999" t="s">
        <v>899</v>
      </c>
      <c r="S403" s="999" t="s">
        <v>900</v>
      </c>
      <c r="T403" s="999" t="s">
        <v>1525</v>
      </c>
      <c r="U403" s="1000" t="s">
        <v>54</v>
      </c>
      <c r="V403" s="1000" t="s">
        <v>902</v>
      </c>
      <c r="W403" s="1003">
        <v>16571</v>
      </c>
      <c r="X403" s="1000" t="s">
        <v>930</v>
      </c>
      <c r="Y403" s="1000">
        <v>79</v>
      </c>
      <c r="Z403" s="1000" t="s">
        <v>904</v>
      </c>
      <c r="AA403" s="1000" t="s">
        <v>905</v>
      </c>
      <c r="AB403" s="1000" t="s">
        <v>925</v>
      </c>
      <c r="AC403" s="1000" t="s">
        <v>907</v>
      </c>
      <c r="AD403" s="1004">
        <v>10126.049999999999</v>
      </c>
      <c r="AE403" s="1004">
        <f t="shared" si="49"/>
        <v>140077.02499999999</v>
      </c>
      <c r="AF403" s="1004">
        <f t="shared" si="53"/>
        <v>140077.02499999999</v>
      </c>
      <c r="AG403" s="1005">
        <f t="shared" si="48"/>
        <v>13.833333333333334</v>
      </c>
      <c r="AH403" s="1005">
        <f t="shared" si="50"/>
        <v>12.59000498829324</v>
      </c>
    </row>
    <row r="404" spans="1:34" x14ac:dyDescent="0.25">
      <c r="A404" s="999">
        <v>40100</v>
      </c>
      <c r="B404" s="999" t="s">
        <v>1221</v>
      </c>
      <c r="C404" s="999" t="s">
        <v>1222</v>
      </c>
      <c r="D404" s="999" t="s">
        <v>894</v>
      </c>
      <c r="E404" s="999" t="s">
        <v>895</v>
      </c>
      <c r="F404" s="999">
        <v>1691207</v>
      </c>
      <c r="G404" s="1000">
        <v>11466030100</v>
      </c>
      <c r="H404" s="999" t="s">
        <v>1526</v>
      </c>
      <c r="I404" s="999" t="s">
        <v>897</v>
      </c>
      <c r="J404" s="1001">
        <v>39912</v>
      </c>
      <c r="K404" s="1001">
        <v>45835</v>
      </c>
      <c r="L404" s="1000">
        <f t="shared" si="51"/>
        <v>194</v>
      </c>
      <c r="M404" s="1002">
        <f t="shared" si="52"/>
        <v>16.166666666666668</v>
      </c>
      <c r="N404" s="1000">
        <v>16</v>
      </c>
      <c r="O404" s="1000">
        <v>16</v>
      </c>
      <c r="P404" s="1000">
        <v>43</v>
      </c>
      <c r="Q404" s="999" t="s">
        <v>898</v>
      </c>
      <c r="R404" s="999" t="s">
        <v>899</v>
      </c>
      <c r="S404" s="999" t="s">
        <v>900</v>
      </c>
      <c r="T404" s="999" t="s">
        <v>1307</v>
      </c>
      <c r="U404" s="1000" t="s">
        <v>54</v>
      </c>
      <c r="V404" s="1000" t="s">
        <v>914</v>
      </c>
      <c r="W404" s="1003">
        <v>17546</v>
      </c>
      <c r="X404" s="1000" t="s">
        <v>930</v>
      </c>
      <c r="Y404" s="1000">
        <v>77</v>
      </c>
      <c r="Z404" s="1000" t="s">
        <v>904</v>
      </c>
      <c r="AA404" s="1000" t="s">
        <v>905</v>
      </c>
      <c r="AB404" s="1000" t="s">
        <v>925</v>
      </c>
      <c r="AC404" s="1000" t="s">
        <v>907</v>
      </c>
      <c r="AD404" s="1004">
        <v>10126.049999999999</v>
      </c>
      <c r="AE404" s="1004">
        <f t="shared" si="49"/>
        <v>163704.47500000001</v>
      </c>
      <c r="AF404" s="1004">
        <f t="shared" si="53"/>
        <v>163704.47500000001</v>
      </c>
      <c r="AG404" s="1005">
        <f t="shared" si="48"/>
        <v>16.166666666666668</v>
      </c>
      <c r="AH404" s="1005">
        <f t="shared" si="50"/>
        <v>14.713620287523426</v>
      </c>
    </row>
    <row r="405" spans="1:34" x14ac:dyDescent="0.25">
      <c r="A405" s="999">
        <v>54100</v>
      </c>
      <c r="B405" s="999" t="s">
        <v>1502</v>
      </c>
      <c r="C405" s="999" t="s">
        <v>1503</v>
      </c>
      <c r="D405" s="999" t="s">
        <v>894</v>
      </c>
      <c r="E405" s="999" t="s">
        <v>895</v>
      </c>
      <c r="F405" s="999">
        <v>1717833</v>
      </c>
      <c r="G405" s="1000">
        <v>76590623791</v>
      </c>
      <c r="H405" s="999" t="s">
        <v>1527</v>
      </c>
      <c r="I405" s="999" t="s">
        <v>1528</v>
      </c>
      <c r="J405" s="1001">
        <v>40035</v>
      </c>
      <c r="K405" s="1001">
        <v>45835</v>
      </c>
      <c r="L405" s="1000">
        <f t="shared" si="51"/>
        <v>190</v>
      </c>
      <c r="M405" s="1002">
        <f t="shared" si="52"/>
        <v>15.833333333333334</v>
      </c>
      <c r="N405" s="1000">
        <v>15</v>
      </c>
      <c r="O405" s="1000">
        <v>15</v>
      </c>
      <c r="P405" s="1000">
        <v>43</v>
      </c>
      <c r="Q405" s="999" t="s">
        <v>898</v>
      </c>
      <c r="R405" s="999" t="s">
        <v>899</v>
      </c>
      <c r="S405" s="999" t="s">
        <v>900</v>
      </c>
      <c r="T405" s="999" t="s">
        <v>999</v>
      </c>
      <c r="U405" s="1000"/>
      <c r="V405" s="1000" t="s">
        <v>914</v>
      </c>
      <c r="W405" s="1003">
        <v>15486</v>
      </c>
      <c r="X405" s="1000" t="s">
        <v>930</v>
      </c>
      <c r="Y405" s="1000">
        <v>82</v>
      </c>
      <c r="Z405" s="1000" t="s">
        <v>904</v>
      </c>
      <c r="AA405" s="1000" t="s">
        <v>905</v>
      </c>
      <c r="AB405" s="1000" t="s">
        <v>938</v>
      </c>
      <c r="AC405" s="1000" t="s">
        <v>907</v>
      </c>
      <c r="AD405" s="1004">
        <v>3813.57</v>
      </c>
      <c r="AE405" s="1004">
        <f t="shared" si="49"/>
        <v>60381.525000000001</v>
      </c>
      <c r="AF405" s="1004">
        <f t="shared" si="53"/>
        <v>60381.525000000001</v>
      </c>
      <c r="AG405" s="1005">
        <f t="shared" si="48"/>
        <v>15.833333333333332</v>
      </c>
      <c r="AH405" s="1005">
        <f t="shared" si="50"/>
        <v>12.544021381220176</v>
      </c>
    </row>
    <row r="406" spans="1:34" x14ac:dyDescent="0.25">
      <c r="A406" s="999">
        <v>54100</v>
      </c>
      <c r="B406" s="999" t="s">
        <v>1502</v>
      </c>
      <c r="C406" s="999" t="s">
        <v>1503</v>
      </c>
      <c r="D406" s="999" t="s">
        <v>894</v>
      </c>
      <c r="E406" s="999" t="s">
        <v>895</v>
      </c>
      <c r="F406" s="999">
        <v>1719594</v>
      </c>
      <c r="G406" s="1000">
        <v>35136146753</v>
      </c>
      <c r="H406" s="999" t="s">
        <v>1529</v>
      </c>
      <c r="I406" s="999" t="s">
        <v>897</v>
      </c>
      <c r="J406" s="1001">
        <v>40039</v>
      </c>
      <c r="K406" s="1001">
        <v>45835</v>
      </c>
      <c r="L406" s="1000">
        <f t="shared" si="51"/>
        <v>190</v>
      </c>
      <c r="M406" s="1002">
        <f t="shared" si="52"/>
        <v>15.833333333333334</v>
      </c>
      <c r="N406" s="1000">
        <v>15</v>
      </c>
      <c r="O406" s="1000">
        <v>15</v>
      </c>
      <c r="P406" s="1000">
        <v>43</v>
      </c>
      <c r="Q406" s="999" t="s">
        <v>898</v>
      </c>
      <c r="R406" s="999" t="s">
        <v>899</v>
      </c>
      <c r="S406" s="999" t="s">
        <v>900</v>
      </c>
      <c r="T406" s="999" t="s">
        <v>1518</v>
      </c>
      <c r="U406" s="1000" t="s">
        <v>54</v>
      </c>
      <c r="V406" s="1000" t="s">
        <v>921</v>
      </c>
      <c r="W406" s="1003">
        <v>18225</v>
      </c>
      <c r="X406" s="1000" t="s">
        <v>930</v>
      </c>
      <c r="Y406" s="1000">
        <v>75</v>
      </c>
      <c r="Z406" s="1000" t="s">
        <v>904</v>
      </c>
      <c r="AA406" s="1000" t="s">
        <v>905</v>
      </c>
      <c r="AB406" s="1000" t="s">
        <v>925</v>
      </c>
      <c r="AC406" s="1000" t="s">
        <v>907</v>
      </c>
      <c r="AD406" s="1004">
        <v>10126.049999999999</v>
      </c>
      <c r="AE406" s="1004">
        <f t="shared" si="49"/>
        <v>160329.125</v>
      </c>
      <c r="AF406" s="1004">
        <f t="shared" si="53"/>
        <v>160329.125</v>
      </c>
      <c r="AG406" s="1005">
        <f t="shared" si="48"/>
        <v>15.833333333333334</v>
      </c>
      <c r="AH406" s="1005">
        <f t="shared" si="50"/>
        <v>14.410246673347684</v>
      </c>
    </row>
    <row r="407" spans="1:34" x14ac:dyDescent="0.25">
      <c r="A407" s="999">
        <v>54100</v>
      </c>
      <c r="B407" s="999" t="s">
        <v>1502</v>
      </c>
      <c r="C407" s="999" t="s">
        <v>1503</v>
      </c>
      <c r="D407" s="999" t="s">
        <v>894</v>
      </c>
      <c r="E407" s="999" t="s">
        <v>895</v>
      </c>
      <c r="F407" s="999">
        <v>1719600</v>
      </c>
      <c r="G407" s="1000">
        <v>27090035700</v>
      </c>
      <c r="H407" s="999" t="s">
        <v>1530</v>
      </c>
      <c r="I407" s="999" t="s">
        <v>897</v>
      </c>
      <c r="J407" s="1001">
        <v>40031</v>
      </c>
      <c r="K407" s="1001">
        <v>45835</v>
      </c>
      <c r="L407" s="1000">
        <f t="shared" si="51"/>
        <v>190</v>
      </c>
      <c r="M407" s="1002">
        <f t="shared" si="52"/>
        <v>15.833333333333334</v>
      </c>
      <c r="N407" s="1000">
        <v>15</v>
      </c>
      <c r="O407" s="1000">
        <v>15</v>
      </c>
      <c r="P407" s="1000">
        <v>43</v>
      </c>
      <c r="Q407" s="999" t="s">
        <v>898</v>
      </c>
      <c r="R407" s="999" t="s">
        <v>899</v>
      </c>
      <c r="S407" s="999" t="s">
        <v>900</v>
      </c>
      <c r="T407" s="999" t="s">
        <v>1531</v>
      </c>
      <c r="U407" s="1000"/>
      <c r="V407" s="1000" t="s">
        <v>914</v>
      </c>
      <c r="W407" s="1003">
        <v>16122</v>
      </c>
      <c r="X407" s="1000" t="s">
        <v>903</v>
      </c>
      <c r="Y407" s="1000">
        <v>81</v>
      </c>
      <c r="Z407" s="1000" t="s">
        <v>904</v>
      </c>
      <c r="AA407" s="1000" t="s">
        <v>905</v>
      </c>
      <c r="AB407" s="1000" t="s">
        <v>938</v>
      </c>
      <c r="AC407" s="1000" t="s">
        <v>907</v>
      </c>
      <c r="AD407" s="1004">
        <v>3813.57</v>
      </c>
      <c r="AE407" s="1004">
        <f t="shared" si="49"/>
        <v>60381.525000000001</v>
      </c>
      <c r="AF407" s="1004">
        <f t="shared" si="53"/>
        <v>60381.525000000001</v>
      </c>
      <c r="AG407" s="1005">
        <f t="shared" si="48"/>
        <v>15.833333333333332</v>
      </c>
      <c r="AH407" s="1005">
        <f t="shared" si="50"/>
        <v>12.544021381220176</v>
      </c>
    </row>
    <row r="408" spans="1:34" x14ac:dyDescent="0.25">
      <c r="A408" s="999">
        <v>54100</v>
      </c>
      <c r="B408" s="999" t="s">
        <v>1502</v>
      </c>
      <c r="C408" s="999" t="s">
        <v>1503</v>
      </c>
      <c r="D408" s="999" t="s">
        <v>894</v>
      </c>
      <c r="E408" s="999" t="s">
        <v>895</v>
      </c>
      <c r="F408" s="999">
        <v>1719599</v>
      </c>
      <c r="G408" s="1000">
        <v>36374024753</v>
      </c>
      <c r="H408" s="999" t="s">
        <v>1532</v>
      </c>
      <c r="I408" s="999" t="s">
        <v>897</v>
      </c>
      <c r="J408" s="1001">
        <v>40035</v>
      </c>
      <c r="K408" s="1001">
        <v>45835</v>
      </c>
      <c r="L408" s="1000">
        <f t="shared" si="51"/>
        <v>190</v>
      </c>
      <c r="M408" s="1002">
        <f t="shared" si="52"/>
        <v>15.833333333333334</v>
      </c>
      <c r="N408" s="1000">
        <v>15</v>
      </c>
      <c r="O408" s="1000">
        <v>15</v>
      </c>
      <c r="P408" s="1000">
        <v>43</v>
      </c>
      <c r="Q408" s="999" t="s">
        <v>898</v>
      </c>
      <c r="R408" s="999" t="s">
        <v>899</v>
      </c>
      <c r="S408" s="999" t="s">
        <v>900</v>
      </c>
      <c r="T408" s="999" t="s">
        <v>1518</v>
      </c>
      <c r="U408" s="1000" t="s">
        <v>54</v>
      </c>
      <c r="V408" s="1000" t="s">
        <v>914</v>
      </c>
      <c r="W408" s="1003">
        <v>11706</v>
      </c>
      <c r="X408" s="1000" t="s">
        <v>930</v>
      </c>
      <c r="Y408" s="1000">
        <v>93</v>
      </c>
      <c r="Z408" s="1000" t="s">
        <v>904</v>
      </c>
      <c r="AA408" s="1000" t="s">
        <v>905</v>
      </c>
      <c r="AB408" s="1000" t="s">
        <v>925</v>
      </c>
      <c r="AC408" s="1000" t="s">
        <v>907</v>
      </c>
      <c r="AD408" s="1004">
        <v>10126.049999999999</v>
      </c>
      <c r="AE408" s="1004">
        <f t="shared" si="49"/>
        <v>160329.125</v>
      </c>
      <c r="AF408" s="1004">
        <f t="shared" si="53"/>
        <v>160329.125</v>
      </c>
      <c r="AG408" s="1005">
        <f t="shared" si="48"/>
        <v>15.833333333333334</v>
      </c>
      <c r="AH408" s="1005">
        <f t="shared" si="50"/>
        <v>14.410246673347684</v>
      </c>
    </row>
    <row r="409" spans="1:34" x14ac:dyDescent="0.25">
      <c r="A409" s="999">
        <v>54100</v>
      </c>
      <c r="B409" s="999" t="s">
        <v>1502</v>
      </c>
      <c r="C409" s="999" t="s">
        <v>1503</v>
      </c>
      <c r="D409" s="999" t="s">
        <v>894</v>
      </c>
      <c r="E409" s="999" t="s">
        <v>895</v>
      </c>
      <c r="F409" s="999">
        <v>1719596</v>
      </c>
      <c r="G409" s="1000">
        <v>27652300720</v>
      </c>
      <c r="H409" s="999" t="s">
        <v>1533</v>
      </c>
      <c r="I409" s="999" t="s">
        <v>1444</v>
      </c>
      <c r="J409" s="1001">
        <v>45108</v>
      </c>
      <c r="K409" s="1001">
        <v>45835</v>
      </c>
      <c r="L409" s="1000">
        <f t="shared" si="51"/>
        <v>23</v>
      </c>
      <c r="M409" s="1002">
        <f t="shared" si="52"/>
        <v>1.9166666666666667</v>
      </c>
      <c r="N409" s="1000">
        <v>1</v>
      </c>
      <c r="O409" s="1000">
        <v>10</v>
      </c>
      <c r="P409" s="1000">
        <v>43</v>
      </c>
      <c r="Q409" s="999" t="s">
        <v>898</v>
      </c>
      <c r="R409" s="999" t="s">
        <v>899</v>
      </c>
      <c r="S409" s="999" t="s">
        <v>900</v>
      </c>
      <c r="T409" s="999" t="s">
        <v>1518</v>
      </c>
      <c r="U409" s="1000" t="s">
        <v>54</v>
      </c>
      <c r="V409" s="1000" t="s">
        <v>914</v>
      </c>
      <c r="W409" s="1003">
        <v>16558</v>
      </c>
      <c r="X409" s="1000" t="s">
        <v>903</v>
      </c>
      <c r="Y409" s="1000">
        <v>79</v>
      </c>
      <c r="Z409" s="1000" t="s">
        <v>904</v>
      </c>
      <c r="AA409" s="1000" t="s">
        <v>905</v>
      </c>
      <c r="AB409" s="1000" t="s">
        <v>925</v>
      </c>
      <c r="AC409" s="1000" t="s">
        <v>907</v>
      </c>
      <c r="AD409" s="1004">
        <v>10126.049999999999</v>
      </c>
      <c r="AE409" s="1004">
        <f t="shared" si="49"/>
        <v>19408.262500000001</v>
      </c>
      <c r="AF409" s="1004">
        <f t="shared" si="53"/>
        <v>19408.262500000001</v>
      </c>
      <c r="AG409" s="1005">
        <f t="shared" si="48"/>
        <v>1.916666666666667</v>
      </c>
      <c r="AH409" s="1005">
        <f t="shared" si="50"/>
        <v>1.7443982815105092</v>
      </c>
    </row>
    <row r="410" spans="1:34" x14ac:dyDescent="0.25">
      <c r="A410" s="999">
        <v>54100</v>
      </c>
      <c r="B410" s="999" t="s">
        <v>1502</v>
      </c>
      <c r="C410" s="999" t="s">
        <v>1503</v>
      </c>
      <c r="D410" s="999" t="s">
        <v>894</v>
      </c>
      <c r="E410" s="999" t="s">
        <v>895</v>
      </c>
      <c r="F410" s="999">
        <v>1718129</v>
      </c>
      <c r="G410" s="1000">
        <v>29685737720</v>
      </c>
      <c r="H410" s="999" t="s">
        <v>1534</v>
      </c>
      <c r="I410" s="999" t="s">
        <v>1444</v>
      </c>
      <c r="J410" s="1001">
        <v>45108</v>
      </c>
      <c r="K410" s="1001">
        <v>45835</v>
      </c>
      <c r="L410" s="1000">
        <f t="shared" si="51"/>
        <v>23</v>
      </c>
      <c r="M410" s="1002">
        <f t="shared" si="52"/>
        <v>1.9166666666666667</v>
      </c>
      <c r="N410" s="1000">
        <v>1</v>
      </c>
      <c r="O410" s="1000">
        <v>10</v>
      </c>
      <c r="P410" s="1000">
        <v>43</v>
      </c>
      <c r="Q410" s="999" t="s">
        <v>898</v>
      </c>
      <c r="R410" s="999" t="s">
        <v>899</v>
      </c>
      <c r="S410" s="999" t="s">
        <v>900</v>
      </c>
      <c r="T410" s="999" t="s">
        <v>950</v>
      </c>
      <c r="U410" s="1000" t="s">
        <v>55</v>
      </c>
      <c r="V410" s="1000" t="s">
        <v>914</v>
      </c>
      <c r="W410" s="1003">
        <v>18191</v>
      </c>
      <c r="X410" s="1000" t="s">
        <v>930</v>
      </c>
      <c r="Y410" s="1000">
        <v>75</v>
      </c>
      <c r="Z410" s="1000" t="s">
        <v>904</v>
      </c>
      <c r="AA410" s="1000" t="s">
        <v>905</v>
      </c>
      <c r="AB410" s="1000" t="s">
        <v>911</v>
      </c>
      <c r="AC410" s="1000" t="s">
        <v>907</v>
      </c>
      <c r="AD410" s="1004">
        <v>5333.97</v>
      </c>
      <c r="AE410" s="1004">
        <f t="shared" si="49"/>
        <v>10223.442500000001</v>
      </c>
      <c r="AF410" s="1004">
        <f t="shared" si="53"/>
        <v>10223.442500000001</v>
      </c>
      <c r="AG410" s="1005">
        <f t="shared" si="48"/>
        <v>1.9166666666666667</v>
      </c>
      <c r="AH410" s="1005">
        <f t="shared" si="50"/>
        <v>1.6140655070990233</v>
      </c>
    </row>
    <row r="411" spans="1:34" x14ac:dyDescent="0.25">
      <c r="A411" s="999">
        <v>54100</v>
      </c>
      <c r="B411" s="999" t="s">
        <v>1502</v>
      </c>
      <c r="C411" s="999" t="s">
        <v>1503</v>
      </c>
      <c r="D411" s="999" t="s">
        <v>894</v>
      </c>
      <c r="E411" s="999" t="s">
        <v>895</v>
      </c>
      <c r="F411" s="999">
        <v>1718733</v>
      </c>
      <c r="G411" s="1000">
        <v>27927512749</v>
      </c>
      <c r="H411" s="999" t="s">
        <v>1535</v>
      </c>
      <c r="I411" s="999" t="s">
        <v>1444</v>
      </c>
      <c r="J411" s="1001">
        <v>45108</v>
      </c>
      <c r="K411" s="1001">
        <v>45835</v>
      </c>
      <c r="L411" s="1000">
        <f t="shared" si="51"/>
        <v>23</v>
      </c>
      <c r="M411" s="1002">
        <f t="shared" si="52"/>
        <v>1.9166666666666667</v>
      </c>
      <c r="N411" s="1000">
        <v>1</v>
      </c>
      <c r="O411" s="1000">
        <v>10</v>
      </c>
      <c r="P411" s="1000">
        <v>43</v>
      </c>
      <c r="Q411" s="999" t="s">
        <v>898</v>
      </c>
      <c r="R411" s="999" t="s">
        <v>899</v>
      </c>
      <c r="S411" s="999" t="s">
        <v>900</v>
      </c>
      <c r="T411" s="999" t="s">
        <v>1514</v>
      </c>
      <c r="U411" s="1000" t="s">
        <v>55</v>
      </c>
      <c r="V411" s="1000" t="s">
        <v>914</v>
      </c>
      <c r="W411" s="1003">
        <v>18000</v>
      </c>
      <c r="X411" s="1000" t="s">
        <v>930</v>
      </c>
      <c r="Y411" s="1000">
        <v>76</v>
      </c>
      <c r="Z411" s="1000" t="s">
        <v>904</v>
      </c>
      <c r="AA411" s="1000" t="s">
        <v>905</v>
      </c>
      <c r="AB411" s="1000" t="s">
        <v>911</v>
      </c>
      <c r="AC411" s="1000" t="s">
        <v>907</v>
      </c>
      <c r="AD411" s="1004">
        <v>5333.97</v>
      </c>
      <c r="AE411" s="1004">
        <f t="shared" si="49"/>
        <v>10223.442500000001</v>
      </c>
      <c r="AF411" s="1004">
        <f t="shared" si="53"/>
        <v>10223.442500000001</v>
      </c>
      <c r="AG411" s="1005">
        <f t="shared" si="48"/>
        <v>1.9166666666666667</v>
      </c>
      <c r="AH411" s="1005">
        <f t="shared" si="50"/>
        <v>1.6140655070990233</v>
      </c>
    </row>
    <row r="412" spans="1:34" x14ac:dyDescent="0.25">
      <c r="A412" s="999">
        <v>54100</v>
      </c>
      <c r="B412" s="999" t="s">
        <v>1502</v>
      </c>
      <c r="C412" s="999" t="s">
        <v>1503</v>
      </c>
      <c r="D412" s="999" t="s">
        <v>894</v>
      </c>
      <c r="E412" s="999" t="s">
        <v>895</v>
      </c>
      <c r="F412" s="999">
        <v>1719601</v>
      </c>
      <c r="G412" s="1000">
        <v>4509110715</v>
      </c>
      <c r="H412" s="999" t="s">
        <v>1536</v>
      </c>
      <c r="I412" s="999" t="s">
        <v>897</v>
      </c>
      <c r="J412" s="1001">
        <v>40031</v>
      </c>
      <c r="K412" s="1001">
        <v>45835</v>
      </c>
      <c r="L412" s="1000">
        <f t="shared" si="51"/>
        <v>190</v>
      </c>
      <c r="M412" s="1002">
        <f t="shared" si="52"/>
        <v>15.833333333333334</v>
      </c>
      <c r="N412" s="1000">
        <v>15</v>
      </c>
      <c r="O412" s="1000">
        <v>15</v>
      </c>
      <c r="P412" s="1000">
        <v>43</v>
      </c>
      <c r="Q412" s="999" t="s">
        <v>898</v>
      </c>
      <c r="R412" s="999" t="s">
        <v>899</v>
      </c>
      <c r="S412" s="999" t="s">
        <v>900</v>
      </c>
      <c r="T412" s="999" t="s">
        <v>1518</v>
      </c>
      <c r="U412" s="1000" t="s">
        <v>54</v>
      </c>
      <c r="V412" s="1000" t="s">
        <v>914</v>
      </c>
      <c r="W412" s="1003">
        <v>15382</v>
      </c>
      <c r="X412" s="1000" t="s">
        <v>903</v>
      </c>
      <c r="Y412" s="1000">
        <v>83</v>
      </c>
      <c r="Z412" s="1000" t="s">
        <v>904</v>
      </c>
      <c r="AA412" s="1000" t="s">
        <v>905</v>
      </c>
      <c r="AB412" s="1000" t="s">
        <v>925</v>
      </c>
      <c r="AC412" s="1000" t="s">
        <v>907</v>
      </c>
      <c r="AD412" s="1004">
        <v>10126.049999999999</v>
      </c>
      <c r="AE412" s="1004">
        <f t="shared" si="49"/>
        <v>160329.125</v>
      </c>
      <c r="AF412" s="1004">
        <f t="shared" si="53"/>
        <v>160329.125</v>
      </c>
      <c r="AG412" s="1005">
        <f t="shared" si="48"/>
        <v>15.833333333333334</v>
      </c>
      <c r="AH412" s="1005">
        <f t="shared" si="50"/>
        <v>14.410246673347684</v>
      </c>
    </row>
    <row r="413" spans="1:34" x14ac:dyDescent="0.25">
      <c r="A413" s="999">
        <v>41100</v>
      </c>
      <c r="B413" s="999" t="s">
        <v>1358</v>
      </c>
      <c r="C413" s="999" t="s">
        <v>1359</v>
      </c>
      <c r="D413" s="999" t="s">
        <v>894</v>
      </c>
      <c r="E413" s="999" t="s">
        <v>895</v>
      </c>
      <c r="F413" s="999">
        <v>1989905</v>
      </c>
      <c r="G413" s="1000">
        <v>35696508715</v>
      </c>
      <c r="H413" s="999" t="s">
        <v>1537</v>
      </c>
      <c r="I413" s="999" t="s">
        <v>897</v>
      </c>
      <c r="J413" s="1001">
        <v>41281</v>
      </c>
      <c r="K413" s="1001">
        <v>45835</v>
      </c>
      <c r="L413" s="1000">
        <f t="shared" si="51"/>
        <v>149</v>
      </c>
      <c r="M413" s="1002">
        <f t="shared" si="52"/>
        <v>12.416666666666666</v>
      </c>
      <c r="N413" s="1000">
        <v>12</v>
      </c>
      <c r="O413" s="1000">
        <v>12</v>
      </c>
      <c r="P413" s="1000">
        <v>43</v>
      </c>
      <c r="Q413" s="999" t="s">
        <v>898</v>
      </c>
      <c r="R413" s="999" t="s">
        <v>899</v>
      </c>
      <c r="S413" s="999" t="s">
        <v>900</v>
      </c>
      <c r="T413" s="999" t="s">
        <v>1357</v>
      </c>
      <c r="U413" s="1000"/>
      <c r="V413" s="1000" t="s">
        <v>914</v>
      </c>
      <c r="W413" s="1003">
        <v>17625</v>
      </c>
      <c r="X413" s="1000" t="s">
        <v>903</v>
      </c>
      <c r="Y413" s="1000">
        <v>77</v>
      </c>
      <c r="Z413" s="1000" t="s">
        <v>904</v>
      </c>
      <c r="AA413" s="1000" t="s">
        <v>905</v>
      </c>
      <c r="AB413" s="1000" t="s">
        <v>938</v>
      </c>
      <c r="AC413" s="1000" t="s">
        <v>907</v>
      </c>
      <c r="AD413" s="1004">
        <v>3813.57</v>
      </c>
      <c r="AE413" s="1004">
        <f t="shared" si="49"/>
        <v>47351.827499999999</v>
      </c>
      <c r="AF413" s="1004">
        <f t="shared" si="53"/>
        <v>47351.827499999999</v>
      </c>
      <c r="AG413" s="1005">
        <f t="shared" si="48"/>
        <v>12.416666666666666</v>
      </c>
      <c r="AH413" s="1005">
        <f t="shared" si="50"/>
        <v>9.83715360948319</v>
      </c>
    </row>
    <row r="414" spans="1:34" x14ac:dyDescent="0.25">
      <c r="A414" s="999">
        <v>54100</v>
      </c>
      <c r="B414" s="999" t="s">
        <v>1502</v>
      </c>
      <c r="C414" s="999" t="s">
        <v>1503</v>
      </c>
      <c r="D414" s="999" t="s">
        <v>894</v>
      </c>
      <c r="E414" s="999" t="s">
        <v>895</v>
      </c>
      <c r="F414" s="999">
        <v>1718704</v>
      </c>
      <c r="G414" s="1000">
        <v>21841993700</v>
      </c>
      <c r="H414" s="999" t="s">
        <v>1538</v>
      </c>
      <c r="I414" s="999" t="s">
        <v>1444</v>
      </c>
      <c r="J414" s="1001">
        <v>45108</v>
      </c>
      <c r="K414" s="1001">
        <v>45835</v>
      </c>
      <c r="L414" s="1000">
        <f t="shared" si="51"/>
        <v>23</v>
      </c>
      <c r="M414" s="1002">
        <f t="shared" si="52"/>
        <v>1.9166666666666667</v>
      </c>
      <c r="N414" s="1000">
        <v>1</v>
      </c>
      <c r="O414" s="1000">
        <v>10</v>
      </c>
      <c r="P414" s="1000">
        <v>43</v>
      </c>
      <c r="Q414" s="999" t="s">
        <v>898</v>
      </c>
      <c r="R414" s="999" t="s">
        <v>899</v>
      </c>
      <c r="S414" s="999" t="s">
        <v>900</v>
      </c>
      <c r="T414" s="999" t="s">
        <v>635</v>
      </c>
      <c r="U414" s="1000" t="s">
        <v>54</v>
      </c>
      <c r="V414" s="1000" t="s">
        <v>914</v>
      </c>
      <c r="W414" s="1003">
        <v>18310</v>
      </c>
      <c r="X414" s="1000" t="s">
        <v>930</v>
      </c>
      <c r="Y414" s="1000">
        <v>75</v>
      </c>
      <c r="Z414" s="1000" t="s">
        <v>904</v>
      </c>
      <c r="AA414" s="1000" t="s">
        <v>905</v>
      </c>
      <c r="AB414" s="1000" t="s">
        <v>925</v>
      </c>
      <c r="AC414" s="1000" t="s">
        <v>907</v>
      </c>
      <c r="AD414" s="1004">
        <v>10126.049999999999</v>
      </c>
      <c r="AE414" s="1004">
        <f t="shared" si="49"/>
        <v>19408.262500000001</v>
      </c>
      <c r="AF414" s="1004">
        <f t="shared" si="53"/>
        <v>19408.262500000001</v>
      </c>
      <c r="AG414" s="1005">
        <f t="shared" si="48"/>
        <v>1.916666666666667</v>
      </c>
      <c r="AH414" s="1005">
        <f t="shared" si="50"/>
        <v>1.7443982815105092</v>
      </c>
    </row>
    <row r="415" spans="1:34" x14ac:dyDescent="0.25">
      <c r="A415" s="999">
        <v>54100</v>
      </c>
      <c r="B415" s="999" t="s">
        <v>1502</v>
      </c>
      <c r="C415" s="999" t="s">
        <v>1503</v>
      </c>
      <c r="D415" s="999" t="s">
        <v>894</v>
      </c>
      <c r="E415" s="999" t="s">
        <v>895</v>
      </c>
      <c r="F415" s="999">
        <v>1719503</v>
      </c>
      <c r="G415" s="1000">
        <v>27302202753</v>
      </c>
      <c r="H415" s="999" t="s">
        <v>1539</v>
      </c>
      <c r="I415" s="999" t="s">
        <v>897</v>
      </c>
      <c r="J415" s="1001">
        <v>40032</v>
      </c>
      <c r="K415" s="1001">
        <v>45835</v>
      </c>
      <c r="L415" s="1000">
        <f t="shared" si="51"/>
        <v>190</v>
      </c>
      <c r="M415" s="1002">
        <f t="shared" si="52"/>
        <v>15.833333333333334</v>
      </c>
      <c r="N415" s="1000">
        <v>15</v>
      </c>
      <c r="O415" s="1000">
        <v>15</v>
      </c>
      <c r="P415" s="1000">
        <v>43</v>
      </c>
      <c r="Q415" s="999" t="s">
        <v>898</v>
      </c>
      <c r="R415" s="999" t="s">
        <v>899</v>
      </c>
      <c r="S415" s="999" t="s">
        <v>900</v>
      </c>
      <c r="T415" s="999" t="s">
        <v>909</v>
      </c>
      <c r="U415" s="1000"/>
      <c r="V415" s="1000" t="s">
        <v>914</v>
      </c>
      <c r="W415" s="1003">
        <v>16672</v>
      </c>
      <c r="X415" s="1000" t="s">
        <v>903</v>
      </c>
      <c r="Y415" s="1000">
        <v>79</v>
      </c>
      <c r="Z415" s="1000" t="s">
        <v>904</v>
      </c>
      <c r="AA415" s="1000" t="s">
        <v>905</v>
      </c>
      <c r="AB415" s="1000" t="s">
        <v>938</v>
      </c>
      <c r="AC415" s="1000" t="s">
        <v>907</v>
      </c>
      <c r="AD415" s="1004">
        <v>3813.57</v>
      </c>
      <c r="AE415" s="1004">
        <f t="shared" si="49"/>
        <v>60381.525000000001</v>
      </c>
      <c r="AF415" s="1004">
        <f t="shared" si="53"/>
        <v>60381.525000000001</v>
      </c>
      <c r="AG415" s="1005">
        <f t="shared" si="48"/>
        <v>15.833333333333332</v>
      </c>
      <c r="AH415" s="1005">
        <f t="shared" si="50"/>
        <v>12.544021381220176</v>
      </c>
    </row>
    <row r="416" spans="1:34" x14ac:dyDescent="0.25">
      <c r="A416" s="999">
        <v>32000</v>
      </c>
      <c r="B416" s="999" t="s">
        <v>1540</v>
      </c>
      <c r="C416" s="999" t="s">
        <v>1541</v>
      </c>
      <c r="D416" s="999" t="s">
        <v>894</v>
      </c>
      <c r="E416" s="999" t="s">
        <v>895</v>
      </c>
      <c r="F416" s="999">
        <v>1713538</v>
      </c>
      <c r="G416" s="1000">
        <v>35124601787</v>
      </c>
      <c r="H416" s="999" t="s">
        <v>1542</v>
      </c>
      <c r="I416" s="999" t="s">
        <v>897</v>
      </c>
      <c r="J416" s="1001">
        <v>40008</v>
      </c>
      <c r="K416" s="1001">
        <v>45835</v>
      </c>
      <c r="L416" s="1000">
        <f t="shared" si="51"/>
        <v>191</v>
      </c>
      <c r="M416" s="1002">
        <f t="shared" si="52"/>
        <v>15.916666666666666</v>
      </c>
      <c r="N416" s="1000">
        <v>15</v>
      </c>
      <c r="O416" s="1000">
        <v>15</v>
      </c>
      <c r="P416" s="1000">
        <v>43</v>
      </c>
      <c r="Q416" s="999" t="s">
        <v>898</v>
      </c>
      <c r="R416" s="999" t="s">
        <v>899</v>
      </c>
      <c r="S416" s="999" t="s">
        <v>900</v>
      </c>
      <c r="T416" s="999" t="s">
        <v>1543</v>
      </c>
      <c r="U416" s="1000" t="s">
        <v>55</v>
      </c>
      <c r="V416" s="1000" t="s">
        <v>914</v>
      </c>
      <c r="W416" s="1003">
        <v>15453</v>
      </c>
      <c r="X416" s="1000" t="s">
        <v>903</v>
      </c>
      <c r="Y416" s="1000">
        <v>82</v>
      </c>
      <c r="Z416" s="1000" t="s">
        <v>904</v>
      </c>
      <c r="AA416" s="1000" t="s">
        <v>905</v>
      </c>
      <c r="AB416" s="1000" t="s">
        <v>911</v>
      </c>
      <c r="AC416" s="1000" t="s">
        <v>907</v>
      </c>
      <c r="AD416" s="1004">
        <v>5333.97</v>
      </c>
      <c r="AE416" s="1004">
        <f t="shared" si="49"/>
        <v>84899.022500000006</v>
      </c>
      <c r="AF416" s="1004">
        <f t="shared" si="53"/>
        <v>84899.022500000006</v>
      </c>
      <c r="AG416" s="1005">
        <f t="shared" si="48"/>
        <v>15.916666666666668</v>
      </c>
      <c r="AH416" s="1005">
        <f t="shared" si="50"/>
        <v>13.403761385039715</v>
      </c>
    </row>
    <row r="417" spans="1:34" x14ac:dyDescent="0.25">
      <c r="A417" s="999">
        <v>32000</v>
      </c>
      <c r="B417" s="999" t="s">
        <v>1540</v>
      </c>
      <c r="C417" s="999" t="s">
        <v>1541</v>
      </c>
      <c r="D417" s="999" t="s">
        <v>894</v>
      </c>
      <c r="E417" s="999" t="s">
        <v>895</v>
      </c>
      <c r="F417" s="999">
        <v>1717633</v>
      </c>
      <c r="G417" s="1000">
        <v>4243714720</v>
      </c>
      <c r="H417" s="999" t="s">
        <v>1544</v>
      </c>
      <c r="I417" s="999" t="s">
        <v>897</v>
      </c>
      <c r="J417" s="1001">
        <v>40031</v>
      </c>
      <c r="K417" s="1001">
        <v>45835</v>
      </c>
      <c r="L417" s="1000">
        <f t="shared" si="51"/>
        <v>190</v>
      </c>
      <c r="M417" s="1002">
        <f t="shared" si="52"/>
        <v>15.833333333333334</v>
      </c>
      <c r="N417" s="1000">
        <v>15</v>
      </c>
      <c r="O417" s="1000">
        <v>15</v>
      </c>
      <c r="P417" s="1000">
        <v>43</v>
      </c>
      <c r="Q417" s="999" t="s">
        <v>898</v>
      </c>
      <c r="R417" s="999" t="s">
        <v>899</v>
      </c>
      <c r="S417" s="999" t="s">
        <v>900</v>
      </c>
      <c r="T417" s="999" t="s">
        <v>1361</v>
      </c>
      <c r="U417" s="1000" t="s">
        <v>54</v>
      </c>
      <c r="V417" s="1000" t="s">
        <v>910</v>
      </c>
      <c r="W417" s="1003">
        <v>13436</v>
      </c>
      <c r="X417" s="1000" t="s">
        <v>903</v>
      </c>
      <c r="Y417" s="1000">
        <v>88</v>
      </c>
      <c r="Z417" s="1000" t="s">
        <v>904</v>
      </c>
      <c r="AA417" s="1000" t="s">
        <v>905</v>
      </c>
      <c r="AB417" s="1000" t="s">
        <v>925</v>
      </c>
      <c r="AC417" s="1000" t="s">
        <v>907</v>
      </c>
      <c r="AD417" s="1004">
        <v>10126.049999999999</v>
      </c>
      <c r="AE417" s="1004">
        <f t="shared" si="49"/>
        <v>160329.125</v>
      </c>
      <c r="AF417" s="1004">
        <f t="shared" si="53"/>
        <v>160329.125</v>
      </c>
      <c r="AG417" s="1005">
        <f t="shared" si="48"/>
        <v>15.833333333333334</v>
      </c>
      <c r="AH417" s="1005">
        <f t="shared" si="50"/>
        <v>14.410246673347684</v>
      </c>
    </row>
    <row r="418" spans="1:34" x14ac:dyDescent="0.25">
      <c r="A418" s="999">
        <v>32000</v>
      </c>
      <c r="B418" s="999" t="s">
        <v>1540</v>
      </c>
      <c r="C418" s="999" t="s">
        <v>1541</v>
      </c>
      <c r="D418" s="999" t="s">
        <v>894</v>
      </c>
      <c r="E418" s="999" t="s">
        <v>895</v>
      </c>
      <c r="F418" s="999">
        <v>1913966</v>
      </c>
      <c r="G418" s="1000">
        <v>21567050972</v>
      </c>
      <c r="H418" s="999" t="s">
        <v>1545</v>
      </c>
      <c r="I418" s="999" t="s">
        <v>897</v>
      </c>
      <c r="J418" s="1001">
        <v>40938</v>
      </c>
      <c r="K418" s="1001">
        <v>45835</v>
      </c>
      <c r="L418" s="1000">
        <f t="shared" si="51"/>
        <v>160</v>
      </c>
      <c r="M418" s="1002">
        <f t="shared" si="52"/>
        <v>13.333333333333334</v>
      </c>
      <c r="N418" s="1000">
        <v>13</v>
      </c>
      <c r="O418" s="1000">
        <v>13</v>
      </c>
      <c r="P418" s="1000">
        <v>43</v>
      </c>
      <c r="Q418" s="999" t="s">
        <v>898</v>
      </c>
      <c r="R418" s="999" t="s">
        <v>899</v>
      </c>
      <c r="S418" s="999" t="s">
        <v>900</v>
      </c>
      <c r="T418" s="999" t="s">
        <v>1546</v>
      </c>
      <c r="U418" s="1000" t="s">
        <v>55</v>
      </c>
      <c r="V418" s="1000" t="s">
        <v>914</v>
      </c>
      <c r="W418" s="1003">
        <v>17546</v>
      </c>
      <c r="X418" s="1000" t="s">
        <v>903</v>
      </c>
      <c r="Y418" s="1000">
        <v>77</v>
      </c>
      <c r="Z418" s="1000" t="s">
        <v>904</v>
      </c>
      <c r="AA418" s="1000" t="s">
        <v>905</v>
      </c>
      <c r="AB418" s="1000" t="s">
        <v>911</v>
      </c>
      <c r="AC418" s="1000" t="s">
        <v>907</v>
      </c>
      <c r="AD418" s="1004">
        <v>5333.97</v>
      </c>
      <c r="AE418" s="1004">
        <f t="shared" si="49"/>
        <v>71119.600000000006</v>
      </c>
      <c r="AF418" s="1004">
        <f t="shared" si="53"/>
        <v>71119.600000000006</v>
      </c>
      <c r="AG418" s="1005">
        <f t="shared" si="48"/>
        <v>13.333333333333334</v>
      </c>
      <c r="AH418" s="1005">
        <f t="shared" si="50"/>
        <v>11.228281788514945</v>
      </c>
    </row>
    <row r="419" spans="1:34" x14ac:dyDescent="0.25">
      <c r="A419" s="999">
        <v>32000</v>
      </c>
      <c r="B419" s="999" t="s">
        <v>1540</v>
      </c>
      <c r="C419" s="999" t="s">
        <v>1541</v>
      </c>
      <c r="D419" s="999" t="s">
        <v>894</v>
      </c>
      <c r="E419" s="999" t="s">
        <v>895</v>
      </c>
      <c r="F419" s="999">
        <v>779125</v>
      </c>
      <c r="G419" s="1000">
        <v>4270320320</v>
      </c>
      <c r="H419" s="999" t="s">
        <v>1547</v>
      </c>
      <c r="I419" s="999" t="s">
        <v>897</v>
      </c>
      <c r="J419" s="1001">
        <v>41921</v>
      </c>
      <c r="K419" s="1001">
        <v>45835</v>
      </c>
      <c r="L419" s="1000">
        <f t="shared" si="51"/>
        <v>128</v>
      </c>
      <c r="M419" s="1002">
        <f t="shared" si="52"/>
        <v>10.666666666666666</v>
      </c>
      <c r="N419" s="1000">
        <v>10</v>
      </c>
      <c r="O419" s="1000">
        <v>10</v>
      </c>
      <c r="P419" s="1000">
        <v>43</v>
      </c>
      <c r="Q419" s="999" t="s">
        <v>898</v>
      </c>
      <c r="R419" s="999" t="s">
        <v>899</v>
      </c>
      <c r="S419" s="999" t="s">
        <v>900</v>
      </c>
      <c r="T419" s="999" t="s">
        <v>1548</v>
      </c>
      <c r="U419" s="1000" t="s">
        <v>54</v>
      </c>
      <c r="V419" s="1000" t="s">
        <v>914</v>
      </c>
      <c r="W419" s="1003">
        <v>18204</v>
      </c>
      <c r="X419" s="1000" t="s">
        <v>930</v>
      </c>
      <c r="Y419" s="1000">
        <v>75</v>
      </c>
      <c r="Z419" s="1000" t="s">
        <v>904</v>
      </c>
      <c r="AA419" s="1000" t="s">
        <v>905</v>
      </c>
      <c r="AB419" s="1000" t="s">
        <v>925</v>
      </c>
      <c r="AC419" s="1000" t="s">
        <v>907</v>
      </c>
      <c r="AD419" s="1004">
        <v>10126.049999999999</v>
      </c>
      <c r="AE419" s="1004">
        <f t="shared" si="49"/>
        <v>108011.19999999998</v>
      </c>
      <c r="AF419" s="1004">
        <f t="shared" si="53"/>
        <v>108011.19999999998</v>
      </c>
      <c r="AG419" s="1005">
        <f t="shared" si="48"/>
        <v>10.666666666666666</v>
      </c>
      <c r="AH419" s="1005">
        <f t="shared" si="50"/>
        <v>9.7079556536237028</v>
      </c>
    </row>
    <row r="420" spans="1:34" x14ac:dyDescent="0.25">
      <c r="A420" s="999">
        <v>32000</v>
      </c>
      <c r="B420" s="999" t="s">
        <v>1540</v>
      </c>
      <c r="C420" s="999" t="s">
        <v>1541</v>
      </c>
      <c r="D420" s="999" t="s">
        <v>894</v>
      </c>
      <c r="E420" s="999" t="s">
        <v>895</v>
      </c>
      <c r="F420" s="999">
        <v>779294</v>
      </c>
      <c r="G420" s="1000">
        <v>2132222487</v>
      </c>
      <c r="H420" s="999" t="s">
        <v>1549</v>
      </c>
      <c r="I420" s="999" t="s">
        <v>897</v>
      </c>
      <c r="J420" s="1001">
        <v>42156</v>
      </c>
      <c r="K420" s="1001">
        <v>45835</v>
      </c>
      <c r="L420" s="1000">
        <f t="shared" si="51"/>
        <v>120</v>
      </c>
      <c r="M420" s="1002">
        <f t="shared" si="52"/>
        <v>10</v>
      </c>
      <c r="N420" s="1000">
        <v>10</v>
      </c>
      <c r="O420" s="1000">
        <v>10</v>
      </c>
      <c r="P420" s="1000">
        <v>43</v>
      </c>
      <c r="Q420" s="999" t="s">
        <v>898</v>
      </c>
      <c r="R420" s="999" t="s">
        <v>899</v>
      </c>
      <c r="S420" s="999" t="s">
        <v>900</v>
      </c>
      <c r="T420" s="999" t="s">
        <v>1550</v>
      </c>
      <c r="U420" s="1000" t="s">
        <v>54</v>
      </c>
      <c r="V420" s="1000" t="s">
        <v>914</v>
      </c>
      <c r="W420" s="1003">
        <v>16847</v>
      </c>
      <c r="X420" s="1000" t="s">
        <v>930</v>
      </c>
      <c r="Y420" s="1000">
        <v>79</v>
      </c>
      <c r="Z420" s="1000" t="s">
        <v>904</v>
      </c>
      <c r="AA420" s="1000" t="s">
        <v>905</v>
      </c>
      <c r="AB420" s="1000" t="s">
        <v>925</v>
      </c>
      <c r="AC420" s="1000" t="s">
        <v>907</v>
      </c>
      <c r="AD420" s="1004">
        <v>10126.049999999999</v>
      </c>
      <c r="AE420" s="1004">
        <f t="shared" si="49"/>
        <v>101260.5</v>
      </c>
      <c r="AF420" s="1004">
        <f t="shared" si="53"/>
        <v>101260.5</v>
      </c>
      <c r="AG420" s="1005">
        <f t="shared" si="48"/>
        <v>10</v>
      </c>
      <c r="AH420" s="1005">
        <f t="shared" si="50"/>
        <v>9.1012084252722225</v>
      </c>
    </row>
    <row r="421" spans="1:34" x14ac:dyDescent="0.25">
      <c r="A421" s="999">
        <v>32000</v>
      </c>
      <c r="B421" s="999" t="s">
        <v>1540</v>
      </c>
      <c r="C421" s="999" t="s">
        <v>1541</v>
      </c>
      <c r="D421" s="999" t="s">
        <v>894</v>
      </c>
      <c r="E421" s="999" t="s">
        <v>895</v>
      </c>
      <c r="F421" s="999">
        <v>1905842</v>
      </c>
      <c r="G421" s="1000">
        <v>9627693987</v>
      </c>
      <c r="H421" s="999" t="s">
        <v>1551</v>
      </c>
      <c r="I421" s="999" t="s">
        <v>897</v>
      </c>
      <c r="J421" s="1001">
        <v>40885</v>
      </c>
      <c r="K421" s="1001">
        <v>45835</v>
      </c>
      <c r="L421" s="1000">
        <f t="shared" si="51"/>
        <v>162</v>
      </c>
      <c r="M421" s="1002">
        <f t="shared" si="52"/>
        <v>13.5</v>
      </c>
      <c r="N421" s="1000">
        <v>13</v>
      </c>
      <c r="O421" s="1000">
        <v>13</v>
      </c>
      <c r="P421" s="1000">
        <v>43</v>
      </c>
      <c r="Q421" s="999" t="s">
        <v>898</v>
      </c>
      <c r="R421" s="999" t="s">
        <v>899</v>
      </c>
      <c r="S421" s="999" t="s">
        <v>900</v>
      </c>
      <c r="T421" s="999" t="s">
        <v>1552</v>
      </c>
      <c r="U421" s="1000" t="s">
        <v>55</v>
      </c>
      <c r="V421" s="1000" t="s">
        <v>914</v>
      </c>
      <c r="W421" s="1003">
        <v>18146</v>
      </c>
      <c r="X421" s="1000" t="s">
        <v>903</v>
      </c>
      <c r="Y421" s="1000">
        <v>75</v>
      </c>
      <c r="Z421" s="1000" t="s">
        <v>904</v>
      </c>
      <c r="AA421" s="1000" t="s">
        <v>905</v>
      </c>
      <c r="AB421" s="1000" t="s">
        <v>911</v>
      </c>
      <c r="AC421" s="1000" t="s">
        <v>907</v>
      </c>
      <c r="AD421" s="1004">
        <v>5333.97</v>
      </c>
      <c r="AE421" s="1004">
        <f t="shared" si="49"/>
        <v>72008.595000000001</v>
      </c>
      <c r="AF421" s="1004">
        <f t="shared" si="53"/>
        <v>72008.595000000001</v>
      </c>
      <c r="AG421" s="1005">
        <f t="shared" si="48"/>
        <v>13.5</v>
      </c>
      <c r="AH421" s="1005">
        <f t="shared" si="50"/>
        <v>11.368635310871381</v>
      </c>
    </row>
    <row r="422" spans="1:34" x14ac:dyDescent="0.25">
      <c r="A422" s="999">
        <v>32000</v>
      </c>
      <c r="B422" s="999" t="s">
        <v>1540</v>
      </c>
      <c r="C422" s="999" t="s">
        <v>1541</v>
      </c>
      <c r="D422" s="999" t="s">
        <v>894</v>
      </c>
      <c r="E422" s="999" t="s">
        <v>895</v>
      </c>
      <c r="F422" s="999">
        <v>8455824</v>
      </c>
      <c r="G422" s="1000">
        <v>2387948149</v>
      </c>
      <c r="H422" s="999" t="s">
        <v>1553</v>
      </c>
      <c r="I422" s="999" t="s">
        <v>897</v>
      </c>
      <c r="J422" s="1001">
        <v>39904</v>
      </c>
      <c r="K422" s="1001">
        <v>45835</v>
      </c>
      <c r="L422" s="1000">
        <f t="shared" si="51"/>
        <v>194</v>
      </c>
      <c r="M422" s="1002">
        <f t="shared" si="52"/>
        <v>16.166666666666668</v>
      </c>
      <c r="N422" s="1000">
        <v>16</v>
      </c>
      <c r="O422" s="1000">
        <v>16</v>
      </c>
      <c r="P422" s="1000">
        <v>43</v>
      </c>
      <c r="Q422" s="999" t="s">
        <v>898</v>
      </c>
      <c r="R422" s="999" t="s">
        <v>899</v>
      </c>
      <c r="S422" s="999" t="s">
        <v>900</v>
      </c>
      <c r="T422" s="999" t="s">
        <v>1554</v>
      </c>
      <c r="U422" s="1000" t="s">
        <v>54</v>
      </c>
      <c r="V422" s="1000" t="s">
        <v>910</v>
      </c>
      <c r="W422" s="1003">
        <v>15003</v>
      </c>
      <c r="X422" s="1000" t="s">
        <v>903</v>
      </c>
      <c r="Y422" s="1000">
        <v>84</v>
      </c>
      <c r="Z422" s="1000" t="s">
        <v>904</v>
      </c>
      <c r="AA422" s="1000" t="s">
        <v>905</v>
      </c>
      <c r="AB422" s="1000" t="s">
        <v>925</v>
      </c>
      <c r="AC422" s="1000" t="s">
        <v>907</v>
      </c>
      <c r="AD422" s="1004">
        <v>10126.049999999999</v>
      </c>
      <c r="AE422" s="1004">
        <f t="shared" si="49"/>
        <v>163704.47500000001</v>
      </c>
      <c r="AF422" s="1004">
        <f t="shared" si="53"/>
        <v>163704.47500000001</v>
      </c>
      <c r="AG422" s="1005">
        <f t="shared" si="48"/>
        <v>16.166666666666668</v>
      </c>
      <c r="AH422" s="1005">
        <f t="shared" si="50"/>
        <v>14.713620287523426</v>
      </c>
    </row>
    <row r="423" spans="1:34" x14ac:dyDescent="0.25">
      <c r="A423" s="999">
        <v>32000</v>
      </c>
      <c r="B423" s="999" t="s">
        <v>1540</v>
      </c>
      <c r="C423" s="999" t="s">
        <v>1541</v>
      </c>
      <c r="D423" s="999" t="s">
        <v>894</v>
      </c>
      <c r="E423" s="999" t="s">
        <v>895</v>
      </c>
      <c r="F423" s="999">
        <v>1911837</v>
      </c>
      <c r="G423" s="1000">
        <v>85315915891</v>
      </c>
      <c r="H423" s="999" t="s">
        <v>1555</v>
      </c>
      <c r="I423" s="999" t="s">
        <v>897</v>
      </c>
      <c r="J423" s="1001">
        <v>40924</v>
      </c>
      <c r="K423" s="1001">
        <v>45835</v>
      </c>
      <c r="L423" s="1000">
        <f t="shared" si="51"/>
        <v>161</v>
      </c>
      <c r="M423" s="1002">
        <f t="shared" si="52"/>
        <v>13.416666666666666</v>
      </c>
      <c r="N423" s="1000">
        <v>13</v>
      </c>
      <c r="O423" s="1000">
        <v>13</v>
      </c>
      <c r="P423" s="1000">
        <v>43</v>
      </c>
      <c r="Q423" s="999" t="s">
        <v>898</v>
      </c>
      <c r="R423" s="999" t="s">
        <v>899</v>
      </c>
      <c r="S423" s="999" t="s">
        <v>900</v>
      </c>
      <c r="T423" s="999" t="s">
        <v>1556</v>
      </c>
      <c r="U423" s="1000" t="s">
        <v>55</v>
      </c>
      <c r="V423" s="1000" t="s">
        <v>914</v>
      </c>
      <c r="W423" s="1003">
        <v>17657</v>
      </c>
      <c r="X423" s="1000" t="s">
        <v>903</v>
      </c>
      <c r="Y423" s="1000">
        <v>76</v>
      </c>
      <c r="Z423" s="1000" t="s">
        <v>904</v>
      </c>
      <c r="AA423" s="1000" t="s">
        <v>905</v>
      </c>
      <c r="AB423" s="1000" t="s">
        <v>911</v>
      </c>
      <c r="AC423" s="1000" t="s">
        <v>907</v>
      </c>
      <c r="AD423" s="1004">
        <v>5333.97</v>
      </c>
      <c r="AE423" s="1004">
        <f t="shared" si="49"/>
        <v>71564.097500000003</v>
      </c>
      <c r="AF423" s="1004">
        <f t="shared" si="53"/>
        <v>71564.097500000003</v>
      </c>
      <c r="AG423" s="1005">
        <f t="shared" ref="AG423:AG439" si="54">AF423/AD423</f>
        <v>13.416666666666666</v>
      </c>
      <c r="AH423" s="1005">
        <f t="shared" si="50"/>
        <v>11.298458549693162</v>
      </c>
    </row>
    <row r="424" spans="1:34" x14ac:dyDescent="0.25">
      <c r="A424" s="999">
        <v>32000</v>
      </c>
      <c r="B424" s="999" t="s">
        <v>1540</v>
      </c>
      <c r="C424" s="999" t="s">
        <v>1541</v>
      </c>
      <c r="D424" s="999" t="s">
        <v>894</v>
      </c>
      <c r="E424" s="999" t="s">
        <v>895</v>
      </c>
      <c r="F424" s="999">
        <v>1905946</v>
      </c>
      <c r="G424" s="1000">
        <v>45021430904</v>
      </c>
      <c r="H424" s="999" t="s">
        <v>1557</v>
      </c>
      <c r="I424" s="999" t="s">
        <v>897</v>
      </c>
      <c r="J424" s="1001">
        <v>40885</v>
      </c>
      <c r="K424" s="1001">
        <v>45835</v>
      </c>
      <c r="L424" s="1000">
        <f t="shared" si="51"/>
        <v>162</v>
      </c>
      <c r="M424" s="1002">
        <f t="shared" si="52"/>
        <v>13.5</v>
      </c>
      <c r="N424" s="1000">
        <v>13</v>
      </c>
      <c r="O424" s="1000">
        <v>13</v>
      </c>
      <c r="P424" s="1000">
        <v>43</v>
      </c>
      <c r="Q424" s="999" t="s">
        <v>898</v>
      </c>
      <c r="R424" s="999" t="s">
        <v>899</v>
      </c>
      <c r="S424" s="999" t="s">
        <v>900</v>
      </c>
      <c r="T424" s="999" t="s">
        <v>1558</v>
      </c>
      <c r="U424" s="1000" t="s">
        <v>55</v>
      </c>
      <c r="V424" s="1000" t="s">
        <v>914</v>
      </c>
      <c r="W424" s="1003">
        <v>18237</v>
      </c>
      <c r="X424" s="1000" t="s">
        <v>903</v>
      </c>
      <c r="Y424" s="1000">
        <v>75</v>
      </c>
      <c r="Z424" s="1000" t="s">
        <v>904</v>
      </c>
      <c r="AA424" s="1000" t="s">
        <v>905</v>
      </c>
      <c r="AB424" s="1000" t="s">
        <v>911</v>
      </c>
      <c r="AC424" s="1000" t="s">
        <v>907</v>
      </c>
      <c r="AD424" s="1004">
        <v>5333.97</v>
      </c>
      <c r="AE424" s="1004">
        <f t="shared" si="49"/>
        <v>72008.595000000001</v>
      </c>
      <c r="AF424" s="1004">
        <f t="shared" si="53"/>
        <v>72008.595000000001</v>
      </c>
      <c r="AG424" s="1005">
        <f t="shared" si="54"/>
        <v>13.5</v>
      </c>
      <c r="AH424" s="1005">
        <f t="shared" si="50"/>
        <v>11.368635310871381</v>
      </c>
    </row>
    <row r="425" spans="1:34" x14ac:dyDescent="0.25">
      <c r="A425" s="999">
        <v>32000</v>
      </c>
      <c r="B425" s="999" t="s">
        <v>1540</v>
      </c>
      <c r="C425" s="999" t="s">
        <v>1541</v>
      </c>
      <c r="D425" s="999" t="s">
        <v>894</v>
      </c>
      <c r="E425" s="999" t="s">
        <v>895</v>
      </c>
      <c r="F425" s="999">
        <v>1914039</v>
      </c>
      <c r="G425" s="1000">
        <v>6704816968</v>
      </c>
      <c r="H425" s="999" t="s">
        <v>1559</v>
      </c>
      <c r="I425" s="999" t="s">
        <v>897</v>
      </c>
      <c r="J425" s="1001">
        <v>40945</v>
      </c>
      <c r="K425" s="1001">
        <v>45835</v>
      </c>
      <c r="L425" s="1000">
        <f t="shared" si="51"/>
        <v>160</v>
      </c>
      <c r="M425" s="1002">
        <f t="shared" si="52"/>
        <v>13.333333333333334</v>
      </c>
      <c r="N425" s="1000">
        <v>13</v>
      </c>
      <c r="O425" s="1000">
        <v>13</v>
      </c>
      <c r="P425" s="1000">
        <v>43</v>
      </c>
      <c r="Q425" s="999" t="s">
        <v>898</v>
      </c>
      <c r="R425" s="999" t="s">
        <v>899</v>
      </c>
      <c r="S425" s="999" t="s">
        <v>900</v>
      </c>
      <c r="T425" s="999" t="s">
        <v>1560</v>
      </c>
      <c r="U425" s="1000" t="s">
        <v>55</v>
      </c>
      <c r="V425" s="1000" t="s">
        <v>914</v>
      </c>
      <c r="W425" s="1003">
        <v>16100</v>
      </c>
      <c r="X425" s="1000" t="s">
        <v>903</v>
      </c>
      <c r="Y425" s="1000">
        <v>81</v>
      </c>
      <c r="Z425" s="1000" t="s">
        <v>904</v>
      </c>
      <c r="AA425" s="1000" t="s">
        <v>905</v>
      </c>
      <c r="AB425" s="1000" t="s">
        <v>911</v>
      </c>
      <c r="AC425" s="1000" t="s">
        <v>907</v>
      </c>
      <c r="AD425" s="1004">
        <v>5333.97</v>
      </c>
      <c r="AE425" s="1004">
        <f t="shared" si="49"/>
        <v>71119.600000000006</v>
      </c>
      <c r="AF425" s="1004">
        <f t="shared" si="53"/>
        <v>71119.600000000006</v>
      </c>
      <c r="AG425" s="1005">
        <f t="shared" si="54"/>
        <v>13.333333333333334</v>
      </c>
      <c r="AH425" s="1005">
        <f t="shared" si="50"/>
        <v>11.228281788514945</v>
      </c>
    </row>
    <row r="426" spans="1:34" x14ac:dyDescent="0.25">
      <c r="A426" s="999">
        <v>32000</v>
      </c>
      <c r="B426" s="999" t="s">
        <v>1540</v>
      </c>
      <c r="C426" s="999" t="s">
        <v>1541</v>
      </c>
      <c r="D426" s="999" t="s">
        <v>894</v>
      </c>
      <c r="E426" s="999" t="s">
        <v>895</v>
      </c>
      <c r="F426" s="999">
        <v>1722274</v>
      </c>
      <c r="G426" s="1000">
        <v>2745429353</v>
      </c>
      <c r="H426" s="999" t="s">
        <v>1561</v>
      </c>
      <c r="I426" s="999" t="s">
        <v>897</v>
      </c>
      <c r="J426" s="1001">
        <v>40051</v>
      </c>
      <c r="K426" s="1001">
        <v>45835</v>
      </c>
      <c r="L426" s="1000">
        <f t="shared" si="51"/>
        <v>190</v>
      </c>
      <c r="M426" s="1002">
        <f t="shared" si="52"/>
        <v>15.833333333333334</v>
      </c>
      <c r="N426" s="1000">
        <v>15</v>
      </c>
      <c r="O426" s="1000">
        <v>15</v>
      </c>
      <c r="P426" s="1000">
        <v>43</v>
      </c>
      <c r="Q426" s="999" t="s">
        <v>898</v>
      </c>
      <c r="R426" s="999" t="s">
        <v>899</v>
      </c>
      <c r="S426" s="999" t="s">
        <v>900</v>
      </c>
      <c r="T426" s="999" t="s">
        <v>924</v>
      </c>
      <c r="U426" s="1000" t="s">
        <v>55</v>
      </c>
      <c r="V426" s="1000" t="s">
        <v>914</v>
      </c>
      <c r="W426" s="1003">
        <v>18194</v>
      </c>
      <c r="X426" s="1000" t="s">
        <v>930</v>
      </c>
      <c r="Y426" s="1000">
        <v>75</v>
      </c>
      <c r="Z426" s="1000" t="s">
        <v>904</v>
      </c>
      <c r="AA426" s="1000" t="s">
        <v>905</v>
      </c>
      <c r="AB426" s="1000" t="s">
        <v>911</v>
      </c>
      <c r="AC426" s="1000" t="s">
        <v>907</v>
      </c>
      <c r="AD426" s="1004">
        <v>5333.97</v>
      </c>
      <c r="AE426" s="1004">
        <f t="shared" si="49"/>
        <v>84454.525000000009</v>
      </c>
      <c r="AF426" s="1004">
        <f t="shared" si="53"/>
        <v>84454.525000000009</v>
      </c>
      <c r="AG426" s="1005">
        <f t="shared" si="54"/>
        <v>15.833333333333334</v>
      </c>
      <c r="AH426" s="1005">
        <f t="shared" si="50"/>
        <v>13.333584623861498</v>
      </c>
    </row>
    <row r="427" spans="1:34" x14ac:dyDescent="0.25">
      <c r="A427" s="999">
        <v>32000</v>
      </c>
      <c r="B427" s="999" t="s">
        <v>1540</v>
      </c>
      <c r="C427" s="999" t="s">
        <v>1541</v>
      </c>
      <c r="D427" s="999" t="s">
        <v>894</v>
      </c>
      <c r="E427" s="999" t="s">
        <v>895</v>
      </c>
      <c r="F427" s="999">
        <v>1681048</v>
      </c>
      <c r="G427" s="1000">
        <v>23858206768</v>
      </c>
      <c r="H427" s="999" t="s">
        <v>1562</v>
      </c>
      <c r="I427" s="999" t="s">
        <v>897</v>
      </c>
      <c r="J427" s="1001">
        <v>39853</v>
      </c>
      <c r="K427" s="1001">
        <v>45835</v>
      </c>
      <c r="L427" s="1000">
        <f t="shared" si="51"/>
        <v>196</v>
      </c>
      <c r="M427" s="1002">
        <f t="shared" si="52"/>
        <v>16.333333333333332</v>
      </c>
      <c r="N427" s="1000">
        <v>16</v>
      </c>
      <c r="O427" s="1000">
        <v>16</v>
      </c>
      <c r="P427" s="1000">
        <v>43</v>
      </c>
      <c r="Q427" s="999" t="s">
        <v>898</v>
      </c>
      <c r="R427" s="999" t="s">
        <v>899</v>
      </c>
      <c r="S427" s="999" t="s">
        <v>900</v>
      </c>
      <c r="T427" s="999" t="s">
        <v>924</v>
      </c>
      <c r="U427" s="1000" t="s">
        <v>55</v>
      </c>
      <c r="V427" s="1000" t="s">
        <v>914</v>
      </c>
      <c r="W427" s="1003">
        <v>18276</v>
      </c>
      <c r="X427" s="1000" t="s">
        <v>930</v>
      </c>
      <c r="Y427" s="1000">
        <v>75</v>
      </c>
      <c r="Z427" s="1000" t="s">
        <v>904</v>
      </c>
      <c r="AA427" s="1000" t="s">
        <v>905</v>
      </c>
      <c r="AB427" s="1000" t="s">
        <v>911</v>
      </c>
      <c r="AC427" s="1000" t="s">
        <v>907</v>
      </c>
      <c r="AD427" s="1004">
        <v>5333.97</v>
      </c>
      <c r="AE427" s="1004">
        <f t="shared" si="49"/>
        <v>87121.51</v>
      </c>
      <c r="AF427" s="1004">
        <f t="shared" si="53"/>
        <v>87121.51</v>
      </c>
      <c r="AG427" s="1005">
        <f t="shared" si="54"/>
        <v>16.333333333333332</v>
      </c>
      <c r="AH427" s="1005">
        <f t="shared" si="50"/>
        <v>13.754645190930805</v>
      </c>
    </row>
    <row r="428" spans="1:34" x14ac:dyDescent="0.25">
      <c r="A428" s="999">
        <v>32000</v>
      </c>
      <c r="B428" s="999" t="s">
        <v>1540</v>
      </c>
      <c r="C428" s="999" t="s">
        <v>1541</v>
      </c>
      <c r="D428" s="999" t="s">
        <v>894</v>
      </c>
      <c r="E428" s="999" t="s">
        <v>895</v>
      </c>
      <c r="F428" s="999">
        <v>1305258</v>
      </c>
      <c r="G428" s="1000">
        <v>811203115</v>
      </c>
      <c r="H428" s="999" t="s">
        <v>1563</v>
      </c>
      <c r="I428" s="999" t="s">
        <v>897</v>
      </c>
      <c r="J428" s="1001">
        <v>39896</v>
      </c>
      <c r="K428" s="1001">
        <v>45835</v>
      </c>
      <c r="L428" s="1000">
        <f t="shared" si="51"/>
        <v>195</v>
      </c>
      <c r="M428" s="1002">
        <f t="shared" si="52"/>
        <v>16.25</v>
      </c>
      <c r="N428" s="1000">
        <v>16</v>
      </c>
      <c r="O428" s="1000">
        <v>16</v>
      </c>
      <c r="P428" s="1000">
        <v>43</v>
      </c>
      <c r="Q428" s="999" t="s">
        <v>898</v>
      </c>
      <c r="R428" s="999" t="s">
        <v>899</v>
      </c>
      <c r="S428" s="999" t="s">
        <v>900</v>
      </c>
      <c r="T428" s="999" t="s">
        <v>1564</v>
      </c>
      <c r="U428" s="1000" t="s">
        <v>54</v>
      </c>
      <c r="V428" s="1000" t="s">
        <v>914</v>
      </c>
      <c r="W428" s="1003">
        <v>15295</v>
      </c>
      <c r="X428" s="1000" t="s">
        <v>930</v>
      </c>
      <c r="Y428" s="1000">
        <v>83</v>
      </c>
      <c r="Z428" s="1000" t="s">
        <v>904</v>
      </c>
      <c r="AA428" s="1000" t="s">
        <v>905</v>
      </c>
      <c r="AB428" s="1000" t="s">
        <v>925</v>
      </c>
      <c r="AC428" s="1000" t="s">
        <v>907</v>
      </c>
      <c r="AD428" s="1004">
        <v>10126.049999999999</v>
      </c>
      <c r="AE428" s="1004">
        <f t="shared" si="49"/>
        <v>164548.3125</v>
      </c>
      <c r="AF428" s="1004">
        <f t="shared" si="53"/>
        <v>164548.3125</v>
      </c>
      <c r="AG428" s="1005">
        <f t="shared" si="54"/>
        <v>16.25</v>
      </c>
      <c r="AH428" s="1005">
        <f t="shared" si="50"/>
        <v>14.789463691067361</v>
      </c>
    </row>
    <row r="429" spans="1:34" x14ac:dyDescent="0.25">
      <c r="A429" s="999">
        <v>32000</v>
      </c>
      <c r="B429" s="999" t="s">
        <v>1540</v>
      </c>
      <c r="C429" s="999" t="s">
        <v>1541</v>
      </c>
      <c r="D429" s="999" t="s">
        <v>894</v>
      </c>
      <c r="E429" s="999" t="s">
        <v>895</v>
      </c>
      <c r="F429" s="999">
        <v>1700581</v>
      </c>
      <c r="G429" s="1000">
        <v>3773795734</v>
      </c>
      <c r="H429" s="999" t="s">
        <v>1565</v>
      </c>
      <c r="I429" s="999" t="s">
        <v>897</v>
      </c>
      <c r="J429" s="1001">
        <v>39930</v>
      </c>
      <c r="K429" s="1001">
        <v>45835</v>
      </c>
      <c r="L429" s="1000">
        <f t="shared" si="51"/>
        <v>194</v>
      </c>
      <c r="M429" s="1002">
        <f t="shared" si="52"/>
        <v>16.166666666666668</v>
      </c>
      <c r="N429" s="1000">
        <v>16</v>
      </c>
      <c r="O429" s="1000">
        <v>16</v>
      </c>
      <c r="P429" s="1000">
        <v>43</v>
      </c>
      <c r="Q429" s="999" t="s">
        <v>898</v>
      </c>
      <c r="R429" s="999" t="s">
        <v>899</v>
      </c>
      <c r="S429" s="999" t="s">
        <v>900</v>
      </c>
      <c r="T429" s="999" t="s">
        <v>1363</v>
      </c>
      <c r="U429" s="1000" t="s">
        <v>55</v>
      </c>
      <c r="V429" s="1000" t="s">
        <v>914</v>
      </c>
      <c r="W429" s="1003">
        <v>15132</v>
      </c>
      <c r="X429" s="1000" t="s">
        <v>903</v>
      </c>
      <c r="Y429" s="1000">
        <v>83</v>
      </c>
      <c r="Z429" s="1000" t="s">
        <v>904</v>
      </c>
      <c r="AA429" s="1000" t="s">
        <v>905</v>
      </c>
      <c r="AB429" s="1000" t="s">
        <v>911</v>
      </c>
      <c r="AC429" s="1000" t="s">
        <v>907</v>
      </c>
      <c r="AD429" s="1004">
        <v>5333.97</v>
      </c>
      <c r="AE429" s="1004">
        <f t="shared" si="49"/>
        <v>86232.515000000014</v>
      </c>
      <c r="AF429" s="1004">
        <f t="shared" si="53"/>
        <v>86232.515000000014</v>
      </c>
      <c r="AG429" s="1005">
        <f t="shared" si="54"/>
        <v>16.166666666666668</v>
      </c>
      <c r="AH429" s="1005">
        <f t="shared" si="50"/>
        <v>13.614291668574371</v>
      </c>
    </row>
    <row r="430" spans="1:34" x14ac:dyDescent="0.25">
      <c r="A430" s="999">
        <v>32000</v>
      </c>
      <c r="B430" s="999" t="s">
        <v>1540</v>
      </c>
      <c r="C430" s="999" t="s">
        <v>1541</v>
      </c>
      <c r="D430" s="999" t="s">
        <v>894</v>
      </c>
      <c r="E430" s="999" t="s">
        <v>895</v>
      </c>
      <c r="F430" s="999">
        <v>2083513</v>
      </c>
      <c r="G430" s="1000">
        <v>2411047770</v>
      </c>
      <c r="H430" s="999" t="s">
        <v>1566</v>
      </c>
      <c r="I430" s="999" t="s">
        <v>897</v>
      </c>
      <c r="J430" s="1001">
        <v>41660</v>
      </c>
      <c r="K430" s="1001">
        <v>45835</v>
      </c>
      <c r="L430" s="1000">
        <f t="shared" si="51"/>
        <v>137</v>
      </c>
      <c r="M430" s="1002">
        <f t="shared" si="52"/>
        <v>11.416666666666666</v>
      </c>
      <c r="N430" s="1000">
        <v>11</v>
      </c>
      <c r="O430" s="1000">
        <v>11</v>
      </c>
      <c r="P430" s="1000">
        <v>43</v>
      </c>
      <c r="Q430" s="999" t="s">
        <v>898</v>
      </c>
      <c r="R430" s="999" t="s">
        <v>899</v>
      </c>
      <c r="S430" s="999" t="s">
        <v>900</v>
      </c>
      <c r="T430" s="999" t="s">
        <v>1184</v>
      </c>
      <c r="U430" s="1000" t="s">
        <v>54</v>
      </c>
      <c r="V430" s="1000" t="s">
        <v>914</v>
      </c>
      <c r="W430" s="1003">
        <v>14559</v>
      </c>
      <c r="X430" s="1000" t="s">
        <v>930</v>
      </c>
      <c r="Y430" s="1000">
        <v>85</v>
      </c>
      <c r="Z430" s="1000" t="s">
        <v>904</v>
      </c>
      <c r="AA430" s="1000" t="s">
        <v>905</v>
      </c>
      <c r="AB430" s="1000" t="s">
        <v>925</v>
      </c>
      <c r="AC430" s="1000" t="s">
        <v>907</v>
      </c>
      <c r="AD430" s="1004">
        <v>10126.049999999999</v>
      </c>
      <c r="AE430" s="1004">
        <f t="shared" si="49"/>
        <v>115605.73749999999</v>
      </c>
      <c r="AF430" s="1004">
        <f t="shared" si="53"/>
        <v>115605.73749999999</v>
      </c>
      <c r="AG430" s="1005">
        <f t="shared" si="54"/>
        <v>11.416666666666666</v>
      </c>
      <c r="AH430" s="1005">
        <f t="shared" si="50"/>
        <v>10.39054628551912</v>
      </c>
    </row>
    <row r="431" spans="1:34" x14ac:dyDescent="0.25">
      <c r="A431" s="999">
        <v>32000</v>
      </c>
      <c r="B431" s="999" t="s">
        <v>1540</v>
      </c>
      <c r="C431" s="999" t="s">
        <v>1541</v>
      </c>
      <c r="D431" s="999" t="s">
        <v>894</v>
      </c>
      <c r="E431" s="999" t="s">
        <v>895</v>
      </c>
      <c r="F431" s="999">
        <v>1907293</v>
      </c>
      <c r="G431" s="1000">
        <v>17889863934</v>
      </c>
      <c r="H431" s="999" t="s">
        <v>1567</v>
      </c>
      <c r="I431" s="999" t="s">
        <v>897</v>
      </c>
      <c r="J431" s="1001">
        <v>40890</v>
      </c>
      <c r="K431" s="1001">
        <v>45835</v>
      </c>
      <c r="L431" s="1000">
        <f t="shared" si="51"/>
        <v>162</v>
      </c>
      <c r="M431" s="1002">
        <f t="shared" si="52"/>
        <v>13.5</v>
      </c>
      <c r="N431" s="1000">
        <v>13</v>
      </c>
      <c r="O431" s="1000">
        <v>13</v>
      </c>
      <c r="P431" s="1000">
        <v>43</v>
      </c>
      <c r="Q431" s="999" t="s">
        <v>898</v>
      </c>
      <c r="R431" s="999" t="s">
        <v>899</v>
      </c>
      <c r="S431" s="999" t="s">
        <v>900</v>
      </c>
      <c r="T431" s="999" t="s">
        <v>1568</v>
      </c>
      <c r="U431" s="1000" t="s">
        <v>55</v>
      </c>
      <c r="V431" s="1000" t="s">
        <v>914</v>
      </c>
      <c r="W431" s="1003">
        <v>18188</v>
      </c>
      <c r="X431" s="1000" t="s">
        <v>903</v>
      </c>
      <c r="Y431" s="1000">
        <v>75</v>
      </c>
      <c r="Z431" s="1000" t="s">
        <v>904</v>
      </c>
      <c r="AA431" s="1000" t="s">
        <v>905</v>
      </c>
      <c r="AB431" s="1000" t="s">
        <v>911</v>
      </c>
      <c r="AC431" s="1000" t="s">
        <v>907</v>
      </c>
      <c r="AD431" s="1004">
        <v>5333.97</v>
      </c>
      <c r="AE431" s="1004">
        <f t="shared" si="49"/>
        <v>72008.595000000001</v>
      </c>
      <c r="AF431" s="1004">
        <f t="shared" si="53"/>
        <v>72008.595000000001</v>
      </c>
      <c r="AG431" s="1005">
        <f t="shared" si="54"/>
        <v>13.5</v>
      </c>
      <c r="AH431" s="1005">
        <f t="shared" si="50"/>
        <v>11.368635310871381</v>
      </c>
    </row>
    <row r="432" spans="1:34" x14ac:dyDescent="0.25">
      <c r="A432" s="999">
        <v>32000</v>
      </c>
      <c r="B432" s="999" t="s">
        <v>1540</v>
      </c>
      <c r="C432" s="999" t="s">
        <v>1541</v>
      </c>
      <c r="D432" s="999" t="s">
        <v>894</v>
      </c>
      <c r="E432" s="999" t="s">
        <v>895</v>
      </c>
      <c r="F432" s="999">
        <v>1713253</v>
      </c>
      <c r="G432" s="1000">
        <v>13152670710</v>
      </c>
      <c r="H432" s="999" t="s">
        <v>1569</v>
      </c>
      <c r="I432" s="999" t="s">
        <v>897</v>
      </c>
      <c r="J432" s="1001">
        <v>40008</v>
      </c>
      <c r="K432" s="1001">
        <v>45835</v>
      </c>
      <c r="L432" s="1000">
        <f t="shared" si="51"/>
        <v>191</v>
      </c>
      <c r="M432" s="1002">
        <f t="shared" si="52"/>
        <v>15.916666666666666</v>
      </c>
      <c r="N432" s="1000">
        <v>15</v>
      </c>
      <c r="O432" s="1000">
        <v>15</v>
      </c>
      <c r="P432" s="1000">
        <v>43</v>
      </c>
      <c r="Q432" s="999" t="s">
        <v>898</v>
      </c>
      <c r="R432" s="999" t="s">
        <v>899</v>
      </c>
      <c r="S432" s="999" t="s">
        <v>900</v>
      </c>
      <c r="T432" s="999" t="s">
        <v>1570</v>
      </c>
      <c r="U432" s="1000" t="s">
        <v>54</v>
      </c>
      <c r="V432" s="1000" t="s">
        <v>910</v>
      </c>
      <c r="W432" s="1003">
        <v>16228</v>
      </c>
      <c r="X432" s="1000" t="s">
        <v>930</v>
      </c>
      <c r="Y432" s="1000">
        <v>80</v>
      </c>
      <c r="Z432" s="1000" t="s">
        <v>904</v>
      </c>
      <c r="AA432" s="1000" t="s">
        <v>905</v>
      </c>
      <c r="AB432" s="1000" t="s">
        <v>925</v>
      </c>
      <c r="AC432" s="1000" t="s">
        <v>907</v>
      </c>
      <c r="AD432" s="1004">
        <v>10126.049999999999</v>
      </c>
      <c r="AE432" s="1004">
        <f t="shared" si="49"/>
        <v>161172.96249999999</v>
      </c>
      <c r="AF432" s="1004">
        <f t="shared" si="53"/>
        <v>161172.96249999999</v>
      </c>
      <c r="AG432" s="1005">
        <f t="shared" si="54"/>
        <v>15.916666666666668</v>
      </c>
      <c r="AH432" s="1005">
        <f t="shared" si="50"/>
        <v>14.486090076891619</v>
      </c>
    </row>
    <row r="433" spans="1:34" x14ac:dyDescent="0.25">
      <c r="A433" s="999">
        <v>32000</v>
      </c>
      <c r="B433" s="999" t="s">
        <v>1540</v>
      </c>
      <c r="C433" s="999" t="s">
        <v>1541</v>
      </c>
      <c r="D433" s="999" t="s">
        <v>894</v>
      </c>
      <c r="E433" s="999" t="s">
        <v>895</v>
      </c>
      <c r="F433" s="999">
        <v>1117008</v>
      </c>
      <c r="G433" s="1000">
        <v>24386634720</v>
      </c>
      <c r="H433" s="999" t="s">
        <v>1571</v>
      </c>
      <c r="I433" s="999" t="s">
        <v>897</v>
      </c>
      <c r="J433" s="1001">
        <v>40067</v>
      </c>
      <c r="K433" s="1001">
        <v>45835</v>
      </c>
      <c r="L433" s="1000">
        <f t="shared" si="51"/>
        <v>189</v>
      </c>
      <c r="M433" s="1002">
        <f t="shared" si="52"/>
        <v>15.75</v>
      </c>
      <c r="N433" s="1000">
        <v>15</v>
      </c>
      <c r="O433" s="1000">
        <v>15</v>
      </c>
      <c r="P433" s="1000">
        <v>43</v>
      </c>
      <c r="Q433" s="999" t="s">
        <v>898</v>
      </c>
      <c r="R433" s="999" t="s">
        <v>899</v>
      </c>
      <c r="S433" s="999" t="s">
        <v>900</v>
      </c>
      <c r="T433" s="999" t="s">
        <v>1202</v>
      </c>
      <c r="U433" s="1000" t="s">
        <v>54</v>
      </c>
      <c r="V433" s="1000" t="s">
        <v>914</v>
      </c>
      <c r="W433" s="1003">
        <v>18004</v>
      </c>
      <c r="X433" s="1000" t="s">
        <v>903</v>
      </c>
      <c r="Y433" s="1000">
        <v>76</v>
      </c>
      <c r="Z433" s="1000" t="s">
        <v>904</v>
      </c>
      <c r="AA433" s="1000" t="s">
        <v>905</v>
      </c>
      <c r="AB433" s="1000" t="s">
        <v>925</v>
      </c>
      <c r="AC433" s="1000" t="s">
        <v>907</v>
      </c>
      <c r="AD433" s="1004">
        <v>10126.049999999999</v>
      </c>
      <c r="AE433" s="1004">
        <f t="shared" si="49"/>
        <v>159485.28749999998</v>
      </c>
      <c r="AF433" s="1004">
        <f t="shared" si="53"/>
        <v>159485.28749999998</v>
      </c>
      <c r="AG433" s="1005">
        <f t="shared" si="54"/>
        <v>15.749999999999998</v>
      </c>
      <c r="AH433" s="1005">
        <f t="shared" si="50"/>
        <v>14.334403269803747</v>
      </c>
    </row>
    <row r="434" spans="1:34" x14ac:dyDescent="0.25">
      <c r="A434" s="999">
        <v>32000</v>
      </c>
      <c r="B434" s="999" t="s">
        <v>1540</v>
      </c>
      <c r="C434" s="999" t="s">
        <v>1541</v>
      </c>
      <c r="D434" s="999" t="s">
        <v>894</v>
      </c>
      <c r="E434" s="999" t="s">
        <v>895</v>
      </c>
      <c r="F434" s="999">
        <v>1742052</v>
      </c>
      <c r="G434" s="1000">
        <v>12816957772</v>
      </c>
      <c r="H434" s="999" t="s">
        <v>1572</v>
      </c>
      <c r="I434" s="999" t="s">
        <v>897</v>
      </c>
      <c r="J434" s="1001">
        <v>40130</v>
      </c>
      <c r="K434" s="1001">
        <v>45835</v>
      </c>
      <c r="L434" s="1000">
        <f t="shared" si="51"/>
        <v>187</v>
      </c>
      <c r="M434" s="1002">
        <f t="shared" si="52"/>
        <v>15.583333333333334</v>
      </c>
      <c r="N434" s="1000">
        <v>15</v>
      </c>
      <c r="O434" s="1000">
        <v>15</v>
      </c>
      <c r="P434" s="1000">
        <v>43</v>
      </c>
      <c r="Q434" s="999" t="s">
        <v>898</v>
      </c>
      <c r="R434" s="999" t="s">
        <v>899</v>
      </c>
      <c r="S434" s="999" t="s">
        <v>900</v>
      </c>
      <c r="T434" s="999" t="s">
        <v>1573</v>
      </c>
      <c r="U434" s="1000" t="s">
        <v>55</v>
      </c>
      <c r="V434" s="1000" t="s">
        <v>910</v>
      </c>
      <c r="W434" s="1003">
        <v>14843</v>
      </c>
      <c r="X434" s="1000" t="s">
        <v>930</v>
      </c>
      <c r="Y434" s="1000">
        <v>84</v>
      </c>
      <c r="Z434" s="1000" t="s">
        <v>904</v>
      </c>
      <c r="AA434" s="1000" t="s">
        <v>905</v>
      </c>
      <c r="AB434" s="1000" t="s">
        <v>911</v>
      </c>
      <c r="AC434" s="1000" t="s">
        <v>907</v>
      </c>
      <c r="AD434" s="1004">
        <v>5333.97</v>
      </c>
      <c r="AE434" s="1004">
        <f t="shared" si="49"/>
        <v>83121.032500000001</v>
      </c>
      <c r="AF434" s="1004">
        <f t="shared" si="53"/>
        <v>83121.032500000001</v>
      </c>
      <c r="AG434" s="1005">
        <f t="shared" si="54"/>
        <v>15.583333333333332</v>
      </c>
      <c r="AH434" s="1005">
        <f t="shared" si="50"/>
        <v>13.12305434032684</v>
      </c>
    </row>
    <row r="435" spans="1:34" x14ac:dyDescent="0.25">
      <c r="A435" s="999">
        <v>32000</v>
      </c>
      <c r="B435" s="999" t="s">
        <v>1540</v>
      </c>
      <c r="C435" s="999" t="s">
        <v>1541</v>
      </c>
      <c r="D435" s="999" t="s">
        <v>894</v>
      </c>
      <c r="E435" s="999" t="s">
        <v>895</v>
      </c>
      <c r="F435" s="999">
        <v>1669229</v>
      </c>
      <c r="G435" s="1000">
        <v>5474469187</v>
      </c>
      <c r="H435" s="999" t="s">
        <v>1574</v>
      </c>
      <c r="I435" s="999" t="s">
        <v>897</v>
      </c>
      <c r="J435" s="1001">
        <v>39825</v>
      </c>
      <c r="K435" s="1001">
        <v>45835</v>
      </c>
      <c r="L435" s="1000">
        <f t="shared" si="51"/>
        <v>197</v>
      </c>
      <c r="M435" s="1002">
        <f t="shared" si="52"/>
        <v>16.416666666666668</v>
      </c>
      <c r="N435" s="1000">
        <v>16</v>
      </c>
      <c r="O435" s="1000">
        <v>16</v>
      </c>
      <c r="P435" s="1000">
        <v>43</v>
      </c>
      <c r="Q435" s="999" t="s">
        <v>898</v>
      </c>
      <c r="R435" s="999" t="s">
        <v>899</v>
      </c>
      <c r="S435" s="999" t="s">
        <v>900</v>
      </c>
      <c r="T435" s="999" t="s">
        <v>1575</v>
      </c>
      <c r="U435" s="1000" t="s">
        <v>55</v>
      </c>
      <c r="V435" s="1000" t="s">
        <v>914</v>
      </c>
      <c r="W435" s="1003">
        <v>14571</v>
      </c>
      <c r="X435" s="1000" t="s">
        <v>930</v>
      </c>
      <c r="Y435" s="1000">
        <v>85</v>
      </c>
      <c r="Z435" s="1000" t="s">
        <v>904</v>
      </c>
      <c r="AA435" s="1000" t="s">
        <v>905</v>
      </c>
      <c r="AB435" s="1000" t="s">
        <v>911</v>
      </c>
      <c r="AC435" s="1000" t="s">
        <v>907</v>
      </c>
      <c r="AD435" s="1004">
        <v>5333.97</v>
      </c>
      <c r="AE435" s="1004">
        <f t="shared" si="49"/>
        <v>87566.007500000007</v>
      </c>
      <c r="AF435" s="1004">
        <f t="shared" si="53"/>
        <v>87566.007500000007</v>
      </c>
      <c r="AG435" s="1005">
        <f t="shared" si="54"/>
        <v>16.416666666666668</v>
      </c>
      <c r="AH435" s="1005">
        <f t="shared" si="50"/>
        <v>13.824821952109025</v>
      </c>
    </row>
    <row r="436" spans="1:34" x14ac:dyDescent="0.25">
      <c r="A436" s="999">
        <v>32000</v>
      </c>
      <c r="B436" s="999" t="s">
        <v>1540</v>
      </c>
      <c r="C436" s="999" t="s">
        <v>1541</v>
      </c>
      <c r="D436" s="999" t="s">
        <v>894</v>
      </c>
      <c r="E436" s="999" t="s">
        <v>895</v>
      </c>
      <c r="F436" s="999">
        <v>2086874</v>
      </c>
      <c r="G436" s="1000">
        <v>4840569304</v>
      </c>
      <c r="H436" s="999" t="s">
        <v>1576</v>
      </c>
      <c r="I436" s="999" t="s">
        <v>897</v>
      </c>
      <c r="J436" s="1001">
        <v>41673</v>
      </c>
      <c r="K436" s="1001">
        <v>45835</v>
      </c>
      <c r="L436" s="1000">
        <f t="shared" si="51"/>
        <v>136</v>
      </c>
      <c r="M436" s="1002">
        <f t="shared" si="52"/>
        <v>11.333333333333334</v>
      </c>
      <c r="N436" s="1000">
        <v>11</v>
      </c>
      <c r="O436" s="1000">
        <v>11</v>
      </c>
      <c r="P436" s="1000">
        <v>43</v>
      </c>
      <c r="Q436" s="999" t="s">
        <v>898</v>
      </c>
      <c r="R436" s="999" t="s">
        <v>899</v>
      </c>
      <c r="S436" s="999" t="s">
        <v>900</v>
      </c>
      <c r="T436" s="999" t="s">
        <v>1184</v>
      </c>
      <c r="U436" s="1000" t="s">
        <v>54</v>
      </c>
      <c r="V436" s="1000" t="s">
        <v>914</v>
      </c>
      <c r="W436" s="1003">
        <v>18154</v>
      </c>
      <c r="X436" s="1000" t="s">
        <v>903</v>
      </c>
      <c r="Y436" s="1000">
        <v>75</v>
      </c>
      <c r="Z436" s="1000" t="s">
        <v>904</v>
      </c>
      <c r="AA436" s="1000" t="s">
        <v>905</v>
      </c>
      <c r="AB436" s="1000" t="s">
        <v>925</v>
      </c>
      <c r="AC436" s="1000" t="s">
        <v>907</v>
      </c>
      <c r="AD436" s="1004">
        <v>10227.969999999999</v>
      </c>
      <c r="AE436" s="1004">
        <f t="shared" si="49"/>
        <v>115916.99333333333</v>
      </c>
      <c r="AF436" s="1004">
        <f t="shared" si="53"/>
        <v>115916.99333333333</v>
      </c>
      <c r="AG436" s="1005">
        <f t="shared" si="54"/>
        <v>11.333333333333334</v>
      </c>
      <c r="AH436" s="1005">
        <f t="shared" si="50"/>
        <v>10.323949327735409</v>
      </c>
    </row>
    <row r="437" spans="1:34" x14ac:dyDescent="0.25">
      <c r="A437" s="999">
        <v>32000</v>
      </c>
      <c r="B437" s="999" t="s">
        <v>1540</v>
      </c>
      <c r="C437" s="999" t="s">
        <v>1541</v>
      </c>
      <c r="D437" s="999" t="s">
        <v>894</v>
      </c>
      <c r="E437" s="999" t="s">
        <v>895</v>
      </c>
      <c r="F437" s="999">
        <v>1669557</v>
      </c>
      <c r="G437" s="1000">
        <v>2019523191</v>
      </c>
      <c r="H437" s="999" t="s">
        <v>1577</v>
      </c>
      <c r="I437" s="999" t="s">
        <v>897</v>
      </c>
      <c r="J437" s="1001">
        <v>39819</v>
      </c>
      <c r="K437" s="1001">
        <v>45835</v>
      </c>
      <c r="L437" s="1000">
        <f t="shared" si="51"/>
        <v>197</v>
      </c>
      <c r="M437" s="1002">
        <f t="shared" si="52"/>
        <v>16.416666666666668</v>
      </c>
      <c r="N437" s="1000">
        <v>16</v>
      </c>
      <c r="O437" s="1000">
        <v>16</v>
      </c>
      <c r="P437" s="1000">
        <v>43</v>
      </c>
      <c r="Q437" s="999" t="s">
        <v>898</v>
      </c>
      <c r="R437" s="999" t="s">
        <v>899</v>
      </c>
      <c r="S437" s="999" t="s">
        <v>900</v>
      </c>
      <c r="T437" s="999" t="s">
        <v>1184</v>
      </c>
      <c r="U437" s="1000" t="s">
        <v>54</v>
      </c>
      <c r="V437" s="1000" t="s">
        <v>914</v>
      </c>
      <c r="W437" s="1003">
        <v>15139</v>
      </c>
      <c r="X437" s="1000" t="s">
        <v>903</v>
      </c>
      <c r="Y437" s="1000">
        <v>83</v>
      </c>
      <c r="Z437" s="1000" t="s">
        <v>904</v>
      </c>
      <c r="AA437" s="1000" t="s">
        <v>905</v>
      </c>
      <c r="AB437" s="1000" t="s">
        <v>925</v>
      </c>
      <c r="AC437" s="1000" t="s">
        <v>907</v>
      </c>
      <c r="AD437" s="1004">
        <v>10126.049999999999</v>
      </c>
      <c r="AE437" s="1004">
        <f t="shared" si="49"/>
        <v>166235.98749999999</v>
      </c>
      <c r="AF437" s="1004">
        <f t="shared" si="53"/>
        <v>166235.98749999999</v>
      </c>
      <c r="AG437" s="1005">
        <f t="shared" si="54"/>
        <v>16.416666666666668</v>
      </c>
      <c r="AH437" s="1005">
        <f t="shared" si="50"/>
        <v>14.941150498155229</v>
      </c>
    </row>
    <row r="438" spans="1:34" x14ac:dyDescent="0.25">
      <c r="A438" s="999">
        <v>32000</v>
      </c>
      <c r="B438" s="999" t="s">
        <v>1540</v>
      </c>
      <c r="C438" s="999" t="s">
        <v>1541</v>
      </c>
      <c r="D438" s="999" t="s">
        <v>894</v>
      </c>
      <c r="E438" s="999" t="s">
        <v>895</v>
      </c>
      <c r="F438" s="999">
        <v>1669183</v>
      </c>
      <c r="G438" s="1000">
        <v>5470501191</v>
      </c>
      <c r="H438" s="999" t="s">
        <v>1578</v>
      </c>
      <c r="I438" s="999" t="s">
        <v>897</v>
      </c>
      <c r="J438" s="1001">
        <v>39825</v>
      </c>
      <c r="K438" s="1001">
        <v>45835</v>
      </c>
      <c r="L438" s="1000">
        <f t="shared" si="51"/>
        <v>197</v>
      </c>
      <c r="M438" s="1002">
        <f t="shared" si="52"/>
        <v>16.416666666666668</v>
      </c>
      <c r="N438" s="1000">
        <v>16</v>
      </c>
      <c r="O438" s="1000">
        <v>16</v>
      </c>
      <c r="P438" s="1000">
        <v>43</v>
      </c>
      <c r="Q438" s="999" t="s">
        <v>898</v>
      </c>
      <c r="R438" s="999" t="s">
        <v>899</v>
      </c>
      <c r="S438" s="999" t="s">
        <v>900</v>
      </c>
      <c r="T438" s="999" t="s">
        <v>1575</v>
      </c>
      <c r="U438" s="1000" t="s">
        <v>55</v>
      </c>
      <c r="V438" s="1000" t="s">
        <v>914</v>
      </c>
      <c r="W438" s="1003">
        <v>18088</v>
      </c>
      <c r="X438" s="1000" t="s">
        <v>930</v>
      </c>
      <c r="Y438" s="1000">
        <v>75</v>
      </c>
      <c r="Z438" s="1000" t="s">
        <v>904</v>
      </c>
      <c r="AA438" s="1000" t="s">
        <v>905</v>
      </c>
      <c r="AB438" s="1000" t="s">
        <v>911</v>
      </c>
      <c r="AC438" s="1000" t="s">
        <v>907</v>
      </c>
      <c r="AD438" s="1004">
        <v>5333.97</v>
      </c>
      <c r="AE438" s="1004">
        <f t="shared" si="49"/>
        <v>87566.007500000007</v>
      </c>
      <c r="AF438" s="1004">
        <f t="shared" si="53"/>
        <v>87566.007500000007</v>
      </c>
      <c r="AG438" s="1005">
        <f t="shared" si="54"/>
        <v>16.416666666666668</v>
      </c>
      <c r="AH438" s="1005">
        <f t="shared" si="50"/>
        <v>13.824821952109025</v>
      </c>
    </row>
    <row r="439" spans="1:34" x14ac:dyDescent="0.25">
      <c r="A439" s="999">
        <v>32000</v>
      </c>
      <c r="B439" s="999" t="s">
        <v>1540</v>
      </c>
      <c r="C439" s="999" t="s">
        <v>1541</v>
      </c>
      <c r="D439" s="999" t="s">
        <v>894</v>
      </c>
      <c r="E439" s="999" t="s">
        <v>895</v>
      </c>
      <c r="F439" s="999">
        <v>2717673</v>
      </c>
      <c r="G439" s="1000">
        <v>4601025753</v>
      </c>
      <c r="H439" s="999" t="s">
        <v>1579</v>
      </c>
      <c r="I439" s="999" t="s">
        <v>1232</v>
      </c>
      <c r="J439" s="1001">
        <v>44395</v>
      </c>
      <c r="K439" s="1001">
        <v>45835</v>
      </c>
      <c r="L439" s="1000">
        <f t="shared" si="51"/>
        <v>47</v>
      </c>
      <c r="M439" s="1002">
        <f t="shared" si="52"/>
        <v>3.9166666666666665</v>
      </c>
      <c r="N439" s="1000">
        <v>3</v>
      </c>
      <c r="O439" s="1000">
        <v>10</v>
      </c>
      <c r="P439" s="1000">
        <v>43</v>
      </c>
      <c r="Q439" s="999" t="s">
        <v>898</v>
      </c>
      <c r="R439" s="999" t="s">
        <v>899</v>
      </c>
      <c r="S439" s="999" t="s">
        <v>900</v>
      </c>
      <c r="T439" s="999" t="s">
        <v>1194</v>
      </c>
      <c r="U439" s="1000" t="s">
        <v>55</v>
      </c>
      <c r="V439" s="1000" t="s">
        <v>914</v>
      </c>
      <c r="W439" s="1003">
        <v>15518</v>
      </c>
      <c r="X439" s="1000" t="s">
        <v>930</v>
      </c>
      <c r="Y439" s="1000">
        <v>82</v>
      </c>
      <c r="Z439" s="1000" t="s">
        <v>904</v>
      </c>
      <c r="AA439" s="1000" t="s">
        <v>905</v>
      </c>
      <c r="AB439" s="1000" t="s">
        <v>911</v>
      </c>
      <c r="AC439" s="1000" t="s">
        <v>907</v>
      </c>
      <c r="AD439" s="1004">
        <v>5333.97</v>
      </c>
      <c r="AE439" s="1004">
        <f t="shared" si="49"/>
        <v>20891.3825</v>
      </c>
      <c r="AF439" s="1004">
        <f t="shared" si="53"/>
        <v>20891.3825</v>
      </c>
      <c r="AG439" s="1005">
        <f t="shared" si="54"/>
        <v>3.9166666666666665</v>
      </c>
      <c r="AH439" s="1005">
        <f t="shared" si="50"/>
        <v>3.2983077753762648</v>
      </c>
    </row>
    <row r="440" spans="1:34" x14ac:dyDescent="0.25">
      <c r="A440" s="999">
        <v>32000</v>
      </c>
      <c r="B440" s="999" t="s">
        <v>1540</v>
      </c>
      <c r="C440" s="999" t="s">
        <v>1541</v>
      </c>
      <c r="D440" s="999" t="s">
        <v>894</v>
      </c>
      <c r="E440" s="999" t="s">
        <v>895</v>
      </c>
      <c r="F440" s="999">
        <v>1701710</v>
      </c>
      <c r="G440" s="1000">
        <v>3982793734</v>
      </c>
      <c r="H440" s="999" t="s">
        <v>1581</v>
      </c>
      <c r="I440" s="999" t="s">
        <v>897</v>
      </c>
      <c r="J440" s="1001">
        <v>39946</v>
      </c>
      <c r="K440" s="1001">
        <v>45835</v>
      </c>
      <c r="L440" s="1000">
        <f t="shared" si="51"/>
        <v>193</v>
      </c>
      <c r="M440" s="1002">
        <f t="shared" si="52"/>
        <v>16.083333333333332</v>
      </c>
      <c r="N440" s="1000">
        <v>16</v>
      </c>
      <c r="O440" s="1000">
        <v>16</v>
      </c>
      <c r="P440" s="1000">
        <v>43</v>
      </c>
      <c r="Q440" s="999" t="s">
        <v>898</v>
      </c>
      <c r="R440" s="999" t="s">
        <v>899</v>
      </c>
      <c r="S440" s="999" t="s">
        <v>900</v>
      </c>
      <c r="T440" s="999" t="s">
        <v>1582</v>
      </c>
      <c r="U440" s="1000" t="s">
        <v>55</v>
      </c>
      <c r="V440" s="1000" t="s">
        <v>914</v>
      </c>
      <c r="W440" s="1003">
        <v>15759</v>
      </c>
      <c r="X440" s="1000" t="s">
        <v>903</v>
      </c>
      <c r="Y440" s="1000">
        <v>82</v>
      </c>
      <c r="Z440" s="1000" t="s">
        <v>904</v>
      </c>
      <c r="AA440" s="1000" t="s">
        <v>905</v>
      </c>
      <c r="AB440" s="1000" t="s">
        <v>911</v>
      </c>
      <c r="AC440" s="1000" t="s">
        <v>907</v>
      </c>
      <c r="AD440" s="1004">
        <v>5333.97</v>
      </c>
      <c r="AE440" s="1004">
        <f t="shared" si="49"/>
        <v>85788.017500000002</v>
      </c>
      <c r="AF440" s="1004">
        <f t="shared" si="53"/>
        <v>85788.017500000002</v>
      </c>
      <c r="AG440" s="1005">
        <f t="shared" ref="AG440:AG503" si="55">AF440/AD440</f>
        <v>16.083333333333332</v>
      </c>
      <c r="AH440" s="1005">
        <f t="shared" si="50"/>
        <v>13.544114907396152</v>
      </c>
    </row>
    <row r="441" spans="1:34" x14ac:dyDescent="0.25">
      <c r="A441" s="999">
        <v>32000</v>
      </c>
      <c r="B441" s="999" t="s">
        <v>1540</v>
      </c>
      <c r="C441" s="999" t="s">
        <v>1541</v>
      </c>
      <c r="D441" s="999" t="s">
        <v>894</v>
      </c>
      <c r="E441" s="999" t="s">
        <v>895</v>
      </c>
      <c r="F441" s="999">
        <v>1991284</v>
      </c>
      <c r="G441" s="1000">
        <v>25231022934</v>
      </c>
      <c r="H441" s="999" t="s">
        <v>1583</v>
      </c>
      <c r="I441" s="999" t="s">
        <v>897</v>
      </c>
      <c r="J441" s="1001">
        <v>41292</v>
      </c>
      <c r="K441" s="1001">
        <v>45835</v>
      </c>
      <c r="L441" s="1000">
        <f t="shared" si="51"/>
        <v>149</v>
      </c>
      <c r="M441" s="1002">
        <f t="shared" si="52"/>
        <v>12.416666666666666</v>
      </c>
      <c r="N441" s="1000">
        <v>12</v>
      </c>
      <c r="O441" s="1000">
        <v>12</v>
      </c>
      <c r="P441" s="1000">
        <v>43</v>
      </c>
      <c r="Q441" s="999" t="s">
        <v>898</v>
      </c>
      <c r="R441" s="999" t="s">
        <v>899</v>
      </c>
      <c r="S441" s="999" t="s">
        <v>900</v>
      </c>
      <c r="T441" s="999" t="s">
        <v>1584</v>
      </c>
      <c r="U441" s="1000" t="s">
        <v>55</v>
      </c>
      <c r="V441" s="1000" t="s">
        <v>914</v>
      </c>
      <c r="W441" s="1003">
        <v>17985</v>
      </c>
      <c r="X441" s="1000" t="s">
        <v>903</v>
      </c>
      <c r="Y441" s="1000">
        <v>76</v>
      </c>
      <c r="Z441" s="1000" t="s">
        <v>904</v>
      </c>
      <c r="AA441" s="1000" t="s">
        <v>905</v>
      </c>
      <c r="AB441" s="1000" t="s">
        <v>911</v>
      </c>
      <c r="AC441" s="1000" t="s">
        <v>907</v>
      </c>
      <c r="AD441" s="1004">
        <v>5333.97</v>
      </c>
      <c r="AE441" s="1004">
        <f t="shared" si="49"/>
        <v>66230.127500000002</v>
      </c>
      <c r="AF441" s="1004">
        <f t="shared" si="53"/>
        <v>66230.127500000002</v>
      </c>
      <c r="AG441" s="1005">
        <f t="shared" si="55"/>
        <v>12.416666666666666</v>
      </c>
      <c r="AH441" s="1005">
        <f t="shared" si="50"/>
        <v>10.456337415554541</v>
      </c>
    </row>
    <row r="442" spans="1:34" x14ac:dyDescent="0.25">
      <c r="A442" s="999">
        <v>32000</v>
      </c>
      <c r="B442" s="999" t="s">
        <v>1540</v>
      </c>
      <c r="C442" s="999" t="s">
        <v>1541</v>
      </c>
      <c r="D442" s="999" t="s">
        <v>894</v>
      </c>
      <c r="E442" s="999" t="s">
        <v>895</v>
      </c>
      <c r="F442" s="999">
        <v>1680754</v>
      </c>
      <c r="G442" s="1000">
        <v>23066830772</v>
      </c>
      <c r="H442" s="999" t="s">
        <v>1585</v>
      </c>
      <c r="I442" s="999" t="s">
        <v>897</v>
      </c>
      <c r="J442" s="1001">
        <v>39849</v>
      </c>
      <c r="K442" s="1001">
        <v>45835</v>
      </c>
      <c r="L442" s="1000">
        <f t="shared" si="51"/>
        <v>196</v>
      </c>
      <c r="M442" s="1002">
        <f t="shared" si="52"/>
        <v>16.333333333333332</v>
      </c>
      <c r="N442" s="1000">
        <v>16</v>
      </c>
      <c r="O442" s="1000">
        <v>16</v>
      </c>
      <c r="P442" s="1000">
        <v>43</v>
      </c>
      <c r="Q442" s="999" t="s">
        <v>898</v>
      </c>
      <c r="R442" s="999" t="s">
        <v>899</v>
      </c>
      <c r="S442" s="999" t="s">
        <v>900</v>
      </c>
      <c r="T442" s="999" t="s">
        <v>1202</v>
      </c>
      <c r="U442" s="1000" t="s">
        <v>54</v>
      </c>
      <c r="V442" s="1000" t="s">
        <v>910</v>
      </c>
      <c r="W442" s="1003">
        <v>17362</v>
      </c>
      <c r="X442" s="1000" t="s">
        <v>903</v>
      </c>
      <c r="Y442" s="1000">
        <v>77</v>
      </c>
      <c r="Z442" s="1000" t="s">
        <v>904</v>
      </c>
      <c r="AA442" s="1000" t="s">
        <v>905</v>
      </c>
      <c r="AB442" s="1000" t="s">
        <v>925</v>
      </c>
      <c r="AC442" s="1000" t="s">
        <v>907</v>
      </c>
      <c r="AD442" s="1004">
        <v>10126.049999999999</v>
      </c>
      <c r="AE442" s="1004">
        <f t="shared" si="49"/>
        <v>165392.14999999997</v>
      </c>
      <c r="AF442" s="1004">
        <f t="shared" si="53"/>
        <v>165392.14999999997</v>
      </c>
      <c r="AG442" s="1005">
        <f t="shared" si="55"/>
        <v>16.333333333333332</v>
      </c>
      <c r="AH442" s="1005">
        <f t="shared" si="50"/>
        <v>14.865307094611293</v>
      </c>
    </row>
    <row r="443" spans="1:34" x14ac:dyDescent="0.25">
      <c r="A443" s="999">
        <v>32000</v>
      </c>
      <c r="B443" s="999" t="s">
        <v>1540</v>
      </c>
      <c r="C443" s="999" t="s">
        <v>1541</v>
      </c>
      <c r="D443" s="999" t="s">
        <v>894</v>
      </c>
      <c r="E443" s="999" t="s">
        <v>895</v>
      </c>
      <c r="F443" s="999">
        <v>1713991</v>
      </c>
      <c r="G443" s="1000">
        <v>19943431768</v>
      </c>
      <c r="H443" s="999" t="s">
        <v>1586</v>
      </c>
      <c r="I443" s="999" t="s">
        <v>897</v>
      </c>
      <c r="J443" s="1001">
        <v>40011</v>
      </c>
      <c r="K443" s="1001">
        <v>45835</v>
      </c>
      <c r="L443" s="1000">
        <f t="shared" si="51"/>
        <v>191</v>
      </c>
      <c r="M443" s="1002">
        <f t="shared" si="52"/>
        <v>15.916666666666666</v>
      </c>
      <c r="N443" s="1000">
        <v>15</v>
      </c>
      <c r="O443" s="1000">
        <v>15</v>
      </c>
      <c r="P443" s="1000">
        <v>43</v>
      </c>
      <c r="Q443" s="999" t="s">
        <v>898</v>
      </c>
      <c r="R443" s="999" t="s">
        <v>899</v>
      </c>
      <c r="S443" s="999" t="s">
        <v>900</v>
      </c>
      <c r="T443" s="999" t="s">
        <v>613</v>
      </c>
      <c r="U443" s="1000" t="s">
        <v>54</v>
      </c>
      <c r="V443" s="1000" t="s">
        <v>914</v>
      </c>
      <c r="W443" s="1003">
        <v>17797</v>
      </c>
      <c r="X443" s="1000" t="s">
        <v>903</v>
      </c>
      <c r="Y443" s="1000">
        <v>76</v>
      </c>
      <c r="Z443" s="1000" t="s">
        <v>904</v>
      </c>
      <c r="AA443" s="1000" t="s">
        <v>905</v>
      </c>
      <c r="AB443" s="1000" t="s">
        <v>925</v>
      </c>
      <c r="AC443" s="1000" t="s">
        <v>907</v>
      </c>
      <c r="AD443" s="1004">
        <v>10126.049999999999</v>
      </c>
      <c r="AE443" s="1004">
        <f t="shared" si="49"/>
        <v>161172.96249999999</v>
      </c>
      <c r="AF443" s="1004">
        <f t="shared" si="53"/>
        <v>161172.96249999999</v>
      </c>
      <c r="AG443" s="1005">
        <f t="shared" si="55"/>
        <v>15.916666666666668</v>
      </c>
      <c r="AH443" s="1005">
        <f t="shared" si="50"/>
        <v>14.486090076891619</v>
      </c>
    </row>
    <row r="444" spans="1:34" x14ac:dyDescent="0.25">
      <c r="A444" s="999">
        <v>32000</v>
      </c>
      <c r="B444" s="999" t="s">
        <v>1540</v>
      </c>
      <c r="C444" s="999" t="s">
        <v>1541</v>
      </c>
      <c r="D444" s="999" t="s">
        <v>894</v>
      </c>
      <c r="E444" s="999" t="s">
        <v>895</v>
      </c>
      <c r="F444" s="999">
        <v>2271929</v>
      </c>
      <c r="G444" s="1000">
        <v>18429874887</v>
      </c>
      <c r="H444" s="999" t="s">
        <v>1587</v>
      </c>
      <c r="I444" s="999" t="s">
        <v>897</v>
      </c>
      <c r="J444" s="1001">
        <v>42383</v>
      </c>
      <c r="K444" s="1001">
        <v>45835</v>
      </c>
      <c r="L444" s="1000">
        <f t="shared" si="51"/>
        <v>113</v>
      </c>
      <c r="M444" s="1002">
        <f t="shared" si="52"/>
        <v>9.4166666666666661</v>
      </c>
      <c r="N444" s="1000">
        <v>9</v>
      </c>
      <c r="O444" s="1000">
        <v>10</v>
      </c>
      <c r="P444" s="1000">
        <v>43</v>
      </c>
      <c r="Q444" s="999" t="s">
        <v>898</v>
      </c>
      <c r="R444" s="999" t="s">
        <v>899</v>
      </c>
      <c r="S444" s="999" t="s">
        <v>900</v>
      </c>
      <c r="T444" s="999" t="s">
        <v>1361</v>
      </c>
      <c r="U444" s="1000" t="s">
        <v>54</v>
      </c>
      <c r="V444" s="1000" t="s">
        <v>921</v>
      </c>
      <c r="W444" s="1003">
        <v>13733</v>
      </c>
      <c r="X444" s="1000" t="s">
        <v>903</v>
      </c>
      <c r="Y444" s="1000">
        <v>87</v>
      </c>
      <c r="Z444" s="1000" t="s">
        <v>904</v>
      </c>
      <c r="AA444" s="1000" t="s">
        <v>905</v>
      </c>
      <c r="AB444" s="1000" t="s">
        <v>1588</v>
      </c>
      <c r="AC444" s="1000" t="s">
        <v>907</v>
      </c>
      <c r="AD444" s="1004">
        <v>20566.580000000002</v>
      </c>
      <c r="AE444" s="1004">
        <f t="shared" si="49"/>
        <v>193668.62833333333</v>
      </c>
      <c r="AF444" s="1004">
        <f t="shared" si="53"/>
        <v>193668.62833333333</v>
      </c>
      <c r="AG444" s="1005">
        <f t="shared" si="55"/>
        <v>9.4166666666666661</v>
      </c>
      <c r="AH444" s="1005">
        <f t="shared" si="50"/>
        <v>8.9800343092568831</v>
      </c>
    </row>
    <row r="445" spans="1:34" x14ac:dyDescent="0.25">
      <c r="A445" s="999">
        <v>32000</v>
      </c>
      <c r="B445" s="999" t="s">
        <v>1540</v>
      </c>
      <c r="C445" s="999" t="s">
        <v>1541</v>
      </c>
      <c r="D445" s="999" t="s">
        <v>894</v>
      </c>
      <c r="E445" s="999" t="s">
        <v>895</v>
      </c>
      <c r="F445" s="999">
        <v>1291719</v>
      </c>
      <c r="G445" s="1000">
        <v>19002599820</v>
      </c>
      <c r="H445" s="999" t="s">
        <v>1589</v>
      </c>
      <c r="I445" s="999" t="s">
        <v>897</v>
      </c>
      <c r="J445" s="1001">
        <v>39904</v>
      </c>
      <c r="K445" s="1001">
        <v>45835</v>
      </c>
      <c r="L445" s="1000">
        <f t="shared" si="51"/>
        <v>194</v>
      </c>
      <c r="M445" s="1002">
        <f t="shared" si="52"/>
        <v>16.166666666666668</v>
      </c>
      <c r="N445" s="1000">
        <v>16</v>
      </c>
      <c r="O445" s="1000">
        <v>16</v>
      </c>
      <c r="P445" s="1000">
        <v>43</v>
      </c>
      <c r="Q445" s="999" t="s">
        <v>898</v>
      </c>
      <c r="R445" s="999" t="s">
        <v>899</v>
      </c>
      <c r="S445" s="999" t="s">
        <v>900</v>
      </c>
      <c r="T445" s="999" t="s">
        <v>1590</v>
      </c>
      <c r="U445" s="1000" t="s">
        <v>54</v>
      </c>
      <c r="V445" s="1000" t="s">
        <v>914</v>
      </c>
      <c r="W445" s="1003">
        <v>16801</v>
      </c>
      <c r="X445" s="1000" t="s">
        <v>903</v>
      </c>
      <c r="Y445" s="1000">
        <v>79</v>
      </c>
      <c r="Z445" s="1000" t="s">
        <v>904</v>
      </c>
      <c r="AA445" s="1000" t="s">
        <v>905</v>
      </c>
      <c r="AB445" s="1000" t="s">
        <v>925</v>
      </c>
      <c r="AC445" s="1000" t="s">
        <v>907</v>
      </c>
      <c r="AD445" s="1004">
        <v>10126.049999999999</v>
      </c>
      <c r="AE445" s="1004">
        <f t="shared" si="49"/>
        <v>163704.47500000001</v>
      </c>
      <c r="AF445" s="1004">
        <f t="shared" si="53"/>
        <v>163704.47500000001</v>
      </c>
      <c r="AG445" s="1005">
        <f t="shared" si="55"/>
        <v>16.166666666666668</v>
      </c>
      <c r="AH445" s="1005">
        <f t="shared" si="50"/>
        <v>14.713620287523426</v>
      </c>
    </row>
    <row r="446" spans="1:34" x14ac:dyDescent="0.25">
      <c r="A446" s="999">
        <v>32000</v>
      </c>
      <c r="B446" s="999" t="s">
        <v>1540</v>
      </c>
      <c r="C446" s="999" t="s">
        <v>1541</v>
      </c>
      <c r="D446" s="999" t="s">
        <v>894</v>
      </c>
      <c r="E446" s="999" t="s">
        <v>895</v>
      </c>
      <c r="F446" s="999">
        <v>1680814</v>
      </c>
      <c r="G446" s="1000">
        <v>37474111772</v>
      </c>
      <c r="H446" s="999" t="s">
        <v>1591</v>
      </c>
      <c r="I446" s="999" t="s">
        <v>897</v>
      </c>
      <c r="J446" s="1001">
        <v>39847</v>
      </c>
      <c r="K446" s="1001">
        <v>45835</v>
      </c>
      <c r="L446" s="1000">
        <f t="shared" si="51"/>
        <v>196</v>
      </c>
      <c r="M446" s="1002">
        <f t="shared" si="52"/>
        <v>16.333333333333332</v>
      </c>
      <c r="N446" s="1000">
        <v>16</v>
      </c>
      <c r="O446" s="1000">
        <v>16</v>
      </c>
      <c r="P446" s="1000">
        <v>43</v>
      </c>
      <c r="Q446" s="999" t="s">
        <v>898</v>
      </c>
      <c r="R446" s="999" t="s">
        <v>899</v>
      </c>
      <c r="S446" s="999" t="s">
        <v>900</v>
      </c>
      <c r="T446" s="999" t="s">
        <v>1202</v>
      </c>
      <c r="U446" s="1000" t="s">
        <v>54</v>
      </c>
      <c r="V446" s="1000" t="s">
        <v>902</v>
      </c>
      <c r="W446" s="1003">
        <v>18312</v>
      </c>
      <c r="X446" s="1000" t="s">
        <v>930</v>
      </c>
      <c r="Y446" s="1000">
        <v>75</v>
      </c>
      <c r="Z446" s="1000" t="s">
        <v>904</v>
      </c>
      <c r="AA446" s="1000" t="s">
        <v>905</v>
      </c>
      <c r="AB446" s="1000" t="s">
        <v>925</v>
      </c>
      <c r="AC446" s="1000" t="s">
        <v>907</v>
      </c>
      <c r="AD446" s="1004">
        <v>10126.049999999999</v>
      </c>
      <c r="AE446" s="1004">
        <f t="shared" si="49"/>
        <v>165392.14999999997</v>
      </c>
      <c r="AF446" s="1004">
        <f t="shared" si="53"/>
        <v>165392.14999999997</v>
      </c>
      <c r="AG446" s="1005">
        <f t="shared" si="55"/>
        <v>16.333333333333332</v>
      </c>
      <c r="AH446" s="1005">
        <f t="shared" si="50"/>
        <v>14.865307094611293</v>
      </c>
    </row>
    <row r="447" spans="1:34" x14ac:dyDescent="0.25">
      <c r="A447" s="999">
        <v>32000</v>
      </c>
      <c r="B447" s="999" t="s">
        <v>1540</v>
      </c>
      <c r="C447" s="999" t="s">
        <v>1541</v>
      </c>
      <c r="D447" s="999" t="s">
        <v>894</v>
      </c>
      <c r="E447" s="999" t="s">
        <v>895</v>
      </c>
      <c r="F447" s="999">
        <v>1991426</v>
      </c>
      <c r="G447" s="1000">
        <v>21567425968</v>
      </c>
      <c r="H447" s="999" t="s">
        <v>1592</v>
      </c>
      <c r="I447" s="999" t="s">
        <v>897</v>
      </c>
      <c r="J447" s="1001">
        <v>41292</v>
      </c>
      <c r="K447" s="1001">
        <v>45835</v>
      </c>
      <c r="L447" s="1000">
        <f t="shared" si="51"/>
        <v>149</v>
      </c>
      <c r="M447" s="1002">
        <f t="shared" si="52"/>
        <v>12.416666666666666</v>
      </c>
      <c r="N447" s="1000">
        <v>12</v>
      </c>
      <c r="O447" s="1000">
        <v>12</v>
      </c>
      <c r="P447" s="1000">
        <v>43</v>
      </c>
      <c r="Q447" s="999" t="s">
        <v>898</v>
      </c>
      <c r="R447" s="999" t="s">
        <v>899</v>
      </c>
      <c r="S447" s="999" t="s">
        <v>900</v>
      </c>
      <c r="T447" s="999" t="s">
        <v>1593</v>
      </c>
      <c r="U447" s="1000" t="s">
        <v>55</v>
      </c>
      <c r="V447" s="1000" t="s">
        <v>914</v>
      </c>
      <c r="W447" s="1003">
        <v>18188</v>
      </c>
      <c r="X447" s="1000" t="s">
        <v>903</v>
      </c>
      <c r="Y447" s="1000">
        <v>75</v>
      </c>
      <c r="Z447" s="1000" t="s">
        <v>904</v>
      </c>
      <c r="AA447" s="1000" t="s">
        <v>905</v>
      </c>
      <c r="AB447" s="1000" t="s">
        <v>911</v>
      </c>
      <c r="AC447" s="1000" t="s">
        <v>907</v>
      </c>
      <c r="AD447" s="1004">
        <v>5333.97</v>
      </c>
      <c r="AE447" s="1004">
        <f t="shared" si="49"/>
        <v>66230.127500000002</v>
      </c>
      <c r="AF447" s="1004">
        <f t="shared" si="53"/>
        <v>66230.127500000002</v>
      </c>
      <c r="AG447" s="1005">
        <f t="shared" si="55"/>
        <v>12.416666666666666</v>
      </c>
      <c r="AH447" s="1005">
        <f t="shared" si="50"/>
        <v>10.456337415554541</v>
      </c>
    </row>
    <row r="448" spans="1:34" x14ac:dyDescent="0.25">
      <c r="A448" s="999">
        <v>32000</v>
      </c>
      <c r="B448" s="999" t="s">
        <v>1540</v>
      </c>
      <c r="C448" s="999" t="s">
        <v>1541</v>
      </c>
      <c r="D448" s="999" t="s">
        <v>894</v>
      </c>
      <c r="E448" s="999" t="s">
        <v>895</v>
      </c>
      <c r="F448" s="999">
        <v>1670167</v>
      </c>
      <c r="G448" s="1000">
        <v>5961270149</v>
      </c>
      <c r="H448" s="999" t="s">
        <v>1594</v>
      </c>
      <c r="I448" s="999" t="s">
        <v>897</v>
      </c>
      <c r="J448" s="1001">
        <v>39825</v>
      </c>
      <c r="K448" s="1001">
        <v>45835</v>
      </c>
      <c r="L448" s="1000">
        <f t="shared" si="51"/>
        <v>197</v>
      </c>
      <c r="M448" s="1002">
        <f t="shared" si="52"/>
        <v>16.416666666666668</v>
      </c>
      <c r="N448" s="1000">
        <v>16</v>
      </c>
      <c r="O448" s="1000">
        <v>16</v>
      </c>
      <c r="P448" s="1000">
        <v>43</v>
      </c>
      <c r="Q448" s="999" t="s">
        <v>898</v>
      </c>
      <c r="R448" s="999" t="s">
        <v>899</v>
      </c>
      <c r="S448" s="999" t="s">
        <v>900</v>
      </c>
      <c r="T448" s="999" t="s">
        <v>1595</v>
      </c>
      <c r="U448" s="1000" t="s">
        <v>55</v>
      </c>
      <c r="V448" s="1000" t="s">
        <v>902</v>
      </c>
      <c r="W448" s="1003">
        <v>18205</v>
      </c>
      <c r="X448" s="1000" t="s">
        <v>903</v>
      </c>
      <c r="Y448" s="1000">
        <v>75</v>
      </c>
      <c r="Z448" s="1000" t="s">
        <v>904</v>
      </c>
      <c r="AA448" s="1000" t="s">
        <v>905</v>
      </c>
      <c r="AB448" s="1000" t="s">
        <v>911</v>
      </c>
      <c r="AC448" s="1000" t="s">
        <v>907</v>
      </c>
      <c r="AD448" s="1004">
        <v>5333.97</v>
      </c>
      <c r="AE448" s="1004">
        <f t="shared" si="49"/>
        <v>87566.007500000007</v>
      </c>
      <c r="AF448" s="1004">
        <f t="shared" si="53"/>
        <v>87566.007500000007</v>
      </c>
      <c r="AG448" s="1005">
        <f t="shared" si="55"/>
        <v>16.416666666666668</v>
      </c>
      <c r="AH448" s="1005">
        <f t="shared" si="50"/>
        <v>13.824821952109025</v>
      </c>
    </row>
    <row r="449" spans="1:34" x14ac:dyDescent="0.25">
      <c r="A449" s="999">
        <v>32000</v>
      </c>
      <c r="B449" s="999" t="s">
        <v>1540</v>
      </c>
      <c r="C449" s="999" t="s">
        <v>1541</v>
      </c>
      <c r="D449" s="999" t="s">
        <v>894</v>
      </c>
      <c r="E449" s="999" t="s">
        <v>895</v>
      </c>
      <c r="F449" s="999">
        <v>1702912</v>
      </c>
      <c r="G449" s="1000">
        <v>9155066704</v>
      </c>
      <c r="H449" s="999" t="s">
        <v>1596</v>
      </c>
      <c r="I449" s="999" t="s">
        <v>897</v>
      </c>
      <c r="J449" s="1001">
        <v>39952</v>
      </c>
      <c r="K449" s="1001">
        <v>45835</v>
      </c>
      <c r="L449" s="1000">
        <f t="shared" si="51"/>
        <v>193</v>
      </c>
      <c r="M449" s="1002">
        <f t="shared" si="52"/>
        <v>16.083333333333332</v>
      </c>
      <c r="N449" s="1000">
        <v>16</v>
      </c>
      <c r="O449" s="1000">
        <v>16</v>
      </c>
      <c r="P449" s="1000">
        <v>43</v>
      </c>
      <c r="Q449" s="999" t="s">
        <v>898</v>
      </c>
      <c r="R449" s="999" t="s">
        <v>899</v>
      </c>
      <c r="S449" s="999" t="s">
        <v>900</v>
      </c>
      <c r="T449" s="999" t="s">
        <v>1573</v>
      </c>
      <c r="U449" s="1000" t="s">
        <v>55</v>
      </c>
      <c r="V449" s="1000" t="s">
        <v>902</v>
      </c>
      <c r="W449" s="1003">
        <v>17998</v>
      </c>
      <c r="X449" s="1000" t="s">
        <v>930</v>
      </c>
      <c r="Y449" s="1000">
        <v>76</v>
      </c>
      <c r="Z449" s="1000" t="s">
        <v>904</v>
      </c>
      <c r="AA449" s="1000" t="s">
        <v>905</v>
      </c>
      <c r="AB449" s="1000" t="s">
        <v>911</v>
      </c>
      <c r="AC449" s="1000" t="s">
        <v>907</v>
      </c>
      <c r="AD449" s="1004">
        <v>5333.97</v>
      </c>
      <c r="AE449" s="1004">
        <f t="shared" si="49"/>
        <v>85788.017500000002</v>
      </c>
      <c r="AF449" s="1004">
        <f t="shared" si="53"/>
        <v>85788.017500000002</v>
      </c>
      <c r="AG449" s="1005">
        <f t="shared" si="55"/>
        <v>16.083333333333332</v>
      </c>
      <c r="AH449" s="1005">
        <f t="shared" si="50"/>
        <v>13.544114907396152</v>
      </c>
    </row>
    <row r="450" spans="1:34" x14ac:dyDescent="0.25">
      <c r="A450" s="999">
        <v>32000</v>
      </c>
      <c r="B450" s="999" t="s">
        <v>1540</v>
      </c>
      <c r="C450" s="999" t="s">
        <v>1541</v>
      </c>
      <c r="D450" s="999" t="s">
        <v>894</v>
      </c>
      <c r="E450" s="999" t="s">
        <v>895</v>
      </c>
      <c r="F450" s="999">
        <v>1886597</v>
      </c>
      <c r="G450" s="1000">
        <v>160784620</v>
      </c>
      <c r="H450" s="999" t="s">
        <v>1597</v>
      </c>
      <c r="I450" s="999" t="s">
        <v>897</v>
      </c>
      <c r="J450" s="1001">
        <v>40784</v>
      </c>
      <c r="K450" s="1001">
        <v>45835</v>
      </c>
      <c r="L450" s="1000">
        <f t="shared" si="51"/>
        <v>165</v>
      </c>
      <c r="M450" s="1002">
        <f t="shared" si="52"/>
        <v>13.75</v>
      </c>
      <c r="N450" s="1000">
        <v>13</v>
      </c>
      <c r="O450" s="1000">
        <v>13</v>
      </c>
      <c r="P450" s="1000">
        <v>43</v>
      </c>
      <c r="Q450" s="999" t="s">
        <v>898</v>
      </c>
      <c r="R450" s="999" t="s">
        <v>899</v>
      </c>
      <c r="S450" s="999" t="s">
        <v>900</v>
      </c>
      <c r="T450" s="999" t="s">
        <v>1598</v>
      </c>
      <c r="U450" s="1000" t="s">
        <v>54</v>
      </c>
      <c r="V450" s="1000" t="s">
        <v>914</v>
      </c>
      <c r="W450" s="1003">
        <v>12960</v>
      </c>
      <c r="X450" s="1000" t="s">
        <v>903</v>
      </c>
      <c r="Y450" s="1000">
        <v>89</v>
      </c>
      <c r="Z450" s="1000" t="s">
        <v>904</v>
      </c>
      <c r="AA450" s="1000" t="s">
        <v>905</v>
      </c>
      <c r="AB450" s="1000" t="s">
        <v>925</v>
      </c>
      <c r="AC450" s="1000" t="s">
        <v>907</v>
      </c>
      <c r="AD450" s="1004">
        <v>10126.049999999999</v>
      </c>
      <c r="AE450" s="1004">
        <f t="shared" si="49"/>
        <v>139233.1875</v>
      </c>
      <c r="AF450" s="1004">
        <f t="shared" si="53"/>
        <v>139233.1875</v>
      </c>
      <c r="AG450" s="1005">
        <f t="shared" si="55"/>
        <v>13.750000000000002</v>
      </c>
      <c r="AH450" s="1005">
        <f t="shared" si="50"/>
        <v>12.514161584749305</v>
      </c>
    </row>
    <row r="451" spans="1:34" x14ac:dyDescent="0.25">
      <c r="A451" s="999">
        <v>32000</v>
      </c>
      <c r="B451" s="999" t="s">
        <v>1540</v>
      </c>
      <c r="C451" s="999" t="s">
        <v>1541</v>
      </c>
      <c r="D451" s="999" t="s">
        <v>894</v>
      </c>
      <c r="E451" s="999" t="s">
        <v>895</v>
      </c>
      <c r="F451" s="999">
        <v>1669620</v>
      </c>
      <c r="G451" s="1000">
        <v>8949549115</v>
      </c>
      <c r="H451" s="999" t="s">
        <v>1599</v>
      </c>
      <c r="I451" s="999" t="s">
        <v>897</v>
      </c>
      <c r="J451" s="1001">
        <v>39820</v>
      </c>
      <c r="K451" s="1001">
        <v>45835</v>
      </c>
      <c r="L451" s="1000">
        <f t="shared" si="51"/>
        <v>197</v>
      </c>
      <c r="M451" s="1002">
        <f t="shared" si="52"/>
        <v>16.416666666666668</v>
      </c>
      <c r="N451" s="1000">
        <v>16</v>
      </c>
      <c r="O451" s="1000">
        <v>16</v>
      </c>
      <c r="P451" s="1000">
        <v>43</v>
      </c>
      <c r="Q451" s="999" t="s">
        <v>898</v>
      </c>
      <c r="R451" s="999" t="s">
        <v>899</v>
      </c>
      <c r="S451" s="999" t="s">
        <v>900</v>
      </c>
      <c r="T451" s="999" t="s">
        <v>1600</v>
      </c>
      <c r="U451" s="1000" t="s">
        <v>55</v>
      </c>
      <c r="V451" s="1000" t="s">
        <v>910</v>
      </c>
      <c r="W451" s="1003">
        <v>16925</v>
      </c>
      <c r="X451" s="1000" t="s">
        <v>930</v>
      </c>
      <c r="Y451" s="1000">
        <v>78</v>
      </c>
      <c r="Z451" s="1000" t="s">
        <v>904</v>
      </c>
      <c r="AA451" s="1000" t="s">
        <v>905</v>
      </c>
      <c r="AB451" s="1000" t="s">
        <v>911</v>
      </c>
      <c r="AC451" s="1000" t="s">
        <v>907</v>
      </c>
      <c r="AD451" s="1004">
        <v>5333.97</v>
      </c>
      <c r="AE451" s="1004">
        <f t="shared" si="49"/>
        <v>87566.007500000007</v>
      </c>
      <c r="AF451" s="1004">
        <f t="shared" si="53"/>
        <v>87566.007500000007</v>
      </c>
      <c r="AG451" s="1005">
        <f t="shared" si="55"/>
        <v>16.416666666666668</v>
      </c>
      <c r="AH451" s="1005">
        <f t="shared" si="50"/>
        <v>13.824821952109025</v>
      </c>
    </row>
    <row r="452" spans="1:34" x14ac:dyDescent="0.25">
      <c r="A452" s="999">
        <v>32000</v>
      </c>
      <c r="B452" s="999" t="s">
        <v>1540</v>
      </c>
      <c r="C452" s="999" t="s">
        <v>1541</v>
      </c>
      <c r="D452" s="999" t="s">
        <v>894</v>
      </c>
      <c r="E452" s="999" t="s">
        <v>895</v>
      </c>
      <c r="F452" s="999">
        <v>1717603</v>
      </c>
      <c r="G452" s="1000">
        <v>3261620463</v>
      </c>
      <c r="H452" s="999" t="s">
        <v>1601</v>
      </c>
      <c r="I452" s="999" t="s">
        <v>897</v>
      </c>
      <c r="J452" s="1001">
        <v>40029</v>
      </c>
      <c r="K452" s="1001">
        <v>45835</v>
      </c>
      <c r="L452" s="1000">
        <f t="shared" si="51"/>
        <v>190</v>
      </c>
      <c r="M452" s="1002">
        <f t="shared" si="52"/>
        <v>15.833333333333334</v>
      </c>
      <c r="N452" s="1000">
        <v>15</v>
      </c>
      <c r="O452" s="1000">
        <v>15</v>
      </c>
      <c r="P452" s="1000">
        <v>43</v>
      </c>
      <c r="Q452" s="999" t="s">
        <v>898</v>
      </c>
      <c r="R452" s="999" t="s">
        <v>899</v>
      </c>
      <c r="S452" s="999" t="s">
        <v>900</v>
      </c>
      <c r="T452" s="999" t="s">
        <v>1602</v>
      </c>
      <c r="U452" s="1000" t="s">
        <v>54</v>
      </c>
      <c r="V452" s="1000" t="s">
        <v>914</v>
      </c>
      <c r="W452" s="1003">
        <v>16453</v>
      </c>
      <c r="X452" s="1000" t="s">
        <v>930</v>
      </c>
      <c r="Y452" s="1000">
        <v>80</v>
      </c>
      <c r="Z452" s="1000" t="s">
        <v>904</v>
      </c>
      <c r="AA452" s="1000" t="s">
        <v>905</v>
      </c>
      <c r="AB452" s="1000" t="s">
        <v>925</v>
      </c>
      <c r="AC452" s="1000" t="s">
        <v>907</v>
      </c>
      <c r="AD452" s="1004">
        <v>10126.049999999999</v>
      </c>
      <c r="AE452" s="1004">
        <f t="shared" ref="AE452:AE515" si="56">AD452*M452</f>
        <v>160329.125</v>
      </c>
      <c r="AF452" s="1004">
        <f t="shared" si="53"/>
        <v>160329.125</v>
      </c>
      <c r="AG452" s="1005">
        <f t="shared" si="55"/>
        <v>15.833333333333334</v>
      </c>
      <c r="AH452" s="1005">
        <f t="shared" ref="AH452:AH515" si="57">AF452/(AD452+1000)</f>
        <v>14.410246673347684</v>
      </c>
    </row>
    <row r="453" spans="1:34" x14ac:dyDescent="0.25">
      <c r="A453" s="999">
        <v>32000</v>
      </c>
      <c r="B453" s="999" t="s">
        <v>1540</v>
      </c>
      <c r="C453" s="999" t="s">
        <v>1541</v>
      </c>
      <c r="D453" s="999" t="s">
        <v>894</v>
      </c>
      <c r="E453" s="999" t="s">
        <v>895</v>
      </c>
      <c r="F453" s="999">
        <v>1669312</v>
      </c>
      <c r="G453" s="1000">
        <v>3063313734</v>
      </c>
      <c r="H453" s="999" t="s">
        <v>1603</v>
      </c>
      <c r="I453" s="999" t="s">
        <v>897</v>
      </c>
      <c r="J453" s="1001">
        <v>39825</v>
      </c>
      <c r="K453" s="1001">
        <v>45835</v>
      </c>
      <c r="L453" s="1000">
        <f t="shared" ref="L453:L516" si="58">DATEDIF(J453,K453, "m")</f>
        <v>197</v>
      </c>
      <c r="M453" s="1002">
        <f t="shared" ref="M453:M516" si="59">L453/12</f>
        <v>16.416666666666668</v>
      </c>
      <c r="N453" s="1000">
        <v>16</v>
      </c>
      <c r="O453" s="1000">
        <v>16</v>
      </c>
      <c r="P453" s="1000">
        <v>43</v>
      </c>
      <c r="Q453" s="999" t="s">
        <v>898</v>
      </c>
      <c r="R453" s="999" t="s">
        <v>899</v>
      </c>
      <c r="S453" s="999" t="s">
        <v>900</v>
      </c>
      <c r="T453" s="999" t="s">
        <v>616</v>
      </c>
      <c r="U453" s="1000" t="s">
        <v>54</v>
      </c>
      <c r="V453" s="1000" t="s">
        <v>914</v>
      </c>
      <c r="W453" s="1003">
        <v>16172</v>
      </c>
      <c r="X453" s="1000" t="s">
        <v>903</v>
      </c>
      <c r="Y453" s="1000">
        <v>81</v>
      </c>
      <c r="Z453" s="1000" t="s">
        <v>904</v>
      </c>
      <c r="AA453" s="1000" t="s">
        <v>905</v>
      </c>
      <c r="AB453" s="1000" t="s">
        <v>925</v>
      </c>
      <c r="AC453" s="1000" t="s">
        <v>907</v>
      </c>
      <c r="AD453" s="1004">
        <v>10126.049999999999</v>
      </c>
      <c r="AE453" s="1004">
        <f t="shared" si="56"/>
        <v>166235.98749999999</v>
      </c>
      <c r="AF453" s="1004">
        <f t="shared" ref="AF453:AF516" si="60">AE453</f>
        <v>166235.98749999999</v>
      </c>
      <c r="AG453" s="1005">
        <f t="shared" si="55"/>
        <v>16.416666666666668</v>
      </c>
      <c r="AH453" s="1005">
        <f t="shared" si="57"/>
        <v>14.941150498155229</v>
      </c>
    </row>
    <row r="454" spans="1:34" x14ac:dyDescent="0.25">
      <c r="A454" s="999">
        <v>32000</v>
      </c>
      <c r="B454" s="999" t="s">
        <v>1540</v>
      </c>
      <c r="C454" s="999" t="s">
        <v>1541</v>
      </c>
      <c r="D454" s="999" t="s">
        <v>894</v>
      </c>
      <c r="E454" s="999" t="s">
        <v>895</v>
      </c>
      <c r="F454" s="999">
        <v>1682009</v>
      </c>
      <c r="G454" s="1000">
        <v>33072825734</v>
      </c>
      <c r="H454" s="999" t="s">
        <v>1604</v>
      </c>
      <c r="I454" s="999" t="s">
        <v>897</v>
      </c>
      <c r="J454" s="1001">
        <v>39853</v>
      </c>
      <c r="K454" s="1001">
        <v>45835</v>
      </c>
      <c r="L454" s="1000">
        <f t="shared" si="58"/>
        <v>196</v>
      </c>
      <c r="M454" s="1002">
        <f t="shared" si="59"/>
        <v>16.333333333333332</v>
      </c>
      <c r="N454" s="1000">
        <v>16</v>
      </c>
      <c r="O454" s="1000">
        <v>16</v>
      </c>
      <c r="P454" s="1000">
        <v>43</v>
      </c>
      <c r="Q454" s="999" t="s">
        <v>898</v>
      </c>
      <c r="R454" s="999" t="s">
        <v>899</v>
      </c>
      <c r="S454" s="999" t="s">
        <v>900</v>
      </c>
      <c r="T454" s="999" t="s">
        <v>999</v>
      </c>
      <c r="U454" s="1000" t="s">
        <v>55</v>
      </c>
      <c r="V454" s="1000" t="s">
        <v>914</v>
      </c>
      <c r="W454" s="1003">
        <v>17887</v>
      </c>
      <c r="X454" s="1000" t="s">
        <v>930</v>
      </c>
      <c r="Y454" s="1000">
        <v>76</v>
      </c>
      <c r="Z454" s="1000" t="s">
        <v>904</v>
      </c>
      <c r="AA454" s="1000" t="s">
        <v>905</v>
      </c>
      <c r="AB454" s="1000" t="s">
        <v>911</v>
      </c>
      <c r="AC454" s="1000" t="s">
        <v>907</v>
      </c>
      <c r="AD454" s="1004">
        <v>5333.97</v>
      </c>
      <c r="AE454" s="1004">
        <f t="shared" si="56"/>
        <v>87121.51</v>
      </c>
      <c r="AF454" s="1004">
        <f t="shared" si="60"/>
        <v>87121.51</v>
      </c>
      <c r="AG454" s="1005">
        <f t="shared" si="55"/>
        <v>16.333333333333332</v>
      </c>
      <c r="AH454" s="1005">
        <f t="shared" si="57"/>
        <v>13.754645190930805</v>
      </c>
    </row>
    <row r="455" spans="1:34" x14ac:dyDescent="0.25">
      <c r="A455" s="999">
        <v>32000</v>
      </c>
      <c r="B455" s="999" t="s">
        <v>1540</v>
      </c>
      <c r="C455" s="999" t="s">
        <v>1541</v>
      </c>
      <c r="D455" s="999" t="s">
        <v>894</v>
      </c>
      <c r="E455" s="999" t="s">
        <v>895</v>
      </c>
      <c r="F455" s="999">
        <v>1681959</v>
      </c>
      <c r="G455" s="1000">
        <v>1015125115</v>
      </c>
      <c r="H455" s="999" t="s">
        <v>1605</v>
      </c>
      <c r="I455" s="999" t="s">
        <v>897</v>
      </c>
      <c r="J455" s="1001">
        <v>39854</v>
      </c>
      <c r="K455" s="1001">
        <v>45835</v>
      </c>
      <c r="L455" s="1000">
        <f t="shared" si="58"/>
        <v>196</v>
      </c>
      <c r="M455" s="1002">
        <f t="shared" si="59"/>
        <v>16.333333333333332</v>
      </c>
      <c r="N455" s="1000">
        <v>16</v>
      </c>
      <c r="O455" s="1000">
        <v>16</v>
      </c>
      <c r="P455" s="1000">
        <v>43</v>
      </c>
      <c r="Q455" s="999" t="s">
        <v>898</v>
      </c>
      <c r="R455" s="999" t="s">
        <v>899</v>
      </c>
      <c r="S455" s="999" t="s">
        <v>900</v>
      </c>
      <c r="T455" s="999" t="s">
        <v>1184</v>
      </c>
      <c r="U455" s="1000" t="s">
        <v>54</v>
      </c>
      <c r="V455" s="1000" t="s">
        <v>914</v>
      </c>
      <c r="W455" s="1003">
        <v>13476</v>
      </c>
      <c r="X455" s="1000" t="s">
        <v>930</v>
      </c>
      <c r="Y455" s="1000">
        <v>88</v>
      </c>
      <c r="Z455" s="1000" t="s">
        <v>904</v>
      </c>
      <c r="AA455" s="1000" t="s">
        <v>905</v>
      </c>
      <c r="AB455" s="1000" t="s">
        <v>925</v>
      </c>
      <c r="AC455" s="1000" t="s">
        <v>907</v>
      </c>
      <c r="AD455" s="1004">
        <v>10126.049999999999</v>
      </c>
      <c r="AE455" s="1004">
        <f t="shared" si="56"/>
        <v>165392.14999999997</v>
      </c>
      <c r="AF455" s="1004">
        <f t="shared" si="60"/>
        <v>165392.14999999997</v>
      </c>
      <c r="AG455" s="1005">
        <f t="shared" si="55"/>
        <v>16.333333333333332</v>
      </c>
      <c r="AH455" s="1005">
        <f t="shared" si="57"/>
        <v>14.865307094611293</v>
      </c>
    </row>
    <row r="456" spans="1:34" x14ac:dyDescent="0.25">
      <c r="A456" s="999">
        <v>32000</v>
      </c>
      <c r="B456" s="999" t="s">
        <v>1540</v>
      </c>
      <c r="C456" s="999" t="s">
        <v>1541</v>
      </c>
      <c r="D456" s="999" t="s">
        <v>894</v>
      </c>
      <c r="E456" s="999" t="s">
        <v>895</v>
      </c>
      <c r="F456" s="999">
        <v>1702285</v>
      </c>
      <c r="G456" s="1000">
        <v>12650633115</v>
      </c>
      <c r="H456" s="999" t="s">
        <v>1606</v>
      </c>
      <c r="I456" s="999" t="s">
        <v>897</v>
      </c>
      <c r="J456" s="1001">
        <v>39962</v>
      </c>
      <c r="K456" s="1001">
        <v>45835</v>
      </c>
      <c r="L456" s="1000">
        <f t="shared" si="58"/>
        <v>192</v>
      </c>
      <c r="M456" s="1002">
        <f t="shared" si="59"/>
        <v>16</v>
      </c>
      <c r="N456" s="1000">
        <v>16</v>
      </c>
      <c r="O456" s="1000">
        <v>16</v>
      </c>
      <c r="P456" s="1000">
        <v>43</v>
      </c>
      <c r="Q456" s="999" t="s">
        <v>898</v>
      </c>
      <c r="R456" s="999" t="s">
        <v>899</v>
      </c>
      <c r="S456" s="999" t="s">
        <v>900</v>
      </c>
      <c r="T456" s="999" t="s">
        <v>1184</v>
      </c>
      <c r="U456" s="1000" t="s">
        <v>54</v>
      </c>
      <c r="V456" s="1000" t="s">
        <v>910</v>
      </c>
      <c r="W456" s="1003">
        <v>16075</v>
      </c>
      <c r="X456" s="1000" t="s">
        <v>930</v>
      </c>
      <c r="Y456" s="1000">
        <v>81</v>
      </c>
      <c r="Z456" s="1000" t="s">
        <v>904</v>
      </c>
      <c r="AA456" s="1000" t="s">
        <v>905</v>
      </c>
      <c r="AB456" s="1000" t="s">
        <v>925</v>
      </c>
      <c r="AC456" s="1000" t="s">
        <v>907</v>
      </c>
      <c r="AD456" s="1004">
        <v>10126.049999999999</v>
      </c>
      <c r="AE456" s="1004">
        <f t="shared" si="56"/>
        <v>162016.79999999999</v>
      </c>
      <c r="AF456" s="1004">
        <f t="shared" si="60"/>
        <v>162016.79999999999</v>
      </c>
      <c r="AG456" s="1005">
        <f t="shared" si="55"/>
        <v>16</v>
      </c>
      <c r="AH456" s="1005">
        <f t="shared" si="57"/>
        <v>14.561933480435554</v>
      </c>
    </row>
    <row r="457" spans="1:34" x14ac:dyDescent="0.25">
      <c r="A457" s="999">
        <v>32000</v>
      </c>
      <c r="B457" s="999" t="s">
        <v>1540</v>
      </c>
      <c r="C457" s="999" t="s">
        <v>1541</v>
      </c>
      <c r="D457" s="999" t="s">
        <v>894</v>
      </c>
      <c r="E457" s="999" t="s">
        <v>895</v>
      </c>
      <c r="F457" s="999">
        <v>1741277</v>
      </c>
      <c r="G457" s="1000">
        <v>2333511168</v>
      </c>
      <c r="H457" s="999" t="s">
        <v>1607</v>
      </c>
      <c r="I457" s="999" t="s">
        <v>897</v>
      </c>
      <c r="J457" s="1001">
        <v>40150</v>
      </c>
      <c r="K457" s="1001">
        <v>45835</v>
      </c>
      <c r="L457" s="1000">
        <f t="shared" si="58"/>
        <v>186</v>
      </c>
      <c r="M457" s="1002">
        <f t="shared" si="59"/>
        <v>15.5</v>
      </c>
      <c r="N457" s="1000">
        <v>15</v>
      </c>
      <c r="O457" s="1000">
        <v>15</v>
      </c>
      <c r="P457" s="1000">
        <v>43</v>
      </c>
      <c r="Q457" s="999" t="s">
        <v>898</v>
      </c>
      <c r="R457" s="999" t="s">
        <v>899</v>
      </c>
      <c r="S457" s="999" t="s">
        <v>900</v>
      </c>
      <c r="T457" s="999" t="s">
        <v>613</v>
      </c>
      <c r="U457" s="1000" t="s">
        <v>54</v>
      </c>
      <c r="V457" s="1000" t="s">
        <v>914</v>
      </c>
      <c r="W457" s="1003">
        <v>18038</v>
      </c>
      <c r="X457" s="1000" t="s">
        <v>903</v>
      </c>
      <c r="Y457" s="1000">
        <v>75</v>
      </c>
      <c r="Z457" s="1000" t="s">
        <v>904</v>
      </c>
      <c r="AA457" s="1000" t="s">
        <v>905</v>
      </c>
      <c r="AB457" s="1000" t="s">
        <v>925</v>
      </c>
      <c r="AC457" s="1000" t="s">
        <v>907</v>
      </c>
      <c r="AD457" s="1004">
        <v>10126.049999999999</v>
      </c>
      <c r="AE457" s="1004">
        <f t="shared" si="56"/>
        <v>156953.77499999999</v>
      </c>
      <c r="AF457" s="1004">
        <f t="shared" si="60"/>
        <v>156953.77499999999</v>
      </c>
      <c r="AG457" s="1005">
        <f t="shared" si="55"/>
        <v>15.5</v>
      </c>
      <c r="AH457" s="1005">
        <f t="shared" si="57"/>
        <v>14.106873059171944</v>
      </c>
    </row>
    <row r="458" spans="1:34" x14ac:dyDescent="0.25">
      <c r="A458" s="999">
        <v>32000</v>
      </c>
      <c r="B458" s="999" t="s">
        <v>1540</v>
      </c>
      <c r="C458" s="999" t="s">
        <v>1541</v>
      </c>
      <c r="D458" s="999" t="s">
        <v>894</v>
      </c>
      <c r="E458" s="999" t="s">
        <v>895</v>
      </c>
      <c r="F458" s="999">
        <v>1914080</v>
      </c>
      <c r="G458" s="1000">
        <v>24506567900</v>
      </c>
      <c r="H458" s="999" t="s">
        <v>1608</v>
      </c>
      <c r="I458" s="999" t="s">
        <v>897</v>
      </c>
      <c r="J458" s="1001">
        <v>40945</v>
      </c>
      <c r="K458" s="1001">
        <v>45835</v>
      </c>
      <c r="L458" s="1000">
        <f t="shared" si="58"/>
        <v>160</v>
      </c>
      <c r="M458" s="1002">
        <f t="shared" si="59"/>
        <v>13.333333333333334</v>
      </c>
      <c r="N458" s="1000">
        <v>13</v>
      </c>
      <c r="O458" s="1000">
        <v>13</v>
      </c>
      <c r="P458" s="1000">
        <v>43</v>
      </c>
      <c r="Q458" s="999" t="s">
        <v>898</v>
      </c>
      <c r="R458" s="999" t="s">
        <v>899</v>
      </c>
      <c r="S458" s="999" t="s">
        <v>900</v>
      </c>
      <c r="T458" s="999" t="s">
        <v>1609</v>
      </c>
      <c r="U458" s="1000" t="s">
        <v>55</v>
      </c>
      <c r="V458" s="1000" t="s">
        <v>914</v>
      </c>
      <c r="W458" s="1003">
        <v>18104</v>
      </c>
      <c r="X458" s="1000" t="s">
        <v>903</v>
      </c>
      <c r="Y458" s="1000">
        <v>75</v>
      </c>
      <c r="Z458" s="1000" t="s">
        <v>904</v>
      </c>
      <c r="AA458" s="1000" t="s">
        <v>905</v>
      </c>
      <c r="AB458" s="1000" t="s">
        <v>911</v>
      </c>
      <c r="AC458" s="1000" t="s">
        <v>907</v>
      </c>
      <c r="AD458" s="1004">
        <v>5333.97</v>
      </c>
      <c r="AE458" s="1004">
        <f t="shared" si="56"/>
        <v>71119.600000000006</v>
      </c>
      <c r="AF458" s="1004">
        <f t="shared" si="60"/>
        <v>71119.600000000006</v>
      </c>
      <c r="AG458" s="1005">
        <f t="shared" si="55"/>
        <v>13.333333333333334</v>
      </c>
      <c r="AH458" s="1005">
        <f t="shared" si="57"/>
        <v>11.228281788514945</v>
      </c>
    </row>
    <row r="459" spans="1:34" x14ac:dyDescent="0.25">
      <c r="A459" s="999">
        <v>32000</v>
      </c>
      <c r="B459" s="999" t="s">
        <v>1540</v>
      </c>
      <c r="C459" s="999" t="s">
        <v>1541</v>
      </c>
      <c r="D459" s="999" t="s">
        <v>894</v>
      </c>
      <c r="E459" s="999" t="s">
        <v>895</v>
      </c>
      <c r="F459" s="999">
        <v>1681982</v>
      </c>
      <c r="G459" s="1000">
        <v>25798197700</v>
      </c>
      <c r="H459" s="999" t="s">
        <v>1610</v>
      </c>
      <c r="I459" s="999" t="s">
        <v>897</v>
      </c>
      <c r="J459" s="1001">
        <v>39847</v>
      </c>
      <c r="K459" s="1001">
        <v>45835</v>
      </c>
      <c r="L459" s="1000">
        <f t="shared" si="58"/>
        <v>196</v>
      </c>
      <c r="M459" s="1002">
        <f t="shared" si="59"/>
        <v>16.333333333333332</v>
      </c>
      <c r="N459" s="1000">
        <v>16</v>
      </c>
      <c r="O459" s="1000">
        <v>16</v>
      </c>
      <c r="P459" s="1000">
        <v>43</v>
      </c>
      <c r="Q459" s="999" t="s">
        <v>898</v>
      </c>
      <c r="R459" s="999" t="s">
        <v>899</v>
      </c>
      <c r="S459" s="999" t="s">
        <v>900</v>
      </c>
      <c r="T459" s="999" t="s">
        <v>909</v>
      </c>
      <c r="U459" s="1000" t="s">
        <v>55</v>
      </c>
      <c r="V459" s="1000" t="s">
        <v>914</v>
      </c>
      <c r="W459" s="1003">
        <v>17342</v>
      </c>
      <c r="X459" s="1000" t="s">
        <v>903</v>
      </c>
      <c r="Y459" s="1000">
        <v>77</v>
      </c>
      <c r="Z459" s="1000" t="s">
        <v>904</v>
      </c>
      <c r="AA459" s="1000" t="s">
        <v>905</v>
      </c>
      <c r="AB459" s="1000" t="s">
        <v>911</v>
      </c>
      <c r="AC459" s="1000" t="s">
        <v>907</v>
      </c>
      <c r="AD459" s="1004">
        <v>5333.97</v>
      </c>
      <c r="AE459" s="1004">
        <f t="shared" si="56"/>
        <v>87121.51</v>
      </c>
      <c r="AF459" s="1004">
        <f t="shared" si="60"/>
        <v>87121.51</v>
      </c>
      <c r="AG459" s="1005">
        <f t="shared" si="55"/>
        <v>16.333333333333332</v>
      </c>
      <c r="AH459" s="1005">
        <f t="shared" si="57"/>
        <v>13.754645190930805</v>
      </c>
    </row>
    <row r="460" spans="1:34" x14ac:dyDescent="0.25">
      <c r="A460" s="999">
        <v>32000</v>
      </c>
      <c r="B460" s="999" t="s">
        <v>1540</v>
      </c>
      <c r="C460" s="999" t="s">
        <v>1541</v>
      </c>
      <c r="D460" s="999" t="s">
        <v>894</v>
      </c>
      <c r="E460" s="999" t="s">
        <v>895</v>
      </c>
      <c r="F460" s="999">
        <v>1687823</v>
      </c>
      <c r="G460" s="1000">
        <v>45369267804</v>
      </c>
      <c r="H460" s="999" t="s">
        <v>1611</v>
      </c>
      <c r="I460" s="999" t="s">
        <v>897</v>
      </c>
      <c r="J460" s="1001">
        <v>39892</v>
      </c>
      <c r="K460" s="1001">
        <v>45835</v>
      </c>
      <c r="L460" s="1000">
        <f t="shared" si="58"/>
        <v>195</v>
      </c>
      <c r="M460" s="1002">
        <f t="shared" si="59"/>
        <v>16.25</v>
      </c>
      <c r="N460" s="1000">
        <v>16</v>
      </c>
      <c r="O460" s="1000">
        <v>16</v>
      </c>
      <c r="P460" s="1000">
        <v>43</v>
      </c>
      <c r="Q460" s="999" t="s">
        <v>898</v>
      </c>
      <c r="R460" s="999" t="s">
        <v>899</v>
      </c>
      <c r="S460" s="999" t="s">
        <v>900</v>
      </c>
      <c r="T460" s="999" t="s">
        <v>1612</v>
      </c>
      <c r="U460" s="1000" t="s">
        <v>54</v>
      </c>
      <c r="V460" s="1000" t="s">
        <v>914</v>
      </c>
      <c r="W460" s="1003">
        <v>17078</v>
      </c>
      <c r="X460" s="1000" t="s">
        <v>903</v>
      </c>
      <c r="Y460" s="1000">
        <v>78</v>
      </c>
      <c r="Z460" s="1000" t="s">
        <v>904</v>
      </c>
      <c r="AA460" s="1000" t="s">
        <v>905</v>
      </c>
      <c r="AB460" s="1000" t="s">
        <v>925</v>
      </c>
      <c r="AC460" s="1000" t="s">
        <v>907</v>
      </c>
      <c r="AD460" s="1004">
        <v>10255.25</v>
      </c>
      <c r="AE460" s="1004">
        <f t="shared" si="56"/>
        <v>166647.8125</v>
      </c>
      <c r="AF460" s="1004">
        <f t="shared" si="60"/>
        <v>166647.8125</v>
      </c>
      <c r="AG460" s="1005">
        <f t="shared" si="55"/>
        <v>16.25</v>
      </c>
      <c r="AH460" s="1005">
        <f t="shared" si="57"/>
        <v>14.806229315208459</v>
      </c>
    </row>
    <row r="461" spans="1:34" x14ac:dyDescent="0.25">
      <c r="A461" s="999">
        <v>32000</v>
      </c>
      <c r="B461" s="999" t="s">
        <v>1540</v>
      </c>
      <c r="C461" s="999" t="s">
        <v>1541</v>
      </c>
      <c r="D461" s="999" t="s">
        <v>894</v>
      </c>
      <c r="E461" s="999" t="s">
        <v>895</v>
      </c>
      <c r="F461" s="999">
        <v>1720301</v>
      </c>
      <c r="G461" s="1000">
        <v>530085291</v>
      </c>
      <c r="H461" s="999" t="s">
        <v>1613</v>
      </c>
      <c r="I461" s="999" t="s">
        <v>897</v>
      </c>
      <c r="J461" s="1001">
        <v>40045</v>
      </c>
      <c r="K461" s="1001">
        <v>45835</v>
      </c>
      <c r="L461" s="1000">
        <f t="shared" si="58"/>
        <v>190</v>
      </c>
      <c r="M461" s="1002">
        <f t="shared" si="59"/>
        <v>15.833333333333334</v>
      </c>
      <c r="N461" s="1000">
        <v>15</v>
      </c>
      <c r="O461" s="1000">
        <v>15</v>
      </c>
      <c r="P461" s="1000">
        <v>43</v>
      </c>
      <c r="Q461" s="999" t="s">
        <v>898</v>
      </c>
      <c r="R461" s="999" t="s">
        <v>899</v>
      </c>
      <c r="S461" s="999" t="s">
        <v>900</v>
      </c>
      <c r="T461" s="999" t="s">
        <v>1335</v>
      </c>
      <c r="U461" s="1000" t="s">
        <v>54</v>
      </c>
      <c r="V461" s="1000" t="s">
        <v>914</v>
      </c>
      <c r="W461" s="1003">
        <v>16052</v>
      </c>
      <c r="X461" s="1000" t="s">
        <v>903</v>
      </c>
      <c r="Y461" s="1000">
        <v>81</v>
      </c>
      <c r="Z461" s="1000" t="s">
        <v>904</v>
      </c>
      <c r="AA461" s="1000" t="s">
        <v>905</v>
      </c>
      <c r="AB461" s="1000" t="s">
        <v>925</v>
      </c>
      <c r="AC461" s="1000" t="s">
        <v>907</v>
      </c>
      <c r="AD461" s="1004">
        <v>10126.049999999999</v>
      </c>
      <c r="AE461" s="1004">
        <f t="shared" si="56"/>
        <v>160329.125</v>
      </c>
      <c r="AF461" s="1004">
        <f t="shared" si="60"/>
        <v>160329.125</v>
      </c>
      <c r="AG461" s="1005">
        <f t="shared" si="55"/>
        <v>15.833333333333334</v>
      </c>
      <c r="AH461" s="1005">
        <f t="shared" si="57"/>
        <v>14.410246673347684</v>
      </c>
    </row>
    <row r="462" spans="1:34" x14ac:dyDescent="0.25">
      <c r="A462" s="999">
        <v>32000</v>
      </c>
      <c r="B462" s="999" t="s">
        <v>1540</v>
      </c>
      <c r="C462" s="999" t="s">
        <v>1541</v>
      </c>
      <c r="D462" s="999" t="s">
        <v>894</v>
      </c>
      <c r="E462" s="999" t="s">
        <v>895</v>
      </c>
      <c r="F462" s="999">
        <v>1373247</v>
      </c>
      <c r="G462" s="1000">
        <v>3970825768</v>
      </c>
      <c r="H462" s="999" t="s">
        <v>1614</v>
      </c>
      <c r="I462" s="999" t="s">
        <v>897</v>
      </c>
      <c r="J462" s="1001">
        <v>39946</v>
      </c>
      <c r="K462" s="1001">
        <v>45835</v>
      </c>
      <c r="L462" s="1000">
        <f t="shared" si="58"/>
        <v>193</v>
      </c>
      <c r="M462" s="1002">
        <f t="shared" si="59"/>
        <v>16.083333333333332</v>
      </c>
      <c r="N462" s="1000">
        <v>16</v>
      </c>
      <c r="O462" s="1000">
        <v>16</v>
      </c>
      <c r="P462" s="1000">
        <v>43</v>
      </c>
      <c r="Q462" s="999" t="s">
        <v>898</v>
      </c>
      <c r="R462" s="999" t="s">
        <v>899</v>
      </c>
      <c r="S462" s="999" t="s">
        <v>900</v>
      </c>
      <c r="T462" s="999" t="s">
        <v>613</v>
      </c>
      <c r="U462" s="1000" t="s">
        <v>54</v>
      </c>
      <c r="V462" s="1000" t="s">
        <v>914</v>
      </c>
      <c r="W462" s="1003">
        <v>16055</v>
      </c>
      <c r="X462" s="1000" t="s">
        <v>903</v>
      </c>
      <c r="Y462" s="1000">
        <v>81</v>
      </c>
      <c r="Z462" s="1000" t="s">
        <v>904</v>
      </c>
      <c r="AA462" s="1000" t="s">
        <v>905</v>
      </c>
      <c r="AB462" s="1000" t="s">
        <v>925</v>
      </c>
      <c r="AC462" s="1000" t="s">
        <v>907</v>
      </c>
      <c r="AD462" s="1004">
        <v>12378.78</v>
      </c>
      <c r="AE462" s="1004">
        <f t="shared" si="56"/>
        <v>199092.04499999998</v>
      </c>
      <c r="AF462" s="1004">
        <f t="shared" si="60"/>
        <v>199092.04499999998</v>
      </c>
      <c r="AG462" s="1005">
        <f t="shared" si="55"/>
        <v>16.083333333333332</v>
      </c>
      <c r="AH462" s="1005">
        <f t="shared" si="57"/>
        <v>14.881180870004588</v>
      </c>
    </row>
    <row r="463" spans="1:34" x14ac:dyDescent="0.25">
      <c r="A463" s="999">
        <v>32000</v>
      </c>
      <c r="B463" s="999" t="s">
        <v>1540</v>
      </c>
      <c r="C463" s="999" t="s">
        <v>1541</v>
      </c>
      <c r="D463" s="999" t="s">
        <v>894</v>
      </c>
      <c r="E463" s="999" t="s">
        <v>895</v>
      </c>
      <c r="F463" s="999">
        <v>1720275</v>
      </c>
      <c r="G463" s="1000">
        <v>10852328753</v>
      </c>
      <c r="H463" s="999" t="s">
        <v>1615</v>
      </c>
      <c r="I463" s="999" t="s">
        <v>897</v>
      </c>
      <c r="J463" s="1001">
        <v>40049</v>
      </c>
      <c r="K463" s="1001">
        <v>45835</v>
      </c>
      <c r="L463" s="1000">
        <f t="shared" si="58"/>
        <v>190</v>
      </c>
      <c r="M463" s="1002">
        <f t="shared" si="59"/>
        <v>15.833333333333334</v>
      </c>
      <c r="N463" s="1000">
        <v>15</v>
      </c>
      <c r="O463" s="1000">
        <v>15</v>
      </c>
      <c r="P463" s="1000">
        <v>43</v>
      </c>
      <c r="Q463" s="999" t="s">
        <v>898</v>
      </c>
      <c r="R463" s="999" t="s">
        <v>899</v>
      </c>
      <c r="S463" s="999" t="s">
        <v>900</v>
      </c>
      <c r="T463" s="999" t="s">
        <v>1486</v>
      </c>
      <c r="U463" s="1000" t="s">
        <v>55</v>
      </c>
      <c r="V463" s="1000" t="s">
        <v>914</v>
      </c>
      <c r="W463" s="1003">
        <v>15956</v>
      </c>
      <c r="X463" s="1000" t="s">
        <v>903</v>
      </c>
      <c r="Y463" s="1000">
        <v>81</v>
      </c>
      <c r="Z463" s="1000" t="s">
        <v>904</v>
      </c>
      <c r="AA463" s="1000" t="s">
        <v>905</v>
      </c>
      <c r="AB463" s="1000" t="s">
        <v>911</v>
      </c>
      <c r="AC463" s="1000" t="s">
        <v>907</v>
      </c>
      <c r="AD463" s="1004">
        <v>5333.97</v>
      </c>
      <c r="AE463" s="1004">
        <f t="shared" si="56"/>
        <v>84454.525000000009</v>
      </c>
      <c r="AF463" s="1004">
        <f t="shared" si="60"/>
        <v>84454.525000000009</v>
      </c>
      <c r="AG463" s="1005">
        <f t="shared" si="55"/>
        <v>15.833333333333334</v>
      </c>
      <c r="AH463" s="1005">
        <f t="shared" si="57"/>
        <v>13.333584623861498</v>
      </c>
    </row>
    <row r="464" spans="1:34" x14ac:dyDescent="0.25">
      <c r="A464" s="999">
        <v>32000</v>
      </c>
      <c r="B464" s="999" t="s">
        <v>1540</v>
      </c>
      <c r="C464" s="999" t="s">
        <v>1541</v>
      </c>
      <c r="D464" s="999" t="s">
        <v>894</v>
      </c>
      <c r="E464" s="999" t="s">
        <v>895</v>
      </c>
      <c r="F464" s="999">
        <v>3303535</v>
      </c>
      <c r="G464" s="1000">
        <v>5719887687</v>
      </c>
      <c r="H464" s="999" t="s">
        <v>1616</v>
      </c>
      <c r="I464" s="999" t="s">
        <v>897</v>
      </c>
      <c r="J464" s="1001">
        <v>44782</v>
      </c>
      <c r="K464" s="1001">
        <v>45835</v>
      </c>
      <c r="L464" s="1000">
        <f t="shared" si="58"/>
        <v>34</v>
      </c>
      <c r="M464" s="1002">
        <f t="shared" si="59"/>
        <v>2.8333333333333335</v>
      </c>
      <c r="N464" s="1000">
        <v>2</v>
      </c>
      <c r="O464" s="1000">
        <v>10</v>
      </c>
      <c r="P464" s="1000">
        <v>43</v>
      </c>
      <c r="Q464" s="999" t="s">
        <v>898</v>
      </c>
      <c r="R464" s="999" t="s">
        <v>899</v>
      </c>
      <c r="S464" s="999" t="s">
        <v>900</v>
      </c>
      <c r="T464" s="999" t="s">
        <v>1617</v>
      </c>
      <c r="U464" s="1000" t="s">
        <v>54</v>
      </c>
      <c r="V464" s="1000" t="s">
        <v>914</v>
      </c>
      <c r="W464" s="1003">
        <v>16880</v>
      </c>
      <c r="X464" s="1000" t="s">
        <v>903</v>
      </c>
      <c r="Y464" s="1000">
        <v>79</v>
      </c>
      <c r="Z464" s="1000" t="s">
        <v>904</v>
      </c>
      <c r="AA464" s="1000" t="s">
        <v>905</v>
      </c>
      <c r="AB464" s="1000" t="s">
        <v>925</v>
      </c>
      <c r="AC464" s="1000" t="s">
        <v>907</v>
      </c>
      <c r="AD464" s="1004">
        <v>10126.049999999999</v>
      </c>
      <c r="AE464" s="1004">
        <f t="shared" si="56"/>
        <v>28690.474999999999</v>
      </c>
      <c r="AF464" s="1004">
        <f t="shared" si="60"/>
        <v>28690.474999999999</v>
      </c>
      <c r="AG464" s="1005">
        <f t="shared" si="55"/>
        <v>2.8333333333333335</v>
      </c>
      <c r="AH464" s="1005">
        <f t="shared" si="57"/>
        <v>2.5786757204937962</v>
      </c>
    </row>
    <row r="465" spans="1:34" x14ac:dyDescent="0.25">
      <c r="A465" s="999">
        <v>32000</v>
      </c>
      <c r="B465" s="999" t="s">
        <v>1540</v>
      </c>
      <c r="C465" s="999" t="s">
        <v>1541</v>
      </c>
      <c r="D465" s="999" t="s">
        <v>894</v>
      </c>
      <c r="E465" s="999" t="s">
        <v>895</v>
      </c>
      <c r="F465" s="999">
        <v>1681950</v>
      </c>
      <c r="G465" s="1000">
        <v>19361947753</v>
      </c>
      <c r="H465" s="999" t="s">
        <v>1618</v>
      </c>
      <c r="I465" s="999" t="s">
        <v>897</v>
      </c>
      <c r="J465" s="1001">
        <v>39842</v>
      </c>
      <c r="K465" s="1001">
        <v>45835</v>
      </c>
      <c r="L465" s="1000">
        <f t="shared" si="58"/>
        <v>196</v>
      </c>
      <c r="M465" s="1002">
        <f t="shared" si="59"/>
        <v>16.333333333333332</v>
      </c>
      <c r="N465" s="1000">
        <v>16</v>
      </c>
      <c r="O465" s="1000">
        <v>16</v>
      </c>
      <c r="P465" s="1000">
        <v>43</v>
      </c>
      <c r="Q465" s="999" t="s">
        <v>898</v>
      </c>
      <c r="R465" s="999" t="s">
        <v>899</v>
      </c>
      <c r="S465" s="999" t="s">
        <v>900</v>
      </c>
      <c r="T465" s="999" t="s">
        <v>1184</v>
      </c>
      <c r="U465" s="1000" t="s">
        <v>54</v>
      </c>
      <c r="V465" s="1000" t="s">
        <v>914</v>
      </c>
      <c r="W465" s="1003">
        <v>17284</v>
      </c>
      <c r="X465" s="1000" t="s">
        <v>903</v>
      </c>
      <c r="Y465" s="1000">
        <v>77</v>
      </c>
      <c r="Z465" s="1000" t="s">
        <v>904</v>
      </c>
      <c r="AA465" s="1000" t="s">
        <v>905</v>
      </c>
      <c r="AB465" s="1000" t="s">
        <v>925</v>
      </c>
      <c r="AC465" s="1000" t="s">
        <v>907</v>
      </c>
      <c r="AD465" s="1004">
        <v>10126.049999999999</v>
      </c>
      <c r="AE465" s="1004">
        <f t="shared" si="56"/>
        <v>165392.14999999997</v>
      </c>
      <c r="AF465" s="1004">
        <f t="shared" si="60"/>
        <v>165392.14999999997</v>
      </c>
      <c r="AG465" s="1005">
        <f t="shared" si="55"/>
        <v>16.333333333333332</v>
      </c>
      <c r="AH465" s="1005">
        <f t="shared" si="57"/>
        <v>14.865307094611293</v>
      </c>
    </row>
    <row r="466" spans="1:34" x14ac:dyDescent="0.25">
      <c r="A466" s="999">
        <v>32000</v>
      </c>
      <c r="B466" s="999" t="s">
        <v>1540</v>
      </c>
      <c r="C466" s="999" t="s">
        <v>1541</v>
      </c>
      <c r="D466" s="999" t="s">
        <v>894</v>
      </c>
      <c r="E466" s="999" t="s">
        <v>895</v>
      </c>
      <c r="F466" s="999">
        <v>1776063</v>
      </c>
      <c r="G466" s="1000">
        <v>10790381087</v>
      </c>
      <c r="H466" s="999" t="s">
        <v>1619</v>
      </c>
      <c r="I466" s="999" t="s">
        <v>897</v>
      </c>
      <c r="J466" s="1001">
        <v>40282</v>
      </c>
      <c r="K466" s="1001">
        <v>45835</v>
      </c>
      <c r="L466" s="1000">
        <f t="shared" si="58"/>
        <v>182</v>
      </c>
      <c r="M466" s="1002">
        <f t="shared" si="59"/>
        <v>15.166666666666666</v>
      </c>
      <c r="N466" s="1000">
        <v>15</v>
      </c>
      <c r="O466" s="1000">
        <v>15</v>
      </c>
      <c r="P466" s="1000">
        <v>43</v>
      </c>
      <c r="Q466" s="999" t="s">
        <v>898</v>
      </c>
      <c r="R466" s="999" t="s">
        <v>899</v>
      </c>
      <c r="S466" s="999" t="s">
        <v>900</v>
      </c>
      <c r="T466" s="999" t="s">
        <v>1548</v>
      </c>
      <c r="U466" s="1000" t="s">
        <v>54</v>
      </c>
      <c r="V466" s="1000" t="s">
        <v>914</v>
      </c>
      <c r="W466" s="1003">
        <v>16948</v>
      </c>
      <c r="X466" s="1000" t="s">
        <v>903</v>
      </c>
      <c r="Y466" s="1000">
        <v>78</v>
      </c>
      <c r="Z466" s="1000" t="s">
        <v>904</v>
      </c>
      <c r="AA466" s="1000" t="s">
        <v>905</v>
      </c>
      <c r="AB466" s="1000" t="s">
        <v>925</v>
      </c>
      <c r="AC466" s="1000" t="s">
        <v>907</v>
      </c>
      <c r="AD466" s="1004">
        <v>10336.5</v>
      </c>
      <c r="AE466" s="1004">
        <f t="shared" si="56"/>
        <v>156770.25</v>
      </c>
      <c r="AF466" s="1004">
        <f t="shared" si="60"/>
        <v>156770.25</v>
      </c>
      <c r="AG466" s="1005">
        <f t="shared" si="55"/>
        <v>15.166666666666666</v>
      </c>
      <c r="AH466" s="1005">
        <f t="shared" si="57"/>
        <v>13.828805186786045</v>
      </c>
    </row>
    <row r="467" spans="1:34" x14ac:dyDescent="0.25">
      <c r="A467" s="999">
        <v>32000</v>
      </c>
      <c r="B467" s="999" t="s">
        <v>1540</v>
      </c>
      <c r="C467" s="999" t="s">
        <v>1541</v>
      </c>
      <c r="D467" s="999" t="s">
        <v>894</v>
      </c>
      <c r="E467" s="999" t="s">
        <v>895</v>
      </c>
      <c r="F467" s="999">
        <v>1719101</v>
      </c>
      <c r="G467" s="1000">
        <v>5723825100</v>
      </c>
      <c r="H467" s="999" t="s">
        <v>1620</v>
      </c>
      <c r="I467" s="999" t="s">
        <v>897</v>
      </c>
      <c r="J467" s="1001">
        <v>40042</v>
      </c>
      <c r="K467" s="1001">
        <v>45835</v>
      </c>
      <c r="L467" s="1000">
        <f t="shared" si="58"/>
        <v>190</v>
      </c>
      <c r="M467" s="1002">
        <f t="shared" si="59"/>
        <v>15.833333333333334</v>
      </c>
      <c r="N467" s="1000">
        <v>15</v>
      </c>
      <c r="O467" s="1000">
        <v>15</v>
      </c>
      <c r="P467" s="1000">
        <v>43</v>
      </c>
      <c r="Q467" s="999" t="s">
        <v>898</v>
      </c>
      <c r="R467" s="999" t="s">
        <v>899</v>
      </c>
      <c r="S467" s="999" t="s">
        <v>900</v>
      </c>
      <c r="T467" s="999" t="s">
        <v>1621</v>
      </c>
      <c r="U467" s="1000" t="s">
        <v>55</v>
      </c>
      <c r="V467" s="1000" t="s">
        <v>914</v>
      </c>
      <c r="W467" s="1003">
        <v>18087</v>
      </c>
      <c r="X467" s="1000" t="s">
        <v>903</v>
      </c>
      <c r="Y467" s="1000">
        <v>75</v>
      </c>
      <c r="Z467" s="1000" t="s">
        <v>904</v>
      </c>
      <c r="AA467" s="1000" t="s">
        <v>905</v>
      </c>
      <c r="AB467" s="1000" t="s">
        <v>911</v>
      </c>
      <c r="AC467" s="1000" t="s">
        <v>907</v>
      </c>
      <c r="AD467" s="1004">
        <v>5333.97</v>
      </c>
      <c r="AE467" s="1004">
        <f t="shared" si="56"/>
        <v>84454.525000000009</v>
      </c>
      <c r="AF467" s="1004">
        <f t="shared" si="60"/>
        <v>84454.525000000009</v>
      </c>
      <c r="AG467" s="1005">
        <f t="shared" si="55"/>
        <v>15.833333333333334</v>
      </c>
      <c r="AH467" s="1005">
        <f t="shared" si="57"/>
        <v>13.333584623861498</v>
      </c>
    </row>
    <row r="468" spans="1:34" x14ac:dyDescent="0.25">
      <c r="A468" s="999">
        <v>32000</v>
      </c>
      <c r="B468" s="999" t="s">
        <v>1540</v>
      </c>
      <c r="C468" s="999" t="s">
        <v>1541</v>
      </c>
      <c r="D468" s="999" t="s">
        <v>894</v>
      </c>
      <c r="E468" s="999" t="s">
        <v>895</v>
      </c>
      <c r="F468" s="999">
        <v>1779396</v>
      </c>
      <c r="G468" s="1000">
        <v>5731410100</v>
      </c>
      <c r="H468" s="999" t="s">
        <v>1622</v>
      </c>
      <c r="I468" s="999" t="s">
        <v>897</v>
      </c>
      <c r="J468" s="1001">
        <v>40287</v>
      </c>
      <c r="K468" s="1001">
        <v>45835</v>
      </c>
      <c r="L468" s="1000">
        <f t="shared" si="58"/>
        <v>182</v>
      </c>
      <c r="M468" s="1002">
        <f t="shared" si="59"/>
        <v>15.166666666666666</v>
      </c>
      <c r="N468" s="1000">
        <v>15</v>
      </c>
      <c r="O468" s="1000">
        <v>15</v>
      </c>
      <c r="P468" s="1000">
        <v>43</v>
      </c>
      <c r="Q468" s="999" t="s">
        <v>898</v>
      </c>
      <c r="R468" s="999" t="s">
        <v>899</v>
      </c>
      <c r="S468" s="999" t="s">
        <v>900</v>
      </c>
      <c r="T468" s="999" t="s">
        <v>1575</v>
      </c>
      <c r="U468" s="1000" t="s">
        <v>55</v>
      </c>
      <c r="V468" s="1000" t="s">
        <v>914</v>
      </c>
      <c r="W468" s="1003">
        <v>14058</v>
      </c>
      <c r="X468" s="1000" t="s">
        <v>930</v>
      </c>
      <c r="Y468" s="1000">
        <v>86</v>
      </c>
      <c r="Z468" s="1000" t="s">
        <v>904</v>
      </c>
      <c r="AA468" s="1000" t="s">
        <v>905</v>
      </c>
      <c r="AB468" s="1000" t="s">
        <v>911</v>
      </c>
      <c r="AC468" s="1000" t="s">
        <v>907</v>
      </c>
      <c r="AD468" s="1004">
        <v>5333.97</v>
      </c>
      <c r="AE468" s="1004">
        <f t="shared" si="56"/>
        <v>80898.544999999998</v>
      </c>
      <c r="AF468" s="1004">
        <f t="shared" si="60"/>
        <v>80898.544999999998</v>
      </c>
      <c r="AG468" s="1005">
        <f t="shared" si="55"/>
        <v>15.166666666666666</v>
      </c>
      <c r="AH468" s="1005">
        <f t="shared" si="57"/>
        <v>12.772170534435748</v>
      </c>
    </row>
    <row r="469" spans="1:34" x14ac:dyDescent="0.25">
      <c r="A469" s="999">
        <v>32000</v>
      </c>
      <c r="B469" s="999" t="s">
        <v>1540</v>
      </c>
      <c r="C469" s="999" t="s">
        <v>1541</v>
      </c>
      <c r="D469" s="999" t="s">
        <v>894</v>
      </c>
      <c r="E469" s="999" t="s">
        <v>895</v>
      </c>
      <c r="F469" s="999">
        <v>1913953</v>
      </c>
      <c r="G469" s="1000">
        <v>25231014915</v>
      </c>
      <c r="H469" s="999" t="s">
        <v>1623</v>
      </c>
      <c r="I469" s="999" t="s">
        <v>897</v>
      </c>
      <c r="J469" s="1001">
        <v>40945</v>
      </c>
      <c r="K469" s="1001">
        <v>45835</v>
      </c>
      <c r="L469" s="1000">
        <f t="shared" si="58"/>
        <v>160</v>
      </c>
      <c r="M469" s="1002">
        <f t="shared" si="59"/>
        <v>13.333333333333334</v>
      </c>
      <c r="N469" s="1000">
        <v>13</v>
      </c>
      <c r="O469" s="1000">
        <v>13</v>
      </c>
      <c r="P469" s="1000">
        <v>43</v>
      </c>
      <c r="Q469" s="999" t="s">
        <v>898</v>
      </c>
      <c r="R469" s="999" t="s">
        <v>899</v>
      </c>
      <c r="S469" s="999" t="s">
        <v>900</v>
      </c>
      <c r="T469" s="999" t="s">
        <v>1624</v>
      </c>
      <c r="U469" s="1000" t="s">
        <v>55</v>
      </c>
      <c r="V469" s="1000" t="s">
        <v>914</v>
      </c>
      <c r="W469" s="1003">
        <v>17829</v>
      </c>
      <c r="X469" s="1000" t="s">
        <v>903</v>
      </c>
      <c r="Y469" s="1000">
        <v>76</v>
      </c>
      <c r="Z469" s="1000" t="s">
        <v>904</v>
      </c>
      <c r="AA469" s="1000" t="s">
        <v>905</v>
      </c>
      <c r="AB469" s="1000" t="s">
        <v>911</v>
      </c>
      <c r="AC469" s="1000" t="s">
        <v>907</v>
      </c>
      <c r="AD469" s="1004">
        <v>5333.97</v>
      </c>
      <c r="AE469" s="1004">
        <f t="shared" si="56"/>
        <v>71119.600000000006</v>
      </c>
      <c r="AF469" s="1004">
        <f t="shared" si="60"/>
        <v>71119.600000000006</v>
      </c>
      <c r="AG469" s="1005">
        <f t="shared" si="55"/>
        <v>13.333333333333334</v>
      </c>
      <c r="AH469" s="1005">
        <f t="shared" si="57"/>
        <v>11.228281788514945</v>
      </c>
    </row>
    <row r="470" spans="1:34" x14ac:dyDescent="0.25">
      <c r="A470" s="999">
        <v>32000</v>
      </c>
      <c r="B470" s="999" t="s">
        <v>1540</v>
      </c>
      <c r="C470" s="999" t="s">
        <v>1541</v>
      </c>
      <c r="D470" s="999" t="s">
        <v>894</v>
      </c>
      <c r="E470" s="999" t="s">
        <v>895</v>
      </c>
      <c r="F470" s="999">
        <v>1692146</v>
      </c>
      <c r="G470" s="1000">
        <v>15106357187</v>
      </c>
      <c r="H470" s="999" t="s">
        <v>1625</v>
      </c>
      <c r="I470" s="999" t="s">
        <v>897</v>
      </c>
      <c r="J470" s="1001">
        <v>39911</v>
      </c>
      <c r="K470" s="1001">
        <v>45835</v>
      </c>
      <c r="L470" s="1000">
        <f t="shared" si="58"/>
        <v>194</v>
      </c>
      <c r="M470" s="1002">
        <f t="shared" si="59"/>
        <v>16.166666666666668</v>
      </c>
      <c r="N470" s="1000">
        <v>16</v>
      </c>
      <c r="O470" s="1000">
        <v>16</v>
      </c>
      <c r="P470" s="1000">
        <v>43</v>
      </c>
      <c r="Q470" s="999" t="s">
        <v>898</v>
      </c>
      <c r="R470" s="999" t="s">
        <v>899</v>
      </c>
      <c r="S470" s="999" t="s">
        <v>900</v>
      </c>
      <c r="T470" s="999" t="s">
        <v>1626</v>
      </c>
      <c r="U470" s="1000" t="s">
        <v>55</v>
      </c>
      <c r="V470" s="1000" t="s">
        <v>914</v>
      </c>
      <c r="W470" s="1003">
        <v>14129</v>
      </c>
      <c r="X470" s="1000" t="s">
        <v>930</v>
      </c>
      <c r="Y470" s="1000">
        <v>86</v>
      </c>
      <c r="Z470" s="1000" t="s">
        <v>904</v>
      </c>
      <c r="AA470" s="1000" t="s">
        <v>905</v>
      </c>
      <c r="AB470" s="1000" t="s">
        <v>911</v>
      </c>
      <c r="AC470" s="1000" t="s">
        <v>907</v>
      </c>
      <c r="AD470" s="1004">
        <v>5333.97</v>
      </c>
      <c r="AE470" s="1004">
        <f t="shared" si="56"/>
        <v>86232.515000000014</v>
      </c>
      <c r="AF470" s="1004">
        <f t="shared" si="60"/>
        <v>86232.515000000014</v>
      </c>
      <c r="AG470" s="1005">
        <f t="shared" si="55"/>
        <v>16.166666666666668</v>
      </c>
      <c r="AH470" s="1005">
        <f t="shared" si="57"/>
        <v>13.614291668574371</v>
      </c>
    </row>
    <row r="471" spans="1:34" x14ac:dyDescent="0.25">
      <c r="A471" s="999">
        <v>32000</v>
      </c>
      <c r="B471" s="999" t="s">
        <v>1540</v>
      </c>
      <c r="C471" s="999" t="s">
        <v>1541</v>
      </c>
      <c r="D471" s="999" t="s">
        <v>894</v>
      </c>
      <c r="E471" s="999" t="s">
        <v>895</v>
      </c>
      <c r="F471" s="999">
        <v>1743095</v>
      </c>
      <c r="G471" s="1000">
        <v>4414497787</v>
      </c>
      <c r="H471" s="999" t="s">
        <v>1627</v>
      </c>
      <c r="I471" s="999" t="s">
        <v>897</v>
      </c>
      <c r="J471" s="1001">
        <v>40144</v>
      </c>
      <c r="K471" s="1001">
        <v>45835</v>
      </c>
      <c r="L471" s="1000">
        <f t="shared" si="58"/>
        <v>187</v>
      </c>
      <c r="M471" s="1002">
        <f t="shared" si="59"/>
        <v>15.583333333333334</v>
      </c>
      <c r="N471" s="1000">
        <v>15</v>
      </c>
      <c r="O471" s="1000">
        <v>15</v>
      </c>
      <c r="P471" s="1000">
        <v>43</v>
      </c>
      <c r="Q471" s="999" t="s">
        <v>898</v>
      </c>
      <c r="R471" s="999" t="s">
        <v>899</v>
      </c>
      <c r="S471" s="999" t="s">
        <v>900</v>
      </c>
      <c r="T471" s="999" t="s">
        <v>1628</v>
      </c>
      <c r="U471" s="1000" t="s">
        <v>55</v>
      </c>
      <c r="V471" s="1000" t="s">
        <v>914</v>
      </c>
      <c r="W471" s="1003">
        <v>13785</v>
      </c>
      <c r="X471" s="1000" t="s">
        <v>930</v>
      </c>
      <c r="Y471" s="1000">
        <v>87</v>
      </c>
      <c r="Z471" s="1000" t="s">
        <v>904</v>
      </c>
      <c r="AA471" s="1000" t="s">
        <v>905</v>
      </c>
      <c r="AB471" s="1000" t="s">
        <v>911</v>
      </c>
      <c r="AC471" s="1000" t="s">
        <v>907</v>
      </c>
      <c r="AD471" s="1004">
        <v>5333.97</v>
      </c>
      <c r="AE471" s="1004">
        <f t="shared" si="56"/>
        <v>83121.032500000001</v>
      </c>
      <c r="AF471" s="1004">
        <f t="shared" si="60"/>
        <v>83121.032500000001</v>
      </c>
      <c r="AG471" s="1005">
        <f t="shared" si="55"/>
        <v>15.583333333333332</v>
      </c>
      <c r="AH471" s="1005">
        <f t="shared" si="57"/>
        <v>13.12305434032684</v>
      </c>
    </row>
    <row r="472" spans="1:34" x14ac:dyDescent="0.25">
      <c r="A472" s="999">
        <v>32000</v>
      </c>
      <c r="B472" s="999" t="s">
        <v>1540</v>
      </c>
      <c r="C472" s="999" t="s">
        <v>1541</v>
      </c>
      <c r="D472" s="999" t="s">
        <v>894</v>
      </c>
      <c r="E472" s="999" t="s">
        <v>895</v>
      </c>
      <c r="F472" s="999">
        <v>435740</v>
      </c>
      <c r="G472" s="1000">
        <v>324299400</v>
      </c>
      <c r="H472" s="999" t="s">
        <v>1629</v>
      </c>
      <c r="I472" s="999" t="s">
        <v>897</v>
      </c>
      <c r="J472" s="1001">
        <v>42156</v>
      </c>
      <c r="K472" s="1001">
        <v>45835</v>
      </c>
      <c r="L472" s="1000">
        <f t="shared" si="58"/>
        <v>120</v>
      </c>
      <c r="M472" s="1002">
        <f t="shared" si="59"/>
        <v>10</v>
      </c>
      <c r="N472" s="1000">
        <v>10</v>
      </c>
      <c r="O472" s="1000">
        <v>10</v>
      </c>
      <c r="P472" s="1000">
        <v>43</v>
      </c>
      <c r="Q472" s="999" t="s">
        <v>898</v>
      </c>
      <c r="R472" s="999" t="s">
        <v>899</v>
      </c>
      <c r="S472" s="999" t="s">
        <v>900</v>
      </c>
      <c r="T472" s="999" t="s">
        <v>615</v>
      </c>
      <c r="U472" s="1000" t="s">
        <v>54</v>
      </c>
      <c r="V472" s="1000" t="s">
        <v>910</v>
      </c>
      <c r="W472" s="1003">
        <v>17255</v>
      </c>
      <c r="X472" s="1000" t="s">
        <v>930</v>
      </c>
      <c r="Y472" s="1000">
        <v>78</v>
      </c>
      <c r="Z472" s="1000" t="s">
        <v>904</v>
      </c>
      <c r="AA472" s="1000" t="s">
        <v>905</v>
      </c>
      <c r="AB472" s="1000" t="s">
        <v>925</v>
      </c>
      <c r="AC472" s="1000" t="s">
        <v>907</v>
      </c>
      <c r="AD472" s="1004">
        <v>12850.97</v>
      </c>
      <c r="AE472" s="1004">
        <f t="shared" si="56"/>
        <v>128509.7</v>
      </c>
      <c r="AF472" s="1004">
        <f t="shared" si="60"/>
        <v>128509.7</v>
      </c>
      <c r="AG472" s="1005">
        <f t="shared" si="55"/>
        <v>10</v>
      </c>
      <c r="AH472" s="1005">
        <f t="shared" si="57"/>
        <v>9.2780289033908812</v>
      </c>
    </row>
    <row r="473" spans="1:34" x14ac:dyDescent="0.25">
      <c r="A473" s="999">
        <v>32000</v>
      </c>
      <c r="B473" s="999" t="s">
        <v>1540</v>
      </c>
      <c r="C473" s="999" t="s">
        <v>1541</v>
      </c>
      <c r="D473" s="999" t="s">
        <v>894</v>
      </c>
      <c r="E473" s="999" t="s">
        <v>895</v>
      </c>
      <c r="F473" s="999">
        <v>1670176</v>
      </c>
      <c r="G473" s="1000">
        <v>3922359604</v>
      </c>
      <c r="H473" s="999" t="s">
        <v>1630</v>
      </c>
      <c r="I473" s="999" t="s">
        <v>897</v>
      </c>
      <c r="J473" s="1001">
        <v>39822</v>
      </c>
      <c r="K473" s="1001">
        <v>45835</v>
      </c>
      <c r="L473" s="1000">
        <f t="shared" si="58"/>
        <v>197</v>
      </c>
      <c r="M473" s="1002">
        <f t="shared" si="59"/>
        <v>16.416666666666668</v>
      </c>
      <c r="N473" s="1000">
        <v>16</v>
      </c>
      <c r="O473" s="1000">
        <v>16</v>
      </c>
      <c r="P473" s="1000">
        <v>43</v>
      </c>
      <c r="Q473" s="999" t="s">
        <v>898</v>
      </c>
      <c r="R473" s="999" t="s">
        <v>899</v>
      </c>
      <c r="S473" s="999" t="s">
        <v>900</v>
      </c>
      <c r="T473" s="999" t="s">
        <v>1631</v>
      </c>
      <c r="U473" s="1000" t="s">
        <v>55</v>
      </c>
      <c r="V473" s="1000" t="s">
        <v>914</v>
      </c>
      <c r="W473" s="1003">
        <v>15213</v>
      </c>
      <c r="X473" s="1000" t="s">
        <v>903</v>
      </c>
      <c r="Y473" s="1000">
        <v>83</v>
      </c>
      <c r="Z473" s="1000" t="s">
        <v>904</v>
      </c>
      <c r="AA473" s="1000" t="s">
        <v>905</v>
      </c>
      <c r="AB473" s="1000" t="s">
        <v>911</v>
      </c>
      <c r="AC473" s="1000" t="s">
        <v>907</v>
      </c>
      <c r="AD473" s="1004">
        <v>5333.97</v>
      </c>
      <c r="AE473" s="1004">
        <f t="shared" si="56"/>
        <v>87566.007500000007</v>
      </c>
      <c r="AF473" s="1004">
        <f t="shared" si="60"/>
        <v>87566.007500000007</v>
      </c>
      <c r="AG473" s="1005">
        <f t="shared" si="55"/>
        <v>16.416666666666668</v>
      </c>
      <c r="AH473" s="1005">
        <f t="shared" si="57"/>
        <v>13.824821952109025</v>
      </c>
    </row>
    <row r="474" spans="1:34" x14ac:dyDescent="0.25">
      <c r="A474" s="999">
        <v>32000</v>
      </c>
      <c r="B474" s="999" t="s">
        <v>1540</v>
      </c>
      <c r="C474" s="999" t="s">
        <v>1541</v>
      </c>
      <c r="D474" s="999" t="s">
        <v>894</v>
      </c>
      <c r="E474" s="999" t="s">
        <v>895</v>
      </c>
      <c r="F474" s="999">
        <v>2169970</v>
      </c>
      <c r="G474" s="1000">
        <v>9627618934</v>
      </c>
      <c r="H474" s="999" t="s">
        <v>1632</v>
      </c>
      <c r="I474" s="999" t="s">
        <v>897</v>
      </c>
      <c r="J474" s="1001">
        <v>41903</v>
      </c>
      <c r="K474" s="1001">
        <v>45835</v>
      </c>
      <c r="L474" s="1000">
        <f t="shared" si="58"/>
        <v>129</v>
      </c>
      <c r="M474" s="1002">
        <f t="shared" si="59"/>
        <v>10.75</v>
      </c>
      <c r="N474" s="1000">
        <v>10</v>
      </c>
      <c r="O474" s="1000">
        <v>10</v>
      </c>
      <c r="P474" s="1000">
        <v>43</v>
      </c>
      <c r="Q474" s="999" t="s">
        <v>898</v>
      </c>
      <c r="R474" s="999" t="s">
        <v>899</v>
      </c>
      <c r="S474" s="999" t="s">
        <v>900</v>
      </c>
      <c r="T474" s="999" t="s">
        <v>1363</v>
      </c>
      <c r="U474" s="1000" t="s">
        <v>55</v>
      </c>
      <c r="V474" s="1000" t="s">
        <v>921</v>
      </c>
      <c r="W474" s="1003">
        <v>18046</v>
      </c>
      <c r="X474" s="1000" t="s">
        <v>903</v>
      </c>
      <c r="Y474" s="1000">
        <v>75</v>
      </c>
      <c r="Z474" s="1000" t="s">
        <v>904</v>
      </c>
      <c r="AA474" s="1000" t="s">
        <v>905</v>
      </c>
      <c r="AB474" s="1000" t="s">
        <v>951</v>
      </c>
      <c r="AC474" s="1000" t="s">
        <v>907</v>
      </c>
      <c r="AD474" s="1004">
        <v>4885.1000000000004</v>
      </c>
      <c r="AE474" s="1004">
        <f t="shared" si="56"/>
        <v>52514.825000000004</v>
      </c>
      <c r="AF474" s="1004">
        <f t="shared" si="60"/>
        <v>52514.825000000004</v>
      </c>
      <c r="AG474" s="1005">
        <f t="shared" si="55"/>
        <v>10.75</v>
      </c>
      <c r="AH474" s="1005">
        <f t="shared" si="57"/>
        <v>8.9233530441283921</v>
      </c>
    </row>
    <row r="475" spans="1:34" x14ac:dyDescent="0.25">
      <c r="A475" s="999">
        <v>32000</v>
      </c>
      <c r="B475" s="999" t="s">
        <v>1540</v>
      </c>
      <c r="C475" s="999" t="s">
        <v>1541</v>
      </c>
      <c r="D475" s="999" t="s">
        <v>894</v>
      </c>
      <c r="E475" s="999" t="s">
        <v>895</v>
      </c>
      <c r="F475" s="999">
        <v>1729134</v>
      </c>
      <c r="G475" s="1000">
        <v>24089869749</v>
      </c>
      <c r="H475" s="999" t="s">
        <v>1633</v>
      </c>
      <c r="I475" s="999" t="s">
        <v>897</v>
      </c>
      <c r="J475" s="1001">
        <v>40078</v>
      </c>
      <c r="K475" s="1001">
        <v>45835</v>
      </c>
      <c r="L475" s="1000">
        <f t="shared" si="58"/>
        <v>189</v>
      </c>
      <c r="M475" s="1002">
        <f t="shared" si="59"/>
        <v>15.75</v>
      </c>
      <c r="N475" s="1000">
        <v>15</v>
      </c>
      <c r="O475" s="1000">
        <v>15</v>
      </c>
      <c r="P475" s="1000">
        <v>43</v>
      </c>
      <c r="Q475" s="999" t="s">
        <v>898</v>
      </c>
      <c r="R475" s="999" t="s">
        <v>899</v>
      </c>
      <c r="S475" s="999" t="s">
        <v>900</v>
      </c>
      <c r="T475" s="999" t="s">
        <v>1634</v>
      </c>
      <c r="U475" s="1000" t="s">
        <v>55</v>
      </c>
      <c r="V475" s="1000" t="s">
        <v>914</v>
      </c>
      <c r="W475" s="1003">
        <v>16365</v>
      </c>
      <c r="X475" s="1000" t="s">
        <v>903</v>
      </c>
      <c r="Y475" s="1000">
        <v>80</v>
      </c>
      <c r="Z475" s="1000" t="s">
        <v>904</v>
      </c>
      <c r="AA475" s="1000" t="s">
        <v>905</v>
      </c>
      <c r="AB475" s="1000" t="s">
        <v>911</v>
      </c>
      <c r="AC475" s="1000" t="s">
        <v>907</v>
      </c>
      <c r="AD475" s="1004">
        <v>5333.97</v>
      </c>
      <c r="AE475" s="1004">
        <f t="shared" si="56"/>
        <v>84010.027500000011</v>
      </c>
      <c r="AF475" s="1004">
        <f t="shared" si="60"/>
        <v>84010.027500000011</v>
      </c>
      <c r="AG475" s="1005">
        <f t="shared" si="55"/>
        <v>15.750000000000002</v>
      </c>
      <c r="AH475" s="1005">
        <f t="shared" si="57"/>
        <v>13.263407862683279</v>
      </c>
    </row>
    <row r="476" spans="1:34" x14ac:dyDescent="0.25">
      <c r="A476" s="999">
        <v>32000</v>
      </c>
      <c r="B476" s="999" t="s">
        <v>1540</v>
      </c>
      <c r="C476" s="999" t="s">
        <v>1541</v>
      </c>
      <c r="D476" s="999" t="s">
        <v>894</v>
      </c>
      <c r="E476" s="999" t="s">
        <v>895</v>
      </c>
      <c r="F476" s="999">
        <v>1682425</v>
      </c>
      <c r="G476" s="1000">
        <v>19259700787</v>
      </c>
      <c r="H476" s="999" t="s">
        <v>1635</v>
      </c>
      <c r="I476" s="999" t="s">
        <v>897</v>
      </c>
      <c r="J476" s="1001">
        <v>39848</v>
      </c>
      <c r="K476" s="1001">
        <v>45835</v>
      </c>
      <c r="L476" s="1000">
        <f t="shared" si="58"/>
        <v>196</v>
      </c>
      <c r="M476" s="1002">
        <f t="shared" si="59"/>
        <v>16.333333333333332</v>
      </c>
      <c r="N476" s="1000">
        <v>16</v>
      </c>
      <c r="O476" s="1000">
        <v>16</v>
      </c>
      <c r="P476" s="1000">
        <v>43</v>
      </c>
      <c r="Q476" s="999" t="s">
        <v>898</v>
      </c>
      <c r="R476" s="999" t="s">
        <v>899</v>
      </c>
      <c r="S476" s="999" t="s">
        <v>900</v>
      </c>
      <c r="T476" s="999" t="s">
        <v>1636</v>
      </c>
      <c r="U476" s="1000" t="s">
        <v>54</v>
      </c>
      <c r="V476" s="1000" t="s">
        <v>902</v>
      </c>
      <c r="W476" s="1003">
        <v>18205</v>
      </c>
      <c r="X476" s="1000" t="s">
        <v>903</v>
      </c>
      <c r="Y476" s="1000">
        <v>75</v>
      </c>
      <c r="Z476" s="1000" t="s">
        <v>904</v>
      </c>
      <c r="AA476" s="1000" t="s">
        <v>905</v>
      </c>
      <c r="AB476" s="1000" t="s">
        <v>925</v>
      </c>
      <c r="AC476" s="1000" t="s">
        <v>907</v>
      </c>
      <c r="AD476" s="1004">
        <v>10126.049999999999</v>
      </c>
      <c r="AE476" s="1004">
        <f t="shared" si="56"/>
        <v>165392.14999999997</v>
      </c>
      <c r="AF476" s="1004">
        <f t="shared" si="60"/>
        <v>165392.14999999997</v>
      </c>
      <c r="AG476" s="1005">
        <f t="shared" si="55"/>
        <v>16.333333333333332</v>
      </c>
      <c r="AH476" s="1005">
        <f t="shared" si="57"/>
        <v>14.865307094611293</v>
      </c>
    </row>
    <row r="477" spans="1:34" x14ac:dyDescent="0.25">
      <c r="A477" s="999">
        <v>32000</v>
      </c>
      <c r="B477" s="999" t="s">
        <v>1540</v>
      </c>
      <c r="C477" s="999" t="s">
        <v>1541</v>
      </c>
      <c r="D477" s="999" t="s">
        <v>894</v>
      </c>
      <c r="E477" s="999" t="s">
        <v>895</v>
      </c>
      <c r="F477" s="999">
        <v>1786395</v>
      </c>
      <c r="G477" s="1000">
        <v>26740613753</v>
      </c>
      <c r="H477" s="999" t="s">
        <v>1637</v>
      </c>
      <c r="I477" s="999" t="s">
        <v>897</v>
      </c>
      <c r="J477" s="1001">
        <v>40315</v>
      </c>
      <c r="K477" s="1001">
        <v>45835</v>
      </c>
      <c r="L477" s="1000">
        <f t="shared" si="58"/>
        <v>181</v>
      </c>
      <c r="M477" s="1002">
        <f t="shared" si="59"/>
        <v>15.083333333333334</v>
      </c>
      <c r="N477" s="1000">
        <v>15</v>
      </c>
      <c r="O477" s="1000">
        <v>15</v>
      </c>
      <c r="P477" s="1000">
        <v>43</v>
      </c>
      <c r="Q477" s="999" t="s">
        <v>898</v>
      </c>
      <c r="R477" s="999" t="s">
        <v>899</v>
      </c>
      <c r="S477" s="999" t="s">
        <v>900</v>
      </c>
      <c r="T477" s="999" t="s">
        <v>1361</v>
      </c>
      <c r="U477" s="1000" t="s">
        <v>54</v>
      </c>
      <c r="V477" s="1000" t="s">
        <v>914</v>
      </c>
      <c r="W477" s="1003">
        <v>17177</v>
      </c>
      <c r="X477" s="1000" t="s">
        <v>903</v>
      </c>
      <c r="Y477" s="1000">
        <v>78</v>
      </c>
      <c r="Z477" s="1000" t="s">
        <v>904</v>
      </c>
      <c r="AA477" s="1000" t="s">
        <v>905</v>
      </c>
      <c r="AB477" s="1000" t="s">
        <v>925</v>
      </c>
      <c r="AC477" s="1000" t="s">
        <v>907</v>
      </c>
      <c r="AD477" s="1004">
        <v>10126.049999999999</v>
      </c>
      <c r="AE477" s="1004">
        <f t="shared" si="56"/>
        <v>152734.58749999999</v>
      </c>
      <c r="AF477" s="1004">
        <f t="shared" si="60"/>
        <v>152734.58749999999</v>
      </c>
      <c r="AG477" s="1005">
        <f t="shared" si="55"/>
        <v>15.083333333333334</v>
      </c>
      <c r="AH477" s="1005">
        <f t="shared" si="57"/>
        <v>13.727656041452267</v>
      </c>
    </row>
    <row r="478" spans="1:34" x14ac:dyDescent="0.25">
      <c r="A478" s="999">
        <v>32000</v>
      </c>
      <c r="B478" s="999" t="s">
        <v>1540</v>
      </c>
      <c r="C478" s="999" t="s">
        <v>1541</v>
      </c>
      <c r="D478" s="999" t="s">
        <v>894</v>
      </c>
      <c r="E478" s="999" t="s">
        <v>895</v>
      </c>
      <c r="F478" s="999">
        <v>1669003</v>
      </c>
      <c r="G478" s="1000">
        <v>7647980149</v>
      </c>
      <c r="H478" s="999" t="s">
        <v>1638</v>
      </c>
      <c r="I478" s="999" t="s">
        <v>897</v>
      </c>
      <c r="J478" s="1001">
        <v>39818</v>
      </c>
      <c r="K478" s="1001">
        <v>45835</v>
      </c>
      <c r="L478" s="1000">
        <f t="shared" si="58"/>
        <v>197</v>
      </c>
      <c r="M478" s="1002">
        <f t="shared" si="59"/>
        <v>16.416666666666668</v>
      </c>
      <c r="N478" s="1000">
        <v>16</v>
      </c>
      <c r="O478" s="1000">
        <v>16</v>
      </c>
      <c r="P478" s="1000">
        <v>43</v>
      </c>
      <c r="Q478" s="999" t="s">
        <v>898</v>
      </c>
      <c r="R478" s="999" t="s">
        <v>899</v>
      </c>
      <c r="S478" s="999" t="s">
        <v>900</v>
      </c>
      <c r="T478" s="999" t="s">
        <v>918</v>
      </c>
      <c r="U478" s="1000" t="s">
        <v>55</v>
      </c>
      <c r="V478" s="1000" t="s">
        <v>914</v>
      </c>
      <c r="W478" s="1003">
        <v>16655</v>
      </c>
      <c r="X478" s="1000" t="s">
        <v>903</v>
      </c>
      <c r="Y478" s="1000">
        <v>79</v>
      </c>
      <c r="Z478" s="1000" t="s">
        <v>904</v>
      </c>
      <c r="AA478" s="1000" t="s">
        <v>905</v>
      </c>
      <c r="AB478" s="1000" t="s">
        <v>911</v>
      </c>
      <c r="AC478" s="1000" t="s">
        <v>907</v>
      </c>
      <c r="AD478" s="1004">
        <v>5333.97</v>
      </c>
      <c r="AE478" s="1004">
        <f t="shared" si="56"/>
        <v>87566.007500000007</v>
      </c>
      <c r="AF478" s="1004">
        <f t="shared" si="60"/>
        <v>87566.007500000007</v>
      </c>
      <c r="AG478" s="1005">
        <f t="shared" si="55"/>
        <v>16.416666666666668</v>
      </c>
      <c r="AH478" s="1005">
        <f t="shared" si="57"/>
        <v>13.824821952109025</v>
      </c>
    </row>
    <row r="479" spans="1:34" x14ac:dyDescent="0.25">
      <c r="A479" s="999">
        <v>32000</v>
      </c>
      <c r="B479" s="999" t="s">
        <v>1540</v>
      </c>
      <c r="C479" s="999" t="s">
        <v>1541</v>
      </c>
      <c r="D479" s="999" t="s">
        <v>894</v>
      </c>
      <c r="E479" s="999" t="s">
        <v>895</v>
      </c>
      <c r="F479" s="999">
        <v>1711031</v>
      </c>
      <c r="G479" s="1000">
        <v>19499221700</v>
      </c>
      <c r="H479" s="999" t="s">
        <v>1639</v>
      </c>
      <c r="I479" s="999" t="s">
        <v>897</v>
      </c>
      <c r="J479" s="1001">
        <v>39989</v>
      </c>
      <c r="K479" s="1001">
        <v>45835</v>
      </c>
      <c r="L479" s="1000">
        <f t="shared" si="58"/>
        <v>192</v>
      </c>
      <c r="M479" s="1002">
        <f t="shared" si="59"/>
        <v>16</v>
      </c>
      <c r="N479" s="1000">
        <v>16</v>
      </c>
      <c r="O479" s="1000">
        <v>16</v>
      </c>
      <c r="P479" s="1000">
        <v>43</v>
      </c>
      <c r="Q479" s="999" t="s">
        <v>898</v>
      </c>
      <c r="R479" s="999" t="s">
        <v>899</v>
      </c>
      <c r="S479" s="999" t="s">
        <v>900</v>
      </c>
      <c r="T479" s="999" t="s">
        <v>1640</v>
      </c>
      <c r="U479" s="1000" t="s">
        <v>54</v>
      </c>
      <c r="V479" s="1000" t="s">
        <v>914</v>
      </c>
      <c r="W479" s="1003">
        <v>16839</v>
      </c>
      <c r="X479" s="1000" t="s">
        <v>903</v>
      </c>
      <c r="Y479" s="1000">
        <v>79</v>
      </c>
      <c r="Z479" s="1000" t="s">
        <v>904</v>
      </c>
      <c r="AA479" s="1000" t="s">
        <v>905</v>
      </c>
      <c r="AB479" s="1000" t="s">
        <v>925</v>
      </c>
      <c r="AC479" s="1000" t="s">
        <v>907</v>
      </c>
      <c r="AD479" s="1004">
        <v>10126.049999999999</v>
      </c>
      <c r="AE479" s="1004">
        <f t="shared" si="56"/>
        <v>162016.79999999999</v>
      </c>
      <c r="AF479" s="1004">
        <f t="shared" si="60"/>
        <v>162016.79999999999</v>
      </c>
      <c r="AG479" s="1005">
        <f t="shared" si="55"/>
        <v>16</v>
      </c>
      <c r="AH479" s="1005">
        <f t="shared" si="57"/>
        <v>14.561933480435554</v>
      </c>
    </row>
    <row r="480" spans="1:34" x14ac:dyDescent="0.25">
      <c r="A480" s="999">
        <v>32000</v>
      </c>
      <c r="B480" s="999" t="s">
        <v>1540</v>
      </c>
      <c r="C480" s="999" t="s">
        <v>1541</v>
      </c>
      <c r="D480" s="999" t="s">
        <v>894</v>
      </c>
      <c r="E480" s="999" t="s">
        <v>895</v>
      </c>
      <c r="F480" s="999">
        <v>1701543</v>
      </c>
      <c r="G480" s="1000">
        <v>6306896104</v>
      </c>
      <c r="H480" s="999" t="s">
        <v>1641</v>
      </c>
      <c r="I480" s="999" t="s">
        <v>897</v>
      </c>
      <c r="J480" s="1001">
        <v>39954</v>
      </c>
      <c r="K480" s="1001">
        <v>45835</v>
      </c>
      <c r="L480" s="1000">
        <f t="shared" si="58"/>
        <v>193</v>
      </c>
      <c r="M480" s="1002">
        <f t="shared" si="59"/>
        <v>16.083333333333332</v>
      </c>
      <c r="N480" s="1000">
        <v>16</v>
      </c>
      <c r="O480" s="1000">
        <v>16</v>
      </c>
      <c r="P480" s="1000">
        <v>43</v>
      </c>
      <c r="Q480" s="999" t="s">
        <v>898</v>
      </c>
      <c r="R480" s="999" t="s">
        <v>899</v>
      </c>
      <c r="S480" s="999" t="s">
        <v>900</v>
      </c>
      <c r="T480" s="999" t="s">
        <v>1642</v>
      </c>
      <c r="U480" s="1000" t="s">
        <v>55</v>
      </c>
      <c r="V480" s="1000" t="s">
        <v>914</v>
      </c>
      <c r="W480" s="1003">
        <v>17476</v>
      </c>
      <c r="X480" s="1000" t="s">
        <v>930</v>
      </c>
      <c r="Y480" s="1000">
        <v>77</v>
      </c>
      <c r="Z480" s="1000" t="s">
        <v>904</v>
      </c>
      <c r="AA480" s="1000" t="s">
        <v>905</v>
      </c>
      <c r="AB480" s="1000" t="s">
        <v>911</v>
      </c>
      <c r="AC480" s="1000" t="s">
        <v>907</v>
      </c>
      <c r="AD480" s="1004">
        <v>5333.97</v>
      </c>
      <c r="AE480" s="1004">
        <f t="shared" si="56"/>
        <v>85788.017500000002</v>
      </c>
      <c r="AF480" s="1004">
        <f t="shared" si="60"/>
        <v>85788.017500000002</v>
      </c>
      <c r="AG480" s="1005">
        <f t="shared" si="55"/>
        <v>16.083333333333332</v>
      </c>
      <c r="AH480" s="1005">
        <f t="shared" si="57"/>
        <v>13.544114907396152</v>
      </c>
    </row>
    <row r="481" spans="1:34" x14ac:dyDescent="0.25">
      <c r="A481" s="999">
        <v>32000</v>
      </c>
      <c r="B481" s="999" t="s">
        <v>1540</v>
      </c>
      <c r="C481" s="999" t="s">
        <v>1541</v>
      </c>
      <c r="D481" s="999" t="s">
        <v>894</v>
      </c>
      <c r="E481" s="999" t="s">
        <v>895</v>
      </c>
      <c r="F481" s="999">
        <v>1686953</v>
      </c>
      <c r="G481" s="1000">
        <v>9694935172</v>
      </c>
      <c r="H481" s="999" t="s">
        <v>1643</v>
      </c>
      <c r="I481" s="999" t="s">
        <v>897</v>
      </c>
      <c r="J481" s="1001">
        <v>39885</v>
      </c>
      <c r="K481" s="1001">
        <v>45835</v>
      </c>
      <c r="L481" s="1000">
        <f t="shared" si="58"/>
        <v>195</v>
      </c>
      <c r="M481" s="1002">
        <f t="shared" si="59"/>
        <v>16.25</v>
      </c>
      <c r="N481" s="1000">
        <v>16</v>
      </c>
      <c r="O481" s="1000">
        <v>16</v>
      </c>
      <c r="P481" s="1000">
        <v>43</v>
      </c>
      <c r="Q481" s="999" t="s">
        <v>898</v>
      </c>
      <c r="R481" s="999" t="s">
        <v>899</v>
      </c>
      <c r="S481" s="999" t="s">
        <v>900</v>
      </c>
      <c r="T481" s="999" t="s">
        <v>1389</v>
      </c>
      <c r="U481" s="1000" t="s">
        <v>55</v>
      </c>
      <c r="V481" s="1000" t="s">
        <v>914</v>
      </c>
      <c r="W481" s="1003">
        <v>17736</v>
      </c>
      <c r="X481" s="1000" t="s">
        <v>930</v>
      </c>
      <c r="Y481" s="1000">
        <v>76</v>
      </c>
      <c r="Z481" s="1000" t="s">
        <v>904</v>
      </c>
      <c r="AA481" s="1000" t="s">
        <v>905</v>
      </c>
      <c r="AB481" s="1000" t="s">
        <v>911</v>
      </c>
      <c r="AC481" s="1000" t="s">
        <v>907</v>
      </c>
      <c r="AD481" s="1004">
        <v>5333.97</v>
      </c>
      <c r="AE481" s="1004">
        <f t="shared" si="56"/>
        <v>86677.012499999997</v>
      </c>
      <c r="AF481" s="1004">
        <f t="shared" si="60"/>
        <v>86677.012499999997</v>
      </c>
      <c r="AG481" s="1005">
        <f t="shared" si="55"/>
        <v>16.25</v>
      </c>
      <c r="AH481" s="1005">
        <f t="shared" si="57"/>
        <v>13.684468429752586</v>
      </c>
    </row>
    <row r="482" spans="1:34" x14ac:dyDescent="0.25">
      <c r="A482" s="999">
        <v>32000</v>
      </c>
      <c r="B482" s="999" t="s">
        <v>1540</v>
      </c>
      <c r="C482" s="999" t="s">
        <v>1541</v>
      </c>
      <c r="D482" s="999" t="s">
        <v>894</v>
      </c>
      <c r="E482" s="999" t="s">
        <v>895</v>
      </c>
      <c r="F482" s="999">
        <v>1721800</v>
      </c>
      <c r="G482" s="1000">
        <v>11253258104</v>
      </c>
      <c r="H482" s="999" t="s">
        <v>1644</v>
      </c>
      <c r="I482" s="999" t="s">
        <v>897</v>
      </c>
      <c r="J482" s="1001">
        <v>40057</v>
      </c>
      <c r="K482" s="1001">
        <v>45835</v>
      </c>
      <c r="L482" s="1000">
        <f t="shared" si="58"/>
        <v>189</v>
      </c>
      <c r="M482" s="1002">
        <f t="shared" si="59"/>
        <v>15.75</v>
      </c>
      <c r="N482" s="1000">
        <v>15</v>
      </c>
      <c r="O482" s="1000">
        <v>15</v>
      </c>
      <c r="P482" s="1000">
        <v>43</v>
      </c>
      <c r="Q482" s="999" t="s">
        <v>898</v>
      </c>
      <c r="R482" s="999" t="s">
        <v>899</v>
      </c>
      <c r="S482" s="999" t="s">
        <v>900</v>
      </c>
      <c r="T482" s="999" t="s">
        <v>924</v>
      </c>
      <c r="U482" s="1000" t="s">
        <v>55</v>
      </c>
      <c r="V482" s="1000" t="s">
        <v>914</v>
      </c>
      <c r="W482" s="1003">
        <v>17024</v>
      </c>
      <c r="X482" s="1000" t="s">
        <v>930</v>
      </c>
      <c r="Y482" s="1000">
        <v>78</v>
      </c>
      <c r="Z482" s="1000" t="s">
        <v>904</v>
      </c>
      <c r="AA482" s="1000" t="s">
        <v>905</v>
      </c>
      <c r="AB482" s="1000" t="s">
        <v>911</v>
      </c>
      <c r="AC482" s="1000" t="s">
        <v>907</v>
      </c>
      <c r="AD482" s="1004">
        <v>5333.97</v>
      </c>
      <c r="AE482" s="1004">
        <f t="shared" si="56"/>
        <v>84010.027500000011</v>
      </c>
      <c r="AF482" s="1004">
        <f t="shared" si="60"/>
        <v>84010.027500000011</v>
      </c>
      <c r="AG482" s="1005">
        <f t="shared" si="55"/>
        <v>15.750000000000002</v>
      </c>
      <c r="AH482" s="1005">
        <f t="shared" si="57"/>
        <v>13.263407862683279</v>
      </c>
    </row>
    <row r="483" spans="1:34" x14ac:dyDescent="0.25">
      <c r="A483" s="999">
        <v>32000</v>
      </c>
      <c r="B483" s="999" t="s">
        <v>1540</v>
      </c>
      <c r="C483" s="999" t="s">
        <v>1541</v>
      </c>
      <c r="D483" s="999" t="s">
        <v>894</v>
      </c>
      <c r="E483" s="999" t="s">
        <v>895</v>
      </c>
      <c r="F483" s="999">
        <v>1682935</v>
      </c>
      <c r="G483" s="1000">
        <v>9496866034</v>
      </c>
      <c r="H483" s="999" t="s">
        <v>1645</v>
      </c>
      <c r="I483" s="999" t="s">
        <v>897</v>
      </c>
      <c r="J483" s="1001">
        <v>39860</v>
      </c>
      <c r="K483" s="1001">
        <v>45835</v>
      </c>
      <c r="L483" s="1000">
        <f t="shared" si="58"/>
        <v>196</v>
      </c>
      <c r="M483" s="1002">
        <f t="shared" si="59"/>
        <v>16.333333333333332</v>
      </c>
      <c r="N483" s="1000">
        <v>16</v>
      </c>
      <c r="O483" s="1000">
        <v>16</v>
      </c>
      <c r="P483" s="1000">
        <v>43</v>
      </c>
      <c r="Q483" s="999" t="s">
        <v>898</v>
      </c>
      <c r="R483" s="999" t="s">
        <v>899</v>
      </c>
      <c r="S483" s="999" t="s">
        <v>900</v>
      </c>
      <c r="T483" s="999" t="s">
        <v>1646</v>
      </c>
      <c r="U483" s="1000" t="s">
        <v>55</v>
      </c>
      <c r="V483" s="1000" t="s">
        <v>910</v>
      </c>
      <c r="W483" s="1003">
        <v>16793</v>
      </c>
      <c r="X483" s="1000" t="s">
        <v>930</v>
      </c>
      <c r="Y483" s="1000">
        <v>79</v>
      </c>
      <c r="Z483" s="1000" t="s">
        <v>904</v>
      </c>
      <c r="AA483" s="1000" t="s">
        <v>905</v>
      </c>
      <c r="AB483" s="1000" t="s">
        <v>911</v>
      </c>
      <c r="AC483" s="1000" t="s">
        <v>907</v>
      </c>
      <c r="AD483" s="1004">
        <v>5333.97</v>
      </c>
      <c r="AE483" s="1004">
        <f t="shared" si="56"/>
        <v>87121.51</v>
      </c>
      <c r="AF483" s="1004">
        <f t="shared" si="60"/>
        <v>87121.51</v>
      </c>
      <c r="AG483" s="1005">
        <f t="shared" si="55"/>
        <v>16.333333333333332</v>
      </c>
      <c r="AH483" s="1005">
        <f t="shared" si="57"/>
        <v>13.754645190930805</v>
      </c>
    </row>
    <row r="484" spans="1:34" x14ac:dyDescent="0.25">
      <c r="A484" s="999">
        <v>32000</v>
      </c>
      <c r="B484" s="999" t="s">
        <v>1540</v>
      </c>
      <c r="C484" s="999" t="s">
        <v>1541</v>
      </c>
      <c r="D484" s="999" t="s">
        <v>894</v>
      </c>
      <c r="E484" s="999" t="s">
        <v>895</v>
      </c>
      <c r="F484" s="999">
        <v>1700726</v>
      </c>
      <c r="G484" s="1000">
        <v>39301559820</v>
      </c>
      <c r="H484" s="999" t="s">
        <v>1647</v>
      </c>
      <c r="I484" s="999" t="s">
        <v>897</v>
      </c>
      <c r="J484" s="1001">
        <v>39946</v>
      </c>
      <c r="K484" s="1001">
        <v>45835</v>
      </c>
      <c r="L484" s="1000">
        <f t="shared" si="58"/>
        <v>193</v>
      </c>
      <c r="M484" s="1002">
        <f t="shared" si="59"/>
        <v>16.083333333333332</v>
      </c>
      <c r="N484" s="1000">
        <v>16</v>
      </c>
      <c r="O484" s="1000">
        <v>16</v>
      </c>
      <c r="P484" s="1000">
        <v>43</v>
      </c>
      <c r="Q484" s="999" t="s">
        <v>898</v>
      </c>
      <c r="R484" s="999" t="s">
        <v>899</v>
      </c>
      <c r="S484" s="999" t="s">
        <v>900</v>
      </c>
      <c r="T484" s="999" t="s">
        <v>615</v>
      </c>
      <c r="U484" s="1000" t="s">
        <v>54</v>
      </c>
      <c r="V484" s="1000" t="s">
        <v>914</v>
      </c>
      <c r="W484" s="1003">
        <v>13138</v>
      </c>
      <c r="X484" s="1000" t="s">
        <v>930</v>
      </c>
      <c r="Y484" s="1000">
        <v>89</v>
      </c>
      <c r="Z484" s="1000" t="s">
        <v>904</v>
      </c>
      <c r="AA484" s="1000" t="s">
        <v>905</v>
      </c>
      <c r="AB484" s="1000" t="s">
        <v>925</v>
      </c>
      <c r="AC484" s="1000" t="s">
        <v>907</v>
      </c>
      <c r="AD484" s="1004">
        <v>10126.049999999999</v>
      </c>
      <c r="AE484" s="1004">
        <f t="shared" si="56"/>
        <v>162860.63749999998</v>
      </c>
      <c r="AF484" s="1004">
        <f t="shared" si="60"/>
        <v>162860.63749999998</v>
      </c>
      <c r="AG484" s="1005">
        <f t="shared" si="55"/>
        <v>16.083333333333332</v>
      </c>
      <c r="AH484" s="1005">
        <f t="shared" si="57"/>
        <v>14.637776883979489</v>
      </c>
    </row>
    <row r="485" spans="1:34" x14ac:dyDescent="0.25">
      <c r="A485" s="999">
        <v>32000</v>
      </c>
      <c r="B485" s="999" t="s">
        <v>1540</v>
      </c>
      <c r="C485" s="999" t="s">
        <v>1541</v>
      </c>
      <c r="D485" s="999" t="s">
        <v>894</v>
      </c>
      <c r="E485" s="999" t="s">
        <v>895</v>
      </c>
      <c r="F485" s="999">
        <v>1741661</v>
      </c>
      <c r="G485" s="1000">
        <v>30894298704</v>
      </c>
      <c r="H485" s="999" t="s">
        <v>1648</v>
      </c>
      <c r="I485" s="999" t="s">
        <v>897</v>
      </c>
      <c r="J485" s="1001">
        <v>40135</v>
      </c>
      <c r="K485" s="1001">
        <v>45835</v>
      </c>
      <c r="L485" s="1000">
        <f t="shared" si="58"/>
        <v>187</v>
      </c>
      <c r="M485" s="1002">
        <f t="shared" si="59"/>
        <v>15.583333333333334</v>
      </c>
      <c r="N485" s="1000">
        <v>15</v>
      </c>
      <c r="O485" s="1000">
        <v>15</v>
      </c>
      <c r="P485" s="1000">
        <v>43</v>
      </c>
      <c r="Q485" s="999" t="s">
        <v>898</v>
      </c>
      <c r="R485" s="999" t="s">
        <v>899</v>
      </c>
      <c r="S485" s="999" t="s">
        <v>900</v>
      </c>
      <c r="T485" s="999" t="s">
        <v>1649</v>
      </c>
      <c r="U485" s="1000" t="s">
        <v>55</v>
      </c>
      <c r="V485" s="1000" t="s">
        <v>910</v>
      </c>
      <c r="W485" s="1003">
        <v>17708</v>
      </c>
      <c r="X485" s="1000" t="s">
        <v>930</v>
      </c>
      <c r="Y485" s="1000">
        <v>76</v>
      </c>
      <c r="Z485" s="1000" t="s">
        <v>904</v>
      </c>
      <c r="AA485" s="1000" t="s">
        <v>905</v>
      </c>
      <c r="AB485" s="1000" t="s">
        <v>911</v>
      </c>
      <c r="AC485" s="1000" t="s">
        <v>907</v>
      </c>
      <c r="AD485" s="1004">
        <v>5333.97</v>
      </c>
      <c r="AE485" s="1004">
        <f t="shared" si="56"/>
        <v>83121.032500000001</v>
      </c>
      <c r="AF485" s="1004">
        <f t="shared" si="60"/>
        <v>83121.032500000001</v>
      </c>
      <c r="AG485" s="1005">
        <f t="shared" si="55"/>
        <v>15.583333333333332</v>
      </c>
      <c r="AH485" s="1005">
        <f t="shared" si="57"/>
        <v>13.12305434032684</v>
      </c>
    </row>
    <row r="486" spans="1:34" x14ac:dyDescent="0.25">
      <c r="A486" s="999">
        <v>32000</v>
      </c>
      <c r="B486" s="999" t="s">
        <v>1540</v>
      </c>
      <c r="C486" s="999" t="s">
        <v>1541</v>
      </c>
      <c r="D486" s="999" t="s">
        <v>894</v>
      </c>
      <c r="E486" s="999" t="s">
        <v>895</v>
      </c>
      <c r="F486" s="999">
        <v>1720315</v>
      </c>
      <c r="G486" s="1000">
        <v>4765060772</v>
      </c>
      <c r="H486" s="999" t="s">
        <v>1650</v>
      </c>
      <c r="I486" s="999" t="s">
        <v>897</v>
      </c>
      <c r="J486" s="1001">
        <v>40038</v>
      </c>
      <c r="K486" s="1001">
        <v>45835</v>
      </c>
      <c r="L486" s="1000">
        <f t="shared" si="58"/>
        <v>190</v>
      </c>
      <c r="M486" s="1002">
        <f t="shared" si="59"/>
        <v>15.833333333333334</v>
      </c>
      <c r="N486" s="1000">
        <v>15</v>
      </c>
      <c r="O486" s="1000">
        <v>15</v>
      </c>
      <c r="P486" s="1000">
        <v>43</v>
      </c>
      <c r="Q486" s="999" t="s">
        <v>898</v>
      </c>
      <c r="R486" s="999" t="s">
        <v>899</v>
      </c>
      <c r="S486" s="999" t="s">
        <v>900</v>
      </c>
      <c r="T486" s="999" t="s">
        <v>1363</v>
      </c>
      <c r="U486" s="1000" t="s">
        <v>55</v>
      </c>
      <c r="V486" s="1000" t="s">
        <v>914</v>
      </c>
      <c r="W486" s="1003">
        <v>15181</v>
      </c>
      <c r="X486" s="1000" t="s">
        <v>903</v>
      </c>
      <c r="Y486" s="1000">
        <v>83</v>
      </c>
      <c r="Z486" s="1000" t="s">
        <v>904</v>
      </c>
      <c r="AA486" s="1000" t="s">
        <v>905</v>
      </c>
      <c r="AB486" s="1000" t="s">
        <v>911</v>
      </c>
      <c r="AC486" s="1000" t="s">
        <v>907</v>
      </c>
      <c r="AD486" s="1004">
        <v>5333.97</v>
      </c>
      <c r="AE486" s="1004">
        <f t="shared" si="56"/>
        <v>84454.525000000009</v>
      </c>
      <c r="AF486" s="1004">
        <f t="shared" si="60"/>
        <v>84454.525000000009</v>
      </c>
      <c r="AG486" s="1005">
        <f t="shared" si="55"/>
        <v>15.833333333333334</v>
      </c>
      <c r="AH486" s="1005">
        <f t="shared" si="57"/>
        <v>13.333584623861498</v>
      </c>
    </row>
    <row r="487" spans="1:34" x14ac:dyDescent="0.25">
      <c r="A487" s="999">
        <v>32000</v>
      </c>
      <c r="B487" s="999" t="s">
        <v>1540</v>
      </c>
      <c r="C487" s="999" t="s">
        <v>1541</v>
      </c>
      <c r="D487" s="999" t="s">
        <v>894</v>
      </c>
      <c r="E487" s="999" t="s">
        <v>895</v>
      </c>
      <c r="F487" s="999">
        <v>1782722</v>
      </c>
      <c r="G487" s="1000">
        <v>4591879704</v>
      </c>
      <c r="H487" s="999" t="s">
        <v>1651</v>
      </c>
      <c r="I487" s="999" t="s">
        <v>897</v>
      </c>
      <c r="J487" s="1001">
        <v>40298</v>
      </c>
      <c r="K487" s="1001">
        <v>45835</v>
      </c>
      <c r="L487" s="1000">
        <f t="shared" si="58"/>
        <v>181</v>
      </c>
      <c r="M487" s="1002">
        <f t="shared" si="59"/>
        <v>15.083333333333334</v>
      </c>
      <c r="N487" s="1000">
        <v>15</v>
      </c>
      <c r="O487" s="1000">
        <v>15</v>
      </c>
      <c r="P487" s="1000">
        <v>43</v>
      </c>
      <c r="Q487" s="999" t="s">
        <v>898</v>
      </c>
      <c r="R487" s="999" t="s">
        <v>899</v>
      </c>
      <c r="S487" s="999" t="s">
        <v>900</v>
      </c>
      <c r="T487" s="999" t="s">
        <v>1652</v>
      </c>
      <c r="U487" s="1000" t="s">
        <v>55</v>
      </c>
      <c r="V487" s="1000" t="s">
        <v>914</v>
      </c>
      <c r="W487" s="1003">
        <v>16205</v>
      </c>
      <c r="X487" s="1000" t="s">
        <v>903</v>
      </c>
      <c r="Y487" s="1000">
        <v>80</v>
      </c>
      <c r="Z487" s="1000" t="s">
        <v>904</v>
      </c>
      <c r="AA487" s="1000" t="s">
        <v>905</v>
      </c>
      <c r="AB487" s="1000" t="s">
        <v>911</v>
      </c>
      <c r="AC487" s="1000" t="s">
        <v>907</v>
      </c>
      <c r="AD487" s="1004">
        <v>5333.97</v>
      </c>
      <c r="AE487" s="1004">
        <f t="shared" si="56"/>
        <v>80454.047500000001</v>
      </c>
      <c r="AF487" s="1004">
        <f t="shared" si="60"/>
        <v>80454.047500000001</v>
      </c>
      <c r="AG487" s="1005">
        <f t="shared" si="55"/>
        <v>15.083333333333332</v>
      </c>
      <c r="AH487" s="1005">
        <f t="shared" si="57"/>
        <v>12.701993773257531</v>
      </c>
    </row>
    <row r="488" spans="1:34" x14ac:dyDescent="0.25">
      <c r="A488" s="999">
        <v>32000</v>
      </c>
      <c r="B488" s="999" t="s">
        <v>1540</v>
      </c>
      <c r="C488" s="999" t="s">
        <v>1541</v>
      </c>
      <c r="D488" s="999" t="s">
        <v>894</v>
      </c>
      <c r="E488" s="999" t="s">
        <v>895</v>
      </c>
      <c r="F488" s="999">
        <v>1702372</v>
      </c>
      <c r="G488" s="1000">
        <v>27362094787</v>
      </c>
      <c r="H488" s="999" t="s">
        <v>1653</v>
      </c>
      <c r="I488" s="999" t="s">
        <v>897</v>
      </c>
      <c r="J488" s="1001">
        <v>39952</v>
      </c>
      <c r="K488" s="1001">
        <v>45835</v>
      </c>
      <c r="L488" s="1000">
        <f t="shared" si="58"/>
        <v>193</v>
      </c>
      <c r="M488" s="1002">
        <f t="shared" si="59"/>
        <v>16.083333333333332</v>
      </c>
      <c r="N488" s="1000">
        <v>16</v>
      </c>
      <c r="O488" s="1000">
        <v>16</v>
      </c>
      <c r="P488" s="1000">
        <v>43</v>
      </c>
      <c r="Q488" s="999" t="s">
        <v>898</v>
      </c>
      <c r="R488" s="999" t="s">
        <v>899</v>
      </c>
      <c r="S488" s="999" t="s">
        <v>900</v>
      </c>
      <c r="T488" s="999" t="s">
        <v>1634</v>
      </c>
      <c r="U488" s="1000" t="s">
        <v>55</v>
      </c>
      <c r="V488" s="1000" t="s">
        <v>910</v>
      </c>
      <c r="W488" s="1003">
        <v>18051</v>
      </c>
      <c r="X488" s="1000" t="s">
        <v>930</v>
      </c>
      <c r="Y488" s="1000">
        <v>75</v>
      </c>
      <c r="Z488" s="1000" t="s">
        <v>904</v>
      </c>
      <c r="AA488" s="1000" t="s">
        <v>905</v>
      </c>
      <c r="AB488" s="1000" t="s">
        <v>911</v>
      </c>
      <c r="AC488" s="1000" t="s">
        <v>907</v>
      </c>
      <c r="AD488" s="1004">
        <v>5333.97</v>
      </c>
      <c r="AE488" s="1004">
        <f t="shared" si="56"/>
        <v>85788.017500000002</v>
      </c>
      <c r="AF488" s="1004">
        <f t="shared" si="60"/>
        <v>85788.017500000002</v>
      </c>
      <c r="AG488" s="1005">
        <f t="shared" si="55"/>
        <v>16.083333333333332</v>
      </c>
      <c r="AH488" s="1005">
        <f t="shared" si="57"/>
        <v>13.544114907396152</v>
      </c>
    </row>
    <row r="489" spans="1:34" x14ac:dyDescent="0.25">
      <c r="A489" s="999">
        <v>32000</v>
      </c>
      <c r="B489" s="999" t="s">
        <v>1540</v>
      </c>
      <c r="C489" s="999" t="s">
        <v>1541</v>
      </c>
      <c r="D489" s="999" t="s">
        <v>894</v>
      </c>
      <c r="E489" s="999" t="s">
        <v>895</v>
      </c>
      <c r="F489" s="999">
        <v>2234227</v>
      </c>
      <c r="G489" s="1000">
        <v>31291600</v>
      </c>
      <c r="H489" s="999" t="s">
        <v>1654</v>
      </c>
      <c r="I489" s="999" t="s">
        <v>897</v>
      </c>
      <c r="J489" s="1001">
        <v>42165</v>
      </c>
      <c r="K489" s="1001">
        <v>45835</v>
      </c>
      <c r="L489" s="1000">
        <f t="shared" si="58"/>
        <v>120</v>
      </c>
      <c r="M489" s="1002">
        <f t="shared" si="59"/>
        <v>10</v>
      </c>
      <c r="N489" s="1000">
        <v>10</v>
      </c>
      <c r="O489" s="1000">
        <v>10</v>
      </c>
      <c r="P489" s="1000">
        <v>43</v>
      </c>
      <c r="Q489" s="999" t="s">
        <v>898</v>
      </c>
      <c r="R489" s="999" t="s">
        <v>899</v>
      </c>
      <c r="S489" s="999" t="s">
        <v>900</v>
      </c>
      <c r="T489" s="999" t="s">
        <v>1202</v>
      </c>
      <c r="U489" s="1000" t="s">
        <v>54</v>
      </c>
      <c r="V489" s="1000" t="s">
        <v>910</v>
      </c>
      <c r="W489" s="1003">
        <v>15467</v>
      </c>
      <c r="X489" s="1000" t="s">
        <v>903</v>
      </c>
      <c r="Y489" s="1000">
        <v>82</v>
      </c>
      <c r="Z489" s="1000" t="s">
        <v>904</v>
      </c>
      <c r="AA489" s="1000" t="s">
        <v>905</v>
      </c>
      <c r="AB489" s="1000" t="s">
        <v>925</v>
      </c>
      <c r="AC489" s="1000" t="s">
        <v>907</v>
      </c>
      <c r="AD489" s="1004">
        <v>17470.98</v>
      </c>
      <c r="AE489" s="1004">
        <f t="shared" si="56"/>
        <v>174709.8</v>
      </c>
      <c r="AF489" s="1004">
        <f t="shared" si="60"/>
        <v>174709.8</v>
      </c>
      <c r="AG489" s="1005">
        <f t="shared" si="55"/>
        <v>10</v>
      </c>
      <c r="AH489" s="1005">
        <f t="shared" si="57"/>
        <v>9.4586102090955642</v>
      </c>
    </row>
    <row r="490" spans="1:34" x14ac:dyDescent="0.25">
      <c r="A490" s="999">
        <v>32000</v>
      </c>
      <c r="B490" s="999" t="s">
        <v>1540</v>
      </c>
      <c r="C490" s="999" t="s">
        <v>1541</v>
      </c>
      <c r="D490" s="999" t="s">
        <v>894</v>
      </c>
      <c r="E490" s="999" t="s">
        <v>895</v>
      </c>
      <c r="F490" s="999">
        <v>1905845</v>
      </c>
      <c r="G490" s="1000">
        <v>24508780920</v>
      </c>
      <c r="H490" s="999" t="s">
        <v>1655</v>
      </c>
      <c r="I490" s="999" t="s">
        <v>897</v>
      </c>
      <c r="J490" s="1001">
        <v>40885</v>
      </c>
      <c r="K490" s="1001">
        <v>45835</v>
      </c>
      <c r="L490" s="1000">
        <f t="shared" si="58"/>
        <v>162</v>
      </c>
      <c r="M490" s="1002">
        <f t="shared" si="59"/>
        <v>13.5</v>
      </c>
      <c r="N490" s="1000">
        <v>13</v>
      </c>
      <c r="O490" s="1000">
        <v>13</v>
      </c>
      <c r="P490" s="1000">
        <v>43</v>
      </c>
      <c r="Q490" s="999" t="s">
        <v>898</v>
      </c>
      <c r="R490" s="999" t="s">
        <v>899</v>
      </c>
      <c r="S490" s="999" t="s">
        <v>900</v>
      </c>
      <c r="T490" s="999" t="s">
        <v>1593</v>
      </c>
      <c r="U490" s="1000" t="s">
        <v>55</v>
      </c>
      <c r="V490" s="1000" t="s">
        <v>914</v>
      </c>
      <c r="W490" s="1003">
        <v>18209</v>
      </c>
      <c r="X490" s="1000" t="s">
        <v>903</v>
      </c>
      <c r="Y490" s="1000">
        <v>75</v>
      </c>
      <c r="Z490" s="1000" t="s">
        <v>904</v>
      </c>
      <c r="AA490" s="1000" t="s">
        <v>905</v>
      </c>
      <c r="AB490" s="1000" t="s">
        <v>911</v>
      </c>
      <c r="AC490" s="1000" t="s">
        <v>907</v>
      </c>
      <c r="AD490" s="1004">
        <v>5333.97</v>
      </c>
      <c r="AE490" s="1004">
        <f t="shared" si="56"/>
        <v>72008.595000000001</v>
      </c>
      <c r="AF490" s="1004">
        <f t="shared" si="60"/>
        <v>72008.595000000001</v>
      </c>
      <c r="AG490" s="1005">
        <f t="shared" si="55"/>
        <v>13.5</v>
      </c>
      <c r="AH490" s="1005">
        <f t="shared" si="57"/>
        <v>11.368635310871381</v>
      </c>
    </row>
    <row r="491" spans="1:34" x14ac:dyDescent="0.25">
      <c r="A491" s="999">
        <v>32000</v>
      </c>
      <c r="B491" s="999" t="s">
        <v>1540</v>
      </c>
      <c r="C491" s="999" t="s">
        <v>1541</v>
      </c>
      <c r="D491" s="999" t="s">
        <v>894</v>
      </c>
      <c r="E491" s="999" t="s">
        <v>895</v>
      </c>
      <c r="F491" s="999">
        <v>1842501</v>
      </c>
      <c r="G491" s="1000">
        <v>2220733734</v>
      </c>
      <c r="H491" s="999" t="s">
        <v>1656</v>
      </c>
      <c r="I491" s="999" t="s">
        <v>897</v>
      </c>
      <c r="J491" s="1001">
        <v>40582</v>
      </c>
      <c r="K491" s="1001">
        <v>45835</v>
      </c>
      <c r="L491" s="1000">
        <f t="shared" si="58"/>
        <v>172</v>
      </c>
      <c r="M491" s="1002">
        <f t="shared" si="59"/>
        <v>14.333333333333334</v>
      </c>
      <c r="N491" s="1000">
        <v>14</v>
      </c>
      <c r="O491" s="1000">
        <v>14</v>
      </c>
      <c r="P491" s="1000">
        <v>43</v>
      </c>
      <c r="Q491" s="999" t="s">
        <v>898</v>
      </c>
      <c r="R491" s="999" t="s">
        <v>899</v>
      </c>
      <c r="S491" s="999" t="s">
        <v>900</v>
      </c>
      <c r="T491" s="999" t="s">
        <v>1202</v>
      </c>
      <c r="U491" s="1000" t="s">
        <v>54</v>
      </c>
      <c r="V491" s="1000" t="s">
        <v>914</v>
      </c>
      <c r="W491" s="1003">
        <v>15850</v>
      </c>
      <c r="X491" s="1000" t="s">
        <v>903</v>
      </c>
      <c r="Y491" s="1000">
        <v>81</v>
      </c>
      <c r="Z491" s="1000" t="s">
        <v>904</v>
      </c>
      <c r="AA491" s="1000" t="s">
        <v>905</v>
      </c>
      <c r="AB491" s="1000" t="s">
        <v>925</v>
      </c>
      <c r="AC491" s="1000" t="s">
        <v>907</v>
      </c>
      <c r="AD491" s="1004">
        <v>14733.78</v>
      </c>
      <c r="AE491" s="1004">
        <f t="shared" si="56"/>
        <v>211184.18000000002</v>
      </c>
      <c r="AF491" s="1004">
        <f t="shared" si="60"/>
        <v>211184.18000000002</v>
      </c>
      <c r="AG491" s="1005">
        <f t="shared" si="55"/>
        <v>14.333333333333334</v>
      </c>
      <c r="AH491" s="1005">
        <f t="shared" si="57"/>
        <v>13.422342247063325</v>
      </c>
    </row>
    <row r="492" spans="1:34" x14ac:dyDescent="0.25">
      <c r="A492" s="999">
        <v>32000</v>
      </c>
      <c r="B492" s="999" t="s">
        <v>1540</v>
      </c>
      <c r="C492" s="999" t="s">
        <v>1541</v>
      </c>
      <c r="D492" s="999" t="s">
        <v>894</v>
      </c>
      <c r="E492" s="999" t="s">
        <v>895</v>
      </c>
      <c r="F492" s="999">
        <v>1775994</v>
      </c>
      <c r="G492" s="1000">
        <v>15930793700</v>
      </c>
      <c r="H492" s="999" t="s">
        <v>1657</v>
      </c>
      <c r="I492" s="999" t="s">
        <v>897</v>
      </c>
      <c r="J492" s="1001">
        <v>40282</v>
      </c>
      <c r="K492" s="1001">
        <v>45835</v>
      </c>
      <c r="L492" s="1000">
        <f t="shared" si="58"/>
        <v>182</v>
      </c>
      <c r="M492" s="1002">
        <f t="shared" si="59"/>
        <v>15.166666666666666</v>
      </c>
      <c r="N492" s="1000">
        <v>15</v>
      </c>
      <c r="O492" s="1000">
        <v>15</v>
      </c>
      <c r="P492" s="1000">
        <v>43</v>
      </c>
      <c r="Q492" s="999" t="s">
        <v>898</v>
      </c>
      <c r="R492" s="999" t="s">
        <v>899</v>
      </c>
      <c r="S492" s="999" t="s">
        <v>900</v>
      </c>
      <c r="T492" s="999" t="s">
        <v>1361</v>
      </c>
      <c r="U492" s="1000" t="s">
        <v>54</v>
      </c>
      <c r="V492" s="1000" t="s">
        <v>914</v>
      </c>
      <c r="W492" s="1003">
        <v>16417</v>
      </c>
      <c r="X492" s="1000" t="s">
        <v>903</v>
      </c>
      <c r="Y492" s="1000">
        <v>80</v>
      </c>
      <c r="Z492" s="1000" t="s">
        <v>904</v>
      </c>
      <c r="AA492" s="1000" t="s">
        <v>905</v>
      </c>
      <c r="AB492" s="1000" t="s">
        <v>925</v>
      </c>
      <c r="AC492" s="1000" t="s">
        <v>907</v>
      </c>
      <c r="AD492" s="1004">
        <v>10126.049999999999</v>
      </c>
      <c r="AE492" s="1004">
        <f t="shared" si="56"/>
        <v>153578.42499999999</v>
      </c>
      <c r="AF492" s="1004">
        <f t="shared" si="60"/>
        <v>153578.42499999999</v>
      </c>
      <c r="AG492" s="1005">
        <f t="shared" si="55"/>
        <v>15.166666666666666</v>
      </c>
      <c r="AH492" s="1005">
        <f t="shared" si="57"/>
        <v>13.803499444996202</v>
      </c>
    </row>
    <row r="493" spans="1:34" x14ac:dyDescent="0.25">
      <c r="A493" s="999">
        <v>32000</v>
      </c>
      <c r="B493" s="999" t="s">
        <v>1540</v>
      </c>
      <c r="C493" s="999" t="s">
        <v>1541</v>
      </c>
      <c r="D493" s="999" t="s">
        <v>894</v>
      </c>
      <c r="E493" s="999" t="s">
        <v>895</v>
      </c>
      <c r="F493" s="999">
        <v>1825278</v>
      </c>
      <c r="G493" s="1000">
        <v>11466936134</v>
      </c>
      <c r="H493" s="999" t="s">
        <v>1658</v>
      </c>
      <c r="I493" s="999" t="s">
        <v>897</v>
      </c>
      <c r="J493" s="1001">
        <v>40480</v>
      </c>
      <c r="K493" s="1001">
        <v>45835</v>
      </c>
      <c r="L493" s="1000">
        <f t="shared" si="58"/>
        <v>175</v>
      </c>
      <c r="M493" s="1002">
        <f t="shared" si="59"/>
        <v>14.583333333333334</v>
      </c>
      <c r="N493" s="1000">
        <v>14</v>
      </c>
      <c r="O493" s="1000">
        <v>14</v>
      </c>
      <c r="P493" s="1000">
        <v>43</v>
      </c>
      <c r="Q493" s="999" t="s">
        <v>898</v>
      </c>
      <c r="R493" s="999" t="s">
        <v>899</v>
      </c>
      <c r="S493" s="999" t="s">
        <v>900</v>
      </c>
      <c r="T493" s="999" t="s">
        <v>1659</v>
      </c>
      <c r="U493" s="1000" t="s">
        <v>55</v>
      </c>
      <c r="V493" s="1000" t="s">
        <v>914</v>
      </c>
      <c r="W493" s="1003">
        <v>16888</v>
      </c>
      <c r="X493" s="1000" t="s">
        <v>903</v>
      </c>
      <c r="Y493" s="1000">
        <v>79</v>
      </c>
      <c r="Z493" s="1000" t="s">
        <v>904</v>
      </c>
      <c r="AA493" s="1000" t="s">
        <v>905</v>
      </c>
      <c r="AB493" s="1000" t="s">
        <v>911</v>
      </c>
      <c r="AC493" s="1000" t="s">
        <v>907</v>
      </c>
      <c r="AD493" s="1004">
        <v>5333.97</v>
      </c>
      <c r="AE493" s="1004">
        <f t="shared" si="56"/>
        <v>77787.0625</v>
      </c>
      <c r="AF493" s="1004">
        <f t="shared" si="60"/>
        <v>77787.0625</v>
      </c>
      <c r="AG493" s="1005">
        <f t="shared" si="55"/>
        <v>14.583333333333332</v>
      </c>
      <c r="AH493" s="1005">
        <f t="shared" si="57"/>
        <v>12.280933206188219</v>
      </c>
    </row>
    <row r="494" spans="1:34" x14ac:dyDescent="0.25">
      <c r="A494" s="999">
        <v>32000</v>
      </c>
      <c r="B494" s="999" t="s">
        <v>1540</v>
      </c>
      <c r="C494" s="999" t="s">
        <v>1541</v>
      </c>
      <c r="D494" s="999" t="s">
        <v>894</v>
      </c>
      <c r="E494" s="999" t="s">
        <v>895</v>
      </c>
      <c r="F494" s="999">
        <v>1683028</v>
      </c>
      <c r="G494" s="1000">
        <v>4522796749</v>
      </c>
      <c r="H494" s="999" t="s">
        <v>1660</v>
      </c>
      <c r="I494" s="999" t="s">
        <v>897</v>
      </c>
      <c r="J494" s="1001">
        <v>39848</v>
      </c>
      <c r="K494" s="1001">
        <v>45835</v>
      </c>
      <c r="L494" s="1000">
        <f t="shared" si="58"/>
        <v>196</v>
      </c>
      <c r="M494" s="1002">
        <f t="shared" si="59"/>
        <v>16.333333333333332</v>
      </c>
      <c r="N494" s="1000">
        <v>16</v>
      </c>
      <c r="O494" s="1000">
        <v>16</v>
      </c>
      <c r="P494" s="1000">
        <v>43</v>
      </c>
      <c r="Q494" s="999" t="s">
        <v>898</v>
      </c>
      <c r="R494" s="999" t="s">
        <v>899</v>
      </c>
      <c r="S494" s="999" t="s">
        <v>900</v>
      </c>
      <c r="T494" s="999" t="s">
        <v>1363</v>
      </c>
      <c r="U494" s="1000" t="s">
        <v>55</v>
      </c>
      <c r="V494" s="1000" t="s">
        <v>914</v>
      </c>
      <c r="W494" s="1003">
        <v>16143</v>
      </c>
      <c r="X494" s="1000" t="s">
        <v>903</v>
      </c>
      <c r="Y494" s="1000">
        <v>81</v>
      </c>
      <c r="Z494" s="1000" t="s">
        <v>904</v>
      </c>
      <c r="AA494" s="1000" t="s">
        <v>905</v>
      </c>
      <c r="AB494" s="1000" t="s">
        <v>911</v>
      </c>
      <c r="AC494" s="1000" t="s">
        <v>907</v>
      </c>
      <c r="AD494" s="1004">
        <v>5333.97</v>
      </c>
      <c r="AE494" s="1004">
        <f t="shared" si="56"/>
        <v>87121.51</v>
      </c>
      <c r="AF494" s="1004">
        <f t="shared" si="60"/>
        <v>87121.51</v>
      </c>
      <c r="AG494" s="1005">
        <f t="shared" si="55"/>
        <v>16.333333333333332</v>
      </c>
      <c r="AH494" s="1005">
        <f t="shared" si="57"/>
        <v>13.754645190930805</v>
      </c>
    </row>
    <row r="495" spans="1:34" x14ac:dyDescent="0.25">
      <c r="A495" s="999">
        <v>32000</v>
      </c>
      <c r="B495" s="999" t="s">
        <v>1540</v>
      </c>
      <c r="C495" s="999" t="s">
        <v>1541</v>
      </c>
      <c r="D495" s="999" t="s">
        <v>894</v>
      </c>
      <c r="E495" s="999" t="s">
        <v>895</v>
      </c>
      <c r="F495" s="999">
        <v>1243779</v>
      </c>
      <c r="G495" s="1000">
        <v>163520178</v>
      </c>
      <c r="H495" s="999" t="s">
        <v>1661</v>
      </c>
      <c r="I495" s="999" t="s">
        <v>897</v>
      </c>
      <c r="J495" s="1001">
        <v>39897</v>
      </c>
      <c r="K495" s="1001">
        <v>45835</v>
      </c>
      <c r="L495" s="1000">
        <f t="shared" si="58"/>
        <v>195</v>
      </c>
      <c r="M495" s="1002">
        <f t="shared" si="59"/>
        <v>16.25</v>
      </c>
      <c r="N495" s="1000">
        <v>16</v>
      </c>
      <c r="O495" s="1000">
        <v>16</v>
      </c>
      <c r="P495" s="1000">
        <v>43</v>
      </c>
      <c r="Q495" s="999" t="s">
        <v>898</v>
      </c>
      <c r="R495" s="999" t="s">
        <v>899</v>
      </c>
      <c r="S495" s="999" t="s">
        <v>900</v>
      </c>
      <c r="T495" s="999" t="s">
        <v>1662</v>
      </c>
      <c r="U495" s="1000" t="s">
        <v>54</v>
      </c>
      <c r="V495" s="1000" t="s">
        <v>914</v>
      </c>
      <c r="W495" s="1003">
        <v>16624</v>
      </c>
      <c r="X495" s="1000" t="s">
        <v>903</v>
      </c>
      <c r="Y495" s="1000">
        <v>79</v>
      </c>
      <c r="Z495" s="1000" t="s">
        <v>904</v>
      </c>
      <c r="AA495" s="1000" t="s">
        <v>905</v>
      </c>
      <c r="AB495" s="1000" t="s">
        <v>925</v>
      </c>
      <c r="AC495" s="1000" t="s">
        <v>907</v>
      </c>
      <c r="AD495" s="1004">
        <v>10126.049999999999</v>
      </c>
      <c r="AE495" s="1004">
        <f t="shared" si="56"/>
        <v>164548.3125</v>
      </c>
      <c r="AF495" s="1004">
        <f t="shared" si="60"/>
        <v>164548.3125</v>
      </c>
      <c r="AG495" s="1005">
        <f t="shared" si="55"/>
        <v>16.25</v>
      </c>
      <c r="AH495" s="1005">
        <f t="shared" si="57"/>
        <v>14.789463691067361</v>
      </c>
    </row>
    <row r="496" spans="1:34" x14ac:dyDescent="0.25">
      <c r="A496" s="999">
        <v>32000</v>
      </c>
      <c r="B496" s="999" t="s">
        <v>1540</v>
      </c>
      <c r="C496" s="999" t="s">
        <v>1541</v>
      </c>
      <c r="D496" s="999" t="s">
        <v>894</v>
      </c>
      <c r="E496" s="999" t="s">
        <v>895</v>
      </c>
      <c r="F496" s="999">
        <v>1702890</v>
      </c>
      <c r="G496" s="1000">
        <v>4492552715</v>
      </c>
      <c r="H496" s="999" t="s">
        <v>1663</v>
      </c>
      <c r="I496" s="999" t="s">
        <v>897</v>
      </c>
      <c r="J496" s="1001">
        <v>39952</v>
      </c>
      <c r="K496" s="1001">
        <v>45835</v>
      </c>
      <c r="L496" s="1000">
        <f t="shared" si="58"/>
        <v>193</v>
      </c>
      <c r="M496" s="1002">
        <f t="shared" si="59"/>
        <v>16.083333333333332</v>
      </c>
      <c r="N496" s="1000">
        <v>16</v>
      </c>
      <c r="O496" s="1000">
        <v>16</v>
      </c>
      <c r="P496" s="1000">
        <v>43</v>
      </c>
      <c r="Q496" s="999" t="s">
        <v>898</v>
      </c>
      <c r="R496" s="999" t="s">
        <v>899</v>
      </c>
      <c r="S496" s="999" t="s">
        <v>900</v>
      </c>
      <c r="T496" s="999" t="s">
        <v>613</v>
      </c>
      <c r="U496" s="1000" t="s">
        <v>54</v>
      </c>
      <c r="V496" s="1000" t="s">
        <v>914</v>
      </c>
      <c r="W496" s="1003">
        <v>16326</v>
      </c>
      <c r="X496" s="1000" t="s">
        <v>930</v>
      </c>
      <c r="Y496" s="1000">
        <v>80</v>
      </c>
      <c r="Z496" s="1000" t="s">
        <v>904</v>
      </c>
      <c r="AA496" s="1000" t="s">
        <v>905</v>
      </c>
      <c r="AB496" s="1000" t="s">
        <v>925</v>
      </c>
      <c r="AC496" s="1000" t="s">
        <v>907</v>
      </c>
      <c r="AD496" s="1004">
        <v>10126.049999999999</v>
      </c>
      <c r="AE496" s="1004">
        <f t="shared" si="56"/>
        <v>162860.63749999998</v>
      </c>
      <c r="AF496" s="1004">
        <f t="shared" si="60"/>
        <v>162860.63749999998</v>
      </c>
      <c r="AG496" s="1005">
        <f t="shared" si="55"/>
        <v>16.083333333333332</v>
      </c>
      <c r="AH496" s="1005">
        <f t="shared" si="57"/>
        <v>14.637776883979489</v>
      </c>
    </row>
    <row r="497" spans="1:34" x14ac:dyDescent="0.25">
      <c r="A497" s="999">
        <v>32000</v>
      </c>
      <c r="B497" s="999" t="s">
        <v>1540</v>
      </c>
      <c r="C497" s="999" t="s">
        <v>1541</v>
      </c>
      <c r="D497" s="999" t="s">
        <v>894</v>
      </c>
      <c r="E497" s="999" t="s">
        <v>895</v>
      </c>
      <c r="F497" s="999">
        <v>1683084</v>
      </c>
      <c r="G497" s="1000">
        <v>27361080782</v>
      </c>
      <c r="H497" s="999" t="s">
        <v>1664</v>
      </c>
      <c r="I497" s="999" t="s">
        <v>897</v>
      </c>
      <c r="J497" s="1001">
        <v>39847</v>
      </c>
      <c r="K497" s="1001">
        <v>45835</v>
      </c>
      <c r="L497" s="1000">
        <f t="shared" si="58"/>
        <v>196</v>
      </c>
      <c r="M497" s="1002">
        <f t="shared" si="59"/>
        <v>16.333333333333332</v>
      </c>
      <c r="N497" s="1000">
        <v>16</v>
      </c>
      <c r="O497" s="1000">
        <v>16</v>
      </c>
      <c r="P497" s="1000">
        <v>43</v>
      </c>
      <c r="Q497" s="999" t="s">
        <v>898</v>
      </c>
      <c r="R497" s="999" t="s">
        <v>899</v>
      </c>
      <c r="S497" s="999" t="s">
        <v>900</v>
      </c>
      <c r="T497" s="999" t="s">
        <v>1634</v>
      </c>
      <c r="U497" s="1000" t="s">
        <v>55</v>
      </c>
      <c r="V497" s="1000" t="s">
        <v>902</v>
      </c>
      <c r="W497" s="1003">
        <v>16768</v>
      </c>
      <c r="X497" s="1000" t="s">
        <v>930</v>
      </c>
      <c r="Y497" s="1000">
        <v>79</v>
      </c>
      <c r="Z497" s="1000" t="s">
        <v>904</v>
      </c>
      <c r="AA497" s="1000" t="s">
        <v>905</v>
      </c>
      <c r="AB497" s="1000" t="s">
        <v>911</v>
      </c>
      <c r="AC497" s="1000" t="s">
        <v>907</v>
      </c>
      <c r="AD497" s="1004">
        <v>5333.97</v>
      </c>
      <c r="AE497" s="1004">
        <f t="shared" si="56"/>
        <v>87121.51</v>
      </c>
      <c r="AF497" s="1004">
        <f t="shared" si="60"/>
        <v>87121.51</v>
      </c>
      <c r="AG497" s="1005">
        <f t="shared" si="55"/>
        <v>16.333333333333332</v>
      </c>
      <c r="AH497" s="1005">
        <f t="shared" si="57"/>
        <v>13.754645190930805</v>
      </c>
    </row>
    <row r="498" spans="1:34" x14ac:dyDescent="0.25">
      <c r="A498" s="999">
        <v>32000</v>
      </c>
      <c r="B498" s="999" t="s">
        <v>1540</v>
      </c>
      <c r="C498" s="999" t="s">
        <v>1541</v>
      </c>
      <c r="D498" s="999" t="s">
        <v>894</v>
      </c>
      <c r="E498" s="999" t="s">
        <v>895</v>
      </c>
      <c r="F498" s="999">
        <v>1835456</v>
      </c>
      <c r="G498" s="1000">
        <v>53446089772</v>
      </c>
      <c r="H498" s="999" t="s">
        <v>1665</v>
      </c>
      <c r="I498" s="999" t="s">
        <v>897</v>
      </c>
      <c r="J498" s="1001">
        <v>40560</v>
      </c>
      <c r="K498" s="1001">
        <v>45835</v>
      </c>
      <c r="L498" s="1000">
        <f t="shared" si="58"/>
        <v>173</v>
      </c>
      <c r="M498" s="1002">
        <f t="shared" si="59"/>
        <v>14.416666666666666</v>
      </c>
      <c r="N498" s="1000">
        <v>14</v>
      </c>
      <c r="O498" s="1000">
        <v>14</v>
      </c>
      <c r="P498" s="1000">
        <v>43</v>
      </c>
      <c r="Q498" s="999" t="s">
        <v>898</v>
      </c>
      <c r="R498" s="999" t="s">
        <v>899</v>
      </c>
      <c r="S498" s="999" t="s">
        <v>900</v>
      </c>
      <c r="T498" s="999" t="s">
        <v>1634</v>
      </c>
      <c r="U498" s="1000" t="s">
        <v>55</v>
      </c>
      <c r="V498" s="1000" t="s">
        <v>910</v>
      </c>
      <c r="W498" s="1003">
        <v>18176</v>
      </c>
      <c r="X498" s="1000" t="s">
        <v>930</v>
      </c>
      <c r="Y498" s="1000">
        <v>75</v>
      </c>
      <c r="Z498" s="1000" t="s">
        <v>904</v>
      </c>
      <c r="AA498" s="1000" t="s">
        <v>905</v>
      </c>
      <c r="AB498" s="1000" t="s">
        <v>911</v>
      </c>
      <c r="AC498" s="1000" t="s">
        <v>907</v>
      </c>
      <c r="AD498" s="1004">
        <v>5333.97</v>
      </c>
      <c r="AE498" s="1004">
        <f t="shared" si="56"/>
        <v>76898.067500000005</v>
      </c>
      <c r="AF498" s="1004">
        <f t="shared" si="60"/>
        <v>76898.067500000005</v>
      </c>
      <c r="AG498" s="1005">
        <f t="shared" si="55"/>
        <v>14.416666666666666</v>
      </c>
      <c r="AH498" s="1005">
        <f t="shared" si="57"/>
        <v>12.140579683831783</v>
      </c>
    </row>
    <row r="499" spans="1:34" x14ac:dyDescent="0.25">
      <c r="A499" s="999">
        <v>32000</v>
      </c>
      <c r="B499" s="999" t="s">
        <v>1540</v>
      </c>
      <c r="C499" s="999" t="s">
        <v>1541</v>
      </c>
      <c r="D499" s="999" t="s">
        <v>894</v>
      </c>
      <c r="E499" s="999" t="s">
        <v>895</v>
      </c>
      <c r="F499" s="999">
        <v>996811</v>
      </c>
      <c r="G499" s="1000">
        <v>3975614749</v>
      </c>
      <c r="H499" s="999" t="s">
        <v>1666</v>
      </c>
      <c r="I499" s="999" t="s">
        <v>897</v>
      </c>
      <c r="J499" s="1001">
        <v>39904</v>
      </c>
      <c r="K499" s="1001">
        <v>45835</v>
      </c>
      <c r="L499" s="1000">
        <f t="shared" si="58"/>
        <v>194</v>
      </c>
      <c r="M499" s="1002">
        <f t="shared" si="59"/>
        <v>16.166666666666668</v>
      </c>
      <c r="N499" s="1000">
        <v>16</v>
      </c>
      <c r="O499" s="1000">
        <v>16</v>
      </c>
      <c r="P499" s="1000">
        <v>43</v>
      </c>
      <c r="Q499" s="999" t="s">
        <v>898</v>
      </c>
      <c r="R499" s="999" t="s">
        <v>899</v>
      </c>
      <c r="S499" s="999" t="s">
        <v>900</v>
      </c>
      <c r="T499" s="999" t="s">
        <v>1202</v>
      </c>
      <c r="U499" s="1000" t="s">
        <v>54</v>
      </c>
      <c r="V499" s="1000" t="s">
        <v>914</v>
      </c>
      <c r="W499" s="1003">
        <v>15825</v>
      </c>
      <c r="X499" s="1000" t="s">
        <v>903</v>
      </c>
      <c r="Y499" s="1000">
        <v>81</v>
      </c>
      <c r="Z499" s="1000" t="s">
        <v>904</v>
      </c>
      <c r="AA499" s="1000" t="s">
        <v>905</v>
      </c>
      <c r="AB499" s="1000" t="s">
        <v>925</v>
      </c>
      <c r="AC499" s="1000" t="s">
        <v>907</v>
      </c>
      <c r="AD499" s="1004">
        <v>12414.6</v>
      </c>
      <c r="AE499" s="1004">
        <f t="shared" si="56"/>
        <v>200702.7</v>
      </c>
      <c r="AF499" s="1004">
        <f t="shared" si="60"/>
        <v>200702.7</v>
      </c>
      <c r="AG499" s="1005">
        <f t="shared" si="55"/>
        <v>16.166666666666668</v>
      </c>
      <c r="AH499" s="1005">
        <f t="shared" si="57"/>
        <v>14.961512083848941</v>
      </c>
    </row>
    <row r="500" spans="1:34" x14ac:dyDescent="0.25">
      <c r="A500" s="999">
        <v>32000</v>
      </c>
      <c r="B500" s="999" t="s">
        <v>1540</v>
      </c>
      <c r="C500" s="999" t="s">
        <v>1541</v>
      </c>
      <c r="D500" s="999" t="s">
        <v>894</v>
      </c>
      <c r="E500" s="999" t="s">
        <v>895</v>
      </c>
      <c r="F500" s="999">
        <v>1844913</v>
      </c>
      <c r="G500" s="1000">
        <v>3906345734</v>
      </c>
      <c r="H500" s="999" t="s">
        <v>1667</v>
      </c>
      <c r="I500" s="999" t="s">
        <v>897</v>
      </c>
      <c r="J500" s="1001">
        <v>40584</v>
      </c>
      <c r="K500" s="1001">
        <v>45835</v>
      </c>
      <c r="L500" s="1000">
        <f t="shared" si="58"/>
        <v>172</v>
      </c>
      <c r="M500" s="1002">
        <f t="shared" si="59"/>
        <v>14.333333333333334</v>
      </c>
      <c r="N500" s="1000">
        <v>14</v>
      </c>
      <c r="O500" s="1000">
        <v>14</v>
      </c>
      <c r="P500" s="1000">
        <v>43</v>
      </c>
      <c r="Q500" s="999" t="s">
        <v>898</v>
      </c>
      <c r="R500" s="999" t="s">
        <v>899</v>
      </c>
      <c r="S500" s="999" t="s">
        <v>900</v>
      </c>
      <c r="T500" s="999" t="s">
        <v>924</v>
      </c>
      <c r="U500" s="1000" t="s">
        <v>55</v>
      </c>
      <c r="V500" s="1000" t="s">
        <v>914</v>
      </c>
      <c r="W500" s="1003">
        <v>14617</v>
      </c>
      <c r="X500" s="1000" t="s">
        <v>903</v>
      </c>
      <c r="Y500" s="1000">
        <v>85</v>
      </c>
      <c r="Z500" s="1000" t="s">
        <v>904</v>
      </c>
      <c r="AA500" s="1000" t="s">
        <v>905</v>
      </c>
      <c r="AB500" s="1000" t="s">
        <v>911</v>
      </c>
      <c r="AC500" s="1000" t="s">
        <v>907</v>
      </c>
      <c r="AD500" s="1004">
        <v>5333.97</v>
      </c>
      <c r="AE500" s="1004">
        <f t="shared" si="56"/>
        <v>76453.570000000007</v>
      </c>
      <c r="AF500" s="1004">
        <f t="shared" si="60"/>
        <v>76453.570000000007</v>
      </c>
      <c r="AG500" s="1005">
        <f t="shared" si="55"/>
        <v>14.333333333333334</v>
      </c>
      <c r="AH500" s="1005">
        <f t="shared" si="57"/>
        <v>12.070402922653566</v>
      </c>
    </row>
    <row r="501" spans="1:34" x14ac:dyDescent="0.25">
      <c r="A501" s="999">
        <v>32000</v>
      </c>
      <c r="B501" s="999" t="s">
        <v>1540</v>
      </c>
      <c r="C501" s="999" t="s">
        <v>1541</v>
      </c>
      <c r="D501" s="999" t="s">
        <v>894</v>
      </c>
      <c r="E501" s="999" t="s">
        <v>895</v>
      </c>
      <c r="F501" s="999">
        <v>1670307</v>
      </c>
      <c r="G501" s="1000">
        <v>2885824115</v>
      </c>
      <c r="H501" s="999" t="s">
        <v>1668</v>
      </c>
      <c r="I501" s="999" t="s">
        <v>897</v>
      </c>
      <c r="J501" s="1001">
        <v>39822</v>
      </c>
      <c r="K501" s="1001">
        <v>45835</v>
      </c>
      <c r="L501" s="1000">
        <f t="shared" si="58"/>
        <v>197</v>
      </c>
      <c r="M501" s="1002">
        <f t="shared" si="59"/>
        <v>16.416666666666668</v>
      </c>
      <c r="N501" s="1000">
        <v>16</v>
      </c>
      <c r="O501" s="1000">
        <v>16</v>
      </c>
      <c r="P501" s="1000">
        <v>43</v>
      </c>
      <c r="Q501" s="999" t="s">
        <v>898</v>
      </c>
      <c r="R501" s="999" t="s">
        <v>899</v>
      </c>
      <c r="S501" s="999" t="s">
        <v>900</v>
      </c>
      <c r="T501" s="999" t="s">
        <v>924</v>
      </c>
      <c r="U501" s="1000" t="s">
        <v>55</v>
      </c>
      <c r="V501" s="1000" t="s">
        <v>914</v>
      </c>
      <c r="W501" s="1003">
        <v>16703</v>
      </c>
      <c r="X501" s="1000" t="s">
        <v>903</v>
      </c>
      <c r="Y501" s="1000">
        <v>79</v>
      </c>
      <c r="Z501" s="1000" t="s">
        <v>904</v>
      </c>
      <c r="AA501" s="1000" t="s">
        <v>905</v>
      </c>
      <c r="AB501" s="1000" t="s">
        <v>911</v>
      </c>
      <c r="AC501" s="1000" t="s">
        <v>907</v>
      </c>
      <c r="AD501" s="1004">
        <v>10365.65</v>
      </c>
      <c r="AE501" s="1004">
        <f t="shared" si="56"/>
        <v>170169.42083333334</v>
      </c>
      <c r="AF501" s="1004">
        <f t="shared" si="60"/>
        <v>170169.42083333334</v>
      </c>
      <c r="AG501" s="1005">
        <f t="shared" si="55"/>
        <v>16.416666666666668</v>
      </c>
      <c r="AH501" s="1005">
        <f t="shared" si="57"/>
        <v>14.972255949579068</v>
      </c>
    </row>
    <row r="502" spans="1:34" x14ac:dyDescent="0.25">
      <c r="A502" s="999">
        <v>32000</v>
      </c>
      <c r="B502" s="999" t="s">
        <v>1540</v>
      </c>
      <c r="C502" s="999" t="s">
        <v>1541</v>
      </c>
      <c r="D502" s="999" t="s">
        <v>894</v>
      </c>
      <c r="E502" s="999" t="s">
        <v>895</v>
      </c>
      <c r="F502" s="999">
        <v>1001933</v>
      </c>
      <c r="G502" s="1000">
        <v>1106260600</v>
      </c>
      <c r="H502" s="999" t="s">
        <v>1669</v>
      </c>
      <c r="I502" s="999" t="s">
        <v>897</v>
      </c>
      <c r="J502" s="1001">
        <v>39961</v>
      </c>
      <c r="K502" s="1001">
        <v>45835</v>
      </c>
      <c r="L502" s="1000">
        <f t="shared" si="58"/>
        <v>192</v>
      </c>
      <c r="M502" s="1002">
        <f t="shared" si="59"/>
        <v>16</v>
      </c>
      <c r="N502" s="1000">
        <v>16</v>
      </c>
      <c r="O502" s="1000">
        <v>16</v>
      </c>
      <c r="P502" s="1000">
        <v>43</v>
      </c>
      <c r="Q502" s="999" t="s">
        <v>898</v>
      </c>
      <c r="R502" s="999" t="s">
        <v>899</v>
      </c>
      <c r="S502" s="999" t="s">
        <v>900</v>
      </c>
      <c r="T502" s="999" t="s">
        <v>1361</v>
      </c>
      <c r="U502" s="1000" t="s">
        <v>54</v>
      </c>
      <c r="V502" s="1000" t="s">
        <v>910</v>
      </c>
      <c r="W502" s="1003">
        <v>14780</v>
      </c>
      <c r="X502" s="1000" t="s">
        <v>903</v>
      </c>
      <c r="Y502" s="1000">
        <v>84</v>
      </c>
      <c r="Z502" s="1000" t="s">
        <v>904</v>
      </c>
      <c r="AA502" s="1000" t="s">
        <v>905</v>
      </c>
      <c r="AB502" s="1000" t="s">
        <v>925</v>
      </c>
      <c r="AC502" s="1000" t="s">
        <v>907</v>
      </c>
      <c r="AD502" s="1004">
        <v>10126.049999999999</v>
      </c>
      <c r="AE502" s="1004">
        <f t="shared" si="56"/>
        <v>162016.79999999999</v>
      </c>
      <c r="AF502" s="1004">
        <f t="shared" si="60"/>
        <v>162016.79999999999</v>
      </c>
      <c r="AG502" s="1005">
        <f t="shared" si="55"/>
        <v>16</v>
      </c>
      <c r="AH502" s="1005">
        <f t="shared" si="57"/>
        <v>14.561933480435554</v>
      </c>
    </row>
    <row r="503" spans="1:34" x14ac:dyDescent="0.25">
      <c r="A503" s="999">
        <v>32000</v>
      </c>
      <c r="B503" s="999" t="s">
        <v>1540</v>
      </c>
      <c r="C503" s="999" t="s">
        <v>1541</v>
      </c>
      <c r="D503" s="999" t="s">
        <v>894</v>
      </c>
      <c r="E503" s="999" t="s">
        <v>895</v>
      </c>
      <c r="F503" s="999">
        <v>1669298</v>
      </c>
      <c r="G503" s="1000">
        <v>7307047187</v>
      </c>
      <c r="H503" s="999" t="s">
        <v>1670</v>
      </c>
      <c r="I503" s="999" t="s">
        <v>897</v>
      </c>
      <c r="J503" s="1001">
        <v>39819</v>
      </c>
      <c r="K503" s="1001">
        <v>45835</v>
      </c>
      <c r="L503" s="1000">
        <f t="shared" si="58"/>
        <v>197</v>
      </c>
      <c r="M503" s="1002">
        <f t="shared" si="59"/>
        <v>16.416666666666668</v>
      </c>
      <c r="N503" s="1000">
        <v>16</v>
      </c>
      <c r="O503" s="1000">
        <v>16</v>
      </c>
      <c r="P503" s="1000">
        <v>43</v>
      </c>
      <c r="Q503" s="999" t="s">
        <v>898</v>
      </c>
      <c r="R503" s="999" t="s">
        <v>899</v>
      </c>
      <c r="S503" s="999" t="s">
        <v>900</v>
      </c>
      <c r="T503" s="999" t="s">
        <v>1671</v>
      </c>
      <c r="U503" s="1000" t="s">
        <v>54</v>
      </c>
      <c r="V503" s="1000" t="s">
        <v>921</v>
      </c>
      <c r="W503" s="1003">
        <v>17748</v>
      </c>
      <c r="X503" s="1000" t="s">
        <v>903</v>
      </c>
      <c r="Y503" s="1000">
        <v>76</v>
      </c>
      <c r="Z503" s="1000" t="s">
        <v>904</v>
      </c>
      <c r="AA503" s="1000" t="s">
        <v>905</v>
      </c>
      <c r="AB503" s="1000" t="s">
        <v>925</v>
      </c>
      <c r="AC503" s="1000" t="s">
        <v>907</v>
      </c>
      <c r="AD503" s="1004">
        <v>10126.049999999999</v>
      </c>
      <c r="AE503" s="1004">
        <f t="shared" si="56"/>
        <v>166235.98749999999</v>
      </c>
      <c r="AF503" s="1004">
        <f t="shared" si="60"/>
        <v>166235.98749999999</v>
      </c>
      <c r="AG503" s="1005">
        <f t="shared" si="55"/>
        <v>16.416666666666668</v>
      </c>
      <c r="AH503" s="1005">
        <f t="shared" si="57"/>
        <v>14.941150498155229</v>
      </c>
    </row>
    <row r="504" spans="1:34" x14ac:dyDescent="0.25">
      <c r="A504" s="999">
        <v>32000</v>
      </c>
      <c r="B504" s="999" t="s">
        <v>1540</v>
      </c>
      <c r="C504" s="999" t="s">
        <v>1541</v>
      </c>
      <c r="D504" s="999" t="s">
        <v>894</v>
      </c>
      <c r="E504" s="999" t="s">
        <v>895</v>
      </c>
      <c r="F504" s="999">
        <v>2073604</v>
      </c>
      <c r="G504" s="1000">
        <v>44489587953</v>
      </c>
      <c r="H504" s="999" t="s">
        <v>1672</v>
      </c>
      <c r="I504" s="999" t="s">
        <v>897</v>
      </c>
      <c r="J504" s="1001">
        <v>41603</v>
      </c>
      <c r="K504" s="1001">
        <v>45835</v>
      </c>
      <c r="L504" s="1000">
        <f t="shared" si="58"/>
        <v>139</v>
      </c>
      <c r="M504" s="1002">
        <f t="shared" si="59"/>
        <v>11.583333333333334</v>
      </c>
      <c r="N504" s="1000">
        <v>11</v>
      </c>
      <c r="O504" s="1000">
        <v>11</v>
      </c>
      <c r="P504" s="1000">
        <v>43</v>
      </c>
      <c r="Q504" s="999" t="s">
        <v>898</v>
      </c>
      <c r="R504" s="999" t="s">
        <v>899</v>
      </c>
      <c r="S504" s="999" t="s">
        <v>900</v>
      </c>
      <c r="T504" s="999" t="s">
        <v>1673</v>
      </c>
      <c r="U504" s="1000" t="s">
        <v>55</v>
      </c>
      <c r="V504" s="1000" t="s">
        <v>921</v>
      </c>
      <c r="W504" s="1003">
        <v>17889</v>
      </c>
      <c r="X504" s="1000" t="s">
        <v>930</v>
      </c>
      <c r="Y504" s="1000">
        <v>76</v>
      </c>
      <c r="Z504" s="1000" t="s">
        <v>904</v>
      </c>
      <c r="AA504" s="1000" t="s">
        <v>905</v>
      </c>
      <c r="AB504" s="1000" t="s">
        <v>951</v>
      </c>
      <c r="AC504" s="1000" t="s">
        <v>907</v>
      </c>
      <c r="AD504" s="1004">
        <v>4885.1000000000004</v>
      </c>
      <c r="AE504" s="1004">
        <f t="shared" si="56"/>
        <v>56585.741666666676</v>
      </c>
      <c r="AF504" s="1004">
        <f t="shared" si="60"/>
        <v>56585.741666666676</v>
      </c>
      <c r="AG504" s="1005">
        <f t="shared" ref="AG504:AG554" si="61">AF504/AD504</f>
        <v>11.583333333333334</v>
      </c>
      <c r="AH504" s="1005">
        <f t="shared" si="57"/>
        <v>9.6150858382468734</v>
      </c>
    </row>
    <row r="505" spans="1:34" x14ac:dyDescent="0.25">
      <c r="A505" s="999">
        <v>32000</v>
      </c>
      <c r="B505" s="999" t="s">
        <v>1540</v>
      </c>
      <c r="C505" s="999" t="s">
        <v>1541</v>
      </c>
      <c r="D505" s="999" t="s">
        <v>894</v>
      </c>
      <c r="E505" s="999" t="s">
        <v>895</v>
      </c>
      <c r="F505" s="999">
        <v>1702370</v>
      </c>
      <c r="G505" s="1000">
        <v>5830575787</v>
      </c>
      <c r="H505" s="999" t="s">
        <v>1674</v>
      </c>
      <c r="I505" s="999" t="s">
        <v>897</v>
      </c>
      <c r="J505" s="1001">
        <v>39952</v>
      </c>
      <c r="K505" s="1001">
        <v>45835</v>
      </c>
      <c r="L505" s="1000">
        <f t="shared" si="58"/>
        <v>193</v>
      </c>
      <c r="M505" s="1002">
        <f t="shared" si="59"/>
        <v>16.083333333333332</v>
      </c>
      <c r="N505" s="1000">
        <v>16</v>
      </c>
      <c r="O505" s="1000">
        <v>16</v>
      </c>
      <c r="P505" s="1000">
        <v>43</v>
      </c>
      <c r="Q505" s="999" t="s">
        <v>898</v>
      </c>
      <c r="R505" s="999" t="s">
        <v>899</v>
      </c>
      <c r="S505" s="999" t="s">
        <v>900</v>
      </c>
      <c r="T505" s="999" t="s">
        <v>1363</v>
      </c>
      <c r="U505" s="1000" t="s">
        <v>55</v>
      </c>
      <c r="V505" s="1000" t="s">
        <v>914</v>
      </c>
      <c r="W505" s="1003">
        <v>16351</v>
      </c>
      <c r="X505" s="1000" t="s">
        <v>930</v>
      </c>
      <c r="Y505" s="1000">
        <v>80</v>
      </c>
      <c r="Z505" s="1000" t="s">
        <v>904</v>
      </c>
      <c r="AA505" s="1000" t="s">
        <v>905</v>
      </c>
      <c r="AB505" s="1000" t="s">
        <v>911</v>
      </c>
      <c r="AC505" s="1000" t="s">
        <v>907</v>
      </c>
      <c r="AD505" s="1004">
        <v>5333.97</v>
      </c>
      <c r="AE505" s="1004">
        <f t="shared" si="56"/>
        <v>85788.017500000002</v>
      </c>
      <c r="AF505" s="1004">
        <f t="shared" si="60"/>
        <v>85788.017500000002</v>
      </c>
      <c r="AG505" s="1005">
        <f t="shared" si="61"/>
        <v>16.083333333333332</v>
      </c>
      <c r="AH505" s="1005">
        <f t="shared" si="57"/>
        <v>13.544114907396152</v>
      </c>
    </row>
    <row r="506" spans="1:34" x14ac:dyDescent="0.25">
      <c r="A506" s="999">
        <v>32000</v>
      </c>
      <c r="B506" s="999" t="s">
        <v>1540</v>
      </c>
      <c r="C506" s="999" t="s">
        <v>1541</v>
      </c>
      <c r="D506" s="999" t="s">
        <v>894</v>
      </c>
      <c r="E506" s="999" t="s">
        <v>895</v>
      </c>
      <c r="F506" s="999">
        <v>1669734</v>
      </c>
      <c r="G506" s="1000">
        <v>12468347668</v>
      </c>
      <c r="H506" s="999" t="s">
        <v>1675</v>
      </c>
      <c r="I506" s="999" t="s">
        <v>897</v>
      </c>
      <c r="J506" s="1001">
        <v>39822</v>
      </c>
      <c r="K506" s="1001">
        <v>45835</v>
      </c>
      <c r="L506" s="1000">
        <f t="shared" si="58"/>
        <v>197</v>
      </c>
      <c r="M506" s="1002">
        <f t="shared" si="59"/>
        <v>16.416666666666668</v>
      </c>
      <c r="N506" s="1000">
        <v>16</v>
      </c>
      <c r="O506" s="1000">
        <v>16</v>
      </c>
      <c r="P506" s="1000">
        <v>43</v>
      </c>
      <c r="Q506" s="999" t="s">
        <v>898</v>
      </c>
      <c r="R506" s="999" t="s">
        <v>899</v>
      </c>
      <c r="S506" s="999" t="s">
        <v>900</v>
      </c>
      <c r="T506" s="999" t="s">
        <v>1676</v>
      </c>
      <c r="U506" s="1000" t="s">
        <v>54</v>
      </c>
      <c r="V506" s="1000" t="s">
        <v>910</v>
      </c>
      <c r="W506" s="1003">
        <v>17747</v>
      </c>
      <c r="X506" s="1000" t="s">
        <v>930</v>
      </c>
      <c r="Y506" s="1000">
        <v>76</v>
      </c>
      <c r="Z506" s="1000" t="s">
        <v>904</v>
      </c>
      <c r="AA506" s="1000" t="s">
        <v>905</v>
      </c>
      <c r="AB506" s="1000" t="s">
        <v>925</v>
      </c>
      <c r="AC506" s="1000" t="s">
        <v>907</v>
      </c>
      <c r="AD506" s="1004">
        <v>10126.049999999999</v>
      </c>
      <c r="AE506" s="1004">
        <f t="shared" si="56"/>
        <v>166235.98749999999</v>
      </c>
      <c r="AF506" s="1004">
        <f t="shared" si="60"/>
        <v>166235.98749999999</v>
      </c>
      <c r="AG506" s="1005">
        <f t="shared" si="61"/>
        <v>16.416666666666668</v>
      </c>
      <c r="AH506" s="1005">
        <f t="shared" si="57"/>
        <v>14.941150498155229</v>
      </c>
    </row>
    <row r="507" spans="1:34" x14ac:dyDescent="0.25">
      <c r="A507" s="999">
        <v>32000</v>
      </c>
      <c r="B507" s="999" t="s">
        <v>1540</v>
      </c>
      <c r="C507" s="999" t="s">
        <v>1541</v>
      </c>
      <c r="D507" s="999" t="s">
        <v>894</v>
      </c>
      <c r="E507" s="999" t="s">
        <v>895</v>
      </c>
      <c r="F507" s="999">
        <v>2281146</v>
      </c>
      <c r="G507" s="1000">
        <v>24105929704</v>
      </c>
      <c r="H507" s="999" t="s">
        <v>1677</v>
      </c>
      <c r="I507" s="999" t="s">
        <v>897</v>
      </c>
      <c r="J507" s="1001">
        <v>39838</v>
      </c>
      <c r="K507" s="1001">
        <v>45835</v>
      </c>
      <c r="L507" s="1000">
        <f t="shared" si="58"/>
        <v>197</v>
      </c>
      <c r="M507" s="1002">
        <f t="shared" si="59"/>
        <v>16.416666666666668</v>
      </c>
      <c r="N507" s="1000">
        <v>16</v>
      </c>
      <c r="O507" s="1000">
        <v>16</v>
      </c>
      <c r="P507" s="1000">
        <v>43</v>
      </c>
      <c r="Q507" s="999" t="s">
        <v>898</v>
      </c>
      <c r="R507" s="999" t="s">
        <v>899</v>
      </c>
      <c r="S507" s="999" t="s">
        <v>900</v>
      </c>
      <c r="T507" s="999" t="s">
        <v>616</v>
      </c>
      <c r="U507" s="1000" t="s">
        <v>54</v>
      </c>
      <c r="V507" s="1000" t="s">
        <v>902</v>
      </c>
      <c r="W507" s="1003">
        <v>17495</v>
      </c>
      <c r="X507" s="1000" t="s">
        <v>903</v>
      </c>
      <c r="Y507" s="1000">
        <v>77</v>
      </c>
      <c r="Z507" s="1000" t="s">
        <v>904</v>
      </c>
      <c r="AA507" s="1000" t="s">
        <v>905</v>
      </c>
      <c r="AB507" s="1000" t="s">
        <v>925</v>
      </c>
      <c r="AC507" s="1000" t="s">
        <v>907</v>
      </c>
      <c r="AD507" s="1004">
        <v>10126.049999999999</v>
      </c>
      <c r="AE507" s="1004">
        <f t="shared" si="56"/>
        <v>166235.98749999999</v>
      </c>
      <c r="AF507" s="1004">
        <f t="shared" si="60"/>
        <v>166235.98749999999</v>
      </c>
      <c r="AG507" s="1005">
        <f t="shared" si="61"/>
        <v>16.416666666666668</v>
      </c>
      <c r="AH507" s="1005">
        <f t="shared" si="57"/>
        <v>14.941150498155229</v>
      </c>
    </row>
    <row r="508" spans="1:34" x14ac:dyDescent="0.25">
      <c r="A508" s="999">
        <v>32000</v>
      </c>
      <c r="B508" s="999" t="s">
        <v>1540</v>
      </c>
      <c r="C508" s="999" t="s">
        <v>1541</v>
      </c>
      <c r="D508" s="999" t="s">
        <v>894</v>
      </c>
      <c r="E508" s="999" t="s">
        <v>895</v>
      </c>
      <c r="F508" s="999">
        <v>1683463</v>
      </c>
      <c r="G508" s="1000">
        <v>65936809749</v>
      </c>
      <c r="H508" s="999" t="s">
        <v>1678</v>
      </c>
      <c r="I508" s="999" t="s">
        <v>897</v>
      </c>
      <c r="J508" s="1001">
        <v>39821</v>
      </c>
      <c r="K508" s="1001">
        <v>45835</v>
      </c>
      <c r="L508" s="1000">
        <f t="shared" si="58"/>
        <v>197</v>
      </c>
      <c r="M508" s="1002">
        <f t="shared" si="59"/>
        <v>16.416666666666668</v>
      </c>
      <c r="N508" s="1000">
        <v>16</v>
      </c>
      <c r="O508" s="1000">
        <v>16</v>
      </c>
      <c r="P508" s="1000">
        <v>43</v>
      </c>
      <c r="Q508" s="999" t="s">
        <v>898</v>
      </c>
      <c r="R508" s="999" t="s">
        <v>899</v>
      </c>
      <c r="S508" s="999" t="s">
        <v>900</v>
      </c>
      <c r="T508" s="999" t="s">
        <v>1634</v>
      </c>
      <c r="U508" s="1000" t="s">
        <v>55</v>
      </c>
      <c r="V508" s="1000" t="s">
        <v>910</v>
      </c>
      <c r="W508" s="1003">
        <v>18276</v>
      </c>
      <c r="X508" s="1000" t="s">
        <v>930</v>
      </c>
      <c r="Y508" s="1000">
        <v>75</v>
      </c>
      <c r="Z508" s="1000" t="s">
        <v>904</v>
      </c>
      <c r="AA508" s="1000" t="s">
        <v>905</v>
      </c>
      <c r="AB508" s="1000" t="s">
        <v>911</v>
      </c>
      <c r="AC508" s="1000" t="s">
        <v>907</v>
      </c>
      <c r="AD508" s="1004">
        <v>5333.97</v>
      </c>
      <c r="AE508" s="1004">
        <f t="shared" si="56"/>
        <v>87566.007500000007</v>
      </c>
      <c r="AF508" s="1004">
        <f t="shared" si="60"/>
        <v>87566.007500000007</v>
      </c>
      <c r="AG508" s="1005">
        <f t="shared" si="61"/>
        <v>16.416666666666668</v>
      </c>
      <c r="AH508" s="1005">
        <f t="shared" si="57"/>
        <v>13.824821952109025</v>
      </c>
    </row>
    <row r="509" spans="1:34" x14ac:dyDescent="0.25">
      <c r="A509" s="999">
        <v>32000</v>
      </c>
      <c r="B509" s="999" t="s">
        <v>1540</v>
      </c>
      <c r="C509" s="999" t="s">
        <v>1541</v>
      </c>
      <c r="D509" s="999" t="s">
        <v>894</v>
      </c>
      <c r="E509" s="999" t="s">
        <v>895</v>
      </c>
      <c r="F509" s="999">
        <v>1681390</v>
      </c>
      <c r="G509" s="1000">
        <v>6738052715</v>
      </c>
      <c r="H509" s="999" t="s">
        <v>1679</v>
      </c>
      <c r="I509" s="999" t="s">
        <v>897</v>
      </c>
      <c r="J509" s="1001">
        <v>39855</v>
      </c>
      <c r="K509" s="1001">
        <v>45835</v>
      </c>
      <c r="L509" s="1000">
        <f t="shared" si="58"/>
        <v>196</v>
      </c>
      <c r="M509" s="1002">
        <f t="shared" si="59"/>
        <v>16.333333333333332</v>
      </c>
      <c r="N509" s="1000">
        <v>16</v>
      </c>
      <c r="O509" s="1000">
        <v>16</v>
      </c>
      <c r="P509" s="1000">
        <v>43</v>
      </c>
      <c r="Q509" s="999" t="s">
        <v>898</v>
      </c>
      <c r="R509" s="999" t="s">
        <v>899</v>
      </c>
      <c r="S509" s="999" t="s">
        <v>900</v>
      </c>
      <c r="T509" s="999" t="s">
        <v>1363</v>
      </c>
      <c r="U509" s="1000" t="s">
        <v>55</v>
      </c>
      <c r="V509" s="1000" t="s">
        <v>914</v>
      </c>
      <c r="W509" s="1003">
        <v>15151</v>
      </c>
      <c r="X509" s="1000" t="s">
        <v>903</v>
      </c>
      <c r="Y509" s="1000">
        <v>83</v>
      </c>
      <c r="Z509" s="1000" t="s">
        <v>904</v>
      </c>
      <c r="AA509" s="1000" t="s">
        <v>905</v>
      </c>
      <c r="AB509" s="1000" t="s">
        <v>911</v>
      </c>
      <c r="AC509" s="1000" t="s">
        <v>907</v>
      </c>
      <c r="AD509" s="1004">
        <v>5333.97</v>
      </c>
      <c r="AE509" s="1004">
        <f t="shared" si="56"/>
        <v>87121.51</v>
      </c>
      <c r="AF509" s="1004">
        <f t="shared" si="60"/>
        <v>87121.51</v>
      </c>
      <c r="AG509" s="1005">
        <f t="shared" si="61"/>
        <v>16.333333333333332</v>
      </c>
      <c r="AH509" s="1005">
        <f t="shared" si="57"/>
        <v>13.754645190930805</v>
      </c>
    </row>
    <row r="510" spans="1:34" x14ac:dyDescent="0.25">
      <c r="A510" s="999">
        <v>32000</v>
      </c>
      <c r="B510" s="999" t="s">
        <v>1540</v>
      </c>
      <c r="C510" s="999" t="s">
        <v>1541</v>
      </c>
      <c r="D510" s="999" t="s">
        <v>894</v>
      </c>
      <c r="E510" s="999" t="s">
        <v>895</v>
      </c>
      <c r="F510" s="999">
        <v>1669730</v>
      </c>
      <c r="G510" s="1000">
        <v>18477267715</v>
      </c>
      <c r="H510" s="999" t="s">
        <v>1680</v>
      </c>
      <c r="I510" s="999" t="s">
        <v>897</v>
      </c>
      <c r="J510" s="1001">
        <v>39825</v>
      </c>
      <c r="K510" s="1001">
        <v>45835</v>
      </c>
      <c r="L510" s="1000">
        <f t="shared" si="58"/>
        <v>197</v>
      </c>
      <c r="M510" s="1002">
        <f t="shared" si="59"/>
        <v>16.416666666666668</v>
      </c>
      <c r="N510" s="1000">
        <v>16</v>
      </c>
      <c r="O510" s="1000">
        <v>16</v>
      </c>
      <c r="P510" s="1000">
        <v>43</v>
      </c>
      <c r="Q510" s="999" t="s">
        <v>898</v>
      </c>
      <c r="R510" s="999" t="s">
        <v>899</v>
      </c>
      <c r="S510" s="999" t="s">
        <v>900</v>
      </c>
      <c r="T510" s="999" t="s">
        <v>1681</v>
      </c>
      <c r="U510" s="1000" t="s">
        <v>55</v>
      </c>
      <c r="V510" s="1000" t="s">
        <v>914</v>
      </c>
      <c r="W510" s="1003">
        <v>17681</v>
      </c>
      <c r="X510" s="1000" t="s">
        <v>903</v>
      </c>
      <c r="Y510" s="1000">
        <v>76</v>
      </c>
      <c r="Z510" s="1000" t="s">
        <v>904</v>
      </c>
      <c r="AA510" s="1000" t="s">
        <v>905</v>
      </c>
      <c r="AB510" s="1000" t="s">
        <v>911</v>
      </c>
      <c r="AC510" s="1000" t="s">
        <v>907</v>
      </c>
      <c r="AD510" s="1004">
        <v>5333.97</v>
      </c>
      <c r="AE510" s="1004">
        <f t="shared" si="56"/>
        <v>87566.007500000007</v>
      </c>
      <c r="AF510" s="1004">
        <f t="shared" si="60"/>
        <v>87566.007500000007</v>
      </c>
      <c r="AG510" s="1005">
        <f t="shared" si="61"/>
        <v>16.416666666666668</v>
      </c>
      <c r="AH510" s="1005">
        <f t="shared" si="57"/>
        <v>13.824821952109025</v>
      </c>
    </row>
    <row r="511" spans="1:34" x14ac:dyDescent="0.25">
      <c r="A511" s="999">
        <v>32000</v>
      </c>
      <c r="B511" s="999" t="s">
        <v>1540</v>
      </c>
      <c r="C511" s="999" t="s">
        <v>1541</v>
      </c>
      <c r="D511" s="999" t="s">
        <v>894</v>
      </c>
      <c r="E511" s="999" t="s">
        <v>895</v>
      </c>
      <c r="F511" s="999">
        <v>1714414</v>
      </c>
      <c r="G511" s="1000">
        <v>23554010715</v>
      </c>
      <c r="H511" s="999" t="s">
        <v>1682</v>
      </c>
      <c r="I511" s="999" t="s">
        <v>897</v>
      </c>
      <c r="J511" s="1001">
        <v>40015</v>
      </c>
      <c r="K511" s="1001">
        <v>45835</v>
      </c>
      <c r="L511" s="1000">
        <f t="shared" si="58"/>
        <v>191</v>
      </c>
      <c r="M511" s="1002">
        <f t="shared" si="59"/>
        <v>15.916666666666666</v>
      </c>
      <c r="N511" s="1000">
        <v>15</v>
      </c>
      <c r="O511" s="1000">
        <v>15</v>
      </c>
      <c r="P511" s="1000">
        <v>43</v>
      </c>
      <c r="Q511" s="999" t="s">
        <v>898</v>
      </c>
      <c r="R511" s="999" t="s">
        <v>899</v>
      </c>
      <c r="S511" s="999" t="s">
        <v>900</v>
      </c>
      <c r="T511" s="999" t="s">
        <v>1582</v>
      </c>
      <c r="U511" s="1000" t="s">
        <v>55</v>
      </c>
      <c r="V511" s="1000" t="s">
        <v>914</v>
      </c>
      <c r="W511" s="1003">
        <v>17165</v>
      </c>
      <c r="X511" s="1000" t="s">
        <v>930</v>
      </c>
      <c r="Y511" s="1000">
        <v>78</v>
      </c>
      <c r="Z511" s="1000" t="s">
        <v>904</v>
      </c>
      <c r="AA511" s="1000" t="s">
        <v>905</v>
      </c>
      <c r="AB511" s="1000" t="s">
        <v>911</v>
      </c>
      <c r="AC511" s="1000" t="s">
        <v>907</v>
      </c>
      <c r="AD511" s="1004">
        <v>5333.97</v>
      </c>
      <c r="AE511" s="1004">
        <f t="shared" si="56"/>
        <v>84899.022500000006</v>
      </c>
      <c r="AF511" s="1004">
        <f t="shared" si="60"/>
        <v>84899.022500000006</v>
      </c>
      <c r="AG511" s="1005">
        <f t="shared" si="61"/>
        <v>15.916666666666668</v>
      </c>
      <c r="AH511" s="1005">
        <f t="shared" si="57"/>
        <v>13.403761385039715</v>
      </c>
    </row>
    <row r="512" spans="1:34" x14ac:dyDescent="0.25">
      <c r="A512" s="999">
        <v>32000</v>
      </c>
      <c r="B512" s="999" t="s">
        <v>1540</v>
      </c>
      <c r="C512" s="999" t="s">
        <v>1541</v>
      </c>
      <c r="D512" s="999" t="s">
        <v>894</v>
      </c>
      <c r="E512" s="999" t="s">
        <v>895</v>
      </c>
      <c r="F512" s="999">
        <v>6455860</v>
      </c>
      <c r="G512" s="1000">
        <v>14497506134</v>
      </c>
      <c r="H512" s="999" t="s">
        <v>1683</v>
      </c>
      <c r="I512" s="999" t="s">
        <v>897</v>
      </c>
      <c r="J512" s="1001">
        <v>39895</v>
      </c>
      <c r="K512" s="1001">
        <v>45835</v>
      </c>
      <c r="L512" s="1000">
        <f t="shared" si="58"/>
        <v>195</v>
      </c>
      <c r="M512" s="1002">
        <f t="shared" si="59"/>
        <v>16.25</v>
      </c>
      <c r="N512" s="1000">
        <v>16</v>
      </c>
      <c r="O512" s="1000">
        <v>16</v>
      </c>
      <c r="P512" s="1000">
        <v>43</v>
      </c>
      <c r="Q512" s="999" t="s">
        <v>898</v>
      </c>
      <c r="R512" s="999" t="s">
        <v>899</v>
      </c>
      <c r="S512" s="999" t="s">
        <v>900</v>
      </c>
      <c r="T512" s="999" t="s">
        <v>613</v>
      </c>
      <c r="U512" s="1000" t="s">
        <v>54</v>
      </c>
      <c r="V512" s="1000" t="s">
        <v>914</v>
      </c>
      <c r="W512" s="1003">
        <v>18231</v>
      </c>
      <c r="X512" s="1000" t="s">
        <v>930</v>
      </c>
      <c r="Y512" s="1000">
        <v>75</v>
      </c>
      <c r="Z512" s="1000" t="s">
        <v>904</v>
      </c>
      <c r="AA512" s="1000" t="s">
        <v>905</v>
      </c>
      <c r="AB512" s="1000" t="s">
        <v>925</v>
      </c>
      <c r="AC512" s="1000" t="s">
        <v>907</v>
      </c>
      <c r="AD512" s="1004">
        <v>10126.049999999999</v>
      </c>
      <c r="AE512" s="1004">
        <f t="shared" si="56"/>
        <v>164548.3125</v>
      </c>
      <c r="AF512" s="1004">
        <f t="shared" si="60"/>
        <v>164548.3125</v>
      </c>
      <c r="AG512" s="1005">
        <f t="shared" si="61"/>
        <v>16.25</v>
      </c>
      <c r="AH512" s="1005">
        <f t="shared" si="57"/>
        <v>14.789463691067361</v>
      </c>
    </row>
    <row r="513" spans="1:34" x14ac:dyDescent="0.25">
      <c r="A513" s="999">
        <v>32000</v>
      </c>
      <c r="B513" s="999" t="s">
        <v>1540</v>
      </c>
      <c r="C513" s="999" t="s">
        <v>1541</v>
      </c>
      <c r="D513" s="999" t="s">
        <v>894</v>
      </c>
      <c r="E513" s="999" t="s">
        <v>895</v>
      </c>
      <c r="F513" s="999">
        <v>2094507</v>
      </c>
      <c r="G513" s="1000">
        <v>227781104</v>
      </c>
      <c r="H513" s="999" t="s">
        <v>1684</v>
      </c>
      <c r="I513" s="999" t="s">
        <v>897</v>
      </c>
      <c r="J513" s="1001">
        <v>39944</v>
      </c>
      <c r="K513" s="1001">
        <v>45835</v>
      </c>
      <c r="L513" s="1000">
        <f t="shared" si="58"/>
        <v>193</v>
      </c>
      <c r="M513" s="1002">
        <f t="shared" si="59"/>
        <v>16.083333333333332</v>
      </c>
      <c r="N513" s="1000">
        <v>16</v>
      </c>
      <c r="O513" s="1000">
        <v>16</v>
      </c>
      <c r="P513" s="1000">
        <v>43</v>
      </c>
      <c r="Q513" s="999" t="s">
        <v>898</v>
      </c>
      <c r="R513" s="999" t="s">
        <v>899</v>
      </c>
      <c r="S513" s="999" t="s">
        <v>900</v>
      </c>
      <c r="T513" s="999" t="s">
        <v>1361</v>
      </c>
      <c r="U513" s="1000" t="s">
        <v>54</v>
      </c>
      <c r="V513" s="1000" t="s">
        <v>914</v>
      </c>
      <c r="W513" s="1003">
        <v>16528</v>
      </c>
      <c r="X513" s="1000" t="s">
        <v>903</v>
      </c>
      <c r="Y513" s="1000">
        <v>80</v>
      </c>
      <c r="Z513" s="1000" t="s">
        <v>904</v>
      </c>
      <c r="AA513" s="1000" t="s">
        <v>905</v>
      </c>
      <c r="AB513" s="1000" t="s">
        <v>925</v>
      </c>
      <c r="AC513" s="1000" t="s">
        <v>907</v>
      </c>
      <c r="AD513" s="1004">
        <v>10126.049999999999</v>
      </c>
      <c r="AE513" s="1004">
        <f t="shared" si="56"/>
        <v>162860.63749999998</v>
      </c>
      <c r="AF513" s="1004">
        <f t="shared" si="60"/>
        <v>162860.63749999998</v>
      </c>
      <c r="AG513" s="1005">
        <f t="shared" si="61"/>
        <v>16.083333333333332</v>
      </c>
      <c r="AH513" s="1005">
        <f t="shared" si="57"/>
        <v>14.637776883979489</v>
      </c>
    </row>
    <row r="514" spans="1:34" x14ac:dyDescent="0.25">
      <c r="A514" s="999">
        <v>13200</v>
      </c>
      <c r="B514" s="999" t="s">
        <v>1685</v>
      </c>
      <c r="C514" s="999" t="s">
        <v>1686</v>
      </c>
      <c r="D514" s="999" t="s">
        <v>894</v>
      </c>
      <c r="E514" s="999" t="s">
        <v>895</v>
      </c>
      <c r="F514" s="999">
        <v>1248811</v>
      </c>
      <c r="G514" s="1000">
        <v>28607821849</v>
      </c>
      <c r="H514" s="999" t="s">
        <v>1687</v>
      </c>
      <c r="I514" s="999" t="s">
        <v>897</v>
      </c>
      <c r="J514" s="1001">
        <v>42237</v>
      </c>
      <c r="K514" s="1001">
        <v>45835</v>
      </c>
      <c r="L514" s="1000">
        <f t="shared" si="58"/>
        <v>118</v>
      </c>
      <c r="M514" s="1002">
        <f t="shared" si="59"/>
        <v>9.8333333333333339</v>
      </c>
      <c r="N514" s="1000">
        <v>9</v>
      </c>
      <c r="O514" s="1000">
        <v>10</v>
      </c>
      <c r="P514" s="1000">
        <v>43</v>
      </c>
      <c r="Q514" s="999" t="s">
        <v>898</v>
      </c>
      <c r="R514" s="999" t="s">
        <v>899</v>
      </c>
      <c r="S514" s="999" t="s">
        <v>900</v>
      </c>
      <c r="T514" s="999" t="s">
        <v>924</v>
      </c>
      <c r="U514" s="1000" t="s">
        <v>55</v>
      </c>
      <c r="V514" s="1000" t="s">
        <v>914</v>
      </c>
      <c r="W514" s="1003">
        <v>17420</v>
      </c>
      <c r="X514" s="1000" t="s">
        <v>903</v>
      </c>
      <c r="Y514" s="1000">
        <v>77</v>
      </c>
      <c r="Z514" s="1000" t="s">
        <v>904</v>
      </c>
      <c r="AA514" s="1000" t="s">
        <v>905</v>
      </c>
      <c r="AB514" s="1000" t="s">
        <v>911</v>
      </c>
      <c r="AC514" s="1000" t="s">
        <v>907</v>
      </c>
      <c r="AD514" s="1004">
        <v>22374.06</v>
      </c>
      <c r="AE514" s="1004">
        <f t="shared" si="56"/>
        <v>220011.59000000003</v>
      </c>
      <c r="AF514" s="1004">
        <f t="shared" si="60"/>
        <v>220011.59000000003</v>
      </c>
      <c r="AG514" s="1005">
        <f t="shared" si="61"/>
        <v>9.8333333333333339</v>
      </c>
      <c r="AH514" s="1005">
        <f t="shared" si="57"/>
        <v>9.4126390537202358</v>
      </c>
    </row>
    <row r="515" spans="1:34" x14ac:dyDescent="0.25">
      <c r="A515" s="999">
        <v>32000</v>
      </c>
      <c r="B515" s="999" t="s">
        <v>1540</v>
      </c>
      <c r="C515" s="999" t="s">
        <v>1541</v>
      </c>
      <c r="D515" s="999" t="s">
        <v>894</v>
      </c>
      <c r="E515" s="999" t="s">
        <v>895</v>
      </c>
      <c r="F515" s="999">
        <v>1689614</v>
      </c>
      <c r="G515" s="1000">
        <v>2686317787</v>
      </c>
      <c r="H515" s="999" t="s">
        <v>1688</v>
      </c>
      <c r="I515" s="999" t="s">
        <v>897</v>
      </c>
      <c r="J515" s="1001">
        <v>39904</v>
      </c>
      <c r="K515" s="1001">
        <v>45835</v>
      </c>
      <c r="L515" s="1000">
        <f t="shared" si="58"/>
        <v>194</v>
      </c>
      <c r="M515" s="1002">
        <f t="shared" si="59"/>
        <v>16.166666666666668</v>
      </c>
      <c r="N515" s="1000">
        <v>16</v>
      </c>
      <c r="O515" s="1000">
        <v>16</v>
      </c>
      <c r="P515" s="1000">
        <v>43</v>
      </c>
      <c r="Q515" s="999" t="s">
        <v>898</v>
      </c>
      <c r="R515" s="999" t="s">
        <v>899</v>
      </c>
      <c r="S515" s="999" t="s">
        <v>900</v>
      </c>
      <c r="T515" s="999" t="s">
        <v>1689</v>
      </c>
      <c r="U515" s="1000" t="s">
        <v>54</v>
      </c>
      <c r="V515" s="1000" t="s">
        <v>914</v>
      </c>
      <c r="W515" s="1003">
        <v>16406</v>
      </c>
      <c r="X515" s="1000" t="s">
        <v>903</v>
      </c>
      <c r="Y515" s="1000">
        <v>80</v>
      </c>
      <c r="Z515" s="1000" t="s">
        <v>904</v>
      </c>
      <c r="AA515" s="1000" t="s">
        <v>905</v>
      </c>
      <c r="AB515" s="1000" t="s">
        <v>925</v>
      </c>
      <c r="AC515" s="1000" t="s">
        <v>907</v>
      </c>
      <c r="AD515" s="1004">
        <v>10126.049999999999</v>
      </c>
      <c r="AE515" s="1004">
        <f t="shared" si="56"/>
        <v>163704.47500000001</v>
      </c>
      <c r="AF515" s="1004">
        <f t="shared" si="60"/>
        <v>163704.47500000001</v>
      </c>
      <c r="AG515" s="1005">
        <f t="shared" si="61"/>
        <v>16.166666666666668</v>
      </c>
      <c r="AH515" s="1005">
        <f t="shared" si="57"/>
        <v>14.713620287523426</v>
      </c>
    </row>
    <row r="516" spans="1:34" x14ac:dyDescent="0.25">
      <c r="A516" s="999">
        <v>49100</v>
      </c>
      <c r="B516" s="999" t="s">
        <v>1690</v>
      </c>
      <c r="C516" s="999" t="s">
        <v>1691</v>
      </c>
      <c r="D516" s="999" t="s">
        <v>894</v>
      </c>
      <c r="E516" s="999" t="s">
        <v>895</v>
      </c>
      <c r="F516" s="999">
        <v>839961</v>
      </c>
      <c r="G516" s="1000">
        <v>9319751668</v>
      </c>
      <c r="H516" s="999" t="s">
        <v>1692</v>
      </c>
      <c r="I516" s="999" t="s">
        <v>1232</v>
      </c>
      <c r="J516" s="1001">
        <v>44136</v>
      </c>
      <c r="K516" s="1001">
        <v>45835</v>
      </c>
      <c r="L516" s="1000">
        <f t="shared" si="58"/>
        <v>55</v>
      </c>
      <c r="M516" s="1002">
        <f t="shared" si="59"/>
        <v>4.583333333333333</v>
      </c>
      <c r="N516" s="1000">
        <v>4</v>
      </c>
      <c r="O516" s="1000">
        <v>10</v>
      </c>
      <c r="P516" s="1000">
        <v>8</v>
      </c>
      <c r="Q516" s="999" t="s">
        <v>1445</v>
      </c>
      <c r="R516" s="999" t="s">
        <v>899</v>
      </c>
      <c r="S516" s="999" t="s">
        <v>900</v>
      </c>
      <c r="T516" s="999" t="s">
        <v>1693</v>
      </c>
      <c r="U516" s="1000" t="s">
        <v>54</v>
      </c>
      <c r="V516" s="1000" t="s">
        <v>914</v>
      </c>
      <c r="W516" s="1003">
        <v>16752</v>
      </c>
      <c r="X516" s="1000" t="s">
        <v>903</v>
      </c>
      <c r="Y516" s="1000">
        <v>79</v>
      </c>
      <c r="Z516" s="1000" t="s">
        <v>904</v>
      </c>
      <c r="AA516" s="1000" t="s">
        <v>905</v>
      </c>
      <c r="AB516" s="1000" t="s">
        <v>925</v>
      </c>
      <c r="AC516" s="1000" t="s">
        <v>907</v>
      </c>
      <c r="AD516" s="1004">
        <v>24658.720000000001</v>
      </c>
      <c r="AE516" s="1004">
        <f t="shared" ref="AE516:AE554" si="62">AD516*M516</f>
        <v>113019.13333333333</v>
      </c>
      <c r="AF516" s="1004">
        <f t="shared" si="60"/>
        <v>113019.13333333333</v>
      </c>
      <c r="AG516" s="1005">
        <f t="shared" si="61"/>
        <v>4.583333333333333</v>
      </c>
      <c r="AH516" s="1005">
        <f t="shared" ref="AH516:AH554" si="63">AF516/(AD516+1000)</f>
        <v>4.4047066000694235</v>
      </c>
    </row>
    <row r="517" spans="1:34" x14ac:dyDescent="0.25">
      <c r="A517" s="999">
        <v>49100</v>
      </c>
      <c r="B517" s="999" t="s">
        <v>1690</v>
      </c>
      <c r="C517" s="999" t="s">
        <v>1691</v>
      </c>
      <c r="D517" s="999" t="s">
        <v>894</v>
      </c>
      <c r="E517" s="999" t="s">
        <v>895</v>
      </c>
      <c r="F517" s="999">
        <v>1024472</v>
      </c>
      <c r="G517" s="1000">
        <v>3971651704</v>
      </c>
      <c r="H517" s="999" t="s">
        <v>1694</v>
      </c>
      <c r="I517" s="999" t="s">
        <v>1232</v>
      </c>
      <c r="J517" s="1001">
        <v>43945</v>
      </c>
      <c r="K517" s="1001">
        <v>45835</v>
      </c>
      <c r="L517" s="1000">
        <f t="shared" ref="L517:L554" si="64">DATEDIF(J517,K517, "m")</f>
        <v>62</v>
      </c>
      <c r="M517" s="1002">
        <f t="shared" ref="M517:M554" si="65">L517/12</f>
        <v>5.166666666666667</v>
      </c>
      <c r="N517" s="1000">
        <v>5</v>
      </c>
      <c r="O517" s="1000">
        <v>10</v>
      </c>
      <c r="P517" s="1000">
        <v>48</v>
      </c>
      <c r="Q517" s="999" t="s">
        <v>1695</v>
      </c>
      <c r="R517" s="999" t="s">
        <v>899</v>
      </c>
      <c r="S517" s="999" t="s">
        <v>900</v>
      </c>
      <c r="T517" s="999" t="s">
        <v>1693</v>
      </c>
      <c r="U517" s="1000" t="s">
        <v>54</v>
      </c>
      <c r="V517" s="1000" t="s">
        <v>921</v>
      </c>
      <c r="W517" s="1003">
        <v>15836</v>
      </c>
      <c r="X517" s="1000" t="s">
        <v>903</v>
      </c>
      <c r="Y517" s="1000">
        <v>81</v>
      </c>
      <c r="Z517" s="1000" t="s">
        <v>904</v>
      </c>
      <c r="AA517" s="1000" t="s">
        <v>905</v>
      </c>
      <c r="AB517" s="1000" t="s">
        <v>1588</v>
      </c>
      <c r="AC517" s="1000" t="s">
        <v>907</v>
      </c>
      <c r="AD517" s="1004">
        <v>26108.959999999999</v>
      </c>
      <c r="AE517" s="1004">
        <f t="shared" si="62"/>
        <v>134896.29333333333</v>
      </c>
      <c r="AF517" s="1004">
        <f t="shared" ref="AF517:AF554" si="66">AE517</f>
        <v>134896.29333333333</v>
      </c>
      <c r="AG517" s="1005">
        <f t="shared" si="61"/>
        <v>5.166666666666667</v>
      </c>
      <c r="AH517" s="1005">
        <f t="shared" si="63"/>
        <v>4.9760777740397764</v>
      </c>
    </row>
    <row r="518" spans="1:34" x14ac:dyDescent="0.25">
      <c r="A518" s="999">
        <v>49100</v>
      </c>
      <c r="B518" s="999" t="s">
        <v>1690</v>
      </c>
      <c r="C518" s="999" t="s">
        <v>1691</v>
      </c>
      <c r="D518" s="999" t="s">
        <v>894</v>
      </c>
      <c r="E518" s="999" t="s">
        <v>895</v>
      </c>
      <c r="F518" s="999">
        <v>1024382</v>
      </c>
      <c r="G518" s="1000">
        <v>9866620115</v>
      </c>
      <c r="H518" s="999" t="s">
        <v>1696</v>
      </c>
      <c r="I518" s="999" t="s">
        <v>1444</v>
      </c>
      <c r="J518" s="1001">
        <v>45323</v>
      </c>
      <c r="K518" s="1001">
        <v>45835</v>
      </c>
      <c r="L518" s="1000">
        <f t="shared" si="64"/>
        <v>16</v>
      </c>
      <c r="M518" s="1002">
        <f t="shared" si="65"/>
        <v>1.3333333333333333</v>
      </c>
      <c r="N518" s="1000">
        <v>1</v>
      </c>
      <c r="O518" s="1000">
        <v>10</v>
      </c>
      <c r="P518" s="1000">
        <v>48</v>
      </c>
      <c r="Q518" s="999" t="s">
        <v>1695</v>
      </c>
      <c r="R518" s="999" t="s">
        <v>899</v>
      </c>
      <c r="S518" s="999" t="s">
        <v>900</v>
      </c>
      <c r="T518" s="999" t="s">
        <v>1693</v>
      </c>
      <c r="U518" s="1000" t="s">
        <v>54</v>
      </c>
      <c r="V518" s="1000" t="s">
        <v>914</v>
      </c>
      <c r="W518" s="1003">
        <v>16561</v>
      </c>
      <c r="X518" s="1000" t="s">
        <v>903</v>
      </c>
      <c r="Y518" s="1000">
        <v>79</v>
      </c>
      <c r="Z518" s="1000" t="s">
        <v>904</v>
      </c>
      <c r="AA518" s="1000" t="s">
        <v>905</v>
      </c>
      <c r="AB518" s="1000" t="s">
        <v>925</v>
      </c>
      <c r="AC518" s="1000" t="s">
        <v>907</v>
      </c>
      <c r="AD518" s="1004">
        <v>20428.54</v>
      </c>
      <c r="AE518" s="1004">
        <f t="shared" si="62"/>
        <v>27238.053333333333</v>
      </c>
      <c r="AF518" s="1004">
        <f t="shared" si="66"/>
        <v>27238.053333333333</v>
      </c>
      <c r="AG518" s="1005">
        <f t="shared" si="61"/>
        <v>1.3333333333333333</v>
      </c>
      <c r="AH518" s="1005">
        <f t="shared" si="63"/>
        <v>1.2711110198517179</v>
      </c>
    </row>
    <row r="519" spans="1:34" x14ac:dyDescent="0.25">
      <c r="A519" s="999">
        <v>49100</v>
      </c>
      <c r="B519" s="999" t="s">
        <v>1690</v>
      </c>
      <c r="C519" s="999" t="s">
        <v>1691</v>
      </c>
      <c r="D519" s="999" t="s">
        <v>894</v>
      </c>
      <c r="E519" s="999" t="s">
        <v>895</v>
      </c>
      <c r="F519" s="999">
        <v>1121586</v>
      </c>
      <c r="G519" s="1000">
        <v>96514990878</v>
      </c>
      <c r="H519" s="999" t="s">
        <v>1697</v>
      </c>
      <c r="I519" s="999" t="s">
        <v>1232</v>
      </c>
      <c r="J519" s="1001">
        <v>43304</v>
      </c>
      <c r="K519" s="1001">
        <v>45835</v>
      </c>
      <c r="L519" s="1000">
        <f t="shared" si="64"/>
        <v>83</v>
      </c>
      <c r="M519" s="1002">
        <f t="shared" si="65"/>
        <v>6.916666666666667</v>
      </c>
      <c r="N519" s="1000">
        <v>6</v>
      </c>
      <c r="O519" s="1000">
        <v>10</v>
      </c>
      <c r="P519" s="1000">
        <v>8</v>
      </c>
      <c r="Q519" s="999" t="s">
        <v>1445</v>
      </c>
      <c r="R519" s="999" t="s">
        <v>899</v>
      </c>
      <c r="S519" s="999" t="s">
        <v>900</v>
      </c>
      <c r="T519" s="999" t="s">
        <v>1693</v>
      </c>
      <c r="U519" s="1000" t="s">
        <v>54</v>
      </c>
      <c r="V519" s="1000" t="s">
        <v>914</v>
      </c>
      <c r="W519" s="1003">
        <v>18278</v>
      </c>
      <c r="X519" s="1000" t="s">
        <v>903</v>
      </c>
      <c r="Y519" s="1000">
        <v>75</v>
      </c>
      <c r="Z519" s="1000" t="s">
        <v>904</v>
      </c>
      <c r="AA519" s="1000" t="s">
        <v>905</v>
      </c>
      <c r="AB519" s="1000" t="s">
        <v>925</v>
      </c>
      <c r="AC519" s="1000" t="s">
        <v>907</v>
      </c>
      <c r="AD519" s="1004">
        <v>24996.97</v>
      </c>
      <c r="AE519" s="1004">
        <f t="shared" si="62"/>
        <v>172895.7091666667</v>
      </c>
      <c r="AF519" s="1004">
        <f t="shared" si="66"/>
        <v>172895.7091666667</v>
      </c>
      <c r="AG519" s="1005">
        <f t="shared" si="61"/>
        <v>6.9166666666666679</v>
      </c>
      <c r="AH519" s="1005">
        <f t="shared" si="63"/>
        <v>6.6506100198087195</v>
      </c>
    </row>
    <row r="520" spans="1:34" x14ac:dyDescent="0.25">
      <c r="A520" s="999">
        <v>49100</v>
      </c>
      <c r="B520" s="999" t="s">
        <v>1690</v>
      </c>
      <c r="C520" s="999" t="s">
        <v>1691</v>
      </c>
      <c r="D520" s="999" t="s">
        <v>894</v>
      </c>
      <c r="E520" s="999" t="s">
        <v>895</v>
      </c>
      <c r="F520" s="999">
        <v>839725</v>
      </c>
      <c r="G520" s="1000">
        <v>23107154768</v>
      </c>
      <c r="H520" s="999" t="s">
        <v>1698</v>
      </c>
      <c r="I520" s="999" t="s">
        <v>1232</v>
      </c>
      <c r="J520" s="1001">
        <v>43101</v>
      </c>
      <c r="K520" s="1001">
        <v>45835</v>
      </c>
      <c r="L520" s="1000">
        <f t="shared" si="64"/>
        <v>89</v>
      </c>
      <c r="M520" s="1002">
        <f t="shared" si="65"/>
        <v>7.416666666666667</v>
      </c>
      <c r="N520" s="1000">
        <v>7</v>
      </c>
      <c r="O520" s="1000">
        <v>10</v>
      </c>
      <c r="P520" s="1000">
        <v>48</v>
      </c>
      <c r="Q520" s="999" t="s">
        <v>1695</v>
      </c>
      <c r="R520" s="999" t="s">
        <v>899</v>
      </c>
      <c r="S520" s="999" t="s">
        <v>900</v>
      </c>
      <c r="T520" s="999" t="s">
        <v>1693</v>
      </c>
      <c r="U520" s="1000" t="s">
        <v>54</v>
      </c>
      <c r="V520" s="1000" t="s">
        <v>921</v>
      </c>
      <c r="W520" s="1003">
        <v>17663</v>
      </c>
      <c r="X520" s="1000" t="s">
        <v>903</v>
      </c>
      <c r="Y520" s="1000">
        <v>76</v>
      </c>
      <c r="Z520" s="1000" t="s">
        <v>904</v>
      </c>
      <c r="AA520" s="1000" t="s">
        <v>905</v>
      </c>
      <c r="AB520" s="1000" t="s">
        <v>1588</v>
      </c>
      <c r="AC520" s="1000" t="s">
        <v>907</v>
      </c>
      <c r="AD520" s="1004">
        <v>29109.61</v>
      </c>
      <c r="AE520" s="1004">
        <f t="shared" si="62"/>
        <v>215896.27416666667</v>
      </c>
      <c r="AF520" s="1004">
        <f t="shared" si="66"/>
        <v>215896.27416666667</v>
      </c>
      <c r="AG520" s="1005">
        <f t="shared" si="61"/>
        <v>7.416666666666667</v>
      </c>
      <c r="AH520" s="1005">
        <f t="shared" si="63"/>
        <v>7.1703444238124199</v>
      </c>
    </row>
    <row r="521" spans="1:34" x14ac:dyDescent="0.25">
      <c r="A521" s="999">
        <v>49100</v>
      </c>
      <c r="B521" s="999" t="s">
        <v>1690</v>
      </c>
      <c r="C521" s="999" t="s">
        <v>1691</v>
      </c>
      <c r="D521" s="999" t="s">
        <v>894</v>
      </c>
      <c r="E521" s="999" t="s">
        <v>895</v>
      </c>
      <c r="F521" s="999">
        <v>842625</v>
      </c>
      <c r="G521" s="1000">
        <v>20963564668</v>
      </c>
      <c r="H521" s="999" t="s">
        <v>1699</v>
      </c>
      <c r="I521" s="999" t="s">
        <v>1232</v>
      </c>
      <c r="J521" s="1001">
        <v>43831</v>
      </c>
      <c r="K521" s="1001">
        <v>45835</v>
      </c>
      <c r="L521" s="1000">
        <f t="shared" si="64"/>
        <v>65</v>
      </c>
      <c r="M521" s="1002">
        <f t="shared" si="65"/>
        <v>5.416666666666667</v>
      </c>
      <c r="N521" s="1000">
        <v>5</v>
      </c>
      <c r="O521" s="1000">
        <v>10</v>
      </c>
      <c r="P521" s="1000">
        <v>48</v>
      </c>
      <c r="Q521" s="999" t="s">
        <v>1695</v>
      </c>
      <c r="R521" s="999" t="s">
        <v>899</v>
      </c>
      <c r="S521" s="999" t="s">
        <v>900</v>
      </c>
      <c r="T521" s="999" t="s">
        <v>1361</v>
      </c>
      <c r="U521" s="1000" t="s">
        <v>54</v>
      </c>
      <c r="V521" s="1000" t="s">
        <v>914</v>
      </c>
      <c r="W521" s="1003">
        <v>18334</v>
      </c>
      <c r="X521" s="1000" t="s">
        <v>903</v>
      </c>
      <c r="Y521" s="1000">
        <v>75</v>
      </c>
      <c r="Z521" s="1000" t="s">
        <v>904</v>
      </c>
      <c r="AA521" s="1000" t="s">
        <v>905</v>
      </c>
      <c r="AB521" s="1000" t="s">
        <v>925</v>
      </c>
      <c r="AC521" s="1000" t="s">
        <v>907</v>
      </c>
      <c r="AD521" s="1004">
        <v>22974.67</v>
      </c>
      <c r="AE521" s="1004">
        <f t="shared" si="62"/>
        <v>124446.12916666667</v>
      </c>
      <c r="AF521" s="1004">
        <f t="shared" si="66"/>
        <v>124446.12916666667</v>
      </c>
      <c r="AG521" s="1005">
        <f t="shared" si="61"/>
        <v>5.416666666666667</v>
      </c>
      <c r="AH521" s="1005">
        <f t="shared" si="63"/>
        <v>5.1907337688763464</v>
      </c>
    </row>
    <row r="522" spans="1:34" x14ac:dyDescent="0.25">
      <c r="A522" s="999">
        <v>49200</v>
      </c>
      <c r="B522" s="999" t="s">
        <v>1700</v>
      </c>
      <c r="C522" s="999" t="s">
        <v>1284</v>
      </c>
      <c r="D522" s="999" t="s">
        <v>894</v>
      </c>
      <c r="E522" s="999" t="s">
        <v>895</v>
      </c>
      <c r="F522" s="999">
        <v>1834060</v>
      </c>
      <c r="G522" s="1000">
        <v>21877424749</v>
      </c>
      <c r="H522" s="999" t="s">
        <v>1701</v>
      </c>
      <c r="I522" s="999" t="s">
        <v>897</v>
      </c>
      <c r="J522" s="1001">
        <v>40553</v>
      </c>
      <c r="K522" s="1001">
        <v>45835</v>
      </c>
      <c r="L522" s="1000">
        <f t="shared" si="64"/>
        <v>173</v>
      </c>
      <c r="M522" s="1002">
        <f t="shared" si="65"/>
        <v>14.416666666666666</v>
      </c>
      <c r="N522" s="1000">
        <v>14</v>
      </c>
      <c r="O522" s="1000">
        <v>14</v>
      </c>
      <c r="P522" s="1000">
        <v>43</v>
      </c>
      <c r="Q522" s="999" t="s">
        <v>898</v>
      </c>
      <c r="R522" s="999" t="s">
        <v>899</v>
      </c>
      <c r="S522" s="999" t="s">
        <v>900</v>
      </c>
      <c r="T522" s="999" t="s">
        <v>924</v>
      </c>
      <c r="U522" s="1000" t="s">
        <v>55</v>
      </c>
      <c r="V522" s="1000" t="s">
        <v>914</v>
      </c>
      <c r="W522" s="1003">
        <v>16437</v>
      </c>
      <c r="X522" s="1000" t="s">
        <v>903</v>
      </c>
      <c r="Y522" s="1000">
        <v>80</v>
      </c>
      <c r="Z522" s="1000" t="s">
        <v>904</v>
      </c>
      <c r="AA522" s="1000" t="s">
        <v>905</v>
      </c>
      <c r="AB522" s="1000" t="s">
        <v>911</v>
      </c>
      <c r="AC522" s="1000" t="s">
        <v>907</v>
      </c>
      <c r="AD522" s="1004">
        <v>5333.97</v>
      </c>
      <c r="AE522" s="1004">
        <f t="shared" si="62"/>
        <v>76898.067500000005</v>
      </c>
      <c r="AF522" s="1004">
        <f t="shared" si="66"/>
        <v>76898.067500000005</v>
      </c>
      <c r="AG522" s="1005">
        <f t="shared" si="61"/>
        <v>14.416666666666666</v>
      </c>
      <c r="AH522" s="1005">
        <f t="shared" si="63"/>
        <v>12.140579683831783</v>
      </c>
    </row>
    <row r="523" spans="1:34" x14ac:dyDescent="0.25">
      <c r="A523" s="999">
        <v>49200</v>
      </c>
      <c r="B523" s="999" t="s">
        <v>1700</v>
      </c>
      <c r="C523" s="999" t="s">
        <v>1284</v>
      </c>
      <c r="D523" s="999" t="s">
        <v>894</v>
      </c>
      <c r="E523" s="999" t="s">
        <v>895</v>
      </c>
      <c r="F523" s="999">
        <v>1745335</v>
      </c>
      <c r="G523" s="1000">
        <v>10396225420</v>
      </c>
      <c r="H523" s="999" t="s">
        <v>1702</v>
      </c>
      <c r="I523" s="999" t="s">
        <v>897</v>
      </c>
      <c r="J523" s="1001">
        <v>40161</v>
      </c>
      <c r="K523" s="1001">
        <v>45835</v>
      </c>
      <c r="L523" s="1000">
        <f t="shared" si="64"/>
        <v>186</v>
      </c>
      <c r="M523" s="1002">
        <f t="shared" si="65"/>
        <v>15.5</v>
      </c>
      <c r="N523" s="1000">
        <v>15</v>
      </c>
      <c r="O523" s="1000">
        <v>15</v>
      </c>
      <c r="P523" s="1000">
        <v>43</v>
      </c>
      <c r="Q523" s="999" t="s">
        <v>898</v>
      </c>
      <c r="R523" s="999" t="s">
        <v>899</v>
      </c>
      <c r="S523" s="999" t="s">
        <v>900</v>
      </c>
      <c r="T523" s="999" t="s">
        <v>1703</v>
      </c>
      <c r="U523" s="1000" t="s">
        <v>55</v>
      </c>
      <c r="V523" s="1000" t="s">
        <v>914</v>
      </c>
      <c r="W523" s="1003">
        <v>18219</v>
      </c>
      <c r="X523" s="1000" t="s">
        <v>903</v>
      </c>
      <c r="Y523" s="1000">
        <v>75</v>
      </c>
      <c r="Z523" s="1000" t="s">
        <v>904</v>
      </c>
      <c r="AA523" s="1000" t="s">
        <v>905</v>
      </c>
      <c r="AB523" s="1000" t="s">
        <v>911</v>
      </c>
      <c r="AC523" s="1000" t="s">
        <v>907</v>
      </c>
      <c r="AD523" s="1004">
        <v>5333.97</v>
      </c>
      <c r="AE523" s="1004">
        <f t="shared" si="62"/>
        <v>82676.535000000003</v>
      </c>
      <c r="AF523" s="1004">
        <f t="shared" si="66"/>
        <v>82676.535000000003</v>
      </c>
      <c r="AG523" s="1005">
        <f t="shared" si="61"/>
        <v>15.5</v>
      </c>
      <c r="AH523" s="1005">
        <f t="shared" si="63"/>
        <v>13.052877579148623</v>
      </c>
    </row>
    <row r="524" spans="1:34" x14ac:dyDescent="0.25">
      <c r="A524" s="999">
        <v>49200</v>
      </c>
      <c r="B524" s="999" t="s">
        <v>1700</v>
      </c>
      <c r="C524" s="999" t="s">
        <v>1284</v>
      </c>
      <c r="D524" s="999" t="s">
        <v>894</v>
      </c>
      <c r="E524" s="999" t="s">
        <v>895</v>
      </c>
      <c r="F524" s="999">
        <v>1022022</v>
      </c>
      <c r="G524" s="1000">
        <v>21185794700</v>
      </c>
      <c r="H524" s="999" t="s">
        <v>1704</v>
      </c>
      <c r="I524" s="999" t="s">
        <v>1444</v>
      </c>
      <c r="J524" s="1001">
        <v>45231</v>
      </c>
      <c r="K524" s="1001">
        <v>45835</v>
      </c>
      <c r="L524" s="1000">
        <f t="shared" si="64"/>
        <v>19</v>
      </c>
      <c r="M524" s="1002">
        <f t="shared" si="65"/>
        <v>1.5833333333333333</v>
      </c>
      <c r="N524" s="1000">
        <v>1</v>
      </c>
      <c r="O524" s="1000">
        <v>10</v>
      </c>
      <c r="P524" s="1000">
        <v>8</v>
      </c>
      <c r="Q524" s="999" t="s">
        <v>1445</v>
      </c>
      <c r="R524" s="999" t="s">
        <v>899</v>
      </c>
      <c r="S524" s="999" t="s">
        <v>900</v>
      </c>
      <c r="T524" s="999" t="s">
        <v>1705</v>
      </c>
      <c r="U524" s="1000" t="s">
        <v>55</v>
      </c>
      <c r="V524" s="1000" t="s">
        <v>914</v>
      </c>
      <c r="W524" s="1003">
        <v>15641</v>
      </c>
      <c r="X524" s="1000" t="s">
        <v>903</v>
      </c>
      <c r="Y524" s="1000">
        <v>82</v>
      </c>
      <c r="Z524" s="1000" t="s">
        <v>904</v>
      </c>
      <c r="AA524" s="1000" t="s">
        <v>905</v>
      </c>
      <c r="AB524" s="1000" t="s">
        <v>911</v>
      </c>
      <c r="AC524" s="1000" t="s">
        <v>907</v>
      </c>
      <c r="AD524" s="1004">
        <v>5333.97</v>
      </c>
      <c r="AE524" s="1004">
        <f t="shared" si="62"/>
        <v>8445.4524999999994</v>
      </c>
      <c r="AF524" s="1004">
        <f t="shared" si="66"/>
        <v>8445.4524999999994</v>
      </c>
      <c r="AG524" s="1005">
        <f t="shared" si="61"/>
        <v>1.5833333333333333</v>
      </c>
      <c r="AH524" s="1005">
        <f t="shared" si="63"/>
        <v>1.3333584623861494</v>
      </c>
    </row>
    <row r="525" spans="1:34" x14ac:dyDescent="0.25">
      <c r="A525" s="999">
        <v>49200</v>
      </c>
      <c r="B525" s="999" t="s">
        <v>1700</v>
      </c>
      <c r="C525" s="999" t="s">
        <v>1284</v>
      </c>
      <c r="D525" s="999" t="s">
        <v>894</v>
      </c>
      <c r="E525" s="999" t="s">
        <v>895</v>
      </c>
      <c r="F525" s="999">
        <v>1879708</v>
      </c>
      <c r="G525" s="1000">
        <v>17380413449</v>
      </c>
      <c r="H525" s="999" t="s">
        <v>1706</v>
      </c>
      <c r="I525" s="999" t="s">
        <v>897</v>
      </c>
      <c r="J525" s="1001">
        <v>40745</v>
      </c>
      <c r="K525" s="1001">
        <v>45835</v>
      </c>
      <c r="L525" s="1000">
        <f t="shared" si="64"/>
        <v>167</v>
      </c>
      <c r="M525" s="1002">
        <f t="shared" si="65"/>
        <v>13.916666666666666</v>
      </c>
      <c r="N525" s="1000">
        <v>13</v>
      </c>
      <c r="O525" s="1000">
        <v>13</v>
      </c>
      <c r="P525" s="1000">
        <v>43</v>
      </c>
      <c r="Q525" s="999" t="s">
        <v>898</v>
      </c>
      <c r="R525" s="999" t="s">
        <v>899</v>
      </c>
      <c r="S525" s="999" t="s">
        <v>900</v>
      </c>
      <c r="T525" s="999" t="s">
        <v>1707</v>
      </c>
      <c r="U525" s="1000"/>
      <c r="V525" s="1000" t="s">
        <v>914</v>
      </c>
      <c r="W525" s="1003">
        <v>17988</v>
      </c>
      <c r="X525" s="1000" t="s">
        <v>903</v>
      </c>
      <c r="Y525" s="1000">
        <v>76</v>
      </c>
      <c r="Z525" s="1000" t="s">
        <v>904</v>
      </c>
      <c r="AA525" s="1000" t="s">
        <v>905</v>
      </c>
      <c r="AB525" s="1000" t="s">
        <v>938</v>
      </c>
      <c r="AC525" s="1000" t="s">
        <v>907</v>
      </c>
      <c r="AD525" s="1004">
        <v>3813.57</v>
      </c>
      <c r="AE525" s="1004">
        <f t="shared" si="62"/>
        <v>53072.182500000003</v>
      </c>
      <c r="AF525" s="1004">
        <f t="shared" si="66"/>
        <v>53072.182500000003</v>
      </c>
      <c r="AG525" s="1005">
        <f t="shared" si="61"/>
        <v>13.916666666666666</v>
      </c>
      <c r="AH525" s="1005">
        <f t="shared" si="63"/>
        <v>11.025534582440892</v>
      </c>
    </row>
    <row r="526" spans="1:34" x14ac:dyDescent="0.25">
      <c r="A526" s="999">
        <v>49200</v>
      </c>
      <c r="B526" s="999" t="s">
        <v>1700</v>
      </c>
      <c r="C526" s="999" t="s">
        <v>1284</v>
      </c>
      <c r="D526" s="999" t="s">
        <v>894</v>
      </c>
      <c r="E526" s="999" t="s">
        <v>895</v>
      </c>
      <c r="F526" s="999">
        <v>1068083</v>
      </c>
      <c r="G526" s="1000">
        <v>5803322415</v>
      </c>
      <c r="H526" s="999" t="s">
        <v>1708</v>
      </c>
      <c r="I526" s="999" t="s">
        <v>1232</v>
      </c>
      <c r="J526" s="1001">
        <v>41579</v>
      </c>
      <c r="K526" s="1001">
        <v>45835</v>
      </c>
      <c r="L526" s="1000">
        <f t="shared" si="64"/>
        <v>139</v>
      </c>
      <c r="M526" s="1002">
        <f t="shared" si="65"/>
        <v>11.583333333333334</v>
      </c>
      <c r="N526" s="1000">
        <v>11</v>
      </c>
      <c r="O526" s="1000">
        <v>11</v>
      </c>
      <c r="P526" s="1000">
        <v>8</v>
      </c>
      <c r="Q526" s="999" t="s">
        <v>1445</v>
      </c>
      <c r="R526" s="999" t="s">
        <v>899</v>
      </c>
      <c r="S526" s="999" t="s">
        <v>900</v>
      </c>
      <c r="T526" s="999" t="s">
        <v>913</v>
      </c>
      <c r="U526" s="1000" t="s">
        <v>55</v>
      </c>
      <c r="V526" s="1000" t="s">
        <v>910</v>
      </c>
      <c r="W526" s="1003">
        <v>16464</v>
      </c>
      <c r="X526" s="1000" t="s">
        <v>903</v>
      </c>
      <c r="Y526" s="1000">
        <v>80</v>
      </c>
      <c r="Z526" s="1000" t="s">
        <v>904</v>
      </c>
      <c r="AA526" s="1000" t="s">
        <v>905</v>
      </c>
      <c r="AB526" s="1000" t="s">
        <v>911</v>
      </c>
      <c r="AC526" s="1000" t="s">
        <v>907</v>
      </c>
      <c r="AD526" s="1004">
        <v>5333.97</v>
      </c>
      <c r="AE526" s="1004">
        <f t="shared" si="62"/>
        <v>61785.152500000004</v>
      </c>
      <c r="AF526" s="1004">
        <f t="shared" si="66"/>
        <v>61785.152500000004</v>
      </c>
      <c r="AG526" s="1005">
        <f t="shared" si="61"/>
        <v>11.583333333333334</v>
      </c>
      <c r="AH526" s="1005">
        <f t="shared" si="63"/>
        <v>9.7545698037723572</v>
      </c>
    </row>
    <row r="527" spans="1:34" x14ac:dyDescent="0.25">
      <c r="A527" s="999">
        <v>49200</v>
      </c>
      <c r="B527" s="999" t="s">
        <v>1700</v>
      </c>
      <c r="C527" s="999" t="s">
        <v>1284</v>
      </c>
      <c r="D527" s="999" t="s">
        <v>894</v>
      </c>
      <c r="E527" s="999" t="s">
        <v>895</v>
      </c>
      <c r="F527" s="999">
        <v>1713058</v>
      </c>
      <c r="G527" s="1000">
        <v>30118069691</v>
      </c>
      <c r="H527" s="999" t="s">
        <v>1709</v>
      </c>
      <c r="I527" s="999" t="s">
        <v>897</v>
      </c>
      <c r="J527" s="1001">
        <v>39994</v>
      </c>
      <c r="K527" s="1001">
        <v>45835</v>
      </c>
      <c r="L527" s="1000">
        <f t="shared" si="64"/>
        <v>191</v>
      </c>
      <c r="M527" s="1002">
        <f t="shared" si="65"/>
        <v>15.916666666666666</v>
      </c>
      <c r="N527" s="1000">
        <v>15</v>
      </c>
      <c r="O527" s="1000">
        <v>15</v>
      </c>
      <c r="P527" s="1000">
        <v>43</v>
      </c>
      <c r="Q527" s="999" t="s">
        <v>898</v>
      </c>
      <c r="R527" s="999" t="s">
        <v>899</v>
      </c>
      <c r="S527" s="999" t="s">
        <v>900</v>
      </c>
      <c r="T527" s="999" t="s">
        <v>1707</v>
      </c>
      <c r="U527" s="1000"/>
      <c r="V527" s="1000" t="s">
        <v>914</v>
      </c>
      <c r="W527" s="1003">
        <v>16910</v>
      </c>
      <c r="X527" s="1000" t="s">
        <v>903</v>
      </c>
      <c r="Y527" s="1000">
        <v>78</v>
      </c>
      <c r="Z527" s="1000" t="s">
        <v>904</v>
      </c>
      <c r="AA527" s="1000" t="s">
        <v>905</v>
      </c>
      <c r="AB527" s="1000" t="s">
        <v>938</v>
      </c>
      <c r="AC527" s="1000" t="s">
        <v>907</v>
      </c>
      <c r="AD527" s="1004">
        <v>3813.57</v>
      </c>
      <c r="AE527" s="1004">
        <f t="shared" si="62"/>
        <v>60699.322500000002</v>
      </c>
      <c r="AF527" s="1004">
        <f t="shared" si="66"/>
        <v>60699.322500000002</v>
      </c>
      <c r="AG527" s="1005">
        <f t="shared" si="61"/>
        <v>15.916666666666666</v>
      </c>
      <c r="AH527" s="1005">
        <f t="shared" si="63"/>
        <v>12.610042546384493</v>
      </c>
    </row>
    <row r="528" spans="1:34" x14ac:dyDescent="0.25">
      <c r="A528" s="999">
        <v>49200</v>
      </c>
      <c r="B528" s="999" t="s">
        <v>1700</v>
      </c>
      <c r="C528" s="999" t="s">
        <v>1284</v>
      </c>
      <c r="D528" s="999" t="s">
        <v>894</v>
      </c>
      <c r="E528" s="999" t="s">
        <v>895</v>
      </c>
      <c r="F528" s="999">
        <v>1692354</v>
      </c>
      <c r="G528" s="1000">
        <v>4580400100</v>
      </c>
      <c r="H528" s="999" t="s">
        <v>1710</v>
      </c>
      <c r="I528" s="999" t="s">
        <v>897</v>
      </c>
      <c r="J528" s="1001">
        <v>39916</v>
      </c>
      <c r="K528" s="1001">
        <v>45835</v>
      </c>
      <c r="L528" s="1000">
        <f t="shared" si="64"/>
        <v>194</v>
      </c>
      <c r="M528" s="1002">
        <f t="shared" si="65"/>
        <v>16.166666666666668</v>
      </c>
      <c r="N528" s="1000">
        <v>16</v>
      </c>
      <c r="O528" s="1000">
        <v>16</v>
      </c>
      <c r="P528" s="1000">
        <v>43</v>
      </c>
      <c r="Q528" s="999" t="s">
        <v>898</v>
      </c>
      <c r="R528" s="999" t="s">
        <v>899</v>
      </c>
      <c r="S528" s="999" t="s">
        <v>900</v>
      </c>
      <c r="T528" s="999" t="s">
        <v>1224</v>
      </c>
      <c r="U528" s="1000" t="s">
        <v>54</v>
      </c>
      <c r="V528" s="1000" t="s">
        <v>902</v>
      </c>
      <c r="W528" s="1003">
        <v>15847</v>
      </c>
      <c r="X528" s="1000" t="s">
        <v>903</v>
      </c>
      <c r="Y528" s="1000">
        <v>81</v>
      </c>
      <c r="Z528" s="1000" t="s">
        <v>904</v>
      </c>
      <c r="AA528" s="1000" t="s">
        <v>905</v>
      </c>
      <c r="AB528" s="1000" t="s">
        <v>925</v>
      </c>
      <c r="AC528" s="1000" t="s">
        <v>907</v>
      </c>
      <c r="AD528" s="1004">
        <v>10126.049999999999</v>
      </c>
      <c r="AE528" s="1004">
        <f t="shared" si="62"/>
        <v>163704.47500000001</v>
      </c>
      <c r="AF528" s="1004">
        <f t="shared" si="66"/>
        <v>163704.47500000001</v>
      </c>
      <c r="AG528" s="1005">
        <f t="shared" si="61"/>
        <v>16.166666666666668</v>
      </c>
      <c r="AH528" s="1005">
        <f t="shared" si="63"/>
        <v>14.713620287523426</v>
      </c>
    </row>
    <row r="529" spans="1:34" x14ac:dyDescent="0.25">
      <c r="A529" s="999">
        <v>49200</v>
      </c>
      <c r="B529" s="999" t="s">
        <v>1700</v>
      </c>
      <c r="C529" s="999" t="s">
        <v>1284</v>
      </c>
      <c r="D529" s="999" t="s">
        <v>894</v>
      </c>
      <c r="E529" s="999" t="s">
        <v>895</v>
      </c>
      <c r="F529" s="999">
        <v>1834072</v>
      </c>
      <c r="G529" s="1000">
        <v>21558612068</v>
      </c>
      <c r="H529" s="999" t="s">
        <v>1711</v>
      </c>
      <c r="I529" s="999" t="s">
        <v>897</v>
      </c>
      <c r="J529" s="1001">
        <v>40549</v>
      </c>
      <c r="K529" s="1001">
        <v>45835</v>
      </c>
      <c r="L529" s="1000">
        <f t="shared" si="64"/>
        <v>173</v>
      </c>
      <c r="M529" s="1002">
        <f t="shared" si="65"/>
        <v>14.416666666666666</v>
      </c>
      <c r="N529" s="1000">
        <v>14</v>
      </c>
      <c r="O529" s="1000">
        <v>14</v>
      </c>
      <c r="P529" s="1000">
        <v>43</v>
      </c>
      <c r="Q529" s="999" t="s">
        <v>898</v>
      </c>
      <c r="R529" s="999" t="s">
        <v>899</v>
      </c>
      <c r="S529" s="999" t="s">
        <v>900</v>
      </c>
      <c r="T529" s="999" t="s">
        <v>924</v>
      </c>
      <c r="U529" s="1000" t="s">
        <v>55</v>
      </c>
      <c r="V529" s="1000" t="s">
        <v>914</v>
      </c>
      <c r="W529" s="1003">
        <v>17813</v>
      </c>
      <c r="X529" s="1000" t="s">
        <v>930</v>
      </c>
      <c r="Y529" s="1000">
        <v>76</v>
      </c>
      <c r="Z529" s="1000" t="s">
        <v>904</v>
      </c>
      <c r="AA529" s="1000" t="s">
        <v>905</v>
      </c>
      <c r="AB529" s="1000" t="s">
        <v>911</v>
      </c>
      <c r="AC529" s="1000" t="s">
        <v>907</v>
      </c>
      <c r="AD529" s="1004">
        <v>5333.97</v>
      </c>
      <c r="AE529" s="1004">
        <f t="shared" si="62"/>
        <v>76898.067500000005</v>
      </c>
      <c r="AF529" s="1004">
        <f t="shared" si="66"/>
        <v>76898.067500000005</v>
      </c>
      <c r="AG529" s="1005">
        <f t="shared" si="61"/>
        <v>14.416666666666666</v>
      </c>
      <c r="AH529" s="1005">
        <f t="shared" si="63"/>
        <v>12.140579683831783</v>
      </c>
    </row>
    <row r="530" spans="1:34" x14ac:dyDescent="0.25">
      <c r="A530" s="999">
        <v>49200</v>
      </c>
      <c r="B530" s="999" t="s">
        <v>1700</v>
      </c>
      <c r="C530" s="999" t="s">
        <v>1284</v>
      </c>
      <c r="D530" s="999" t="s">
        <v>894</v>
      </c>
      <c r="E530" s="999" t="s">
        <v>895</v>
      </c>
      <c r="F530" s="999">
        <v>1843315</v>
      </c>
      <c r="G530" s="1000">
        <v>3666018734</v>
      </c>
      <c r="H530" s="999" t="s">
        <v>1712</v>
      </c>
      <c r="I530" s="999" t="s">
        <v>897</v>
      </c>
      <c r="J530" s="1001">
        <v>40567</v>
      </c>
      <c r="K530" s="1001">
        <v>45835</v>
      </c>
      <c r="L530" s="1000">
        <f t="shared" si="64"/>
        <v>173</v>
      </c>
      <c r="M530" s="1002">
        <f t="shared" si="65"/>
        <v>14.416666666666666</v>
      </c>
      <c r="N530" s="1000">
        <v>14</v>
      </c>
      <c r="O530" s="1000">
        <v>14</v>
      </c>
      <c r="P530" s="1000">
        <v>43</v>
      </c>
      <c r="Q530" s="999" t="s">
        <v>898</v>
      </c>
      <c r="R530" s="999" t="s">
        <v>899</v>
      </c>
      <c r="S530" s="999" t="s">
        <v>900</v>
      </c>
      <c r="T530" s="999" t="s">
        <v>618</v>
      </c>
      <c r="U530" s="1000" t="s">
        <v>54</v>
      </c>
      <c r="V530" s="1000" t="s">
        <v>914</v>
      </c>
      <c r="W530" s="1003">
        <v>16651</v>
      </c>
      <c r="X530" s="1000" t="s">
        <v>930</v>
      </c>
      <c r="Y530" s="1000">
        <v>79</v>
      </c>
      <c r="Z530" s="1000" t="s">
        <v>904</v>
      </c>
      <c r="AA530" s="1000" t="s">
        <v>905</v>
      </c>
      <c r="AB530" s="1000" t="s">
        <v>925</v>
      </c>
      <c r="AC530" s="1000" t="s">
        <v>907</v>
      </c>
      <c r="AD530" s="1004">
        <v>10126.049999999999</v>
      </c>
      <c r="AE530" s="1004">
        <f t="shared" si="62"/>
        <v>145983.88749999998</v>
      </c>
      <c r="AF530" s="1004">
        <f t="shared" si="66"/>
        <v>145983.88749999998</v>
      </c>
      <c r="AG530" s="1005">
        <f t="shared" si="61"/>
        <v>14.416666666666666</v>
      </c>
      <c r="AH530" s="1005">
        <f t="shared" si="63"/>
        <v>13.120908813100785</v>
      </c>
    </row>
    <row r="531" spans="1:34" x14ac:dyDescent="0.25">
      <c r="A531" s="999">
        <v>49200</v>
      </c>
      <c r="B531" s="999" t="s">
        <v>1700</v>
      </c>
      <c r="C531" s="999" t="s">
        <v>1284</v>
      </c>
      <c r="D531" s="999" t="s">
        <v>894</v>
      </c>
      <c r="E531" s="999" t="s">
        <v>895</v>
      </c>
      <c r="F531" s="999">
        <v>3182597</v>
      </c>
      <c r="G531" s="1000">
        <v>3684393720</v>
      </c>
      <c r="H531" s="999" t="s">
        <v>1713</v>
      </c>
      <c r="I531" s="999" t="s">
        <v>897</v>
      </c>
      <c r="J531" s="1001">
        <v>40878</v>
      </c>
      <c r="K531" s="1001">
        <v>45835</v>
      </c>
      <c r="L531" s="1000">
        <f t="shared" si="64"/>
        <v>162</v>
      </c>
      <c r="M531" s="1002">
        <f t="shared" si="65"/>
        <v>13.5</v>
      </c>
      <c r="N531" s="1000">
        <v>13</v>
      </c>
      <c r="O531" s="1000">
        <v>13</v>
      </c>
      <c r="P531" s="1000">
        <v>43</v>
      </c>
      <c r="Q531" s="999" t="s">
        <v>898</v>
      </c>
      <c r="R531" s="999" t="s">
        <v>899</v>
      </c>
      <c r="S531" s="999" t="s">
        <v>900</v>
      </c>
      <c r="T531" s="999" t="s">
        <v>1050</v>
      </c>
      <c r="U531" s="1000" t="s">
        <v>55</v>
      </c>
      <c r="V531" s="1000" t="s">
        <v>914</v>
      </c>
      <c r="W531" s="1003">
        <v>15532</v>
      </c>
      <c r="X531" s="1000" t="s">
        <v>930</v>
      </c>
      <c r="Y531" s="1000">
        <v>82</v>
      </c>
      <c r="Z531" s="1000" t="s">
        <v>904</v>
      </c>
      <c r="AA531" s="1000" t="s">
        <v>905</v>
      </c>
      <c r="AB531" s="1000" t="s">
        <v>911</v>
      </c>
      <c r="AC531" s="1000" t="s">
        <v>907</v>
      </c>
      <c r="AD531" s="1004">
        <v>5333.97</v>
      </c>
      <c r="AE531" s="1004">
        <f t="shared" si="62"/>
        <v>72008.595000000001</v>
      </c>
      <c r="AF531" s="1004">
        <f t="shared" si="66"/>
        <v>72008.595000000001</v>
      </c>
      <c r="AG531" s="1005">
        <f t="shared" si="61"/>
        <v>13.5</v>
      </c>
      <c r="AH531" s="1005">
        <f t="shared" si="63"/>
        <v>11.368635310871381</v>
      </c>
    </row>
    <row r="532" spans="1:34" x14ac:dyDescent="0.25">
      <c r="A532" s="999">
        <v>49200</v>
      </c>
      <c r="B532" s="999" t="s">
        <v>1700</v>
      </c>
      <c r="C532" s="999" t="s">
        <v>1284</v>
      </c>
      <c r="D532" s="999" t="s">
        <v>894</v>
      </c>
      <c r="E532" s="999" t="s">
        <v>895</v>
      </c>
      <c r="F532" s="999">
        <v>1725317</v>
      </c>
      <c r="G532" s="1000">
        <v>21568898053</v>
      </c>
      <c r="H532" s="999" t="s">
        <v>1714</v>
      </c>
      <c r="I532" s="999" t="s">
        <v>897</v>
      </c>
      <c r="J532" s="1001">
        <v>40052</v>
      </c>
      <c r="K532" s="1001">
        <v>45835</v>
      </c>
      <c r="L532" s="1000">
        <f t="shared" si="64"/>
        <v>190</v>
      </c>
      <c r="M532" s="1002">
        <f t="shared" si="65"/>
        <v>15.833333333333334</v>
      </c>
      <c r="N532" s="1000">
        <v>15</v>
      </c>
      <c r="O532" s="1000">
        <v>15</v>
      </c>
      <c r="P532" s="1000">
        <v>43</v>
      </c>
      <c r="Q532" s="999" t="s">
        <v>898</v>
      </c>
      <c r="R532" s="999" t="s">
        <v>899</v>
      </c>
      <c r="S532" s="999" t="s">
        <v>900</v>
      </c>
      <c r="T532" s="999" t="s">
        <v>1636</v>
      </c>
      <c r="U532" s="1000" t="s">
        <v>54</v>
      </c>
      <c r="V532" s="1000" t="s">
        <v>910</v>
      </c>
      <c r="W532" s="1003">
        <v>18352</v>
      </c>
      <c r="X532" s="1000" t="s">
        <v>903</v>
      </c>
      <c r="Y532" s="1000">
        <v>75</v>
      </c>
      <c r="Z532" s="1000" t="s">
        <v>904</v>
      </c>
      <c r="AA532" s="1000" t="s">
        <v>905</v>
      </c>
      <c r="AB532" s="1000" t="s">
        <v>925</v>
      </c>
      <c r="AC532" s="1000" t="s">
        <v>907</v>
      </c>
      <c r="AD532" s="1004">
        <v>10126.049999999999</v>
      </c>
      <c r="AE532" s="1004">
        <f t="shared" si="62"/>
        <v>160329.125</v>
      </c>
      <c r="AF532" s="1004">
        <f t="shared" si="66"/>
        <v>160329.125</v>
      </c>
      <c r="AG532" s="1005">
        <f t="shared" si="61"/>
        <v>15.833333333333334</v>
      </c>
      <c r="AH532" s="1005">
        <f t="shared" si="63"/>
        <v>14.410246673347684</v>
      </c>
    </row>
    <row r="533" spans="1:34" x14ac:dyDescent="0.25">
      <c r="A533" s="999">
        <v>49200</v>
      </c>
      <c r="B533" s="999" t="s">
        <v>1700</v>
      </c>
      <c r="C533" s="999" t="s">
        <v>1284</v>
      </c>
      <c r="D533" s="999" t="s">
        <v>894</v>
      </c>
      <c r="E533" s="999" t="s">
        <v>895</v>
      </c>
      <c r="F533" s="999">
        <v>1850060</v>
      </c>
      <c r="G533" s="1000">
        <v>45102155768</v>
      </c>
      <c r="H533" s="999" t="s">
        <v>1715</v>
      </c>
      <c r="I533" s="999" t="s">
        <v>897</v>
      </c>
      <c r="J533" s="1001">
        <v>40567</v>
      </c>
      <c r="K533" s="1001">
        <v>45835</v>
      </c>
      <c r="L533" s="1000">
        <f t="shared" si="64"/>
        <v>173</v>
      </c>
      <c r="M533" s="1002">
        <f t="shared" si="65"/>
        <v>14.416666666666666</v>
      </c>
      <c r="N533" s="1000">
        <v>14</v>
      </c>
      <c r="O533" s="1000">
        <v>14</v>
      </c>
      <c r="P533" s="1000">
        <v>43</v>
      </c>
      <c r="Q533" s="999" t="s">
        <v>898</v>
      </c>
      <c r="R533" s="999" t="s">
        <v>899</v>
      </c>
      <c r="S533" s="999" t="s">
        <v>900</v>
      </c>
      <c r="T533" s="999" t="s">
        <v>1716</v>
      </c>
      <c r="U533" s="1000"/>
      <c r="V533" s="1000" t="s">
        <v>914</v>
      </c>
      <c r="W533" s="1003">
        <v>17776</v>
      </c>
      <c r="X533" s="1000" t="s">
        <v>903</v>
      </c>
      <c r="Y533" s="1000">
        <v>76</v>
      </c>
      <c r="Z533" s="1000" t="s">
        <v>904</v>
      </c>
      <c r="AA533" s="1000" t="s">
        <v>905</v>
      </c>
      <c r="AB533" s="1000" t="s">
        <v>938</v>
      </c>
      <c r="AC533" s="1000" t="s">
        <v>907</v>
      </c>
      <c r="AD533" s="1004">
        <v>3813.57</v>
      </c>
      <c r="AE533" s="1004">
        <f t="shared" si="62"/>
        <v>54978.967499999999</v>
      </c>
      <c r="AF533" s="1004">
        <f t="shared" si="66"/>
        <v>54978.967499999999</v>
      </c>
      <c r="AG533" s="1005">
        <f t="shared" si="61"/>
        <v>14.416666666666666</v>
      </c>
      <c r="AH533" s="1005">
        <f t="shared" si="63"/>
        <v>11.421661573426793</v>
      </c>
    </row>
    <row r="534" spans="1:34" x14ac:dyDescent="0.25">
      <c r="A534" s="999">
        <v>49200</v>
      </c>
      <c r="B534" s="999" t="s">
        <v>1700</v>
      </c>
      <c r="C534" s="999" t="s">
        <v>1284</v>
      </c>
      <c r="D534" s="999" t="s">
        <v>894</v>
      </c>
      <c r="E534" s="999" t="s">
        <v>895</v>
      </c>
      <c r="F534" s="999">
        <v>1903109</v>
      </c>
      <c r="G534" s="1000">
        <v>7812884791</v>
      </c>
      <c r="H534" s="999" t="s">
        <v>1717</v>
      </c>
      <c r="I534" s="999" t="s">
        <v>897</v>
      </c>
      <c r="J534" s="1001">
        <v>40883</v>
      </c>
      <c r="K534" s="1001">
        <v>45835</v>
      </c>
      <c r="L534" s="1000">
        <f t="shared" si="64"/>
        <v>162</v>
      </c>
      <c r="M534" s="1002">
        <f t="shared" si="65"/>
        <v>13.5</v>
      </c>
      <c r="N534" s="1000">
        <v>13</v>
      </c>
      <c r="O534" s="1000">
        <v>13</v>
      </c>
      <c r="P534" s="1000">
        <v>43</v>
      </c>
      <c r="Q534" s="999" t="s">
        <v>898</v>
      </c>
      <c r="R534" s="999" t="s">
        <v>899</v>
      </c>
      <c r="S534" s="999" t="s">
        <v>900</v>
      </c>
      <c r="T534" s="999" t="s">
        <v>1718</v>
      </c>
      <c r="U534" s="1000"/>
      <c r="V534" s="1000" t="s">
        <v>914</v>
      </c>
      <c r="W534" s="1003">
        <v>13940</v>
      </c>
      <c r="X534" s="1000" t="s">
        <v>903</v>
      </c>
      <c r="Y534" s="1000">
        <v>87</v>
      </c>
      <c r="Z534" s="1000" t="s">
        <v>904</v>
      </c>
      <c r="AA534" s="1000" t="s">
        <v>905</v>
      </c>
      <c r="AB534" s="1000" t="s">
        <v>938</v>
      </c>
      <c r="AC534" s="1000" t="s">
        <v>907</v>
      </c>
      <c r="AD534" s="1004">
        <v>3813.57</v>
      </c>
      <c r="AE534" s="1004">
        <f t="shared" si="62"/>
        <v>51483.195</v>
      </c>
      <c r="AF534" s="1004">
        <f t="shared" si="66"/>
        <v>51483.195</v>
      </c>
      <c r="AG534" s="1005">
        <f t="shared" si="61"/>
        <v>13.5</v>
      </c>
      <c r="AH534" s="1005">
        <f t="shared" si="63"/>
        <v>10.695428756619307</v>
      </c>
    </row>
    <row r="535" spans="1:34" x14ac:dyDescent="0.25">
      <c r="A535" s="999">
        <v>49200</v>
      </c>
      <c r="B535" s="999" t="s">
        <v>1700</v>
      </c>
      <c r="C535" s="999" t="s">
        <v>1284</v>
      </c>
      <c r="D535" s="999" t="s">
        <v>894</v>
      </c>
      <c r="E535" s="999" t="s">
        <v>895</v>
      </c>
      <c r="F535" s="999">
        <v>1779485</v>
      </c>
      <c r="G535" s="1000">
        <v>11092769153</v>
      </c>
      <c r="H535" s="999" t="s">
        <v>1719</v>
      </c>
      <c r="I535" s="999" t="s">
        <v>897</v>
      </c>
      <c r="J535" s="1001">
        <v>40291</v>
      </c>
      <c r="K535" s="1001">
        <v>45835</v>
      </c>
      <c r="L535" s="1000">
        <f t="shared" si="64"/>
        <v>182</v>
      </c>
      <c r="M535" s="1002">
        <f t="shared" si="65"/>
        <v>15.166666666666666</v>
      </c>
      <c r="N535" s="1000">
        <v>15</v>
      </c>
      <c r="O535" s="1000">
        <v>15</v>
      </c>
      <c r="P535" s="1000">
        <v>43</v>
      </c>
      <c r="Q535" s="999" t="s">
        <v>898</v>
      </c>
      <c r="R535" s="999" t="s">
        <v>899</v>
      </c>
      <c r="S535" s="999" t="s">
        <v>900</v>
      </c>
      <c r="T535" s="999" t="s">
        <v>1720</v>
      </c>
      <c r="U535" s="1000"/>
      <c r="V535" s="1000" t="s">
        <v>914</v>
      </c>
      <c r="W535" s="1003">
        <v>17149</v>
      </c>
      <c r="X535" s="1000" t="s">
        <v>903</v>
      </c>
      <c r="Y535" s="1000">
        <v>78</v>
      </c>
      <c r="Z535" s="1000" t="s">
        <v>904</v>
      </c>
      <c r="AA535" s="1000" t="s">
        <v>905</v>
      </c>
      <c r="AB535" s="1000" t="s">
        <v>938</v>
      </c>
      <c r="AC535" s="1000" t="s">
        <v>907</v>
      </c>
      <c r="AD535" s="1004">
        <v>3813.57</v>
      </c>
      <c r="AE535" s="1004">
        <f t="shared" si="62"/>
        <v>57839.144999999997</v>
      </c>
      <c r="AF535" s="1004">
        <f t="shared" si="66"/>
        <v>57839.144999999997</v>
      </c>
      <c r="AG535" s="1005">
        <f t="shared" si="61"/>
        <v>15.166666666666664</v>
      </c>
      <c r="AH535" s="1005">
        <f t="shared" si="63"/>
        <v>12.015852059905642</v>
      </c>
    </row>
    <row r="536" spans="1:34" x14ac:dyDescent="0.25">
      <c r="A536" s="999">
        <v>49200</v>
      </c>
      <c r="B536" s="999" t="s">
        <v>1700</v>
      </c>
      <c r="C536" s="999" t="s">
        <v>1284</v>
      </c>
      <c r="D536" s="999" t="s">
        <v>894</v>
      </c>
      <c r="E536" s="999" t="s">
        <v>895</v>
      </c>
      <c r="F536" s="999">
        <v>1717030</v>
      </c>
      <c r="G536" s="1000">
        <v>12912794668</v>
      </c>
      <c r="H536" s="999" t="s">
        <v>1721</v>
      </c>
      <c r="I536" s="999" t="s">
        <v>1232</v>
      </c>
      <c r="J536" s="1001">
        <v>40025</v>
      </c>
      <c r="K536" s="1001">
        <v>45835</v>
      </c>
      <c r="L536" s="1000">
        <f t="shared" si="64"/>
        <v>190</v>
      </c>
      <c r="M536" s="1002">
        <f t="shared" si="65"/>
        <v>15.833333333333334</v>
      </c>
      <c r="N536" s="1000">
        <v>15</v>
      </c>
      <c r="O536" s="1000">
        <v>15</v>
      </c>
      <c r="P536" s="1000">
        <v>43</v>
      </c>
      <c r="Q536" s="999" t="s">
        <v>898</v>
      </c>
      <c r="R536" s="999" t="s">
        <v>899</v>
      </c>
      <c r="S536" s="999" t="s">
        <v>900</v>
      </c>
      <c r="T536" s="999" t="s">
        <v>1722</v>
      </c>
      <c r="U536" s="1000" t="s">
        <v>55</v>
      </c>
      <c r="V536" s="1000" t="s">
        <v>914</v>
      </c>
      <c r="W536" s="1003">
        <v>18032</v>
      </c>
      <c r="X536" s="1000" t="s">
        <v>903</v>
      </c>
      <c r="Y536" s="1000">
        <v>75</v>
      </c>
      <c r="Z536" s="1000" t="s">
        <v>904</v>
      </c>
      <c r="AA536" s="1000" t="s">
        <v>905</v>
      </c>
      <c r="AB536" s="1000" t="s">
        <v>911</v>
      </c>
      <c r="AC536" s="1000" t="s">
        <v>907</v>
      </c>
      <c r="AD536" s="1004">
        <v>5333.97</v>
      </c>
      <c r="AE536" s="1004">
        <f t="shared" si="62"/>
        <v>84454.525000000009</v>
      </c>
      <c r="AF536" s="1004">
        <f t="shared" si="66"/>
        <v>84454.525000000009</v>
      </c>
      <c r="AG536" s="1005">
        <f t="shared" si="61"/>
        <v>15.833333333333334</v>
      </c>
      <c r="AH536" s="1005">
        <f t="shared" si="63"/>
        <v>13.333584623861498</v>
      </c>
    </row>
    <row r="537" spans="1:34" x14ac:dyDescent="0.25">
      <c r="A537" s="999">
        <v>49200</v>
      </c>
      <c r="B537" s="999" t="s">
        <v>1700</v>
      </c>
      <c r="C537" s="999" t="s">
        <v>1284</v>
      </c>
      <c r="D537" s="999" t="s">
        <v>894</v>
      </c>
      <c r="E537" s="999" t="s">
        <v>895</v>
      </c>
      <c r="F537" s="999">
        <v>1162281</v>
      </c>
      <c r="G537" s="1000">
        <v>3061655468</v>
      </c>
      <c r="H537" s="999" t="s">
        <v>1723</v>
      </c>
      <c r="I537" s="999" t="s">
        <v>897</v>
      </c>
      <c r="J537" s="1001">
        <v>41873</v>
      </c>
      <c r="K537" s="1001">
        <v>45835</v>
      </c>
      <c r="L537" s="1000">
        <f t="shared" si="64"/>
        <v>130</v>
      </c>
      <c r="M537" s="1002">
        <f t="shared" si="65"/>
        <v>10.833333333333334</v>
      </c>
      <c r="N537" s="1000">
        <v>10</v>
      </c>
      <c r="O537" s="1000">
        <v>10</v>
      </c>
      <c r="P537" s="1000">
        <v>8</v>
      </c>
      <c r="Q537" s="999" t="s">
        <v>1445</v>
      </c>
      <c r="R537" s="999" t="s">
        <v>899</v>
      </c>
      <c r="S537" s="999" t="s">
        <v>900</v>
      </c>
      <c r="T537" s="999" t="s">
        <v>1724</v>
      </c>
      <c r="U537" s="1000" t="s">
        <v>55</v>
      </c>
      <c r="V537" s="1000" t="s">
        <v>914</v>
      </c>
      <c r="W537" s="1003">
        <v>12122</v>
      </c>
      <c r="X537" s="1000" t="s">
        <v>903</v>
      </c>
      <c r="Y537" s="1000">
        <v>92</v>
      </c>
      <c r="Z537" s="1000" t="s">
        <v>904</v>
      </c>
      <c r="AA537" s="1000" t="s">
        <v>905</v>
      </c>
      <c r="AB537" s="1000" t="s">
        <v>911</v>
      </c>
      <c r="AC537" s="1000" t="s">
        <v>907</v>
      </c>
      <c r="AD537" s="1004">
        <v>5333.97</v>
      </c>
      <c r="AE537" s="1004">
        <f t="shared" si="62"/>
        <v>57784.675000000003</v>
      </c>
      <c r="AF537" s="1004">
        <f t="shared" si="66"/>
        <v>57784.675000000003</v>
      </c>
      <c r="AG537" s="1005">
        <f t="shared" si="61"/>
        <v>10.833333333333334</v>
      </c>
      <c r="AH537" s="1005">
        <f t="shared" si="63"/>
        <v>9.122978953168392</v>
      </c>
    </row>
    <row r="538" spans="1:34" x14ac:dyDescent="0.25">
      <c r="A538" s="999">
        <v>49200</v>
      </c>
      <c r="B538" s="999" t="s">
        <v>1700</v>
      </c>
      <c r="C538" s="999" t="s">
        <v>1284</v>
      </c>
      <c r="D538" s="999" t="s">
        <v>894</v>
      </c>
      <c r="E538" s="999" t="s">
        <v>895</v>
      </c>
      <c r="F538" s="999">
        <v>1853483</v>
      </c>
      <c r="G538" s="1000">
        <v>4613848504</v>
      </c>
      <c r="H538" s="999" t="s">
        <v>1725</v>
      </c>
      <c r="I538" s="999" t="s">
        <v>897</v>
      </c>
      <c r="J538" s="1001">
        <v>40606</v>
      </c>
      <c r="K538" s="1001">
        <v>45835</v>
      </c>
      <c r="L538" s="1000">
        <f t="shared" si="64"/>
        <v>171</v>
      </c>
      <c r="M538" s="1002">
        <f t="shared" si="65"/>
        <v>14.25</v>
      </c>
      <c r="N538" s="1000">
        <v>14</v>
      </c>
      <c r="O538" s="1000">
        <v>14</v>
      </c>
      <c r="P538" s="1000">
        <v>43</v>
      </c>
      <c r="Q538" s="999" t="s">
        <v>898</v>
      </c>
      <c r="R538" s="999" t="s">
        <v>899</v>
      </c>
      <c r="S538" s="999" t="s">
        <v>900</v>
      </c>
      <c r="T538" s="999" t="s">
        <v>1726</v>
      </c>
      <c r="U538" s="1000" t="s">
        <v>55</v>
      </c>
      <c r="V538" s="1000" t="s">
        <v>914</v>
      </c>
      <c r="W538" s="1003">
        <v>18231</v>
      </c>
      <c r="X538" s="1000" t="s">
        <v>903</v>
      </c>
      <c r="Y538" s="1000">
        <v>75</v>
      </c>
      <c r="Z538" s="1000" t="s">
        <v>904</v>
      </c>
      <c r="AA538" s="1000" t="s">
        <v>905</v>
      </c>
      <c r="AB538" s="1000" t="s">
        <v>911</v>
      </c>
      <c r="AC538" s="1000" t="s">
        <v>907</v>
      </c>
      <c r="AD538" s="1004">
        <v>5333.97</v>
      </c>
      <c r="AE538" s="1004">
        <f t="shared" si="62"/>
        <v>76009.072500000009</v>
      </c>
      <c r="AF538" s="1004">
        <f t="shared" si="66"/>
        <v>76009.072500000009</v>
      </c>
      <c r="AG538" s="1005">
        <f t="shared" si="61"/>
        <v>14.250000000000002</v>
      </c>
      <c r="AH538" s="1005">
        <f t="shared" si="63"/>
        <v>12.000226161475348</v>
      </c>
    </row>
    <row r="539" spans="1:34" x14ac:dyDescent="0.25">
      <c r="A539" s="999">
        <v>49200</v>
      </c>
      <c r="B539" s="999" t="s">
        <v>1700</v>
      </c>
      <c r="C539" s="999" t="s">
        <v>1284</v>
      </c>
      <c r="D539" s="999" t="s">
        <v>894</v>
      </c>
      <c r="E539" s="999" t="s">
        <v>895</v>
      </c>
      <c r="F539" s="999">
        <v>1806103</v>
      </c>
      <c r="G539" s="1000">
        <v>9163085020</v>
      </c>
      <c r="H539" s="999" t="s">
        <v>1727</v>
      </c>
      <c r="I539" s="999" t="s">
        <v>897</v>
      </c>
      <c r="J539" s="1001">
        <v>40395</v>
      </c>
      <c r="K539" s="1001">
        <v>45835</v>
      </c>
      <c r="L539" s="1000">
        <f t="shared" si="64"/>
        <v>178</v>
      </c>
      <c r="M539" s="1002">
        <f t="shared" si="65"/>
        <v>14.833333333333334</v>
      </c>
      <c r="N539" s="1000">
        <v>14</v>
      </c>
      <c r="O539" s="1000">
        <v>14</v>
      </c>
      <c r="P539" s="1000">
        <v>43</v>
      </c>
      <c r="Q539" s="999" t="s">
        <v>898</v>
      </c>
      <c r="R539" s="999" t="s">
        <v>899</v>
      </c>
      <c r="S539" s="999" t="s">
        <v>900</v>
      </c>
      <c r="T539" s="999" t="s">
        <v>1728</v>
      </c>
      <c r="U539" s="1000"/>
      <c r="V539" s="1000" t="s">
        <v>914</v>
      </c>
      <c r="W539" s="1003">
        <v>16335</v>
      </c>
      <c r="X539" s="1000" t="s">
        <v>903</v>
      </c>
      <c r="Y539" s="1000">
        <v>80</v>
      </c>
      <c r="Z539" s="1000" t="s">
        <v>904</v>
      </c>
      <c r="AA539" s="1000" t="s">
        <v>905</v>
      </c>
      <c r="AB539" s="1000" t="s">
        <v>938</v>
      </c>
      <c r="AC539" s="1000" t="s">
        <v>907</v>
      </c>
      <c r="AD539" s="1004">
        <v>3813.57</v>
      </c>
      <c r="AE539" s="1004">
        <f t="shared" si="62"/>
        <v>56567.955000000002</v>
      </c>
      <c r="AF539" s="1004">
        <f t="shared" si="66"/>
        <v>56567.955000000002</v>
      </c>
      <c r="AG539" s="1005">
        <f t="shared" si="61"/>
        <v>14.833333333333334</v>
      </c>
      <c r="AH539" s="1005">
        <f t="shared" si="63"/>
        <v>11.751767399248376</v>
      </c>
    </row>
    <row r="540" spans="1:34" x14ac:dyDescent="0.25">
      <c r="A540" s="999">
        <v>49200</v>
      </c>
      <c r="B540" s="999" t="s">
        <v>1700</v>
      </c>
      <c r="C540" s="999" t="s">
        <v>1284</v>
      </c>
      <c r="D540" s="999" t="s">
        <v>894</v>
      </c>
      <c r="E540" s="999" t="s">
        <v>895</v>
      </c>
      <c r="F540" s="999">
        <v>1799676</v>
      </c>
      <c r="G540" s="1000">
        <v>34330755904</v>
      </c>
      <c r="H540" s="999" t="s">
        <v>1729</v>
      </c>
      <c r="I540" s="999" t="s">
        <v>897</v>
      </c>
      <c r="J540" s="1001">
        <v>40378</v>
      </c>
      <c r="K540" s="1001">
        <v>45835</v>
      </c>
      <c r="L540" s="1000">
        <f t="shared" si="64"/>
        <v>179</v>
      </c>
      <c r="M540" s="1002">
        <f t="shared" si="65"/>
        <v>14.916666666666666</v>
      </c>
      <c r="N540" s="1000">
        <v>14</v>
      </c>
      <c r="O540" s="1000">
        <v>14</v>
      </c>
      <c r="P540" s="1000">
        <v>43</v>
      </c>
      <c r="Q540" s="999" t="s">
        <v>898</v>
      </c>
      <c r="R540" s="999" t="s">
        <v>899</v>
      </c>
      <c r="S540" s="999" t="s">
        <v>900</v>
      </c>
      <c r="T540" s="999" t="s">
        <v>1707</v>
      </c>
      <c r="U540" s="1000"/>
      <c r="V540" s="1000" t="s">
        <v>914</v>
      </c>
      <c r="W540" s="1003">
        <v>17753</v>
      </c>
      <c r="X540" s="1000" t="s">
        <v>903</v>
      </c>
      <c r="Y540" s="1000">
        <v>76</v>
      </c>
      <c r="Z540" s="1000" t="s">
        <v>904</v>
      </c>
      <c r="AA540" s="1000" t="s">
        <v>905</v>
      </c>
      <c r="AB540" s="1000" t="s">
        <v>938</v>
      </c>
      <c r="AC540" s="1000" t="s">
        <v>907</v>
      </c>
      <c r="AD540" s="1004">
        <v>3813.57</v>
      </c>
      <c r="AE540" s="1004">
        <f t="shared" si="62"/>
        <v>56885.752500000002</v>
      </c>
      <c r="AF540" s="1004">
        <f t="shared" si="66"/>
        <v>56885.752500000002</v>
      </c>
      <c r="AG540" s="1005">
        <f t="shared" si="61"/>
        <v>14.916666666666666</v>
      </c>
      <c r="AH540" s="1005">
        <f t="shared" si="63"/>
        <v>11.817788564412693</v>
      </c>
    </row>
    <row r="541" spans="1:34" x14ac:dyDescent="0.25">
      <c r="A541" s="999">
        <v>49200</v>
      </c>
      <c r="B541" s="999" t="s">
        <v>1700</v>
      </c>
      <c r="C541" s="999" t="s">
        <v>1284</v>
      </c>
      <c r="D541" s="999" t="s">
        <v>894</v>
      </c>
      <c r="E541" s="999" t="s">
        <v>895</v>
      </c>
      <c r="F541" s="999">
        <v>1458873</v>
      </c>
      <c r="G541" s="1000">
        <v>19071841049</v>
      </c>
      <c r="H541" s="999" t="s">
        <v>1730</v>
      </c>
      <c r="I541" s="999" t="s">
        <v>897</v>
      </c>
      <c r="J541" s="1001">
        <v>40035</v>
      </c>
      <c r="K541" s="1001">
        <v>45835</v>
      </c>
      <c r="L541" s="1000">
        <f t="shared" si="64"/>
        <v>190</v>
      </c>
      <c r="M541" s="1002">
        <f t="shared" si="65"/>
        <v>15.833333333333334</v>
      </c>
      <c r="N541" s="1000">
        <v>15</v>
      </c>
      <c r="O541" s="1000">
        <v>15</v>
      </c>
      <c r="P541" s="1000">
        <v>43</v>
      </c>
      <c r="Q541" s="999" t="s">
        <v>898</v>
      </c>
      <c r="R541" s="999" t="s">
        <v>899</v>
      </c>
      <c r="S541" s="999" t="s">
        <v>900</v>
      </c>
      <c r="T541" s="999" t="s">
        <v>1731</v>
      </c>
      <c r="U541" s="1000" t="s">
        <v>54</v>
      </c>
      <c r="V541" s="1000" t="s">
        <v>914</v>
      </c>
      <c r="W541" s="1003">
        <v>18256</v>
      </c>
      <c r="X541" s="1000" t="s">
        <v>930</v>
      </c>
      <c r="Y541" s="1000">
        <v>75</v>
      </c>
      <c r="Z541" s="1000" t="s">
        <v>904</v>
      </c>
      <c r="AA541" s="1000" t="s">
        <v>905</v>
      </c>
      <c r="AB541" s="1000" t="s">
        <v>925</v>
      </c>
      <c r="AC541" s="1000" t="s">
        <v>907</v>
      </c>
      <c r="AD541" s="1004">
        <v>10126.049999999999</v>
      </c>
      <c r="AE541" s="1004">
        <f t="shared" si="62"/>
        <v>160329.125</v>
      </c>
      <c r="AF541" s="1004">
        <f t="shared" si="66"/>
        <v>160329.125</v>
      </c>
      <c r="AG541" s="1005">
        <f t="shared" si="61"/>
        <v>15.833333333333334</v>
      </c>
      <c r="AH541" s="1005">
        <f t="shared" si="63"/>
        <v>14.410246673347684</v>
      </c>
    </row>
    <row r="542" spans="1:34" x14ac:dyDescent="0.25">
      <c r="A542" s="999">
        <v>49200</v>
      </c>
      <c r="B542" s="999" t="s">
        <v>1700</v>
      </c>
      <c r="C542" s="999" t="s">
        <v>1284</v>
      </c>
      <c r="D542" s="999" t="s">
        <v>894</v>
      </c>
      <c r="E542" s="999" t="s">
        <v>895</v>
      </c>
      <c r="F542" s="999">
        <v>1780870</v>
      </c>
      <c r="G542" s="1000">
        <v>14339617415</v>
      </c>
      <c r="H542" s="999" t="s">
        <v>1732</v>
      </c>
      <c r="I542" s="999" t="s">
        <v>897</v>
      </c>
      <c r="J542" s="1001">
        <v>40295</v>
      </c>
      <c r="K542" s="1001">
        <v>45835</v>
      </c>
      <c r="L542" s="1000">
        <f t="shared" si="64"/>
        <v>182</v>
      </c>
      <c r="M542" s="1002">
        <f t="shared" si="65"/>
        <v>15.166666666666666</v>
      </c>
      <c r="N542" s="1000">
        <v>15</v>
      </c>
      <c r="O542" s="1000">
        <v>15</v>
      </c>
      <c r="P542" s="1000">
        <v>43</v>
      </c>
      <c r="Q542" s="999" t="s">
        <v>898</v>
      </c>
      <c r="R542" s="999" t="s">
        <v>899</v>
      </c>
      <c r="S542" s="999" t="s">
        <v>900</v>
      </c>
      <c r="T542" s="999" t="s">
        <v>1716</v>
      </c>
      <c r="U542" s="1000"/>
      <c r="V542" s="1000" t="s">
        <v>910</v>
      </c>
      <c r="W542" s="1003">
        <v>17881</v>
      </c>
      <c r="X542" s="1000" t="s">
        <v>903</v>
      </c>
      <c r="Y542" s="1000">
        <v>76</v>
      </c>
      <c r="Z542" s="1000" t="s">
        <v>904</v>
      </c>
      <c r="AA542" s="1000" t="s">
        <v>905</v>
      </c>
      <c r="AB542" s="1000" t="s">
        <v>938</v>
      </c>
      <c r="AC542" s="1000" t="s">
        <v>907</v>
      </c>
      <c r="AD542" s="1004">
        <v>3813.57</v>
      </c>
      <c r="AE542" s="1004">
        <f t="shared" si="62"/>
        <v>57839.144999999997</v>
      </c>
      <c r="AF542" s="1004">
        <f t="shared" si="66"/>
        <v>57839.144999999997</v>
      </c>
      <c r="AG542" s="1005">
        <f t="shared" si="61"/>
        <v>15.166666666666664</v>
      </c>
      <c r="AH542" s="1005">
        <f t="shared" si="63"/>
        <v>12.015852059905642</v>
      </c>
    </row>
    <row r="543" spans="1:34" x14ac:dyDescent="0.25">
      <c r="A543" s="999">
        <v>49200</v>
      </c>
      <c r="B543" s="999" t="s">
        <v>1700</v>
      </c>
      <c r="C543" s="999" t="s">
        <v>1284</v>
      </c>
      <c r="D543" s="999" t="s">
        <v>894</v>
      </c>
      <c r="E543" s="999" t="s">
        <v>895</v>
      </c>
      <c r="F543" s="999">
        <v>1851557</v>
      </c>
      <c r="G543" s="1000">
        <v>6743226572</v>
      </c>
      <c r="H543" s="999" t="s">
        <v>1733</v>
      </c>
      <c r="I543" s="999" t="s">
        <v>897</v>
      </c>
      <c r="J543" s="1001">
        <v>40612</v>
      </c>
      <c r="K543" s="1001">
        <v>45835</v>
      </c>
      <c r="L543" s="1000">
        <f t="shared" si="64"/>
        <v>171</v>
      </c>
      <c r="M543" s="1002">
        <f t="shared" si="65"/>
        <v>14.25</v>
      </c>
      <c r="N543" s="1000">
        <v>14</v>
      </c>
      <c r="O543" s="1000">
        <v>14</v>
      </c>
      <c r="P543" s="1000">
        <v>43</v>
      </c>
      <c r="Q543" s="999" t="s">
        <v>898</v>
      </c>
      <c r="R543" s="999" t="s">
        <v>899</v>
      </c>
      <c r="S543" s="999" t="s">
        <v>900</v>
      </c>
      <c r="T543" s="999" t="s">
        <v>1726</v>
      </c>
      <c r="U543" s="1000" t="s">
        <v>55</v>
      </c>
      <c r="V543" s="1000" t="s">
        <v>914</v>
      </c>
      <c r="W543" s="1003">
        <v>18332</v>
      </c>
      <c r="X543" s="1000" t="s">
        <v>903</v>
      </c>
      <c r="Y543" s="1000">
        <v>75</v>
      </c>
      <c r="Z543" s="1000" t="s">
        <v>904</v>
      </c>
      <c r="AA543" s="1000" t="s">
        <v>905</v>
      </c>
      <c r="AB543" s="1000" t="s">
        <v>911</v>
      </c>
      <c r="AC543" s="1000" t="s">
        <v>907</v>
      </c>
      <c r="AD543" s="1004">
        <v>5333.97</v>
      </c>
      <c r="AE543" s="1004">
        <f t="shared" si="62"/>
        <v>76009.072500000009</v>
      </c>
      <c r="AF543" s="1004">
        <f t="shared" si="66"/>
        <v>76009.072500000009</v>
      </c>
      <c r="AG543" s="1005">
        <f t="shared" si="61"/>
        <v>14.250000000000002</v>
      </c>
      <c r="AH543" s="1005">
        <f t="shared" si="63"/>
        <v>12.000226161475348</v>
      </c>
    </row>
    <row r="544" spans="1:34" x14ac:dyDescent="0.25">
      <c r="A544" s="999">
        <v>49200</v>
      </c>
      <c r="B544" s="999" t="s">
        <v>1700</v>
      </c>
      <c r="C544" s="999" t="s">
        <v>1284</v>
      </c>
      <c r="D544" s="999" t="s">
        <v>894</v>
      </c>
      <c r="E544" s="999" t="s">
        <v>895</v>
      </c>
      <c r="F544" s="999">
        <v>1837433</v>
      </c>
      <c r="G544" s="1000">
        <v>9048014115</v>
      </c>
      <c r="H544" s="999" t="s">
        <v>1734</v>
      </c>
      <c r="I544" s="999" t="s">
        <v>897</v>
      </c>
      <c r="J544" s="1001">
        <v>40560</v>
      </c>
      <c r="K544" s="1001">
        <v>45835</v>
      </c>
      <c r="L544" s="1000">
        <f t="shared" si="64"/>
        <v>173</v>
      </c>
      <c r="M544" s="1002">
        <f t="shared" si="65"/>
        <v>14.416666666666666</v>
      </c>
      <c r="N544" s="1000">
        <v>14</v>
      </c>
      <c r="O544" s="1000">
        <v>14</v>
      </c>
      <c r="P544" s="1000">
        <v>43</v>
      </c>
      <c r="Q544" s="999" t="s">
        <v>898</v>
      </c>
      <c r="R544" s="999" t="s">
        <v>899</v>
      </c>
      <c r="S544" s="999" t="s">
        <v>900</v>
      </c>
      <c r="T544" s="999" t="s">
        <v>1735</v>
      </c>
      <c r="U544" s="1000" t="s">
        <v>54</v>
      </c>
      <c r="V544" s="1000" t="s">
        <v>914</v>
      </c>
      <c r="W544" s="1003">
        <v>15466</v>
      </c>
      <c r="X544" s="1000" t="s">
        <v>930</v>
      </c>
      <c r="Y544" s="1000">
        <v>82</v>
      </c>
      <c r="Z544" s="1000" t="s">
        <v>904</v>
      </c>
      <c r="AA544" s="1000" t="s">
        <v>905</v>
      </c>
      <c r="AB544" s="1000" t="s">
        <v>925</v>
      </c>
      <c r="AC544" s="1000" t="s">
        <v>907</v>
      </c>
      <c r="AD544" s="1004">
        <v>10126.049999999999</v>
      </c>
      <c r="AE544" s="1004">
        <f t="shared" si="62"/>
        <v>145983.88749999998</v>
      </c>
      <c r="AF544" s="1004">
        <f t="shared" si="66"/>
        <v>145983.88749999998</v>
      </c>
      <c r="AG544" s="1005">
        <f t="shared" si="61"/>
        <v>14.416666666666666</v>
      </c>
      <c r="AH544" s="1005">
        <f t="shared" si="63"/>
        <v>13.120908813100785</v>
      </c>
    </row>
    <row r="545" spans="1:34" x14ac:dyDescent="0.25">
      <c r="A545" s="999">
        <v>49200</v>
      </c>
      <c r="B545" s="999" t="s">
        <v>1700</v>
      </c>
      <c r="C545" s="999" t="s">
        <v>1284</v>
      </c>
      <c r="D545" s="999" t="s">
        <v>894</v>
      </c>
      <c r="E545" s="999" t="s">
        <v>895</v>
      </c>
      <c r="F545" s="999">
        <v>1903667</v>
      </c>
      <c r="G545" s="1000">
        <v>8534721734</v>
      </c>
      <c r="H545" s="999" t="s">
        <v>1736</v>
      </c>
      <c r="I545" s="999" t="s">
        <v>897</v>
      </c>
      <c r="J545" s="1001">
        <v>40879</v>
      </c>
      <c r="K545" s="1001">
        <v>45835</v>
      </c>
      <c r="L545" s="1000">
        <f t="shared" si="64"/>
        <v>162</v>
      </c>
      <c r="M545" s="1002">
        <f t="shared" si="65"/>
        <v>13.5</v>
      </c>
      <c r="N545" s="1000">
        <v>13</v>
      </c>
      <c r="O545" s="1000">
        <v>13</v>
      </c>
      <c r="P545" s="1000">
        <v>43</v>
      </c>
      <c r="Q545" s="999" t="s">
        <v>898</v>
      </c>
      <c r="R545" s="999" t="s">
        <v>899</v>
      </c>
      <c r="S545" s="999" t="s">
        <v>900</v>
      </c>
      <c r="T545" s="999" t="s">
        <v>1737</v>
      </c>
      <c r="U545" s="1000"/>
      <c r="V545" s="1000" t="s">
        <v>914</v>
      </c>
      <c r="W545" s="1003">
        <v>12980</v>
      </c>
      <c r="X545" s="1000" t="s">
        <v>903</v>
      </c>
      <c r="Y545" s="1000">
        <v>89</v>
      </c>
      <c r="Z545" s="1000" t="s">
        <v>904</v>
      </c>
      <c r="AA545" s="1000" t="s">
        <v>905</v>
      </c>
      <c r="AB545" s="1000" t="s">
        <v>938</v>
      </c>
      <c r="AC545" s="1000" t="s">
        <v>907</v>
      </c>
      <c r="AD545" s="1004">
        <v>6175.47</v>
      </c>
      <c r="AE545" s="1004">
        <f t="shared" si="62"/>
        <v>83368.845000000001</v>
      </c>
      <c r="AF545" s="1004">
        <f t="shared" si="66"/>
        <v>83368.845000000001</v>
      </c>
      <c r="AG545" s="1005">
        <f t="shared" si="61"/>
        <v>13.5</v>
      </c>
      <c r="AH545" s="1005">
        <f t="shared" si="63"/>
        <v>11.618590141133613</v>
      </c>
    </row>
    <row r="546" spans="1:34" x14ac:dyDescent="0.25">
      <c r="A546" s="999">
        <v>49200</v>
      </c>
      <c r="B546" s="999" t="s">
        <v>1700</v>
      </c>
      <c r="C546" s="999" t="s">
        <v>1284</v>
      </c>
      <c r="D546" s="999" t="s">
        <v>894</v>
      </c>
      <c r="E546" s="999" t="s">
        <v>895</v>
      </c>
      <c r="F546" s="999">
        <v>1792903</v>
      </c>
      <c r="G546" s="1000">
        <v>18053653049</v>
      </c>
      <c r="H546" s="999" t="s">
        <v>1738</v>
      </c>
      <c r="I546" s="999" t="s">
        <v>897</v>
      </c>
      <c r="J546" s="1001">
        <v>40357</v>
      </c>
      <c r="K546" s="1001">
        <v>45835</v>
      </c>
      <c r="L546" s="1000">
        <f t="shared" si="64"/>
        <v>179</v>
      </c>
      <c r="M546" s="1002">
        <f t="shared" si="65"/>
        <v>14.916666666666666</v>
      </c>
      <c r="N546" s="1000">
        <v>14</v>
      </c>
      <c r="O546" s="1000">
        <v>14</v>
      </c>
      <c r="P546" s="1000">
        <v>43</v>
      </c>
      <c r="Q546" s="999" t="s">
        <v>898</v>
      </c>
      <c r="R546" s="999" t="s">
        <v>899</v>
      </c>
      <c r="S546" s="999" t="s">
        <v>900</v>
      </c>
      <c r="T546" s="999" t="s">
        <v>1739</v>
      </c>
      <c r="U546" s="1000" t="s">
        <v>55</v>
      </c>
      <c r="V546" s="1000" t="s">
        <v>910</v>
      </c>
      <c r="W546" s="1003">
        <v>16824</v>
      </c>
      <c r="X546" s="1000" t="s">
        <v>903</v>
      </c>
      <c r="Y546" s="1000">
        <v>79</v>
      </c>
      <c r="Z546" s="1000" t="s">
        <v>904</v>
      </c>
      <c r="AA546" s="1000" t="s">
        <v>905</v>
      </c>
      <c r="AB546" s="1000" t="s">
        <v>911</v>
      </c>
      <c r="AC546" s="1000" t="s">
        <v>907</v>
      </c>
      <c r="AD546" s="1004">
        <v>5333.97</v>
      </c>
      <c r="AE546" s="1004">
        <f t="shared" si="62"/>
        <v>79565.052500000005</v>
      </c>
      <c r="AF546" s="1004">
        <f t="shared" si="66"/>
        <v>79565.052500000005</v>
      </c>
      <c r="AG546" s="1005">
        <f t="shared" si="61"/>
        <v>14.916666666666666</v>
      </c>
      <c r="AH546" s="1005">
        <f t="shared" si="63"/>
        <v>12.561640250901094</v>
      </c>
    </row>
    <row r="547" spans="1:34" x14ac:dyDescent="0.25">
      <c r="A547" s="999">
        <v>49200</v>
      </c>
      <c r="B547" s="999" t="s">
        <v>1700</v>
      </c>
      <c r="C547" s="999" t="s">
        <v>1284</v>
      </c>
      <c r="D547" s="999" t="s">
        <v>894</v>
      </c>
      <c r="E547" s="999" t="s">
        <v>895</v>
      </c>
      <c r="F547" s="999">
        <v>1903520</v>
      </c>
      <c r="G547" s="1000">
        <v>33307067753</v>
      </c>
      <c r="H547" s="999" t="s">
        <v>1740</v>
      </c>
      <c r="I547" s="999" t="s">
        <v>897</v>
      </c>
      <c r="J547" s="1001">
        <v>40840</v>
      </c>
      <c r="K547" s="1001">
        <v>45835</v>
      </c>
      <c r="L547" s="1000">
        <f t="shared" si="64"/>
        <v>164</v>
      </c>
      <c r="M547" s="1002">
        <f t="shared" si="65"/>
        <v>13.666666666666666</v>
      </c>
      <c r="N547" s="1000">
        <v>13</v>
      </c>
      <c r="O547" s="1000">
        <v>13</v>
      </c>
      <c r="P547" s="1000">
        <v>43</v>
      </c>
      <c r="Q547" s="999" t="s">
        <v>898</v>
      </c>
      <c r="R547" s="999" t="s">
        <v>899</v>
      </c>
      <c r="S547" s="999" t="s">
        <v>900</v>
      </c>
      <c r="T547" s="999" t="s">
        <v>924</v>
      </c>
      <c r="U547" s="1000" t="s">
        <v>55</v>
      </c>
      <c r="V547" s="1000" t="s">
        <v>914</v>
      </c>
      <c r="W547" s="1003">
        <v>15673</v>
      </c>
      <c r="X547" s="1000" t="s">
        <v>903</v>
      </c>
      <c r="Y547" s="1000">
        <v>82</v>
      </c>
      <c r="Z547" s="1000" t="s">
        <v>904</v>
      </c>
      <c r="AA547" s="1000" t="s">
        <v>905</v>
      </c>
      <c r="AB547" s="1000" t="s">
        <v>911</v>
      </c>
      <c r="AC547" s="1000" t="s">
        <v>907</v>
      </c>
      <c r="AD547" s="1004">
        <v>5333.97</v>
      </c>
      <c r="AE547" s="1004">
        <f t="shared" si="62"/>
        <v>72897.59</v>
      </c>
      <c r="AF547" s="1004">
        <f t="shared" si="66"/>
        <v>72897.59</v>
      </c>
      <c r="AG547" s="1005">
        <f t="shared" si="61"/>
        <v>13.666666666666666</v>
      </c>
      <c r="AH547" s="1005">
        <f t="shared" si="63"/>
        <v>11.508988833227816</v>
      </c>
    </row>
    <row r="548" spans="1:34" x14ac:dyDescent="0.25">
      <c r="A548" s="999">
        <v>49200</v>
      </c>
      <c r="B548" s="999" t="s">
        <v>1700</v>
      </c>
      <c r="C548" s="999" t="s">
        <v>1284</v>
      </c>
      <c r="D548" s="999" t="s">
        <v>894</v>
      </c>
      <c r="E548" s="999" t="s">
        <v>895</v>
      </c>
      <c r="F548" s="999">
        <v>1826374</v>
      </c>
      <c r="G548" s="1000">
        <v>7332297515</v>
      </c>
      <c r="H548" s="999" t="s">
        <v>1741</v>
      </c>
      <c r="I548" s="999" t="s">
        <v>897</v>
      </c>
      <c r="J548" s="1001">
        <v>40464</v>
      </c>
      <c r="K548" s="1001">
        <v>45835</v>
      </c>
      <c r="L548" s="1000">
        <f t="shared" si="64"/>
        <v>176</v>
      </c>
      <c r="M548" s="1002">
        <f t="shared" si="65"/>
        <v>14.666666666666666</v>
      </c>
      <c r="N548" s="1000">
        <v>14</v>
      </c>
      <c r="O548" s="1000">
        <v>14</v>
      </c>
      <c r="P548" s="1000">
        <v>43</v>
      </c>
      <c r="Q548" s="999" t="s">
        <v>898</v>
      </c>
      <c r="R548" s="999" t="s">
        <v>899</v>
      </c>
      <c r="S548" s="999" t="s">
        <v>900</v>
      </c>
      <c r="T548" s="999" t="s">
        <v>1716</v>
      </c>
      <c r="U548" s="1000"/>
      <c r="V548" s="1000" t="s">
        <v>914</v>
      </c>
      <c r="W548" s="1003">
        <v>17006</v>
      </c>
      <c r="X548" s="1000" t="s">
        <v>903</v>
      </c>
      <c r="Y548" s="1000">
        <v>78</v>
      </c>
      <c r="Z548" s="1000" t="s">
        <v>904</v>
      </c>
      <c r="AA548" s="1000" t="s">
        <v>905</v>
      </c>
      <c r="AB548" s="1000" t="s">
        <v>938</v>
      </c>
      <c r="AC548" s="1000" t="s">
        <v>907</v>
      </c>
      <c r="AD548" s="1004">
        <v>3813.57</v>
      </c>
      <c r="AE548" s="1004">
        <f t="shared" si="62"/>
        <v>55932.36</v>
      </c>
      <c r="AF548" s="1004">
        <f t="shared" si="66"/>
        <v>55932.36</v>
      </c>
      <c r="AG548" s="1005">
        <f t="shared" si="61"/>
        <v>14.666666666666666</v>
      </c>
      <c r="AH548" s="1005">
        <f t="shared" si="63"/>
        <v>11.619725068919742</v>
      </c>
    </row>
    <row r="549" spans="1:34" x14ac:dyDescent="0.25">
      <c r="A549" s="999">
        <v>49200</v>
      </c>
      <c r="B549" s="999" t="s">
        <v>1700</v>
      </c>
      <c r="C549" s="999" t="s">
        <v>1284</v>
      </c>
      <c r="D549" s="999" t="s">
        <v>894</v>
      </c>
      <c r="E549" s="999" t="s">
        <v>895</v>
      </c>
      <c r="F549" s="999">
        <v>1736906</v>
      </c>
      <c r="G549" s="1000">
        <v>3505618772</v>
      </c>
      <c r="H549" s="999" t="s">
        <v>1742</v>
      </c>
      <c r="I549" s="999" t="s">
        <v>897</v>
      </c>
      <c r="J549" s="1001">
        <v>40100</v>
      </c>
      <c r="K549" s="1001">
        <v>45835</v>
      </c>
      <c r="L549" s="1000">
        <f t="shared" si="64"/>
        <v>188</v>
      </c>
      <c r="M549" s="1002">
        <f t="shared" si="65"/>
        <v>15.666666666666666</v>
      </c>
      <c r="N549" s="1000">
        <v>15</v>
      </c>
      <c r="O549" s="1000">
        <v>15</v>
      </c>
      <c r="P549" s="1000">
        <v>43</v>
      </c>
      <c r="Q549" s="999" t="s">
        <v>898</v>
      </c>
      <c r="R549" s="999" t="s">
        <v>899</v>
      </c>
      <c r="S549" s="999" t="s">
        <v>900</v>
      </c>
      <c r="T549" s="999" t="s">
        <v>1726</v>
      </c>
      <c r="U549" s="1000" t="s">
        <v>55</v>
      </c>
      <c r="V549" s="1000" t="s">
        <v>914</v>
      </c>
      <c r="W549" s="1003">
        <v>17666</v>
      </c>
      <c r="X549" s="1000" t="s">
        <v>930</v>
      </c>
      <c r="Y549" s="1000">
        <v>76</v>
      </c>
      <c r="Z549" s="1000" t="s">
        <v>904</v>
      </c>
      <c r="AA549" s="1000" t="s">
        <v>905</v>
      </c>
      <c r="AB549" s="1000" t="s">
        <v>911</v>
      </c>
      <c r="AC549" s="1000" t="s">
        <v>907</v>
      </c>
      <c r="AD549" s="1004">
        <v>5333.97</v>
      </c>
      <c r="AE549" s="1004">
        <f t="shared" si="62"/>
        <v>83565.53</v>
      </c>
      <c r="AF549" s="1004">
        <f t="shared" si="66"/>
        <v>83565.53</v>
      </c>
      <c r="AG549" s="1005">
        <f t="shared" si="61"/>
        <v>15.666666666666666</v>
      </c>
      <c r="AH549" s="1005">
        <f t="shared" si="63"/>
        <v>13.193231101505059</v>
      </c>
    </row>
    <row r="550" spans="1:34" x14ac:dyDescent="0.25">
      <c r="A550" s="999">
        <v>49200</v>
      </c>
      <c r="B550" s="999" t="s">
        <v>1700</v>
      </c>
      <c r="C550" s="999" t="s">
        <v>1284</v>
      </c>
      <c r="D550" s="999" t="s">
        <v>894</v>
      </c>
      <c r="E550" s="999" t="s">
        <v>895</v>
      </c>
      <c r="F550" s="999">
        <v>1720638</v>
      </c>
      <c r="G550" s="1000">
        <v>5541115434</v>
      </c>
      <c r="H550" s="999" t="s">
        <v>1743</v>
      </c>
      <c r="I550" s="999" t="s">
        <v>897</v>
      </c>
      <c r="J550" s="1001">
        <v>40044</v>
      </c>
      <c r="K550" s="1001">
        <v>45835</v>
      </c>
      <c r="L550" s="1000">
        <f t="shared" si="64"/>
        <v>190</v>
      </c>
      <c r="M550" s="1002">
        <f t="shared" si="65"/>
        <v>15.833333333333334</v>
      </c>
      <c r="N550" s="1000">
        <v>15</v>
      </c>
      <c r="O550" s="1000">
        <v>15</v>
      </c>
      <c r="P550" s="1000">
        <v>8</v>
      </c>
      <c r="Q550" s="999" t="s">
        <v>1445</v>
      </c>
      <c r="R550" s="999" t="s">
        <v>899</v>
      </c>
      <c r="S550" s="999" t="s">
        <v>900</v>
      </c>
      <c r="T550" s="999" t="s">
        <v>1013</v>
      </c>
      <c r="U550" s="1000" t="s">
        <v>55</v>
      </c>
      <c r="V550" s="1000" t="s">
        <v>914</v>
      </c>
      <c r="W550" s="1003">
        <v>16627</v>
      </c>
      <c r="X550" s="1000" t="s">
        <v>903</v>
      </c>
      <c r="Y550" s="1000">
        <v>79</v>
      </c>
      <c r="Z550" s="1000" t="s">
        <v>904</v>
      </c>
      <c r="AA550" s="1000" t="s">
        <v>905</v>
      </c>
      <c r="AB550" s="1000" t="s">
        <v>911</v>
      </c>
      <c r="AC550" s="1000" t="s">
        <v>907</v>
      </c>
      <c r="AD550" s="1004">
        <v>5333.97</v>
      </c>
      <c r="AE550" s="1004">
        <f t="shared" si="62"/>
        <v>84454.525000000009</v>
      </c>
      <c r="AF550" s="1004">
        <f t="shared" si="66"/>
        <v>84454.525000000009</v>
      </c>
      <c r="AG550" s="1005">
        <f t="shared" si="61"/>
        <v>15.833333333333334</v>
      </c>
      <c r="AH550" s="1005">
        <f t="shared" si="63"/>
        <v>13.333584623861498</v>
      </c>
    </row>
    <row r="551" spans="1:34" x14ac:dyDescent="0.25">
      <c r="A551" s="999">
        <v>49200</v>
      </c>
      <c r="B551" s="999" t="s">
        <v>1700</v>
      </c>
      <c r="C551" s="999" t="s">
        <v>1284</v>
      </c>
      <c r="D551" s="999" t="s">
        <v>894</v>
      </c>
      <c r="E551" s="999" t="s">
        <v>895</v>
      </c>
      <c r="F551" s="999">
        <v>1881138</v>
      </c>
      <c r="G551" s="1000">
        <v>20811047768</v>
      </c>
      <c r="H551" s="999" t="s">
        <v>1744</v>
      </c>
      <c r="I551" s="999" t="s">
        <v>897</v>
      </c>
      <c r="J551" s="1001">
        <v>40756</v>
      </c>
      <c r="K551" s="1001">
        <v>45835</v>
      </c>
      <c r="L551" s="1000">
        <f t="shared" si="64"/>
        <v>166</v>
      </c>
      <c r="M551" s="1002">
        <f t="shared" si="65"/>
        <v>13.833333333333334</v>
      </c>
      <c r="N551" s="1000">
        <v>13</v>
      </c>
      <c r="O551" s="1000">
        <v>13</v>
      </c>
      <c r="P551" s="1000">
        <v>43</v>
      </c>
      <c r="Q551" s="999" t="s">
        <v>898</v>
      </c>
      <c r="R551" s="999" t="s">
        <v>899</v>
      </c>
      <c r="S551" s="999" t="s">
        <v>900</v>
      </c>
      <c r="T551" s="999" t="s">
        <v>1703</v>
      </c>
      <c r="U551" s="1000" t="s">
        <v>55</v>
      </c>
      <c r="V551" s="1000" t="s">
        <v>914</v>
      </c>
      <c r="W551" s="1003">
        <v>18315</v>
      </c>
      <c r="X551" s="1000" t="s">
        <v>903</v>
      </c>
      <c r="Y551" s="1000">
        <v>75</v>
      </c>
      <c r="Z551" s="1000" t="s">
        <v>904</v>
      </c>
      <c r="AA551" s="1000" t="s">
        <v>905</v>
      </c>
      <c r="AB551" s="1000" t="s">
        <v>911</v>
      </c>
      <c r="AC551" s="1000" t="s">
        <v>907</v>
      </c>
      <c r="AD551" s="1004">
        <v>5333.97</v>
      </c>
      <c r="AE551" s="1004">
        <f t="shared" si="62"/>
        <v>73786.585000000006</v>
      </c>
      <c r="AF551" s="1004">
        <f t="shared" si="66"/>
        <v>73786.585000000006</v>
      </c>
      <c r="AG551" s="1005">
        <f t="shared" si="61"/>
        <v>13.833333333333334</v>
      </c>
      <c r="AH551" s="1005">
        <f t="shared" si="63"/>
        <v>11.649342355584254</v>
      </c>
    </row>
    <row r="552" spans="1:34" x14ac:dyDescent="0.25">
      <c r="A552" s="999">
        <v>49200</v>
      </c>
      <c r="B552" s="999" t="s">
        <v>1700</v>
      </c>
      <c r="C552" s="999" t="s">
        <v>1284</v>
      </c>
      <c r="D552" s="999" t="s">
        <v>894</v>
      </c>
      <c r="E552" s="999" t="s">
        <v>895</v>
      </c>
      <c r="F552" s="999">
        <v>1979720</v>
      </c>
      <c r="G552" s="1000">
        <v>15684636691</v>
      </c>
      <c r="H552" s="999" t="s">
        <v>1745</v>
      </c>
      <c r="I552" s="999" t="s">
        <v>897</v>
      </c>
      <c r="J552" s="1001">
        <v>41221</v>
      </c>
      <c r="K552" s="1001">
        <v>45835</v>
      </c>
      <c r="L552" s="1000">
        <f t="shared" si="64"/>
        <v>151</v>
      </c>
      <c r="M552" s="1002">
        <f t="shared" si="65"/>
        <v>12.583333333333334</v>
      </c>
      <c r="N552" s="1000">
        <v>12</v>
      </c>
      <c r="O552" s="1000">
        <v>12</v>
      </c>
      <c r="P552" s="1000">
        <v>43</v>
      </c>
      <c r="Q552" s="999" t="s">
        <v>898</v>
      </c>
      <c r="R552" s="999" t="s">
        <v>899</v>
      </c>
      <c r="S552" s="999" t="s">
        <v>900</v>
      </c>
      <c r="T552" s="999" t="s">
        <v>1184</v>
      </c>
      <c r="U552" s="1000" t="s">
        <v>54</v>
      </c>
      <c r="V552" s="1000" t="s">
        <v>910</v>
      </c>
      <c r="W552" s="1003">
        <v>18322</v>
      </c>
      <c r="X552" s="1000" t="s">
        <v>903</v>
      </c>
      <c r="Y552" s="1000">
        <v>75</v>
      </c>
      <c r="Z552" s="1000" t="s">
        <v>904</v>
      </c>
      <c r="AA552" s="1000" t="s">
        <v>905</v>
      </c>
      <c r="AB552" s="1000" t="s">
        <v>925</v>
      </c>
      <c r="AC552" s="1000" t="s">
        <v>907</v>
      </c>
      <c r="AD552" s="1004">
        <v>10126.049999999999</v>
      </c>
      <c r="AE552" s="1004">
        <f t="shared" si="62"/>
        <v>127419.46249999999</v>
      </c>
      <c r="AF552" s="1004">
        <f t="shared" si="66"/>
        <v>127419.46249999999</v>
      </c>
      <c r="AG552" s="1005">
        <f t="shared" si="61"/>
        <v>12.583333333333334</v>
      </c>
      <c r="AH552" s="1005">
        <f t="shared" si="63"/>
        <v>11.452353935134212</v>
      </c>
    </row>
    <row r="553" spans="1:34" x14ac:dyDescent="0.25">
      <c r="A553" s="999">
        <v>49200</v>
      </c>
      <c r="B553" s="999" t="s">
        <v>1700</v>
      </c>
      <c r="C553" s="999" t="s">
        <v>1284</v>
      </c>
      <c r="D553" s="999" t="s">
        <v>894</v>
      </c>
      <c r="E553" s="999" t="s">
        <v>895</v>
      </c>
      <c r="F553" s="999">
        <v>1746401</v>
      </c>
      <c r="G553" s="1000">
        <v>18816045787</v>
      </c>
      <c r="H553" s="999" t="s">
        <v>1746</v>
      </c>
      <c r="I553" s="999" t="s">
        <v>897</v>
      </c>
      <c r="J553" s="1001">
        <v>40184</v>
      </c>
      <c r="K553" s="1001">
        <v>45835</v>
      </c>
      <c r="L553" s="1000">
        <f t="shared" si="64"/>
        <v>185</v>
      </c>
      <c r="M553" s="1002">
        <f t="shared" si="65"/>
        <v>15.416666666666666</v>
      </c>
      <c r="N553" s="1000">
        <v>15</v>
      </c>
      <c r="O553" s="1000">
        <v>15</v>
      </c>
      <c r="P553" s="1000">
        <v>43</v>
      </c>
      <c r="Q553" s="999" t="s">
        <v>898</v>
      </c>
      <c r="R553" s="999" t="s">
        <v>899</v>
      </c>
      <c r="S553" s="999" t="s">
        <v>900</v>
      </c>
      <c r="T553" s="999" t="s">
        <v>1703</v>
      </c>
      <c r="U553" s="1000" t="s">
        <v>55</v>
      </c>
      <c r="V553" s="1000" t="s">
        <v>914</v>
      </c>
      <c r="W553" s="1003">
        <v>17394</v>
      </c>
      <c r="X553" s="1000" t="s">
        <v>903</v>
      </c>
      <c r="Y553" s="1000">
        <v>77</v>
      </c>
      <c r="Z553" s="1000" t="s">
        <v>904</v>
      </c>
      <c r="AA553" s="1000" t="s">
        <v>905</v>
      </c>
      <c r="AB553" s="1000" t="s">
        <v>911</v>
      </c>
      <c r="AC553" s="1000" t="s">
        <v>907</v>
      </c>
      <c r="AD553" s="1004">
        <v>5333.97</v>
      </c>
      <c r="AE553" s="1004">
        <f t="shared" si="62"/>
        <v>82232.037500000006</v>
      </c>
      <c r="AF553" s="1004">
        <f t="shared" si="66"/>
        <v>82232.037500000006</v>
      </c>
      <c r="AG553" s="1005">
        <f t="shared" si="61"/>
        <v>15.416666666666668</v>
      </c>
      <c r="AH553" s="1005">
        <f t="shared" si="63"/>
        <v>12.982700817970404</v>
      </c>
    </row>
    <row r="554" spans="1:34" x14ac:dyDescent="0.25">
      <c r="A554" s="999">
        <v>49200</v>
      </c>
      <c r="B554" s="999" t="s">
        <v>1700</v>
      </c>
      <c r="C554" s="999" t="s">
        <v>1284</v>
      </c>
      <c r="D554" s="999" t="s">
        <v>894</v>
      </c>
      <c r="E554" s="999" t="s">
        <v>895</v>
      </c>
      <c r="F554" s="999">
        <v>1068013</v>
      </c>
      <c r="G554" s="1000">
        <v>5815835404</v>
      </c>
      <c r="H554" s="999" t="s">
        <v>1747</v>
      </c>
      <c r="I554" s="999" t="s">
        <v>1444</v>
      </c>
      <c r="J554" s="1001">
        <v>45231</v>
      </c>
      <c r="K554" s="1001">
        <v>45835</v>
      </c>
      <c r="L554" s="1000">
        <f t="shared" si="64"/>
        <v>19</v>
      </c>
      <c r="M554" s="1002">
        <f t="shared" si="65"/>
        <v>1.5833333333333333</v>
      </c>
      <c r="N554" s="1000">
        <v>1</v>
      </c>
      <c r="O554" s="1000">
        <v>10</v>
      </c>
      <c r="P554" s="1000">
        <v>48</v>
      </c>
      <c r="Q554" s="999" t="s">
        <v>1695</v>
      </c>
      <c r="R554" s="999" t="s">
        <v>899</v>
      </c>
      <c r="S554" s="999" t="s">
        <v>900</v>
      </c>
      <c r="T554" s="999" t="s">
        <v>1748</v>
      </c>
      <c r="U554" s="1000" t="s">
        <v>55</v>
      </c>
      <c r="V554" s="1000" t="s">
        <v>914</v>
      </c>
      <c r="W554" s="1003">
        <v>17737</v>
      </c>
      <c r="X554" s="1000" t="s">
        <v>903</v>
      </c>
      <c r="Y554" s="1000">
        <v>76</v>
      </c>
      <c r="Z554" s="1000" t="s">
        <v>904</v>
      </c>
      <c r="AA554" s="1000" t="s">
        <v>905</v>
      </c>
      <c r="AB554" s="1000" t="s">
        <v>911</v>
      </c>
      <c r="AC554" s="1000" t="s">
        <v>907</v>
      </c>
      <c r="AD554" s="1004">
        <v>5333.97</v>
      </c>
      <c r="AE554" s="1004">
        <f t="shared" si="62"/>
        <v>8445.4524999999994</v>
      </c>
      <c r="AF554" s="1004">
        <f t="shared" si="66"/>
        <v>8445.4524999999994</v>
      </c>
      <c r="AG554" s="1005">
        <f t="shared" si="61"/>
        <v>1.5833333333333333</v>
      </c>
      <c r="AH554" s="1005">
        <f t="shared" si="63"/>
        <v>1.3333584623861494</v>
      </c>
    </row>
    <row r="555" spans="1:34" x14ac:dyDescent="0.25">
      <c r="A555" s="999">
        <v>49200</v>
      </c>
      <c r="B555" s="999" t="s">
        <v>1700</v>
      </c>
      <c r="C555" s="999" t="s">
        <v>1284</v>
      </c>
      <c r="D555" s="999" t="s">
        <v>894</v>
      </c>
      <c r="E555" s="999" t="s">
        <v>895</v>
      </c>
      <c r="F555" s="999">
        <v>1793934</v>
      </c>
      <c r="G555" s="1000">
        <v>9479376920</v>
      </c>
      <c r="H555" s="999" t="s">
        <v>1751</v>
      </c>
      <c r="I555" s="999" t="s">
        <v>897</v>
      </c>
      <c r="J555" s="1001">
        <v>40357</v>
      </c>
      <c r="K555" s="1001">
        <v>45835</v>
      </c>
      <c r="L555" s="1000">
        <f t="shared" ref="L555:L579" si="67">DATEDIF(J555,K555, "m")</f>
        <v>179</v>
      </c>
      <c r="M555" s="1002">
        <f t="shared" ref="M555:M579" si="68">L555/12</f>
        <v>14.916666666666666</v>
      </c>
      <c r="N555" s="1000">
        <v>14</v>
      </c>
      <c r="O555" s="1000">
        <v>14</v>
      </c>
      <c r="P555" s="1000">
        <v>43</v>
      </c>
      <c r="Q555" s="999" t="s">
        <v>898</v>
      </c>
      <c r="R555" s="999" t="s">
        <v>899</v>
      </c>
      <c r="S555" s="999" t="s">
        <v>900</v>
      </c>
      <c r="T555" s="999" t="s">
        <v>1752</v>
      </c>
      <c r="U555" s="1000" t="s">
        <v>55</v>
      </c>
      <c r="V555" s="1000" t="s">
        <v>910</v>
      </c>
      <c r="W555" s="1003">
        <v>17627</v>
      </c>
      <c r="X555" s="1000" t="s">
        <v>903</v>
      </c>
      <c r="Y555" s="1000">
        <v>77</v>
      </c>
      <c r="Z555" s="1000" t="s">
        <v>904</v>
      </c>
      <c r="AA555" s="1000" t="s">
        <v>905</v>
      </c>
      <c r="AB555" s="1000" t="s">
        <v>911</v>
      </c>
      <c r="AC555" s="1000" t="s">
        <v>907</v>
      </c>
      <c r="AD555" s="1004">
        <v>5333.97</v>
      </c>
      <c r="AE555" s="1004">
        <f t="shared" ref="AE555:AE578" si="69">AD555*M555</f>
        <v>79565.052500000005</v>
      </c>
      <c r="AF555" s="1004">
        <f t="shared" ref="AF555:AF579" si="70">AE555</f>
        <v>79565.052500000005</v>
      </c>
      <c r="AG555" s="1005">
        <f t="shared" ref="AG555:AG618" si="71">AF555/AD555</f>
        <v>14.916666666666666</v>
      </c>
      <c r="AH555" s="1005">
        <f t="shared" ref="AH555:AH578" si="72">AF555/(AD555+1000)</f>
        <v>12.561640250901094</v>
      </c>
    </row>
    <row r="556" spans="1:34" x14ac:dyDescent="0.25">
      <c r="A556" s="999">
        <v>49200</v>
      </c>
      <c r="B556" s="999" t="s">
        <v>1700</v>
      </c>
      <c r="C556" s="999" t="s">
        <v>1284</v>
      </c>
      <c r="D556" s="999" t="s">
        <v>894</v>
      </c>
      <c r="E556" s="999" t="s">
        <v>895</v>
      </c>
      <c r="F556" s="999">
        <v>1708554</v>
      </c>
      <c r="G556" s="1000">
        <v>33827010730</v>
      </c>
      <c r="H556" s="999" t="s">
        <v>1753</v>
      </c>
      <c r="I556" s="999" t="s">
        <v>897</v>
      </c>
      <c r="J556" s="1001">
        <v>40371</v>
      </c>
      <c r="K556" s="1001">
        <v>45835</v>
      </c>
      <c r="L556" s="1000">
        <f t="shared" si="67"/>
        <v>179</v>
      </c>
      <c r="M556" s="1002">
        <f t="shared" si="68"/>
        <v>14.916666666666666</v>
      </c>
      <c r="N556" s="1000">
        <v>14</v>
      </c>
      <c r="O556" s="1000">
        <v>14</v>
      </c>
      <c r="P556" s="1000">
        <v>43</v>
      </c>
      <c r="Q556" s="999" t="s">
        <v>898</v>
      </c>
      <c r="R556" s="999" t="s">
        <v>899</v>
      </c>
      <c r="S556" s="999" t="s">
        <v>900</v>
      </c>
      <c r="T556" s="999" t="s">
        <v>1754</v>
      </c>
      <c r="U556" s="1000" t="s">
        <v>55</v>
      </c>
      <c r="V556" s="1000" t="s">
        <v>914</v>
      </c>
      <c r="W556" s="1003">
        <v>17832</v>
      </c>
      <c r="X556" s="1000" t="s">
        <v>903</v>
      </c>
      <c r="Y556" s="1000">
        <v>76</v>
      </c>
      <c r="Z556" s="1000" t="s">
        <v>904</v>
      </c>
      <c r="AA556" s="1000" t="s">
        <v>905</v>
      </c>
      <c r="AB556" s="1000" t="s">
        <v>911</v>
      </c>
      <c r="AC556" s="1000" t="s">
        <v>907</v>
      </c>
      <c r="AD556" s="1004">
        <v>5333.97</v>
      </c>
      <c r="AE556" s="1004">
        <f t="shared" si="69"/>
        <v>79565.052500000005</v>
      </c>
      <c r="AF556" s="1004">
        <f t="shared" si="70"/>
        <v>79565.052500000005</v>
      </c>
      <c r="AG556" s="1005">
        <f t="shared" si="71"/>
        <v>14.916666666666666</v>
      </c>
      <c r="AH556" s="1005">
        <f t="shared" si="72"/>
        <v>12.561640250901094</v>
      </c>
    </row>
    <row r="557" spans="1:34" x14ac:dyDescent="0.25">
      <c r="A557" s="999">
        <v>49200</v>
      </c>
      <c r="B557" s="999" t="s">
        <v>1700</v>
      </c>
      <c r="C557" s="999" t="s">
        <v>1284</v>
      </c>
      <c r="D557" s="999" t="s">
        <v>894</v>
      </c>
      <c r="E557" s="999" t="s">
        <v>895</v>
      </c>
      <c r="F557" s="999">
        <v>1735691</v>
      </c>
      <c r="G557" s="1000">
        <v>33953473700</v>
      </c>
      <c r="H557" s="999" t="s">
        <v>1755</v>
      </c>
      <c r="I557" s="999" t="s">
        <v>897</v>
      </c>
      <c r="J557" s="1001">
        <v>40126</v>
      </c>
      <c r="K557" s="1001">
        <v>45835</v>
      </c>
      <c r="L557" s="1000">
        <f t="shared" si="67"/>
        <v>187</v>
      </c>
      <c r="M557" s="1002">
        <f t="shared" si="68"/>
        <v>15.583333333333334</v>
      </c>
      <c r="N557" s="1000">
        <v>15</v>
      </c>
      <c r="O557" s="1000">
        <v>15</v>
      </c>
      <c r="P557" s="1000">
        <v>43</v>
      </c>
      <c r="Q557" s="999" t="s">
        <v>898</v>
      </c>
      <c r="R557" s="999" t="s">
        <v>899</v>
      </c>
      <c r="S557" s="999" t="s">
        <v>900</v>
      </c>
      <c r="T557" s="999" t="s">
        <v>1013</v>
      </c>
      <c r="U557" s="1000" t="s">
        <v>55</v>
      </c>
      <c r="V557" s="1000" t="s">
        <v>914</v>
      </c>
      <c r="W557" s="1003">
        <v>17466</v>
      </c>
      <c r="X557" s="1000" t="s">
        <v>903</v>
      </c>
      <c r="Y557" s="1000">
        <v>77</v>
      </c>
      <c r="Z557" s="1000" t="s">
        <v>904</v>
      </c>
      <c r="AA557" s="1000" t="s">
        <v>905</v>
      </c>
      <c r="AB557" s="1000" t="s">
        <v>911</v>
      </c>
      <c r="AC557" s="1000" t="s">
        <v>907</v>
      </c>
      <c r="AD557" s="1004">
        <v>5333.97</v>
      </c>
      <c r="AE557" s="1004">
        <f t="shared" si="69"/>
        <v>83121.032500000001</v>
      </c>
      <c r="AF557" s="1004">
        <f t="shared" si="70"/>
        <v>83121.032500000001</v>
      </c>
      <c r="AG557" s="1005">
        <f t="shared" si="71"/>
        <v>15.583333333333332</v>
      </c>
      <c r="AH557" s="1005">
        <f t="shared" si="72"/>
        <v>13.12305434032684</v>
      </c>
    </row>
    <row r="558" spans="1:34" x14ac:dyDescent="0.25">
      <c r="A558" s="999">
        <v>49200</v>
      </c>
      <c r="B558" s="999" t="s">
        <v>1700</v>
      </c>
      <c r="C558" s="999" t="s">
        <v>1284</v>
      </c>
      <c r="D558" s="999" t="s">
        <v>894</v>
      </c>
      <c r="E558" s="999" t="s">
        <v>895</v>
      </c>
      <c r="F558" s="999">
        <v>1795182</v>
      </c>
      <c r="G558" s="1000">
        <v>28826957991</v>
      </c>
      <c r="H558" s="999" t="s">
        <v>1756</v>
      </c>
      <c r="I558" s="999" t="s">
        <v>897</v>
      </c>
      <c r="J558" s="1001">
        <v>40365</v>
      </c>
      <c r="K558" s="1001">
        <v>45835</v>
      </c>
      <c r="L558" s="1000">
        <f t="shared" si="67"/>
        <v>179</v>
      </c>
      <c r="M558" s="1002">
        <f t="shared" si="68"/>
        <v>14.916666666666666</v>
      </c>
      <c r="N558" s="1000">
        <v>14</v>
      </c>
      <c r="O558" s="1000">
        <v>14</v>
      </c>
      <c r="P558" s="1000">
        <v>43</v>
      </c>
      <c r="Q558" s="999" t="s">
        <v>898</v>
      </c>
      <c r="R558" s="999" t="s">
        <v>899</v>
      </c>
      <c r="S558" s="999" t="s">
        <v>900</v>
      </c>
      <c r="T558" s="999" t="s">
        <v>1707</v>
      </c>
      <c r="U558" s="1000"/>
      <c r="V558" s="1000" t="s">
        <v>921</v>
      </c>
      <c r="W558" s="1003">
        <v>18004</v>
      </c>
      <c r="X558" s="1000" t="s">
        <v>903</v>
      </c>
      <c r="Y558" s="1000">
        <v>76</v>
      </c>
      <c r="Z558" s="1000" t="s">
        <v>904</v>
      </c>
      <c r="AA558" s="1000" t="s">
        <v>905</v>
      </c>
      <c r="AB558" s="1000" t="s">
        <v>1134</v>
      </c>
      <c r="AC558" s="1000" t="s">
        <v>907</v>
      </c>
      <c r="AD558" s="1004">
        <v>3417.68</v>
      </c>
      <c r="AE558" s="1004">
        <f t="shared" si="69"/>
        <v>50980.393333333326</v>
      </c>
      <c r="AF558" s="1004">
        <f t="shared" si="70"/>
        <v>50980.393333333326</v>
      </c>
      <c r="AG558" s="1005">
        <f t="shared" si="71"/>
        <v>14.916666666666666</v>
      </c>
      <c r="AH558" s="1005">
        <f t="shared" si="72"/>
        <v>11.540082879097925</v>
      </c>
    </row>
    <row r="559" spans="1:34" x14ac:dyDescent="0.25">
      <c r="A559" s="999">
        <v>49200</v>
      </c>
      <c r="B559" s="999" t="s">
        <v>1700</v>
      </c>
      <c r="C559" s="999" t="s">
        <v>1284</v>
      </c>
      <c r="D559" s="999" t="s">
        <v>894</v>
      </c>
      <c r="E559" s="999" t="s">
        <v>895</v>
      </c>
      <c r="F559" s="999">
        <v>1720307</v>
      </c>
      <c r="G559" s="1000">
        <v>7062605972</v>
      </c>
      <c r="H559" s="999" t="s">
        <v>1757</v>
      </c>
      <c r="I559" s="999" t="s">
        <v>897</v>
      </c>
      <c r="J559" s="1001">
        <v>40029</v>
      </c>
      <c r="K559" s="1001">
        <v>45835</v>
      </c>
      <c r="L559" s="1000">
        <f t="shared" si="67"/>
        <v>190</v>
      </c>
      <c r="M559" s="1002">
        <f t="shared" si="68"/>
        <v>15.833333333333334</v>
      </c>
      <c r="N559" s="1000">
        <v>15</v>
      </c>
      <c r="O559" s="1000">
        <v>15</v>
      </c>
      <c r="P559" s="1000">
        <v>43</v>
      </c>
      <c r="Q559" s="999" t="s">
        <v>898</v>
      </c>
      <c r="R559" s="999" t="s">
        <v>899</v>
      </c>
      <c r="S559" s="999" t="s">
        <v>900</v>
      </c>
      <c r="T559" s="999" t="s">
        <v>1202</v>
      </c>
      <c r="U559" s="1000" t="s">
        <v>54</v>
      </c>
      <c r="V559" s="1000" t="s">
        <v>914</v>
      </c>
      <c r="W559" s="1003">
        <v>17970</v>
      </c>
      <c r="X559" s="1000" t="s">
        <v>903</v>
      </c>
      <c r="Y559" s="1000">
        <v>76</v>
      </c>
      <c r="Z559" s="1000" t="s">
        <v>904</v>
      </c>
      <c r="AA559" s="1000" t="s">
        <v>905</v>
      </c>
      <c r="AB559" s="1000" t="s">
        <v>925</v>
      </c>
      <c r="AC559" s="1000" t="s">
        <v>907</v>
      </c>
      <c r="AD559" s="1004">
        <v>10126.049999999999</v>
      </c>
      <c r="AE559" s="1004">
        <f t="shared" si="69"/>
        <v>160329.125</v>
      </c>
      <c r="AF559" s="1004">
        <f t="shared" si="70"/>
        <v>160329.125</v>
      </c>
      <c r="AG559" s="1005">
        <f t="shared" si="71"/>
        <v>15.833333333333334</v>
      </c>
      <c r="AH559" s="1005">
        <f t="shared" si="72"/>
        <v>14.410246673347684</v>
      </c>
    </row>
    <row r="560" spans="1:34" x14ac:dyDescent="0.25">
      <c r="A560" s="999">
        <v>49200</v>
      </c>
      <c r="B560" s="999" t="s">
        <v>1700</v>
      </c>
      <c r="C560" s="999" t="s">
        <v>1284</v>
      </c>
      <c r="D560" s="999" t="s">
        <v>894</v>
      </c>
      <c r="E560" s="999" t="s">
        <v>895</v>
      </c>
      <c r="F560" s="999">
        <v>1719444</v>
      </c>
      <c r="G560" s="1000">
        <v>24190349615</v>
      </c>
      <c r="H560" s="999" t="s">
        <v>1758</v>
      </c>
      <c r="I560" s="999" t="s">
        <v>897</v>
      </c>
      <c r="J560" s="1001">
        <v>40031</v>
      </c>
      <c r="K560" s="1001">
        <v>45835</v>
      </c>
      <c r="L560" s="1000">
        <f t="shared" si="67"/>
        <v>190</v>
      </c>
      <c r="M560" s="1002">
        <f t="shared" si="68"/>
        <v>15.833333333333334</v>
      </c>
      <c r="N560" s="1000">
        <v>15</v>
      </c>
      <c r="O560" s="1000">
        <v>15</v>
      </c>
      <c r="P560" s="1000">
        <v>43</v>
      </c>
      <c r="Q560" s="999" t="s">
        <v>898</v>
      </c>
      <c r="R560" s="999" t="s">
        <v>899</v>
      </c>
      <c r="S560" s="999" t="s">
        <v>900</v>
      </c>
      <c r="T560" s="999" t="s">
        <v>1703</v>
      </c>
      <c r="U560" s="1000" t="s">
        <v>55</v>
      </c>
      <c r="V560" s="1000" t="s">
        <v>914</v>
      </c>
      <c r="W560" s="1003">
        <v>18175</v>
      </c>
      <c r="X560" s="1000" t="s">
        <v>903</v>
      </c>
      <c r="Y560" s="1000">
        <v>75</v>
      </c>
      <c r="Z560" s="1000" t="s">
        <v>904</v>
      </c>
      <c r="AA560" s="1000" t="s">
        <v>905</v>
      </c>
      <c r="AB560" s="1000" t="s">
        <v>911</v>
      </c>
      <c r="AC560" s="1000" t="s">
        <v>907</v>
      </c>
      <c r="AD560" s="1004">
        <v>5333.97</v>
      </c>
      <c r="AE560" s="1004">
        <f t="shared" si="69"/>
        <v>84454.525000000009</v>
      </c>
      <c r="AF560" s="1004">
        <f t="shared" si="70"/>
        <v>84454.525000000009</v>
      </c>
      <c r="AG560" s="1005">
        <f t="shared" si="71"/>
        <v>15.833333333333334</v>
      </c>
      <c r="AH560" s="1005">
        <f t="shared" si="72"/>
        <v>13.333584623861498</v>
      </c>
    </row>
    <row r="561" spans="1:34" x14ac:dyDescent="0.25">
      <c r="A561" s="999">
        <v>49200</v>
      </c>
      <c r="B561" s="999" t="s">
        <v>1700</v>
      </c>
      <c r="C561" s="999" t="s">
        <v>1284</v>
      </c>
      <c r="D561" s="999" t="s">
        <v>894</v>
      </c>
      <c r="E561" s="999" t="s">
        <v>895</v>
      </c>
      <c r="F561" s="999">
        <v>1962388</v>
      </c>
      <c r="G561" s="1000">
        <v>3061663487</v>
      </c>
      <c r="H561" s="999" t="s">
        <v>1759</v>
      </c>
      <c r="I561" s="999" t="s">
        <v>897</v>
      </c>
      <c r="J561" s="1001">
        <v>41130</v>
      </c>
      <c r="K561" s="1001">
        <v>45835</v>
      </c>
      <c r="L561" s="1000">
        <f t="shared" si="67"/>
        <v>154</v>
      </c>
      <c r="M561" s="1002">
        <f t="shared" si="68"/>
        <v>12.833333333333334</v>
      </c>
      <c r="N561" s="1000">
        <v>12</v>
      </c>
      <c r="O561" s="1000">
        <v>12</v>
      </c>
      <c r="P561" s="1000">
        <v>43</v>
      </c>
      <c r="Q561" s="999" t="s">
        <v>898</v>
      </c>
      <c r="R561" s="999" t="s">
        <v>899</v>
      </c>
      <c r="S561" s="999" t="s">
        <v>900</v>
      </c>
      <c r="T561" s="999" t="s">
        <v>1754</v>
      </c>
      <c r="U561" s="1000" t="s">
        <v>55</v>
      </c>
      <c r="V561" s="1000" t="s">
        <v>914</v>
      </c>
      <c r="W561" s="1003">
        <v>17842</v>
      </c>
      <c r="X561" s="1000" t="s">
        <v>903</v>
      </c>
      <c r="Y561" s="1000">
        <v>76</v>
      </c>
      <c r="Z561" s="1000" t="s">
        <v>904</v>
      </c>
      <c r="AA561" s="1000" t="s">
        <v>905</v>
      </c>
      <c r="AB561" s="1000" t="s">
        <v>911</v>
      </c>
      <c r="AC561" s="1000" t="s">
        <v>907</v>
      </c>
      <c r="AD561" s="1004">
        <v>5333.97</v>
      </c>
      <c r="AE561" s="1004">
        <f t="shared" si="69"/>
        <v>68452.615000000005</v>
      </c>
      <c r="AF561" s="1004">
        <f t="shared" si="70"/>
        <v>68452.615000000005</v>
      </c>
      <c r="AG561" s="1005">
        <f t="shared" si="71"/>
        <v>12.833333333333334</v>
      </c>
      <c r="AH561" s="1005">
        <f t="shared" si="72"/>
        <v>10.807221221445634</v>
      </c>
    </row>
    <row r="562" spans="1:34" x14ac:dyDescent="0.25">
      <c r="A562" s="999">
        <v>49200</v>
      </c>
      <c r="B562" s="999" t="s">
        <v>1700</v>
      </c>
      <c r="C562" s="999" t="s">
        <v>1284</v>
      </c>
      <c r="D562" s="999" t="s">
        <v>894</v>
      </c>
      <c r="E562" s="999" t="s">
        <v>895</v>
      </c>
      <c r="F562" s="999">
        <v>1770208</v>
      </c>
      <c r="G562" s="1000">
        <v>7981104491</v>
      </c>
      <c r="H562" s="999" t="s">
        <v>1760</v>
      </c>
      <c r="I562" s="999" t="s">
        <v>897</v>
      </c>
      <c r="J562" s="1001">
        <v>40235</v>
      </c>
      <c r="K562" s="1001">
        <v>45835</v>
      </c>
      <c r="L562" s="1000">
        <f t="shared" si="67"/>
        <v>184</v>
      </c>
      <c r="M562" s="1002">
        <f t="shared" si="68"/>
        <v>15.333333333333334</v>
      </c>
      <c r="N562" s="1000">
        <v>15</v>
      </c>
      <c r="O562" s="1000">
        <v>15</v>
      </c>
      <c r="P562" s="1000">
        <v>43</v>
      </c>
      <c r="Q562" s="999" t="s">
        <v>898</v>
      </c>
      <c r="R562" s="999" t="s">
        <v>899</v>
      </c>
      <c r="S562" s="999" t="s">
        <v>900</v>
      </c>
      <c r="T562" s="999" t="s">
        <v>1213</v>
      </c>
      <c r="U562" s="1000" t="s">
        <v>55</v>
      </c>
      <c r="V562" s="1000" t="s">
        <v>914</v>
      </c>
      <c r="W562" s="1003">
        <v>17363</v>
      </c>
      <c r="X562" s="1000" t="s">
        <v>903</v>
      </c>
      <c r="Y562" s="1000">
        <v>77</v>
      </c>
      <c r="Z562" s="1000" t="s">
        <v>904</v>
      </c>
      <c r="AA562" s="1000" t="s">
        <v>905</v>
      </c>
      <c r="AB562" s="1000" t="s">
        <v>911</v>
      </c>
      <c r="AC562" s="1000" t="s">
        <v>907</v>
      </c>
      <c r="AD562" s="1004">
        <v>5333.97</v>
      </c>
      <c r="AE562" s="1004">
        <f t="shared" si="69"/>
        <v>81787.540000000008</v>
      </c>
      <c r="AF562" s="1004">
        <f t="shared" si="70"/>
        <v>81787.540000000008</v>
      </c>
      <c r="AG562" s="1005">
        <f t="shared" si="71"/>
        <v>15.333333333333334</v>
      </c>
      <c r="AH562" s="1005">
        <f t="shared" si="72"/>
        <v>12.912524056792186</v>
      </c>
    </row>
    <row r="563" spans="1:34" x14ac:dyDescent="0.25">
      <c r="A563" s="999">
        <v>49200</v>
      </c>
      <c r="B563" s="999" t="s">
        <v>1700</v>
      </c>
      <c r="C563" s="999" t="s">
        <v>1284</v>
      </c>
      <c r="D563" s="999" t="s">
        <v>894</v>
      </c>
      <c r="E563" s="999" t="s">
        <v>895</v>
      </c>
      <c r="F563" s="999">
        <v>1136582</v>
      </c>
      <c r="G563" s="1000">
        <v>20982151772</v>
      </c>
      <c r="H563" s="999" t="s">
        <v>1761</v>
      </c>
      <c r="I563" s="999" t="s">
        <v>897</v>
      </c>
      <c r="J563" s="1001">
        <v>41830</v>
      </c>
      <c r="K563" s="1001">
        <v>45835</v>
      </c>
      <c r="L563" s="1000">
        <f t="shared" si="67"/>
        <v>131</v>
      </c>
      <c r="M563" s="1002">
        <f t="shared" si="68"/>
        <v>10.916666666666666</v>
      </c>
      <c r="N563" s="1000">
        <v>10</v>
      </c>
      <c r="O563" s="1000">
        <v>10</v>
      </c>
      <c r="P563" s="1000">
        <v>43</v>
      </c>
      <c r="Q563" s="999" t="s">
        <v>898</v>
      </c>
      <c r="R563" s="999" t="s">
        <v>899</v>
      </c>
      <c r="S563" s="999" t="s">
        <v>900</v>
      </c>
      <c r="T563" s="999" t="s">
        <v>1724</v>
      </c>
      <c r="U563" s="1000" t="s">
        <v>55</v>
      </c>
      <c r="V563" s="1000" t="s">
        <v>914</v>
      </c>
      <c r="W563" s="1003">
        <v>13572</v>
      </c>
      <c r="X563" s="1000" t="s">
        <v>903</v>
      </c>
      <c r="Y563" s="1000">
        <v>88</v>
      </c>
      <c r="Z563" s="1000" t="s">
        <v>904</v>
      </c>
      <c r="AA563" s="1000" t="s">
        <v>905</v>
      </c>
      <c r="AB563" s="1000" t="s">
        <v>911</v>
      </c>
      <c r="AC563" s="1000" t="s">
        <v>907</v>
      </c>
      <c r="AD563" s="1004">
        <v>5333.97</v>
      </c>
      <c r="AE563" s="1004">
        <f t="shared" si="69"/>
        <v>58229.172500000001</v>
      </c>
      <c r="AF563" s="1004">
        <f t="shared" si="70"/>
        <v>58229.172500000001</v>
      </c>
      <c r="AG563" s="1005">
        <f t="shared" si="71"/>
        <v>10.916666666666666</v>
      </c>
      <c r="AH563" s="1005">
        <f t="shared" si="72"/>
        <v>9.1931557143466094</v>
      </c>
    </row>
    <row r="564" spans="1:34" x14ac:dyDescent="0.25">
      <c r="A564" s="999">
        <v>49200</v>
      </c>
      <c r="B564" s="999" t="s">
        <v>1700</v>
      </c>
      <c r="C564" s="999" t="s">
        <v>1284</v>
      </c>
      <c r="D564" s="999" t="s">
        <v>894</v>
      </c>
      <c r="E564" s="999" t="s">
        <v>895</v>
      </c>
      <c r="F564" s="999">
        <v>1853942</v>
      </c>
      <c r="G564" s="1000">
        <v>5497620515</v>
      </c>
      <c r="H564" s="999" t="s">
        <v>1762</v>
      </c>
      <c r="I564" s="999" t="s">
        <v>897</v>
      </c>
      <c r="J564" s="1001">
        <v>40617</v>
      </c>
      <c r="K564" s="1001">
        <v>45835</v>
      </c>
      <c r="L564" s="1000">
        <f t="shared" si="67"/>
        <v>171</v>
      </c>
      <c r="M564" s="1002">
        <f t="shared" si="68"/>
        <v>14.25</v>
      </c>
      <c r="N564" s="1000">
        <v>14</v>
      </c>
      <c r="O564" s="1000">
        <v>14</v>
      </c>
      <c r="P564" s="1000">
        <v>43</v>
      </c>
      <c r="Q564" s="999" t="s">
        <v>898</v>
      </c>
      <c r="R564" s="999" t="s">
        <v>899</v>
      </c>
      <c r="S564" s="999" t="s">
        <v>900</v>
      </c>
      <c r="T564" s="999" t="s">
        <v>1763</v>
      </c>
      <c r="U564" s="1000"/>
      <c r="V564" s="1000" t="s">
        <v>914</v>
      </c>
      <c r="W564" s="1003">
        <v>17827</v>
      </c>
      <c r="X564" s="1000" t="s">
        <v>903</v>
      </c>
      <c r="Y564" s="1000">
        <v>76</v>
      </c>
      <c r="Z564" s="1000" t="s">
        <v>904</v>
      </c>
      <c r="AA564" s="1000" t="s">
        <v>905</v>
      </c>
      <c r="AB564" s="1000" t="s">
        <v>938</v>
      </c>
      <c r="AC564" s="1000" t="s">
        <v>907</v>
      </c>
      <c r="AD564" s="1004">
        <v>3813.57</v>
      </c>
      <c r="AE564" s="1004">
        <f t="shared" si="69"/>
        <v>54343.372500000005</v>
      </c>
      <c r="AF564" s="1004">
        <f t="shared" si="70"/>
        <v>54343.372500000005</v>
      </c>
      <c r="AG564" s="1005">
        <f t="shared" si="71"/>
        <v>14.25</v>
      </c>
      <c r="AH564" s="1005">
        <f t="shared" si="72"/>
        <v>11.28961924309816</v>
      </c>
    </row>
    <row r="565" spans="1:34" x14ac:dyDescent="0.25">
      <c r="A565" s="999">
        <v>49200</v>
      </c>
      <c r="B565" s="999" t="s">
        <v>1700</v>
      </c>
      <c r="C565" s="999" t="s">
        <v>1284</v>
      </c>
      <c r="D565" s="999" t="s">
        <v>894</v>
      </c>
      <c r="E565" s="999" t="s">
        <v>895</v>
      </c>
      <c r="F565" s="999">
        <v>1945081</v>
      </c>
      <c r="G565" s="1000">
        <v>70606897887</v>
      </c>
      <c r="H565" s="999" t="s">
        <v>1764</v>
      </c>
      <c r="I565" s="999" t="s">
        <v>897</v>
      </c>
      <c r="J565" s="1001">
        <v>41050</v>
      </c>
      <c r="K565" s="1001">
        <v>45835</v>
      </c>
      <c r="L565" s="1000">
        <f t="shared" si="67"/>
        <v>157</v>
      </c>
      <c r="M565" s="1002">
        <f t="shared" si="68"/>
        <v>13.083333333333334</v>
      </c>
      <c r="N565" s="1000">
        <v>13</v>
      </c>
      <c r="O565" s="1000">
        <v>13</v>
      </c>
      <c r="P565" s="1000">
        <v>43</v>
      </c>
      <c r="Q565" s="999" t="s">
        <v>898</v>
      </c>
      <c r="R565" s="999" t="s">
        <v>899</v>
      </c>
      <c r="S565" s="999" t="s">
        <v>900</v>
      </c>
      <c r="T565" s="999" t="s">
        <v>1720</v>
      </c>
      <c r="U565" s="1000"/>
      <c r="V565" s="1000" t="s">
        <v>914</v>
      </c>
      <c r="W565" s="1003">
        <v>17840</v>
      </c>
      <c r="X565" s="1000" t="s">
        <v>903</v>
      </c>
      <c r="Y565" s="1000">
        <v>76</v>
      </c>
      <c r="Z565" s="1000" t="s">
        <v>904</v>
      </c>
      <c r="AA565" s="1000" t="s">
        <v>905</v>
      </c>
      <c r="AB565" s="1000" t="s">
        <v>938</v>
      </c>
      <c r="AC565" s="1000" t="s">
        <v>907</v>
      </c>
      <c r="AD565" s="1004">
        <v>3813.57</v>
      </c>
      <c r="AE565" s="1004">
        <f t="shared" si="69"/>
        <v>49894.207500000004</v>
      </c>
      <c r="AF565" s="1004">
        <f t="shared" si="70"/>
        <v>49894.207500000004</v>
      </c>
      <c r="AG565" s="1005">
        <f t="shared" si="71"/>
        <v>13.083333333333334</v>
      </c>
      <c r="AH565" s="1005">
        <f t="shared" si="72"/>
        <v>10.365322930797726</v>
      </c>
    </row>
    <row r="566" spans="1:34" x14ac:dyDescent="0.25">
      <c r="A566" s="999">
        <v>49200</v>
      </c>
      <c r="B566" s="999" t="s">
        <v>1700</v>
      </c>
      <c r="C566" s="999" t="s">
        <v>1284</v>
      </c>
      <c r="D566" s="999" t="s">
        <v>894</v>
      </c>
      <c r="E566" s="999" t="s">
        <v>895</v>
      </c>
      <c r="F566" s="999">
        <v>1718820</v>
      </c>
      <c r="G566" s="1000">
        <v>8961980491</v>
      </c>
      <c r="H566" s="999" t="s">
        <v>1765</v>
      </c>
      <c r="I566" s="999" t="s">
        <v>897</v>
      </c>
      <c r="J566" s="1001">
        <v>40035</v>
      </c>
      <c r="K566" s="1001">
        <v>45835</v>
      </c>
      <c r="L566" s="1000">
        <f t="shared" si="67"/>
        <v>190</v>
      </c>
      <c r="M566" s="1002">
        <f t="shared" si="68"/>
        <v>15.833333333333334</v>
      </c>
      <c r="N566" s="1000">
        <v>15</v>
      </c>
      <c r="O566" s="1000">
        <v>15</v>
      </c>
      <c r="P566" s="1000">
        <v>43</v>
      </c>
      <c r="Q566" s="999" t="s">
        <v>898</v>
      </c>
      <c r="R566" s="999" t="s">
        <v>899</v>
      </c>
      <c r="S566" s="999" t="s">
        <v>900</v>
      </c>
      <c r="T566" s="999" t="s">
        <v>1707</v>
      </c>
      <c r="U566" s="1000"/>
      <c r="V566" s="1000" t="s">
        <v>914</v>
      </c>
      <c r="W566" s="1003">
        <v>18038</v>
      </c>
      <c r="X566" s="1000" t="s">
        <v>903</v>
      </c>
      <c r="Y566" s="1000">
        <v>75</v>
      </c>
      <c r="Z566" s="1000" t="s">
        <v>904</v>
      </c>
      <c r="AA566" s="1000" t="s">
        <v>905</v>
      </c>
      <c r="AB566" s="1000" t="s">
        <v>938</v>
      </c>
      <c r="AC566" s="1000" t="s">
        <v>907</v>
      </c>
      <c r="AD566" s="1004">
        <v>3813.57</v>
      </c>
      <c r="AE566" s="1004">
        <f t="shared" si="69"/>
        <v>60381.525000000001</v>
      </c>
      <c r="AF566" s="1004">
        <f t="shared" si="70"/>
        <v>60381.525000000001</v>
      </c>
      <c r="AG566" s="1005">
        <f t="shared" si="71"/>
        <v>15.833333333333332</v>
      </c>
      <c r="AH566" s="1005">
        <f t="shared" si="72"/>
        <v>12.544021381220176</v>
      </c>
    </row>
    <row r="567" spans="1:34" x14ac:dyDescent="0.25">
      <c r="A567" s="999">
        <v>49200</v>
      </c>
      <c r="B567" s="999" t="s">
        <v>1700</v>
      </c>
      <c r="C567" s="999" t="s">
        <v>1284</v>
      </c>
      <c r="D567" s="999" t="s">
        <v>894</v>
      </c>
      <c r="E567" s="999" t="s">
        <v>895</v>
      </c>
      <c r="F567" s="999">
        <v>1786826</v>
      </c>
      <c r="G567" s="1000">
        <v>6868862750</v>
      </c>
      <c r="H567" s="999" t="s">
        <v>1766</v>
      </c>
      <c r="I567" s="999" t="s">
        <v>897</v>
      </c>
      <c r="J567" s="1001">
        <v>40317</v>
      </c>
      <c r="K567" s="1001">
        <v>45835</v>
      </c>
      <c r="L567" s="1000">
        <f t="shared" si="67"/>
        <v>181</v>
      </c>
      <c r="M567" s="1002">
        <f t="shared" si="68"/>
        <v>15.083333333333334</v>
      </c>
      <c r="N567" s="1000">
        <v>15</v>
      </c>
      <c r="O567" s="1000">
        <v>15</v>
      </c>
      <c r="P567" s="1000">
        <v>43</v>
      </c>
      <c r="Q567" s="999" t="s">
        <v>898</v>
      </c>
      <c r="R567" s="999" t="s">
        <v>899</v>
      </c>
      <c r="S567" s="999" t="s">
        <v>900</v>
      </c>
      <c r="T567" s="999" t="s">
        <v>1716</v>
      </c>
      <c r="U567" s="1000"/>
      <c r="V567" s="1000" t="s">
        <v>914</v>
      </c>
      <c r="W567" s="1003">
        <v>17011</v>
      </c>
      <c r="X567" s="1000" t="s">
        <v>903</v>
      </c>
      <c r="Y567" s="1000">
        <v>78</v>
      </c>
      <c r="Z567" s="1000" t="s">
        <v>904</v>
      </c>
      <c r="AA567" s="1000" t="s">
        <v>905</v>
      </c>
      <c r="AB567" s="1000" t="s">
        <v>938</v>
      </c>
      <c r="AC567" s="1000" t="s">
        <v>907</v>
      </c>
      <c r="AD567" s="1004">
        <v>3813.57</v>
      </c>
      <c r="AE567" s="1004">
        <f t="shared" si="69"/>
        <v>57521.347500000003</v>
      </c>
      <c r="AF567" s="1004">
        <f t="shared" si="70"/>
        <v>57521.347500000003</v>
      </c>
      <c r="AG567" s="1005">
        <f t="shared" si="71"/>
        <v>15.083333333333334</v>
      </c>
      <c r="AH567" s="1005">
        <f t="shared" si="72"/>
        <v>11.949830894741327</v>
      </c>
    </row>
    <row r="568" spans="1:34" x14ac:dyDescent="0.25">
      <c r="A568" s="999">
        <v>49200</v>
      </c>
      <c r="B568" s="999" t="s">
        <v>1700</v>
      </c>
      <c r="C568" s="999" t="s">
        <v>1284</v>
      </c>
      <c r="D568" s="999" t="s">
        <v>894</v>
      </c>
      <c r="E568" s="999" t="s">
        <v>895</v>
      </c>
      <c r="F568" s="999">
        <v>1838325</v>
      </c>
      <c r="G568" s="1000">
        <v>12020192691</v>
      </c>
      <c r="H568" s="999" t="s">
        <v>1767</v>
      </c>
      <c r="I568" s="999" t="s">
        <v>897</v>
      </c>
      <c r="J568" s="1001">
        <v>40564</v>
      </c>
      <c r="K568" s="1001">
        <v>45835</v>
      </c>
      <c r="L568" s="1000">
        <f t="shared" si="67"/>
        <v>173</v>
      </c>
      <c r="M568" s="1002">
        <f t="shared" si="68"/>
        <v>14.416666666666666</v>
      </c>
      <c r="N568" s="1000">
        <v>14</v>
      </c>
      <c r="O568" s="1000">
        <v>14</v>
      </c>
      <c r="P568" s="1000">
        <v>43</v>
      </c>
      <c r="Q568" s="999" t="s">
        <v>898</v>
      </c>
      <c r="R568" s="999" t="s">
        <v>899</v>
      </c>
      <c r="S568" s="999" t="s">
        <v>900</v>
      </c>
      <c r="T568" s="999" t="s">
        <v>1173</v>
      </c>
      <c r="U568" s="1000"/>
      <c r="V568" s="1000" t="s">
        <v>910</v>
      </c>
      <c r="W568" s="1003">
        <v>17663</v>
      </c>
      <c r="X568" s="1000" t="s">
        <v>903</v>
      </c>
      <c r="Y568" s="1000">
        <v>76</v>
      </c>
      <c r="Z568" s="1000" t="s">
        <v>904</v>
      </c>
      <c r="AA568" s="1000" t="s">
        <v>905</v>
      </c>
      <c r="AB568" s="1000" t="s">
        <v>938</v>
      </c>
      <c r="AC568" s="1000" t="s">
        <v>907</v>
      </c>
      <c r="AD568" s="1004">
        <v>3813.57</v>
      </c>
      <c r="AE568" s="1004">
        <f t="shared" si="69"/>
        <v>54978.967499999999</v>
      </c>
      <c r="AF568" s="1004">
        <f t="shared" si="70"/>
        <v>54978.967499999999</v>
      </c>
      <c r="AG568" s="1005">
        <f t="shared" si="71"/>
        <v>14.416666666666666</v>
      </c>
      <c r="AH568" s="1005">
        <f t="shared" si="72"/>
        <v>11.421661573426793</v>
      </c>
    </row>
    <row r="569" spans="1:34" x14ac:dyDescent="0.25">
      <c r="A569" s="999">
        <v>49200</v>
      </c>
      <c r="B569" s="999" t="s">
        <v>1700</v>
      </c>
      <c r="C569" s="999" t="s">
        <v>1284</v>
      </c>
      <c r="D569" s="999" t="s">
        <v>894</v>
      </c>
      <c r="E569" s="999" t="s">
        <v>895</v>
      </c>
      <c r="F569" s="999">
        <v>1169398</v>
      </c>
      <c r="G569" s="1000">
        <v>10397833415</v>
      </c>
      <c r="H569" s="999" t="s">
        <v>1768</v>
      </c>
      <c r="I569" s="999" t="s">
        <v>897</v>
      </c>
      <c r="J569" s="1001">
        <v>41911</v>
      </c>
      <c r="K569" s="1001">
        <v>45835</v>
      </c>
      <c r="L569" s="1000">
        <f t="shared" si="67"/>
        <v>128</v>
      </c>
      <c r="M569" s="1002">
        <f t="shared" si="68"/>
        <v>10.666666666666666</v>
      </c>
      <c r="N569" s="1000">
        <v>10</v>
      </c>
      <c r="O569" s="1000">
        <v>10</v>
      </c>
      <c r="P569" s="1000">
        <v>43</v>
      </c>
      <c r="Q569" s="999" t="s">
        <v>898</v>
      </c>
      <c r="R569" s="999" t="s">
        <v>899</v>
      </c>
      <c r="S569" s="999" t="s">
        <v>900</v>
      </c>
      <c r="T569" s="999" t="s">
        <v>1769</v>
      </c>
      <c r="U569" s="1000" t="s">
        <v>55</v>
      </c>
      <c r="V569" s="1000" t="s">
        <v>914</v>
      </c>
      <c r="W569" s="1003">
        <v>18284</v>
      </c>
      <c r="X569" s="1000" t="s">
        <v>903</v>
      </c>
      <c r="Y569" s="1000">
        <v>75</v>
      </c>
      <c r="Z569" s="1000" t="s">
        <v>904</v>
      </c>
      <c r="AA569" s="1000" t="s">
        <v>905</v>
      </c>
      <c r="AB569" s="1000" t="s">
        <v>911</v>
      </c>
      <c r="AC569" s="1000" t="s">
        <v>907</v>
      </c>
      <c r="AD569" s="1004">
        <v>5333.97</v>
      </c>
      <c r="AE569" s="1004">
        <f t="shared" si="69"/>
        <v>56895.68</v>
      </c>
      <c r="AF569" s="1004">
        <f t="shared" si="70"/>
        <v>56895.68</v>
      </c>
      <c r="AG569" s="1005">
        <f t="shared" si="71"/>
        <v>10.666666666666666</v>
      </c>
      <c r="AH569" s="1005">
        <f t="shared" si="72"/>
        <v>8.9826254308119555</v>
      </c>
    </row>
    <row r="570" spans="1:34" x14ac:dyDescent="0.25">
      <c r="A570" s="999">
        <v>49200</v>
      </c>
      <c r="B570" s="999" t="s">
        <v>1700</v>
      </c>
      <c r="C570" s="999" t="s">
        <v>1284</v>
      </c>
      <c r="D570" s="999" t="s">
        <v>894</v>
      </c>
      <c r="E570" s="999" t="s">
        <v>895</v>
      </c>
      <c r="F570" s="999">
        <v>1773218</v>
      </c>
      <c r="G570" s="1000">
        <v>8938300463</v>
      </c>
      <c r="H570" s="999" t="s">
        <v>1770</v>
      </c>
      <c r="I570" s="999" t="s">
        <v>897</v>
      </c>
      <c r="J570" s="1001">
        <v>40259</v>
      </c>
      <c r="K570" s="1001">
        <v>45835</v>
      </c>
      <c r="L570" s="1000">
        <f t="shared" si="67"/>
        <v>183</v>
      </c>
      <c r="M570" s="1002">
        <f t="shared" si="68"/>
        <v>15.25</v>
      </c>
      <c r="N570" s="1000">
        <v>15</v>
      </c>
      <c r="O570" s="1000">
        <v>15</v>
      </c>
      <c r="P570" s="1000">
        <v>43</v>
      </c>
      <c r="Q570" s="999" t="s">
        <v>898</v>
      </c>
      <c r="R570" s="999" t="s">
        <v>899</v>
      </c>
      <c r="S570" s="999" t="s">
        <v>900</v>
      </c>
      <c r="T570" s="999" t="s">
        <v>1771</v>
      </c>
      <c r="U570" s="1000"/>
      <c r="V570" s="1000" t="s">
        <v>914</v>
      </c>
      <c r="W570" s="1003">
        <v>17629</v>
      </c>
      <c r="X570" s="1000" t="s">
        <v>903</v>
      </c>
      <c r="Y570" s="1000">
        <v>77</v>
      </c>
      <c r="Z570" s="1000" t="s">
        <v>904</v>
      </c>
      <c r="AA570" s="1000" t="s">
        <v>905</v>
      </c>
      <c r="AB570" s="1000" t="s">
        <v>938</v>
      </c>
      <c r="AC570" s="1000" t="s">
        <v>907</v>
      </c>
      <c r="AD570" s="1004">
        <v>3813.57</v>
      </c>
      <c r="AE570" s="1004">
        <f t="shared" si="69"/>
        <v>58156.942500000005</v>
      </c>
      <c r="AF570" s="1004">
        <f t="shared" si="70"/>
        <v>58156.942500000005</v>
      </c>
      <c r="AG570" s="1005">
        <f t="shared" si="71"/>
        <v>15.25</v>
      </c>
      <c r="AH570" s="1005">
        <f t="shared" si="72"/>
        <v>12.081873225069961</v>
      </c>
    </row>
    <row r="571" spans="1:34" x14ac:dyDescent="0.25">
      <c r="A571" s="999">
        <v>49200</v>
      </c>
      <c r="B571" s="999" t="s">
        <v>1700</v>
      </c>
      <c r="C571" s="999" t="s">
        <v>1284</v>
      </c>
      <c r="D571" s="999" t="s">
        <v>894</v>
      </c>
      <c r="E571" s="999" t="s">
        <v>895</v>
      </c>
      <c r="F571" s="999">
        <v>1774802</v>
      </c>
      <c r="G571" s="1000">
        <v>3694330410</v>
      </c>
      <c r="H571" s="999" t="s">
        <v>1772</v>
      </c>
      <c r="I571" s="999" t="s">
        <v>897</v>
      </c>
      <c r="J571" s="1001">
        <v>40275</v>
      </c>
      <c r="K571" s="1001">
        <v>45835</v>
      </c>
      <c r="L571" s="1000">
        <f t="shared" si="67"/>
        <v>182</v>
      </c>
      <c r="M571" s="1002">
        <f t="shared" si="68"/>
        <v>15.166666666666666</v>
      </c>
      <c r="N571" s="1000">
        <v>15</v>
      </c>
      <c r="O571" s="1000">
        <v>15</v>
      </c>
      <c r="P571" s="1000">
        <v>43</v>
      </c>
      <c r="Q571" s="999" t="s">
        <v>898</v>
      </c>
      <c r="R571" s="999" t="s">
        <v>899</v>
      </c>
      <c r="S571" s="999" t="s">
        <v>900</v>
      </c>
      <c r="T571" s="999" t="s">
        <v>1013</v>
      </c>
      <c r="U571" s="1000" t="s">
        <v>55</v>
      </c>
      <c r="V571" s="1000" t="s">
        <v>914</v>
      </c>
      <c r="W571" s="1003">
        <v>16780</v>
      </c>
      <c r="X571" s="1000" t="s">
        <v>903</v>
      </c>
      <c r="Y571" s="1000">
        <v>79</v>
      </c>
      <c r="Z571" s="1000" t="s">
        <v>904</v>
      </c>
      <c r="AA571" s="1000" t="s">
        <v>905</v>
      </c>
      <c r="AB571" s="1000" t="s">
        <v>911</v>
      </c>
      <c r="AC571" s="1000" t="s">
        <v>907</v>
      </c>
      <c r="AD571" s="1004">
        <v>5333.97</v>
      </c>
      <c r="AE571" s="1004">
        <f t="shared" si="69"/>
        <v>80898.544999999998</v>
      </c>
      <c r="AF571" s="1004">
        <f t="shared" si="70"/>
        <v>80898.544999999998</v>
      </c>
      <c r="AG571" s="1005">
        <f t="shared" si="71"/>
        <v>15.166666666666666</v>
      </c>
      <c r="AH571" s="1005">
        <f t="shared" si="72"/>
        <v>12.772170534435748</v>
      </c>
    </row>
    <row r="572" spans="1:34" x14ac:dyDescent="0.25">
      <c r="A572" s="999">
        <v>49200</v>
      </c>
      <c r="B572" s="999" t="s">
        <v>1700</v>
      </c>
      <c r="C572" s="999" t="s">
        <v>1284</v>
      </c>
      <c r="D572" s="999" t="s">
        <v>894</v>
      </c>
      <c r="E572" s="999" t="s">
        <v>895</v>
      </c>
      <c r="F572" s="999">
        <v>1733135</v>
      </c>
      <c r="G572" s="1000">
        <v>79738613868</v>
      </c>
      <c r="H572" s="999" t="s">
        <v>1773</v>
      </c>
      <c r="I572" s="999" t="s">
        <v>897</v>
      </c>
      <c r="J572" s="1001">
        <v>40105</v>
      </c>
      <c r="K572" s="1001">
        <v>45835</v>
      </c>
      <c r="L572" s="1000">
        <f t="shared" si="67"/>
        <v>188</v>
      </c>
      <c r="M572" s="1002">
        <f t="shared" si="68"/>
        <v>15.666666666666666</v>
      </c>
      <c r="N572" s="1000">
        <v>15</v>
      </c>
      <c r="O572" s="1000">
        <v>15</v>
      </c>
      <c r="P572" s="1000">
        <v>43</v>
      </c>
      <c r="Q572" s="999" t="s">
        <v>898</v>
      </c>
      <c r="R572" s="999" t="s">
        <v>899</v>
      </c>
      <c r="S572" s="999" t="s">
        <v>900</v>
      </c>
      <c r="T572" s="999" t="s">
        <v>1703</v>
      </c>
      <c r="U572" s="1000" t="s">
        <v>55</v>
      </c>
      <c r="V572" s="1000" t="s">
        <v>914</v>
      </c>
      <c r="W572" s="1003">
        <v>15805</v>
      </c>
      <c r="X572" s="1000" t="s">
        <v>903</v>
      </c>
      <c r="Y572" s="1000">
        <v>82</v>
      </c>
      <c r="Z572" s="1000" t="s">
        <v>904</v>
      </c>
      <c r="AA572" s="1000" t="s">
        <v>905</v>
      </c>
      <c r="AB572" s="1000" t="s">
        <v>911</v>
      </c>
      <c r="AC572" s="1000" t="s">
        <v>907</v>
      </c>
      <c r="AD572" s="1004">
        <v>5333.97</v>
      </c>
      <c r="AE572" s="1004">
        <f t="shared" si="69"/>
        <v>83565.53</v>
      </c>
      <c r="AF572" s="1004">
        <f t="shared" si="70"/>
        <v>83565.53</v>
      </c>
      <c r="AG572" s="1005">
        <f t="shared" si="71"/>
        <v>15.666666666666666</v>
      </c>
      <c r="AH572" s="1005">
        <f t="shared" si="72"/>
        <v>13.193231101505059</v>
      </c>
    </row>
    <row r="573" spans="1:34" x14ac:dyDescent="0.25">
      <c r="A573" s="999">
        <v>49200</v>
      </c>
      <c r="B573" s="999" t="s">
        <v>1700</v>
      </c>
      <c r="C573" s="999" t="s">
        <v>1284</v>
      </c>
      <c r="D573" s="999" t="s">
        <v>894</v>
      </c>
      <c r="E573" s="999" t="s">
        <v>895</v>
      </c>
      <c r="F573" s="999">
        <v>1366079</v>
      </c>
      <c r="G573" s="1000">
        <v>18575188100</v>
      </c>
      <c r="H573" s="999" t="s">
        <v>1774</v>
      </c>
      <c r="I573" s="999" t="s">
        <v>1232</v>
      </c>
      <c r="J573" s="1001">
        <v>29231</v>
      </c>
      <c r="K573" s="1001">
        <v>45835</v>
      </c>
      <c r="L573" s="1000">
        <f t="shared" si="67"/>
        <v>545</v>
      </c>
      <c r="M573" s="1002">
        <f t="shared" si="68"/>
        <v>45.416666666666664</v>
      </c>
      <c r="N573" s="1000">
        <v>45</v>
      </c>
      <c r="O573" s="1000">
        <v>45</v>
      </c>
      <c r="P573" s="1000">
        <v>43</v>
      </c>
      <c r="Q573" s="999" t="s">
        <v>898</v>
      </c>
      <c r="R573" s="999" t="s">
        <v>899</v>
      </c>
      <c r="S573" s="999" t="s">
        <v>900</v>
      </c>
      <c r="T573" s="999" t="s">
        <v>1724</v>
      </c>
      <c r="U573" s="1000" t="s">
        <v>55</v>
      </c>
      <c r="V573" s="1000" t="s">
        <v>921</v>
      </c>
      <c r="W573" s="1003">
        <v>14601</v>
      </c>
      <c r="X573" s="1000" t="s">
        <v>930</v>
      </c>
      <c r="Y573" s="1000">
        <v>85</v>
      </c>
      <c r="Z573" s="1000" t="s">
        <v>904</v>
      </c>
      <c r="AA573" s="1000" t="s">
        <v>905</v>
      </c>
      <c r="AB573" s="1000" t="s">
        <v>911</v>
      </c>
      <c r="AC573" s="1000" t="s">
        <v>907</v>
      </c>
      <c r="AD573" s="1004">
        <v>5333.97</v>
      </c>
      <c r="AE573" s="1004">
        <f t="shared" si="69"/>
        <v>242251.13750000001</v>
      </c>
      <c r="AF573" s="1004">
        <f t="shared" si="70"/>
        <v>242251.13750000001</v>
      </c>
      <c r="AG573" s="1005">
        <f t="shared" si="71"/>
        <v>45.416666666666664</v>
      </c>
      <c r="AH573" s="1005">
        <f t="shared" si="72"/>
        <v>38.246334842129031</v>
      </c>
    </row>
    <row r="574" spans="1:34" x14ac:dyDescent="0.25">
      <c r="A574" s="999">
        <v>49200</v>
      </c>
      <c r="B574" s="999" t="s">
        <v>1700</v>
      </c>
      <c r="C574" s="999" t="s">
        <v>1284</v>
      </c>
      <c r="D574" s="999" t="s">
        <v>894</v>
      </c>
      <c r="E574" s="999" t="s">
        <v>895</v>
      </c>
      <c r="F574" s="999">
        <v>1765988</v>
      </c>
      <c r="G574" s="1000">
        <v>19356447772</v>
      </c>
      <c r="H574" s="999" t="s">
        <v>1775</v>
      </c>
      <c r="I574" s="999" t="s">
        <v>897</v>
      </c>
      <c r="J574" s="1001">
        <v>40238</v>
      </c>
      <c r="K574" s="1001">
        <v>45835</v>
      </c>
      <c r="L574" s="1000">
        <f t="shared" si="67"/>
        <v>183</v>
      </c>
      <c r="M574" s="1002">
        <f t="shared" si="68"/>
        <v>15.25</v>
      </c>
      <c r="N574" s="1000">
        <v>15</v>
      </c>
      <c r="O574" s="1000">
        <v>15</v>
      </c>
      <c r="P574" s="1000">
        <v>43</v>
      </c>
      <c r="Q574" s="999" t="s">
        <v>898</v>
      </c>
      <c r="R574" s="999" t="s">
        <v>899</v>
      </c>
      <c r="S574" s="999" t="s">
        <v>900</v>
      </c>
      <c r="T574" s="999" t="s">
        <v>613</v>
      </c>
      <c r="U574" s="1000" t="s">
        <v>54</v>
      </c>
      <c r="V574" s="1000" t="s">
        <v>914</v>
      </c>
      <c r="W574" s="1003">
        <v>16549</v>
      </c>
      <c r="X574" s="1000" t="s">
        <v>930</v>
      </c>
      <c r="Y574" s="1000">
        <v>79</v>
      </c>
      <c r="Z574" s="1000" t="s">
        <v>904</v>
      </c>
      <c r="AA574" s="1000" t="s">
        <v>905</v>
      </c>
      <c r="AB574" s="1000" t="s">
        <v>925</v>
      </c>
      <c r="AC574" s="1000" t="s">
        <v>907</v>
      </c>
      <c r="AD574" s="1004">
        <v>10126.049999999999</v>
      </c>
      <c r="AE574" s="1004">
        <f t="shared" si="69"/>
        <v>154422.26249999998</v>
      </c>
      <c r="AF574" s="1004">
        <f t="shared" si="70"/>
        <v>154422.26249999998</v>
      </c>
      <c r="AG574" s="1005">
        <f t="shared" si="71"/>
        <v>15.25</v>
      </c>
      <c r="AH574" s="1005">
        <f t="shared" si="72"/>
        <v>13.879342848540137</v>
      </c>
    </row>
    <row r="575" spans="1:34" x14ac:dyDescent="0.25">
      <c r="A575" s="999">
        <v>49200</v>
      </c>
      <c r="B575" s="999" t="s">
        <v>1700</v>
      </c>
      <c r="C575" s="999" t="s">
        <v>1284</v>
      </c>
      <c r="D575" s="999" t="s">
        <v>894</v>
      </c>
      <c r="E575" s="999" t="s">
        <v>895</v>
      </c>
      <c r="F575" s="999">
        <v>1067760</v>
      </c>
      <c r="G575" s="1000">
        <v>2345420472</v>
      </c>
      <c r="H575" s="999" t="s">
        <v>1776</v>
      </c>
      <c r="I575" s="999" t="s">
        <v>1232</v>
      </c>
      <c r="J575" s="1001">
        <v>41579</v>
      </c>
      <c r="K575" s="1001">
        <v>45835</v>
      </c>
      <c r="L575" s="1000">
        <f t="shared" si="67"/>
        <v>139</v>
      </c>
      <c r="M575" s="1002">
        <f t="shared" si="68"/>
        <v>11.583333333333334</v>
      </c>
      <c r="N575" s="1000">
        <v>11</v>
      </c>
      <c r="O575" s="1000">
        <v>11</v>
      </c>
      <c r="P575" s="1000">
        <v>8</v>
      </c>
      <c r="Q575" s="999" t="s">
        <v>1445</v>
      </c>
      <c r="R575" s="999" t="s">
        <v>899</v>
      </c>
      <c r="S575" s="999" t="s">
        <v>900</v>
      </c>
      <c r="T575" s="999" t="s">
        <v>1777</v>
      </c>
      <c r="U575" s="1000" t="s">
        <v>55</v>
      </c>
      <c r="V575" s="1000" t="s">
        <v>914</v>
      </c>
      <c r="W575" s="1003">
        <v>16744</v>
      </c>
      <c r="X575" s="1000" t="s">
        <v>903</v>
      </c>
      <c r="Y575" s="1000">
        <v>79</v>
      </c>
      <c r="Z575" s="1000" t="s">
        <v>904</v>
      </c>
      <c r="AA575" s="1000" t="s">
        <v>905</v>
      </c>
      <c r="AB575" s="1000" t="s">
        <v>911</v>
      </c>
      <c r="AC575" s="1000" t="s">
        <v>907</v>
      </c>
      <c r="AD575" s="1004">
        <v>5333.97</v>
      </c>
      <c r="AE575" s="1004">
        <f t="shared" si="69"/>
        <v>61785.152500000004</v>
      </c>
      <c r="AF575" s="1004">
        <f t="shared" si="70"/>
        <v>61785.152500000004</v>
      </c>
      <c r="AG575" s="1005">
        <f t="shared" si="71"/>
        <v>11.583333333333334</v>
      </c>
      <c r="AH575" s="1005">
        <f t="shared" si="72"/>
        <v>9.7545698037723572</v>
      </c>
    </row>
    <row r="576" spans="1:34" x14ac:dyDescent="0.25">
      <c r="A576" s="999">
        <v>49200</v>
      </c>
      <c r="B576" s="999" t="s">
        <v>1700</v>
      </c>
      <c r="C576" s="999" t="s">
        <v>1284</v>
      </c>
      <c r="D576" s="999" t="s">
        <v>894</v>
      </c>
      <c r="E576" s="999" t="s">
        <v>895</v>
      </c>
      <c r="F576" s="999">
        <v>344174</v>
      </c>
      <c r="G576" s="1000">
        <v>18620426915</v>
      </c>
      <c r="H576" s="999" t="s">
        <v>1778</v>
      </c>
      <c r="I576" s="999" t="s">
        <v>1232</v>
      </c>
      <c r="J576" s="1001">
        <v>41688</v>
      </c>
      <c r="K576" s="1001">
        <v>45835</v>
      </c>
      <c r="L576" s="1000">
        <f t="shared" si="67"/>
        <v>136</v>
      </c>
      <c r="M576" s="1002">
        <f t="shared" si="68"/>
        <v>11.333333333333334</v>
      </c>
      <c r="N576" s="1000">
        <v>11</v>
      </c>
      <c r="O576" s="1000">
        <v>11</v>
      </c>
      <c r="P576" s="1000">
        <v>43</v>
      </c>
      <c r="Q576" s="999" t="s">
        <v>898</v>
      </c>
      <c r="R576" s="999" t="s">
        <v>899</v>
      </c>
      <c r="S576" s="999" t="s">
        <v>900</v>
      </c>
      <c r="T576" s="999" t="s">
        <v>1224</v>
      </c>
      <c r="U576" s="1000" t="s">
        <v>54</v>
      </c>
      <c r="V576" s="1000" t="s">
        <v>910</v>
      </c>
      <c r="W576" s="1003">
        <v>18356</v>
      </c>
      <c r="X576" s="1000" t="s">
        <v>903</v>
      </c>
      <c r="Y576" s="1000">
        <v>75</v>
      </c>
      <c r="Z576" s="1000" t="s">
        <v>904</v>
      </c>
      <c r="AA576" s="1000" t="s">
        <v>905</v>
      </c>
      <c r="AB576" s="1000" t="s">
        <v>925</v>
      </c>
      <c r="AC576" s="1000" t="s">
        <v>907</v>
      </c>
      <c r="AD576" s="1004">
        <v>10849.77</v>
      </c>
      <c r="AE576" s="1004">
        <f t="shared" si="69"/>
        <v>122964.06000000001</v>
      </c>
      <c r="AF576" s="1004">
        <f t="shared" si="70"/>
        <v>122964.06000000001</v>
      </c>
      <c r="AG576" s="1005">
        <f t="shared" si="71"/>
        <v>11.333333333333334</v>
      </c>
      <c r="AH576" s="1005">
        <f t="shared" si="72"/>
        <v>10.376915332533882</v>
      </c>
    </row>
    <row r="577" spans="1:34" x14ac:dyDescent="0.25">
      <c r="A577" s="999">
        <v>49200</v>
      </c>
      <c r="B577" s="999" t="s">
        <v>1700</v>
      </c>
      <c r="C577" s="999" t="s">
        <v>1284</v>
      </c>
      <c r="D577" s="999" t="s">
        <v>894</v>
      </c>
      <c r="E577" s="999" t="s">
        <v>895</v>
      </c>
      <c r="F577" s="999">
        <v>1770231</v>
      </c>
      <c r="G577" s="1000">
        <v>6672728791</v>
      </c>
      <c r="H577" s="999" t="s">
        <v>1779</v>
      </c>
      <c r="I577" s="999" t="s">
        <v>1444</v>
      </c>
      <c r="J577" s="1001">
        <v>45200</v>
      </c>
      <c r="K577" s="1001">
        <v>45835</v>
      </c>
      <c r="L577" s="1000">
        <f t="shared" si="67"/>
        <v>20</v>
      </c>
      <c r="M577" s="1002">
        <f t="shared" si="68"/>
        <v>1.6666666666666667</v>
      </c>
      <c r="N577" s="1000">
        <v>1</v>
      </c>
      <c r="O577" s="1000">
        <v>10</v>
      </c>
      <c r="P577" s="1000">
        <v>48</v>
      </c>
      <c r="Q577" s="999" t="s">
        <v>1695</v>
      </c>
      <c r="R577" s="999" t="s">
        <v>899</v>
      </c>
      <c r="S577" s="999" t="s">
        <v>900</v>
      </c>
      <c r="T577" s="999" t="s">
        <v>1754</v>
      </c>
      <c r="U577" s="1000" t="s">
        <v>55</v>
      </c>
      <c r="V577" s="1000" t="s">
        <v>914</v>
      </c>
      <c r="W577" s="1003">
        <v>14324</v>
      </c>
      <c r="X577" s="1000" t="s">
        <v>903</v>
      </c>
      <c r="Y577" s="1000">
        <v>86</v>
      </c>
      <c r="Z577" s="1000" t="s">
        <v>904</v>
      </c>
      <c r="AA577" s="1000" t="s">
        <v>905</v>
      </c>
      <c r="AB577" s="1000" t="s">
        <v>911</v>
      </c>
      <c r="AC577" s="1000" t="s">
        <v>907</v>
      </c>
      <c r="AD577" s="1004">
        <v>11679.99</v>
      </c>
      <c r="AE577" s="1004">
        <f t="shared" si="69"/>
        <v>19466.650000000001</v>
      </c>
      <c r="AF577" s="1004">
        <f t="shared" si="70"/>
        <v>19466.650000000001</v>
      </c>
      <c r="AG577" s="1005">
        <f t="shared" si="71"/>
        <v>1.6666666666666667</v>
      </c>
      <c r="AH577" s="1005">
        <f t="shared" si="72"/>
        <v>1.5352259741529766</v>
      </c>
    </row>
    <row r="578" spans="1:34" x14ac:dyDescent="0.25">
      <c r="A578" s="999">
        <v>49200</v>
      </c>
      <c r="B578" s="999" t="s">
        <v>1700</v>
      </c>
      <c r="C578" s="999" t="s">
        <v>1284</v>
      </c>
      <c r="D578" s="999" t="s">
        <v>894</v>
      </c>
      <c r="E578" s="999" t="s">
        <v>895</v>
      </c>
      <c r="F578" s="999">
        <v>1140092</v>
      </c>
      <c r="G578" s="1000">
        <v>15440028404</v>
      </c>
      <c r="H578" s="999" t="s">
        <v>1780</v>
      </c>
      <c r="I578" s="999" t="s">
        <v>897</v>
      </c>
      <c r="J578" s="1001">
        <v>41841</v>
      </c>
      <c r="K578" s="1001">
        <v>45835</v>
      </c>
      <c r="L578" s="1000">
        <f t="shared" si="67"/>
        <v>131</v>
      </c>
      <c r="M578" s="1002">
        <f t="shared" si="68"/>
        <v>10.916666666666666</v>
      </c>
      <c r="N578" s="1000">
        <v>10</v>
      </c>
      <c r="O578" s="1000">
        <v>10</v>
      </c>
      <c r="P578" s="1000">
        <v>43</v>
      </c>
      <c r="Q578" s="999" t="s">
        <v>898</v>
      </c>
      <c r="R578" s="999" t="s">
        <v>899</v>
      </c>
      <c r="S578" s="999" t="s">
        <v>900</v>
      </c>
      <c r="T578" s="999" t="s">
        <v>1781</v>
      </c>
      <c r="U578" s="1000"/>
      <c r="V578" s="1000" t="s">
        <v>914</v>
      </c>
      <c r="W578" s="1003">
        <v>14801</v>
      </c>
      <c r="X578" s="1000" t="s">
        <v>903</v>
      </c>
      <c r="Y578" s="1000">
        <v>84</v>
      </c>
      <c r="Z578" s="1000" t="s">
        <v>904</v>
      </c>
      <c r="AA578" s="1000" t="s">
        <v>905</v>
      </c>
      <c r="AB578" s="1000" t="s">
        <v>938</v>
      </c>
      <c r="AC578" s="1000" t="s">
        <v>907</v>
      </c>
      <c r="AD578" s="1004">
        <v>3813.57</v>
      </c>
      <c r="AE578" s="1004">
        <f t="shared" si="69"/>
        <v>41631.472499999996</v>
      </c>
      <c r="AF578" s="1004">
        <f t="shared" si="70"/>
        <v>41631.472499999996</v>
      </c>
      <c r="AG578" s="1005">
        <f t="shared" si="71"/>
        <v>10.916666666666666</v>
      </c>
      <c r="AH578" s="1005">
        <f t="shared" si="72"/>
        <v>8.6487726365254893</v>
      </c>
    </row>
    <row r="579" spans="1:34" x14ac:dyDescent="0.25">
      <c r="A579" s="999">
        <v>49200</v>
      </c>
      <c r="B579" s="999" t="s">
        <v>1700</v>
      </c>
      <c r="C579" s="999" t="s">
        <v>1284</v>
      </c>
      <c r="D579" s="999" t="s">
        <v>894</v>
      </c>
      <c r="E579" s="999" t="s">
        <v>895</v>
      </c>
      <c r="F579" s="999">
        <v>1752185</v>
      </c>
      <c r="G579" s="1000">
        <v>20997035072</v>
      </c>
      <c r="H579" s="999" t="s">
        <v>1782</v>
      </c>
      <c r="I579" s="999" t="s">
        <v>897</v>
      </c>
      <c r="J579" s="1001">
        <v>40204</v>
      </c>
      <c r="K579" s="1001">
        <v>45835</v>
      </c>
      <c r="L579" s="1000">
        <f t="shared" si="67"/>
        <v>185</v>
      </c>
      <c r="M579" s="1002">
        <f t="shared" si="68"/>
        <v>15.416666666666666</v>
      </c>
      <c r="N579" s="1000">
        <v>15</v>
      </c>
      <c r="O579" s="1000">
        <v>15</v>
      </c>
      <c r="P579" s="1000">
        <v>43</v>
      </c>
      <c r="Q579" s="999" t="s">
        <v>898</v>
      </c>
      <c r="R579" s="999" t="s">
        <v>899</v>
      </c>
      <c r="S579" s="999" t="s">
        <v>900</v>
      </c>
      <c r="T579" s="999" t="s">
        <v>1707</v>
      </c>
      <c r="U579" s="1000"/>
      <c r="V579" s="1000" t="s">
        <v>921</v>
      </c>
      <c r="W579" s="1003">
        <v>17694</v>
      </c>
      <c r="X579" s="1000" t="s">
        <v>903</v>
      </c>
      <c r="Y579" s="1000">
        <v>76</v>
      </c>
      <c r="Z579" s="1000" t="s">
        <v>904</v>
      </c>
      <c r="AA579" s="1000" t="s">
        <v>905</v>
      </c>
      <c r="AB579" s="1000" t="s">
        <v>938</v>
      </c>
      <c r="AC579" s="1000" t="s">
        <v>907</v>
      </c>
      <c r="AD579" s="1004">
        <v>3813.57</v>
      </c>
      <c r="AE579" s="1004">
        <f t="shared" ref="AE579:AE620" si="73">AD579*M579</f>
        <v>58792.537499999999</v>
      </c>
      <c r="AF579" s="1004">
        <f t="shared" si="70"/>
        <v>58792.537499999999</v>
      </c>
      <c r="AG579" s="1005">
        <f t="shared" si="71"/>
        <v>15.416666666666666</v>
      </c>
      <c r="AH579" s="1005">
        <f t="shared" ref="AH579:AH620" si="74">AF579/(AD579+1000)</f>
        <v>12.213915555398593</v>
      </c>
    </row>
    <row r="580" spans="1:34" x14ac:dyDescent="0.25">
      <c r="A580" s="999">
        <v>49200</v>
      </c>
      <c r="B580" s="999" t="s">
        <v>1700</v>
      </c>
      <c r="C580" s="999" t="s">
        <v>1284</v>
      </c>
      <c r="D580" s="999" t="s">
        <v>894</v>
      </c>
      <c r="E580" s="999" t="s">
        <v>895</v>
      </c>
      <c r="F580" s="999">
        <v>1911339</v>
      </c>
      <c r="G580" s="1000">
        <v>14504880482</v>
      </c>
      <c r="H580" s="999" t="s">
        <v>1783</v>
      </c>
      <c r="I580" s="999" t="s">
        <v>897</v>
      </c>
      <c r="J580" s="1001">
        <v>40932</v>
      </c>
      <c r="K580" s="1001">
        <v>45835</v>
      </c>
      <c r="L580" s="1000">
        <f t="shared" ref="L580:L620" si="75">DATEDIF(J580,K580, "m")</f>
        <v>161</v>
      </c>
      <c r="M580" s="1002">
        <f t="shared" ref="M580:M620" si="76">L580/12</f>
        <v>13.416666666666666</v>
      </c>
      <c r="N580" s="1000">
        <v>13</v>
      </c>
      <c r="O580" s="1000">
        <v>13</v>
      </c>
      <c r="P580" s="1000">
        <v>43</v>
      </c>
      <c r="Q580" s="999" t="s">
        <v>898</v>
      </c>
      <c r="R580" s="999" t="s">
        <v>899</v>
      </c>
      <c r="S580" s="999" t="s">
        <v>900</v>
      </c>
      <c r="T580" s="999" t="s">
        <v>1716</v>
      </c>
      <c r="U580" s="1000"/>
      <c r="V580" s="1000" t="s">
        <v>914</v>
      </c>
      <c r="W580" s="1003">
        <v>16656</v>
      </c>
      <c r="X580" s="1000" t="s">
        <v>903</v>
      </c>
      <c r="Y580" s="1000">
        <v>79</v>
      </c>
      <c r="Z580" s="1000" t="s">
        <v>904</v>
      </c>
      <c r="AA580" s="1000" t="s">
        <v>905</v>
      </c>
      <c r="AB580" s="1000" t="s">
        <v>938</v>
      </c>
      <c r="AC580" s="1000" t="s">
        <v>907</v>
      </c>
      <c r="AD580" s="1004">
        <v>3813.57</v>
      </c>
      <c r="AE580" s="1004">
        <f t="shared" si="73"/>
        <v>51165.397499999999</v>
      </c>
      <c r="AF580" s="1004">
        <f t="shared" ref="AF580:AF620" si="77">AE580</f>
        <v>51165.397499999999</v>
      </c>
      <c r="AG580" s="1005">
        <f t="shared" si="71"/>
        <v>13.416666666666666</v>
      </c>
      <c r="AH580" s="1005">
        <f t="shared" si="74"/>
        <v>10.62940759145499</v>
      </c>
    </row>
    <row r="581" spans="1:34" x14ac:dyDescent="0.25">
      <c r="A581" s="999">
        <v>49200</v>
      </c>
      <c r="B581" s="999" t="s">
        <v>1700</v>
      </c>
      <c r="C581" s="999" t="s">
        <v>1284</v>
      </c>
      <c r="D581" s="999" t="s">
        <v>894</v>
      </c>
      <c r="E581" s="999" t="s">
        <v>895</v>
      </c>
      <c r="F581" s="999">
        <v>1245778</v>
      </c>
      <c r="G581" s="1000">
        <v>21770468404</v>
      </c>
      <c r="H581" s="999" t="s">
        <v>1784</v>
      </c>
      <c r="I581" s="999" t="s">
        <v>920</v>
      </c>
      <c r="J581" s="1001">
        <v>44391</v>
      </c>
      <c r="K581" s="1001">
        <v>45835</v>
      </c>
      <c r="L581" s="1000">
        <f t="shared" si="75"/>
        <v>47</v>
      </c>
      <c r="M581" s="1002">
        <f t="shared" si="76"/>
        <v>3.9166666666666665</v>
      </c>
      <c r="N581" s="1000">
        <v>3</v>
      </c>
      <c r="O581" s="1000">
        <v>10</v>
      </c>
      <c r="P581" s="1000">
        <v>43</v>
      </c>
      <c r="Q581" s="999" t="s">
        <v>898</v>
      </c>
      <c r="R581" s="999" t="s">
        <v>899</v>
      </c>
      <c r="S581" s="999" t="s">
        <v>900</v>
      </c>
      <c r="T581" s="999" t="s">
        <v>1716</v>
      </c>
      <c r="U581" s="1000"/>
      <c r="V581" s="1000" t="s">
        <v>914</v>
      </c>
      <c r="W581" s="1003">
        <v>17425</v>
      </c>
      <c r="X581" s="1000" t="s">
        <v>903</v>
      </c>
      <c r="Y581" s="1000">
        <v>77</v>
      </c>
      <c r="Z581" s="1000" t="s">
        <v>904</v>
      </c>
      <c r="AA581" s="1000" t="s">
        <v>905</v>
      </c>
      <c r="AB581" s="1000" t="s">
        <v>938</v>
      </c>
      <c r="AC581" s="1000" t="s">
        <v>907</v>
      </c>
      <c r="AD581" s="1004">
        <v>3813.57</v>
      </c>
      <c r="AE581" s="1004">
        <f t="shared" si="73"/>
        <v>14936.4825</v>
      </c>
      <c r="AF581" s="1004">
        <f t="shared" si="77"/>
        <v>14936.4825</v>
      </c>
      <c r="AG581" s="1005">
        <f t="shared" si="71"/>
        <v>3.9166666666666665</v>
      </c>
      <c r="AH581" s="1005">
        <f t="shared" si="74"/>
        <v>3.1029947627228855</v>
      </c>
    </row>
    <row r="582" spans="1:34" x14ac:dyDescent="0.25">
      <c r="A582" s="999">
        <v>49200</v>
      </c>
      <c r="B582" s="999" t="s">
        <v>1700</v>
      </c>
      <c r="C582" s="999" t="s">
        <v>1284</v>
      </c>
      <c r="D582" s="999" t="s">
        <v>894</v>
      </c>
      <c r="E582" s="999" t="s">
        <v>895</v>
      </c>
      <c r="F582" s="999">
        <v>1978674</v>
      </c>
      <c r="G582" s="1000">
        <v>33942994704</v>
      </c>
      <c r="H582" s="999" t="s">
        <v>1785</v>
      </c>
      <c r="I582" s="999" t="s">
        <v>897</v>
      </c>
      <c r="J582" s="1001">
        <v>41222</v>
      </c>
      <c r="K582" s="1001">
        <v>45835</v>
      </c>
      <c r="L582" s="1000">
        <f t="shared" si="75"/>
        <v>151</v>
      </c>
      <c r="M582" s="1002">
        <f t="shared" si="76"/>
        <v>12.583333333333334</v>
      </c>
      <c r="N582" s="1000">
        <v>12</v>
      </c>
      <c r="O582" s="1000">
        <v>12</v>
      </c>
      <c r="P582" s="1000">
        <v>43</v>
      </c>
      <c r="Q582" s="999" t="s">
        <v>898</v>
      </c>
      <c r="R582" s="999" t="s">
        <v>899</v>
      </c>
      <c r="S582" s="999" t="s">
        <v>900</v>
      </c>
      <c r="T582" s="999" t="s">
        <v>909</v>
      </c>
      <c r="U582" s="1000"/>
      <c r="V582" s="1000" t="s">
        <v>910</v>
      </c>
      <c r="W582" s="1003">
        <v>17240</v>
      </c>
      <c r="X582" s="1000" t="s">
        <v>903</v>
      </c>
      <c r="Y582" s="1000">
        <v>78</v>
      </c>
      <c r="Z582" s="1000" t="s">
        <v>904</v>
      </c>
      <c r="AA582" s="1000" t="s">
        <v>905</v>
      </c>
      <c r="AB582" s="1000" t="s">
        <v>938</v>
      </c>
      <c r="AC582" s="1000" t="s">
        <v>907</v>
      </c>
      <c r="AD582" s="1004">
        <v>3813.57</v>
      </c>
      <c r="AE582" s="1004">
        <f t="shared" si="73"/>
        <v>47987.422500000008</v>
      </c>
      <c r="AF582" s="1004">
        <f t="shared" si="77"/>
        <v>47987.422500000008</v>
      </c>
      <c r="AG582" s="1005">
        <f t="shared" si="71"/>
        <v>12.583333333333336</v>
      </c>
      <c r="AH582" s="1005">
        <f t="shared" si="74"/>
        <v>9.9691959398118257</v>
      </c>
    </row>
    <row r="583" spans="1:34" x14ac:dyDescent="0.25">
      <c r="A583" s="999">
        <v>49200</v>
      </c>
      <c r="B583" s="999" t="s">
        <v>1700</v>
      </c>
      <c r="C583" s="999" t="s">
        <v>1284</v>
      </c>
      <c r="D583" s="999" t="s">
        <v>894</v>
      </c>
      <c r="E583" s="999" t="s">
        <v>895</v>
      </c>
      <c r="F583" s="999">
        <v>1720412</v>
      </c>
      <c r="G583" s="1000">
        <v>11344695434</v>
      </c>
      <c r="H583" s="999" t="s">
        <v>1786</v>
      </c>
      <c r="I583" s="999" t="s">
        <v>897</v>
      </c>
      <c r="J583" s="1001">
        <v>40046</v>
      </c>
      <c r="K583" s="1001">
        <v>45835</v>
      </c>
      <c r="L583" s="1000">
        <f t="shared" si="75"/>
        <v>190</v>
      </c>
      <c r="M583" s="1002">
        <f t="shared" si="76"/>
        <v>15.833333333333334</v>
      </c>
      <c r="N583" s="1000">
        <v>15</v>
      </c>
      <c r="O583" s="1000">
        <v>15</v>
      </c>
      <c r="P583" s="1000">
        <v>43</v>
      </c>
      <c r="Q583" s="999" t="s">
        <v>898</v>
      </c>
      <c r="R583" s="999" t="s">
        <v>899</v>
      </c>
      <c r="S583" s="999" t="s">
        <v>900</v>
      </c>
      <c r="T583" s="999" t="s">
        <v>1739</v>
      </c>
      <c r="U583" s="1000" t="s">
        <v>55</v>
      </c>
      <c r="V583" s="1000" t="s">
        <v>914</v>
      </c>
      <c r="W583" s="1003">
        <v>18101</v>
      </c>
      <c r="X583" s="1000" t="s">
        <v>930</v>
      </c>
      <c r="Y583" s="1000">
        <v>75</v>
      </c>
      <c r="Z583" s="1000" t="s">
        <v>904</v>
      </c>
      <c r="AA583" s="1000" t="s">
        <v>905</v>
      </c>
      <c r="AB583" s="1000" t="s">
        <v>911</v>
      </c>
      <c r="AC583" s="1000" t="s">
        <v>907</v>
      </c>
      <c r="AD583" s="1004">
        <v>5333.97</v>
      </c>
      <c r="AE583" s="1004">
        <f t="shared" si="73"/>
        <v>84454.525000000009</v>
      </c>
      <c r="AF583" s="1004">
        <f t="shared" si="77"/>
        <v>84454.525000000009</v>
      </c>
      <c r="AG583" s="1005">
        <f t="shared" si="71"/>
        <v>15.833333333333334</v>
      </c>
      <c r="AH583" s="1005">
        <f t="shared" si="74"/>
        <v>13.333584623861498</v>
      </c>
    </row>
    <row r="584" spans="1:34" x14ac:dyDescent="0.25">
      <c r="A584" s="999">
        <v>49200</v>
      </c>
      <c r="B584" s="999" t="s">
        <v>1700</v>
      </c>
      <c r="C584" s="999" t="s">
        <v>1284</v>
      </c>
      <c r="D584" s="999" t="s">
        <v>894</v>
      </c>
      <c r="E584" s="999" t="s">
        <v>895</v>
      </c>
      <c r="F584" s="999">
        <v>1851303</v>
      </c>
      <c r="G584" s="1000">
        <v>2206234572</v>
      </c>
      <c r="H584" s="999" t="s">
        <v>1787</v>
      </c>
      <c r="I584" s="999" t="s">
        <v>897</v>
      </c>
      <c r="J584" s="1001">
        <v>40617</v>
      </c>
      <c r="K584" s="1001">
        <v>45835</v>
      </c>
      <c r="L584" s="1000">
        <f t="shared" si="75"/>
        <v>171</v>
      </c>
      <c r="M584" s="1002">
        <f t="shared" si="76"/>
        <v>14.25</v>
      </c>
      <c r="N584" s="1000">
        <v>14</v>
      </c>
      <c r="O584" s="1000">
        <v>14</v>
      </c>
      <c r="P584" s="1000">
        <v>43</v>
      </c>
      <c r="Q584" s="999" t="s">
        <v>898</v>
      </c>
      <c r="R584" s="999" t="s">
        <v>899</v>
      </c>
      <c r="S584" s="999" t="s">
        <v>900</v>
      </c>
      <c r="T584" s="999" t="s">
        <v>1726</v>
      </c>
      <c r="U584" s="1000" t="s">
        <v>55</v>
      </c>
      <c r="V584" s="1000" t="s">
        <v>914</v>
      </c>
      <c r="W584" s="1003">
        <v>17254</v>
      </c>
      <c r="X584" s="1000" t="s">
        <v>930</v>
      </c>
      <c r="Y584" s="1000">
        <v>78</v>
      </c>
      <c r="Z584" s="1000" t="s">
        <v>904</v>
      </c>
      <c r="AA584" s="1000" t="s">
        <v>905</v>
      </c>
      <c r="AB584" s="1000" t="s">
        <v>911</v>
      </c>
      <c r="AC584" s="1000" t="s">
        <v>907</v>
      </c>
      <c r="AD584" s="1004">
        <v>5333.97</v>
      </c>
      <c r="AE584" s="1004">
        <f t="shared" si="73"/>
        <v>76009.072500000009</v>
      </c>
      <c r="AF584" s="1004">
        <f t="shared" si="77"/>
        <v>76009.072500000009</v>
      </c>
      <c r="AG584" s="1005">
        <f t="shared" si="71"/>
        <v>14.250000000000002</v>
      </c>
      <c r="AH584" s="1005">
        <f t="shared" si="74"/>
        <v>12.000226161475348</v>
      </c>
    </row>
    <row r="585" spans="1:34" x14ac:dyDescent="0.25">
      <c r="A585" s="999">
        <v>49200</v>
      </c>
      <c r="B585" s="999" t="s">
        <v>1700</v>
      </c>
      <c r="C585" s="999" t="s">
        <v>1284</v>
      </c>
      <c r="D585" s="999" t="s">
        <v>894</v>
      </c>
      <c r="E585" s="999" t="s">
        <v>895</v>
      </c>
      <c r="F585" s="999">
        <v>1743400</v>
      </c>
      <c r="G585" s="1000">
        <v>12690058472</v>
      </c>
      <c r="H585" s="999" t="s">
        <v>1788</v>
      </c>
      <c r="I585" s="999" t="s">
        <v>897</v>
      </c>
      <c r="J585" s="1001">
        <v>40150</v>
      </c>
      <c r="K585" s="1001">
        <v>45835</v>
      </c>
      <c r="L585" s="1000">
        <f t="shared" si="75"/>
        <v>186</v>
      </c>
      <c r="M585" s="1002">
        <f t="shared" si="76"/>
        <v>15.5</v>
      </c>
      <c r="N585" s="1000">
        <v>15</v>
      </c>
      <c r="O585" s="1000">
        <v>15</v>
      </c>
      <c r="P585" s="1000">
        <v>43</v>
      </c>
      <c r="Q585" s="999" t="s">
        <v>898</v>
      </c>
      <c r="R585" s="999" t="s">
        <v>899</v>
      </c>
      <c r="S585" s="999" t="s">
        <v>900</v>
      </c>
      <c r="T585" s="999" t="s">
        <v>1213</v>
      </c>
      <c r="U585" s="1000" t="s">
        <v>55</v>
      </c>
      <c r="V585" s="1000" t="s">
        <v>914</v>
      </c>
      <c r="W585" s="1003">
        <v>16378</v>
      </c>
      <c r="X585" s="1000" t="s">
        <v>930</v>
      </c>
      <c r="Y585" s="1000">
        <v>80</v>
      </c>
      <c r="Z585" s="1000" t="s">
        <v>904</v>
      </c>
      <c r="AA585" s="1000" t="s">
        <v>905</v>
      </c>
      <c r="AB585" s="1000" t="s">
        <v>911</v>
      </c>
      <c r="AC585" s="1000" t="s">
        <v>907</v>
      </c>
      <c r="AD585" s="1004">
        <v>5333.97</v>
      </c>
      <c r="AE585" s="1004">
        <f t="shared" si="73"/>
        <v>82676.535000000003</v>
      </c>
      <c r="AF585" s="1004">
        <f t="shared" si="77"/>
        <v>82676.535000000003</v>
      </c>
      <c r="AG585" s="1005">
        <f t="shared" si="71"/>
        <v>15.5</v>
      </c>
      <c r="AH585" s="1005">
        <f t="shared" si="74"/>
        <v>13.052877579148623</v>
      </c>
    </row>
    <row r="586" spans="1:34" x14ac:dyDescent="0.25">
      <c r="A586" s="999">
        <v>49200</v>
      </c>
      <c r="B586" s="999" t="s">
        <v>1700</v>
      </c>
      <c r="C586" s="999" t="s">
        <v>1284</v>
      </c>
      <c r="D586" s="999" t="s">
        <v>894</v>
      </c>
      <c r="E586" s="999" t="s">
        <v>895</v>
      </c>
      <c r="F586" s="999">
        <v>1877017</v>
      </c>
      <c r="G586" s="1000">
        <v>27279995853</v>
      </c>
      <c r="H586" s="999" t="s">
        <v>1789</v>
      </c>
      <c r="I586" s="999" t="s">
        <v>897</v>
      </c>
      <c r="J586" s="1001">
        <v>40737</v>
      </c>
      <c r="K586" s="1001">
        <v>45835</v>
      </c>
      <c r="L586" s="1000">
        <f t="shared" si="75"/>
        <v>167</v>
      </c>
      <c r="M586" s="1002">
        <f t="shared" si="76"/>
        <v>13.916666666666666</v>
      </c>
      <c r="N586" s="1000">
        <v>13</v>
      </c>
      <c r="O586" s="1000">
        <v>13</v>
      </c>
      <c r="P586" s="1000">
        <v>43</v>
      </c>
      <c r="Q586" s="999" t="s">
        <v>898</v>
      </c>
      <c r="R586" s="999" t="s">
        <v>899</v>
      </c>
      <c r="S586" s="999" t="s">
        <v>900</v>
      </c>
      <c r="T586" s="999" t="s">
        <v>1050</v>
      </c>
      <c r="U586" s="1000" t="s">
        <v>55</v>
      </c>
      <c r="V586" s="1000" t="s">
        <v>914</v>
      </c>
      <c r="W586" s="1003">
        <v>13651</v>
      </c>
      <c r="X586" s="1000" t="s">
        <v>930</v>
      </c>
      <c r="Y586" s="1000">
        <v>87</v>
      </c>
      <c r="Z586" s="1000" t="s">
        <v>904</v>
      </c>
      <c r="AA586" s="1000" t="s">
        <v>905</v>
      </c>
      <c r="AB586" s="1000" t="s">
        <v>911</v>
      </c>
      <c r="AC586" s="1000" t="s">
        <v>907</v>
      </c>
      <c r="AD586" s="1004">
        <v>8292.44</v>
      </c>
      <c r="AE586" s="1004">
        <f t="shared" si="73"/>
        <v>115403.12333333334</v>
      </c>
      <c r="AF586" s="1004">
        <f t="shared" si="77"/>
        <v>115403.12333333334</v>
      </c>
      <c r="AG586" s="1005">
        <f t="shared" si="71"/>
        <v>13.916666666666666</v>
      </c>
      <c r="AH586" s="1005">
        <f t="shared" si="74"/>
        <v>12.419033465196797</v>
      </c>
    </row>
    <row r="587" spans="1:34" x14ac:dyDescent="0.25">
      <c r="A587" s="999">
        <v>49200</v>
      </c>
      <c r="B587" s="999" t="s">
        <v>1700</v>
      </c>
      <c r="C587" s="999" t="s">
        <v>1284</v>
      </c>
      <c r="D587" s="999" t="s">
        <v>894</v>
      </c>
      <c r="E587" s="999" t="s">
        <v>895</v>
      </c>
      <c r="F587" s="999">
        <v>1735111</v>
      </c>
      <c r="G587" s="1000">
        <v>37254057434</v>
      </c>
      <c r="H587" s="999" t="s">
        <v>1790</v>
      </c>
      <c r="I587" s="999" t="s">
        <v>897</v>
      </c>
      <c r="J587" s="1001">
        <v>40108</v>
      </c>
      <c r="K587" s="1001">
        <v>45835</v>
      </c>
      <c r="L587" s="1000">
        <f t="shared" si="75"/>
        <v>188</v>
      </c>
      <c r="M587" s="1002">
        <f t="shared" si="76"/>
        <v>15.666666666666666</v>
      </c>
      <c r="N587" s="1000">
        <v>15</v>
      </c>
      <c r="O587" s="1000">
        <v>15</v>
      </c>
      <c r="P587" s="1000">
        <v>43</v>
      </c>
      <c r="Q587" s="999" t="s">
        <v>898</v>
      </c>
      <c r="R587" s="999" t="s">
        <v>899</v>
      </c>
      <c r="S587" s="999" t="s">
        <v>900</v>
      </c>
      <c r="T587" s="999" t="s">
        <v>1652</v>
      </c>
      <c r="U587" s="1000" t="s">
        <v>55</v>
      </c>
      <c r="V587" s="1000" t="s">
        <v>914</v>
      </c>
      <c r="W587" s="1003">
        <v>16469</v>
      </c>
      <c r="X587" s="1000" t="s">
        <v>930</v>
      </c>
      <c r="Y587" s="1000">
        <v>80</v>
      </c>
      <c r="Z587" s="1000" t="s">
        <v>904</v>
      </c>
      <c r="AA587" s="1000" t="s">
        <v>905</v>
      </c>
      <c r="AB587" s="1000" t="s">
        <v>911</v>
      </c>
      <c r="AC587" s="1000" t="s">
        <v>907</v>
      </c>
      <c r="AD587" s="1004">
        <v>5333.97</v>
      </c>
      <c r="AE587" s="1004">
        <f t="shared" si="73"/>
        <v>83565.53</v>
      </c>
      <c r="AF587" s="1004">
        <f t="shared" si="77"/>
        <v>83565.53</v>
      </c>
      <c r="AG587" s="1005">
        <f t="shared" si="71"/>
        <v>15.666666666666666</v>
      </c>
      <c r="AH587" s="1005">
        <f t="shared" si="74"/>
        <v>13.193231101505059</v>
      </c>
    </row>
    <row r="588" spans="1:34" x14ac:dyDescent="0.25">
      <c r="A588" s="999">
        <v>49200</v>
      </c>
      <c r="B588" s="999" t="s">
        <v>1700</v>
      </c>
      <c r="C588" s="999" t="s">
        <v>1284</v>
      </c>
      <c r="D588" s="999" t="s">
        <v>894</v>
      </c>
      <c r="E588" s="999" t="s">
        <v>895</v>
      </c>
      <c r="F588" s="999">
        <v>1713170</v>
      </c>
      <c r="G588" s="1000">
        <v>33466963753</v>
      </c>
      <c r="H588" s="999" t="s">
        <v>1791</v>
      </c>
      <c r="I588" s="999" t="s">
        <v>897</v>
      </c>
      <c r="J588" s="1001">
        <v>40014</v>
      </c>
      <c r="K588" s="1001">
        <v>45835</v>
      </c>
      <c r="L588" s="1000">
        <f t="shared" si="75"/>
        <v>191</v>
      </c>
      <c r="M588" s="1002">
        <f t="shared" si="76"/>
        <v>15.916666666666666</v>
      </c>
      <c r="N588" s="1000">
        <v>15</v>
      </c>
      <c r="O588" s="1000">
        <v>15</v>
      </c>
      <c r="P588" s="1000">
        <v>43</v>
      </c>
      <c r="Q588" s="999" t="s">
        <v>898</v>
      </c>
      <c r="R588" s="999" t="s">
        <v>899</v>
      </c>
      <c r="S588" s="999" t="s">
        <v>900</v>
      </c>
      <c r="T588" s="999" t="s">
        <v>616</v>
      </c>
      <c r="U588" s="1000" t="s">
        <v>54</v>
      </c>
      <c r="V588" s="1000" t="s">
        <v>914</v>
      </c>
      <c r="W588" s="1003">
        <v>14968</v>
      </c>
      <c r="X588" s="1000" t="s">
        <v>930</v>
      </c>
      <c r="Y588" s="1000">
        <v>84</v>
      </c>
      <c r="Z588" s="1000" t="s">
        <v>904</v>
      </c>
      <c r="AA588" s="1000" t="s">
        <v>905</v>
      </c>
      <c r="AB588" s="1000" t="s">
        <v>925</v>
      </c>
      <c r="AC588" s="1000" t="s">
        <v>907</v>
      </c>
      <c r="AD588" s="1004">
        <v>10126.049999999999</v>
      </c>
      <c r="AE588" s="1004">
        <f t="shared" si="73"/>
        <v>161172.96249999999</v>
      </c>
      <c r="AF588" s="1004">
        <f t="shared" si="77"/>
        <v>161172.96249999999</v>
      </c>
      <c r="AG588" s="1005">
        <f t="shared" si="71"/>
        <v>15.916666666666668</v>
      </c>
      <c r="AH588" s="1005">
        <f t="shared" si="74"/>
        <v>14.486090076891619</v>
      </c>
    </row>
    <row r="589" spans="1:34" x14ac:dyDescent="0.25">
      <c r="A589" s="999">
        <v>49200</v>
      </c>
      <c r="B589" s="999" t="s">
        <v>1700</v>
      </c>
      <c r="C589" s="999" t="s">
        <v>1284</v>
      </c>
      <c r="D589" s="999" t="s">
        <v>894</v>
      </c>
      <c r="E589" s="999" t="s">
        <v>895</v>
      </c>
      <c r="F589" s="999">
        <v>1852355</v>
      </c>
      <c r="G589" s="1000">
        <v>2246252504</v>
      </c>
      <c r="H589" s="999" t="s">
        <v>1792</v>
      </c>
      <c r="I589" s="999" t="s">
        <v>897</v>
      </c>
      <c r="J589" s="1001">
        <v>40617</v>
      </c>
      <c r="K589" s="1001">
        <v>45835</v>
      </c>
      <c r="L589" s="1000">
        <f t="shared" si="75"/>
        <v>171</v>
      </c>
      <c r="M589" s="1002">
        <f t="shared" si="76"/>
        <v>14.25</v>
      </c>
      <c r="N589" s="1000">
        <v>14</v>
      </c>
      <c r="O589" s="1000">
        <v>14</v>
      </c>
      <c r="P589" s="1000">
        <v>43</v>
      </c>
      <c r="Q589" s="999" t="s">
        <v>898</v>
      </c>
      <c r="R589" s="999" t="s">
        <v>899</v>
      </c>
      <c r="S589" s="999" t="s">
        <v>900</v>
      </c>
      <c r="T589" s="999" t="s">
        <v>1726</v>
      </c>
      <c r="U589" s="1000" t="s">
        <v>55</v>
      </c>
      <c r="V589" s="1000" t="s">
        <v>914</v>
      </c>
      <c r="W589" s="1003">
        <v>17797</v>
      </c>
      <c r="X589" s="1000" t="s">
        <v>930</v>
      </c>
      <c r="Y589" s="1000">
        <v>76</v>
      </c>
      <c r="Z589" s="1000" t="s">
        <v>904</v>
      </c>
      <c r="AA589" s="1000" t="s">
        <v>905</v>
      </c>
      <c r="AB589" s="1000" t="s">
        <v>911</v>
      </c>
      <c r="AC589" s="1000" t="s">
        <v>907</v>
      </c>
      <c r="AD589" s="1004">
        <v>5333.97</v>
      </c>
      <c r="AE589" s="1004">
        <f t="shared" si="73"/>
        <v>76009.072500000009</v>
      </c>
      <c r="AF589" s="1004">
        <f t="shared" si="77"/>
        <v>76009.072500000009</v>
      </c>
      <c r="AG589" s="1005">
        <f t="shared" si="71"/>
        <v>14.250000000000002</v>
      </c>
      <c r="AH589" s="1005">
        <f t="shared" si="74"/>
        <v>12.000226161475348</v>
      </c>
    </row>
    <row r="590" spans="1:34" x14ac:dyDescent="0.25">
      <c r="A590" s="999">
        <v>49200</v>
      </c>
      <c r="B590" s="999" t="s">
        <v>1700</v>
      </c>
      <c r="C590" s="999" t="s">
        <v>1284</v>
      </c>
      <c r="D590" s="999" t="s">
        <v>894</v>
      </c>
      <c r="E590" s="999" t="s">
        <v>895</v>
      </c>
      <c r="F590" s="999">
        <v>1715908</v>
      </c>
      <c r="G590" s="1000">
        <v>19616473620</v>
      </c>
      <c r="H590" s="999" t="s">
        <v>1793</v>
      </c>
      <c r="I590" s="999" t="s">
        <v>897</v>
      </c>
      <c r="J590" s="1001">
        <v>40030</v>
      </c>
      <c r="K590" s="1001">
        <v>45835</v>
      </c>
      <c r="L590" s="1000">
        <f t="shared" si="75"/>
        <v>190</v>
      </c>
      <c r="M590" s="1002">
        <f t="shared" si="76"/>
        <v>15.833333333333334</v>
      </c>
      <c r="N590" s="1000">
        <v>15</v>
      </c>
      <c r="O590" s="1000">
        <v>15</v>
      </c>
      <c r="P590" s="1000">
        <v>43</v>
      </c>
      <c r="Q590" s="999" t="s">
        <v>898</v>
      </c>
      <c r="R590" s="999" t="s">
        <v>899</v>
      </c>
      <c r="S590" s="999" t="s">
        <v>900</v>
      </c>
      <c r="T590" s="999" t="s">
        <v>1794</v>
      </c>
      <c r="U590" s="1000" t="s">
        <v>55</v>
      </c>
      <c r="V590" s="1000" t="s">
        <v>914</v>
      </c>
      <c r="W590" s="1003">
        <v>18247</v>
      </c>
      <c r="X590" s="1000" t="s">
        <v>903</v>
      </c>
      <c r="Y590" s="1000">
        <v>75</v>
      </c>
      <c r="Z590" s="1000" t="s">
        <v>904</v>
      </c>
      <c r="AA590" s="1000" t="s">
        <v>905</v>
      </c>
      <c r="AB590" s="1000" t="s">
        <v>911</v>
      </c>
      <c r="AC590" s="1000" t="s">
        <v>907</v>
      </c>
      <c r="AD590" s="1004">
        <v>5333.97</v>
      </c>
      <c r="AE590" s="1004">
        <f t="shared" si="73"/>
        <v>84454.525000000009</v>
      </c>
      <c r="AF590" s="1004">
        <f t="shared" si="77"/>
        <v>84454.525000000009</v>
      </c>
      <c r="AG590" s="1005">
        <f t="shared" si="71"/>
        <v>15.833333333333334</v>
      </c>
      <c r="AH590" s="1005">
        <f t="shared" si="74"/>
        <v>13.333584623861498</v>
      </c>
    </row>
    <row r="591" spans="1:34" x14ac:dyDescent="0.25">
      <c r="A591" s="999">
        <v>49200</v>
      </c>
      <c r="B591" s="999" t="s">
        <v>1700</v>
      </c>
      <c r="C591" s="999" t="s">
        <v>1284</v>
      </c>
      <c r="D591" s="999" t="s">
        <v>894</v>
      </c>
      <c r="E591" s="999" t="s">
        <v>895</v>
      </c>
      <c r="F591" s="999">
        <v>1228359</v>
      </c>
      <c r="G591" s="1000">
        <v>6757367491</v>
      </c>
      <c r="H591" s="999" t="s">
        <v>1795</v>
      </c>
      <c r="I591" s="999" t="s">
        <v>897</v>
      </c>
      <c r="J591" s="1001">
        <v>42093</v>
      </c>
      <c r="K591" s="1001">
        <v>45835</v>
      </c>
      <c r="L591" s="1000">
        <f t="shared" si="75"/>
        <v>122</v>
      </c>
      <c r="M591" s="1002">
        <f t="shared" si="76"/>
        <v>10.166666666666666</v>
      </c>
      <c r="N591" s="1000">
        <v>10</v>
      </c>
      <c r="O591" s="1000">
        <v>10</v>
      </c>
      <c r="P591" s="1000">
        <v>43</v>
      </c>
      <c r="Q591" s="999" t="s">
        <v>898</v>
      </c>
      <c r="R591" s="999" t="s">
        <v>899</v>
      </c>
      <c r="S591" s="999" t="s">
        <v>900</v>
      </c>
      <c r="T591" s="999" t="s">
        <v>1796</v>
      </c>
      <c r="U591" s="1000"/>
      <c r="V591" s="1000" t="s">
        <v>914</v>
      </c>
      <c r="W591" s="1003">
        <v>15728</v>
      </c>
      <c r="X591" s="1000" t="s">
        <v>903</v>
      </c>
      <c r="Y591" s="1000">
        <v>82</v>
      </c>
      <c r="Z591" s="1000" t="s">
        <v>904</v>
      </c>
      <c r="AA591" s="1000" t="s">
        <v>905</v>
      </c>
      <c r="AB591" s="1000" t="s">
        <v>938</v>
      </c>
      <c r="AC591" s="1000" t="s">
        <v>907</v>
      </c>
      <c r="AD591" s="1004">
        <v>3813.57</v>
      </c>
      <c r="AE591" s="1004">
        <f t="shared" si="73"/>
        <v>38771.294999999998</v>
      </c>
      <c r="AF591" s="1004">
        <f t="shared" si="77"/>
        <v>38771.294999999998</v>
      </c>
      <c r="AG591" s="1005">
        <f t="shared" si="71"/>
        <v>10.166666666666666</v>
      </c>
      <c r="AH591" s="1005">
        <f t="shared" si="74"/>
        <v>8.0545821500466399</v>
      </c>
    </row>
    <row r="592" spans="1:34" x14ac:dyDescent="0.25">
      <c r="A592" s="999">
        <v>49200</v>
      </c>
      <c r="B592" s="999" t="s">
        <v>1700</v>
      </c>
      <c r="C592" s="999" t="s">
        <v>1284</v>
      </c>
      <c r="D592" s="999" t="s">
        <v>894</v>
      </c>
      <c r="E592" s="999" t="s">
        <v>895</v>
      </c>
      <c r="F592" s="999">
        <v>1903268</v>
      </c>
      <c r="G592" s="1000">
        <v>4607341720</v>
      </c>
      <c r="H592" s="999" t="s">
        <v>1797</v>
      </c>
      <c r="I592" s="999" t="s">
        <v>1444</v>
      </c>
      <c r="J592" s="1001">
        <v>45231</v>
      </c>
      <c r="K592" s="1001">
        <v>45835</v>
      </c>
      <c r="L592" s="1000">
        <f t="shared" si="75"/>
        <v>19</v>
      </c>
      <c r="M592" s="1002">
        <f t="shared" si="76"/>
        <v>1.5833333333333333</v>
      </c>
      <c r="N592" s="1000">
        <v>1</v>
      </c>
      <c r="O592" s="1000">
        <v>10</v>
      </c>
      <c r="P592" s="1000">
        <v>48</v>
      </c>
      <c r="Q592" s="999" t="s">
        <v>1695</v>
      </c>
      <c r="R592" s="999" t="s">
        <v>899</v>
      </c>
      <c r="S592" s="999" t="s">
        <v>900</v>
      </c>
      <c r="T592" s="999" t="s">
        <v>1798</v>
      </c>
      <c r="U592" s="1000"/>
      <c r="V592" s="1000" t="s">
        <v>914</v>
      </c>
      <c r="W592" s="1003">
        <v>12602</v>
      </c>
      <c r="X592" s="1000" t="s">
        <v>903</v>
      </c>
      <c r="Y592" s="1000">
        <v>90</v>
      </c>
      <c r="Z592" s="1000" t="s">
        <v>904</v>
      </c>
      <c r="AA592" s="1000" t="s">
        <v>905</v>
      </c>
      <c r="AB592" s="1000" t="s">
        <v>938</v>
      </c>
      <c r="AC592" s="1000" t="s">
        <v>907</v>
      </c>
      <c r="AD592" s="1004">
        <v>6226.52</v>
      </c>
      <c r="AE592" s="1004">
        <f t="shared" si="73"/>
        <v>9858.6566666666677</v>
      </c>
      <c r="AF592" s="1004">
        <f t="shared" si="77"/>
        <v>9858.6566666666677</v>
      </c>
      <c r="AG592" s="1005">
        <f t="shared" si="71"/>
        <v>1.5833333333333335</v>
      </c>
      <c r="AH592" s="1005">
        <f t="shared" si="74"/>
        <v>1.3642329456870896</v>
      </c>
    </row>
    <row r="593" spans="1:34" x14ac:dyDescent="0.25">
      <c r="A593" s="999">
        <v>49200</v>
      </c>
      <c r="B593" s="999" t="s">
        <v>1700</v>
      </c>
      <c r="C593" s="999" t="s">
        <v>1284</v>
      </c>
      <c r="D593" s="999" t="s">
        <v>894</v>
      </c>
      <c r="E593" s="999" t="s">
        <v>895</v>
      </c>
      <c r="F593" s="999">
        <v>1817409</v>
      </c>
      <c r="G593" s="1000">
        <v>39437698791</v>
      </c>
      <c r="H593" s="999" t="s">
        <v>1799</v>
      </c>
      <c r="I593" s="999" t="s">
        <v>897</v>
      </c>
      <c r="J593" s="1001">
        <v>40443</v>
      </c>
      <c r="K593" s="1001">
        <v>45835</v>
      </c>
      <c r="L593" s="1000">
        <f t="shared" si="75"/>
        <v>177</v>
      </c>
      <c r="M593" s="1002">
        <f t="shared" si="76"/>
        <v>14.75</v>
      </c>
      <c r="N593" s="1000">
        <v>14</v>
      </c>
      <c r="O593" s="1000">
        <v>14</v>
      </c>
      <c r="P593" s="1000">
        <v>43</v>
      </c>
      <c r="Q593" s="999" t="s">
        <v>898</v>
      </c>
      <c r="R593" s="999" t="s">
        <v>899</v>
      </c>
      <c r="S593" s="999" t="s">
        <v>900</v>
      </c>
      <c r="T593" s="999" t="s">
        <v>909</v>
      </c>
      <c r="U593" s="1000" t="s">
        <v>55</v>
      </c>
      <c r="V593" s="1000" t="s">
        <v>914</v>
      </c>
      <c r="W593" s="1003">
        <v>16380</v>
      </c>
      <c r="X593" s="1000" t="s">
        <v>903</v>
      </c>
      <c r="Y593" s="1000">
        <v>80</v>
      </c>
      <c r="Z593" s="1000" t="s">
        <v>904</v>
      </c>
      <c r="AA593" s="1000" t="s">
        <v>905</v>
      </c>
      <c r="AB593" s="1000" t="s">
        <v>911</v>
      </c>
      <c r="AC593" s="1000" t="s">
        <v>907</v>
      </c>
      <c r="AD593" s="1004">
        <v>5333.97</v>
      </c>
      <c r="AE593" s="1004">
        <f t="shared" si="73"/>
        <v>78676.05750000001</v>
      </c>
      <c r="AF593" s="1004">
        <f t="shared" si="77"/>
        <v>78676.05750000001</v>
      </c>
      <c r="AG593" s="1005">
        <f t="shared" si="71"/>
        <v>14.750000000000002</v>
      </c>
      <c r="AH593" s="1005">
        <f t="shared" si="74"/>
        <v>12.421286728544658</v>
      </c>
    </row>
    <row r="594" spans="1:34" x14ac:dyDescent="0.25">
      <c r="A594" s="999">
        <v>49200</v>
      </c>
      <c r="B594" s="999" t="s">
        <v>1700</v>
      </c>
      <c r="C594" s="999" t="s">
        <v>1284</v>
      </c>
      <c r="D594" s="999" t="s">
        <v>894</v>
      </c>
      <c r="E594" s="999" t="s">
        <v>895</v>
      </c>
      <c r="F594" s="999">
        <v>1900674</v>
      </c>
      <c r="G594" s="1000">
        <v>62627783734</v>
      </c>
      <c r="H594" s="999" t="s">
        <v>1800</v>
      </c>
      <c r="I594" s="999" t="s">
        <v>897</v>
      </c>
      <c r="J594" s="1001">
        <v>40871</v>
      </c>
      <c r="K594" s="1001">
        <v>45835</v>
      </c>
      <c r="L594" s="1000">
        <f t="shared" si="75"/>
        <v>163</v>
      </c>
      <c r="M594" s="1002">
        <f t="shared" si="76"/>
        <v>13.583333333333334</v>
      </c>
      <c r="N594" s="1000">
        <v>13</v>
      </c>
      <c r="O594" s="1000">
        <v>13</v>
      </c>
      <c r="P594" s="1000">
        <v>43</v>
      </c>
      <c r="Q594" s="999" t="s">
        <v>898</v>
      </c>
      <c r="R594" s="999" t="s">
        <v>899</v>
      </c>
      <c r="S594" s="999" t="s">
        <v>900</v>
      </c>
      <c r="T594" s="999" t="s">
        <v>1424</v>
      </c>
      <c r="U594" s="1000" t="s">
        <v>54</v>
      </c>
      <c r="V594" s="1000" t="s">
        <v>914</v>
      </c>
      <c r="W594" s="1003">
        <v>17187</v>
      </c>
      <c r="X594" s="1000" t="s">
        <v>930</v>
      </c>
      <c r="Y594" s="1000">
        <v>78</v>
      </c>
      <c r="Z594" s="1000" t="s">
        <v>904</v>
      </c>
      <c r="AA594" s="1000" t="s">
        <v>905</v>
      </c>
      <c r="AB594" s="1000" t="s">
        <v>925</v>
      </c>
      <c r="AC594" s="1000" t="s">
        <v>907</v>
      </c>
      <c r="AD594" s="1004">
        <v>10126.049999999999</v>
      </c>
      <c r="AE594" s="1004">
        <f t="shared" si="73"/>
        <v>137545.51249999998</v>
      </c>
      <c r="AF594" s="1004">
        <f t="shared" si="77"/>
        <v>137545.51249999998</v>
      </c>
      <c r="AG594" s="1005">
        <f t="shared" si="71"/>
        <v>13.583333333333332</v>
      </c>
      <c r="AH594" s="1005">
        <f t="shared" si="74"/>
        <v>12.362474777661433</v>
      </c>
    </row>
    <row r="595" spans="1:34" x14ac:dyDescent="0.25">
      <c r="A595" s="999">
        <v>49200</v>
      </c>
      <c r="B595" s="999" t="s">
        <v>1700</v>
      </c>
      <c r="C595" s="999" t="s">
        <v>1284</v>
      </c>
      <c r="D595" s="999" t="s">
        <v>894</v>
      </c>
      <c r="E595" s="999" t="s">
        <v>895</v>
      </c>
      <c r="F595" s="999">
        <v>1717513</v>
      </c>
      <c r="G595" s="1000">
        <v>15522199920</v>
      </c>
      <c r="H595" s="999" t="s">
        <v>1801</v>
      </c>
      <c r="I595" s="999" t="s">
        <v>897</v>
      </c>
      <c r="J595" s="1001">
        <v>40035</v>
      </c>
      <c r="K595" s="1001">
        <v>45835</v>
      </c>
      <c r="L595" s="1000">
        <f t="shared" si="75"/>
        <v>190</v>
      </c>
      <c r="M595" s="1002">
        <f t="shared" si="76"/>
        <v>15.833333333333334</v>
      </c>
      <c r="N595" s="1000">
        <v>15</v>
      </c>
      <c r="O595" s="1000">
        <v>15</v>
      </c>
      <c r="P595" s="1000">
        <v>43</v>
      </c>
      <c r="Q595" s="999" t="s">
        <v>898</v>
      </c>
      <c r="R595" s="999" t="s">
        <v>899</v>
      </c>
      <c r="S595" s="999" t="s">
        <v>900</v>
      </c>
      <c r="T595" s="999" t="s">
        <v>1361</v>
      </c>
      <c r="U595" s="1000" t="s">
        <v>54</v>
      </c>
      <c r="V595" s="1000" t="s">
        <v>914</v>
      </c>
      <c r="W595" s="1003">
        <v>16904</v>
      </c>
      <c r="X595" s="1000" t="s">
        <v>903</v>
      </c>
      <c r="Y595" s="1000">
        <v>79</v>
      </c>
      <c r="Z595" s="1000" t="s">
        <v>904</v>
      </c>
      <c r="AA595" s="1000" t="s">
        <v>905</v>
      </c>
      <c r="AB595" s="1000" t="s">
        <v>925</v>
      </c>
      <c r="AC595" s="1000" t="s">
        <v>907</v>
      </c>
      <c r="AD595" s="1004">
        <v>12538.83</v>
      </c>
      <c r="AE595" s="1004">
        <f t="shared" si="73"/>
        <v>198531.47500000001</v>
      </c>
      <c r="AF595" s="1004">
        <f t="shared" si="77"/>
        <v>198531.47500000001</v>
      </c>
      <c r="AG595" s="1005">
        <f t="shared" si="71"/>
        <v>15.833333333333334</v>
      </c>
      <c r="AH595" s="1005">
        <f t="shared" si="74"/>
        <v>14.663857585921384</v>
      </c>
    </row>
    <row r="596" spans="1:34" x14ac:dyDescent="0.25">
      <c r="A596" s="999">
        <v>49200</v>
      </c>
      <c r="B596" s="999" t="s">
        <v>1700</v>
      </c>
      <c r="C596" s="999" t="s">
        <v>1284</v>
      </c>
      <c r="D596" s="999" t="s">
        <v>894</v>
      </c>
      <c r="E596" s="999" t="s">
        <v>895</v>
      </c>
      <c r="F596" s="999">
        <v>1748658</v>
      </c>
      <c r="G596" s="1000">
        <v>6422110944</v>
      </c>
      <c r="H596" s="999" t="s">
        <v>1802</v>
      </c>
      <c r="I596" s="999" t="s">
        <v>897</v>
      </c>
      <c r="J596" s="1001">
        <v>40185</v>
      </c>
      <c r="K596" s="1001">
        <v>45835</v>
      </c>
      <c r="L596" s="1000">
        <f t="shared" si="75"/>
        <v>185</v>
      </c>
      <c r="M596" s="1002">
        <f t="shared" si="76"/>
        <v>15.416666666666666</v>
      </c>
      <c r="N596" s="1000">
        <v>15</v>
      </c>
      <c r="O596" s="1000">
        <v>15</v>
      </c>
      <c r="P596" s="1000">
        <v>43</v>
      </c>
      <c r="Q596" s="999" t="s">
        <v>898</v>
      </c>
      <c r="R596" s="999" t="s">
        <v>899</v>
      </c>
      <c r="S596" s="999" t="s">
        <v>900</v>
      </c>
      <c r="T596" s="999" t="s">
        <v>1803</v>
      </c>
      <c r="U596" s="1000" t="s">
        <v>55</v>
      </c>
      <c r="V596" s="1000" t="s">
        <v>914</v>
      </c>
      <c r="W596" s="1003">
        <v>17049</v>
      </c>
      <c r="X596" s="1000" t="s">
        <v>903</v>
      </c>
      <c r="Y596" s="1000">
        <v>78</v>
      </c>
      <c r="Z596" s="1000" t="s">
        <v>904</v>
      </c>
      <c r="AA596" s="1000" t="s">
        <v>905</v>
      </c>
      <c r="AB596" s="1000" t="s">
        <v>911</v>
      </c>
      <c r="AC596" s="1000" t="s">
        <v>907</v>
      </c>
      <c r="AD596" s="1004">
        <v>5333.97</v>
      </c>
      <c r="AE596" s="1004">
        <f t="shared" si="73"/>
        <v>82232.037500000006</v>
      </c>
      <c r="AF596" s="1004">
        <f t="shared" si="77"/>
        <v>82232.037500000006</v>
      </c>
      <c r="AG596" s="1005">
        <f t="shared" si="71"/>
        <v>15.416666666666668</v>
      </c>
      <c r="AH596" s="1005">
        <f t="shared" si="74"/>
        <v>12.982700817970404</v>
      </c>
    </row>
    <row r="597" spans="1:34" x14ac:dyDescent="0.25">
      <c r="A597" s="999">
        <v>49200</v>
      </c>
      <c r="B597" s="999" t="s">
        <v>1700</v>
      </c>
      <c r="C597" s="999" t="s">
        <v>1284</v>
      </c>
      <c r="D597" s="999" t="s">
        <v>894</v>
      </c>
      <c r="E597" s="999" t="s">
        <v>895</v>
      </c>
      <c r="F597" s="999">
        <v>1878658</v>
      </c>
      <c r="G597" s="1000">
        <v>37088580772</v>
      </c>
      <c r="H597" s="999" t="s">
        <v>1804</v>
      </c>
      <c r="I597" s="999" t="s">
        <v>897</v>
      </c>
      <c r="J597" s="1001">
        <v>40739</v>
      </c>
      <c r="K597" s="1001">
        <v>45835</v>
      </c>
      <c r="L597" s="1000">
        <f t="shared" si="75"/>
        <v>167</v>
      </c>
      <c r="M597" s="1002">
        <f t="shared" si="76"/>
        <v>13.916666666666666</v>
      </c>
      <c r="N597" s="1000">
        <v>13</v>
      </c>
      <c r="O597" s="1000">
        <v>13</v>
      </c>
      <c r="P597" s="1000">
        <v>43</v>
      </c>
      <c r="Q597" s="999" t="s">
        <v>898</v>
      </c>
      <c r="R597" s="999" t="s">
        <v>899</v>
      </c>
      <c r="S597" s="999" t="s">
        <v>900</v>
      </c>
      <c r="T597" s="999" t="s">
        <v>1097</v>
      </c>
      <c r="U597" s="1000" t="s">
        <v>55</v>
      </c>
      <c r="V597" s="1000" t="s">
        <v>914</v>
      </c>
      <c r="W597" s="1003">
        <v>18186</v>
      </c>
      <c r="X597" s="1000" t="s">
        <v>903</v>
      </c>
      <c r="Y597" s="1000">
        <v>75</v>
      </c>
      <c r="Z597" s="1000" t="s">
        <v>904</v>
      </c>
      <c r="AA597" s="1000" t="s">
        <v>905</v>
      </c>
      <c r="AB597" s="1000" t="s">
        <v>911</v>
      </c>
      <c r="AC597" s="1000" t="s">
        <v>907</v>
      </c>
      <c r="AD597" s="1004">
        <v>5333.97</v>
      </c>
      <c r="AE597" s="1004">
        <f t="shared" si="73"/>
        <v>74231.082500000004</v>
      </c>
      <c r="AF597" s="1004">
        <f t="shared" si="77"/>
        <v>74231.082500000004</v>
      </c>
      <c r="AG597" s="1005">
        <f t="shared" si="71"/>
        <v>13.916666666666666</v>
      </c>
      <c r="AH597" s="1005">
        <f t="shared" si="74"/>
        <v>11.719519116762473</v>
      </c>
    </row>
    <row r="598" spans="1:34" x14ac:dyDescent="0.25">
      <c r="A598" s="999">
        <v>49200</v>
      </c>
      <c r="B598" s="999" t="s">
        <v>1700</v>
      </c>
      <c r="C598" s="999" t="s">
        <v>1284</v>
      </c>
      <c r="D598" s="999" t="s">
        <v>894</v>
      </c>
      <c r="E598" s="999" t="s">
        <v>895</v>
      </c>
      <c r="F598" s="999">
        <v>1834004</v>
      </c>
      <c r="G598" s="1000">
        <v>8434352400</v>
      </c>
      <c r="H598" s="999" t="s">
        <v>1805</v>
      </c>
      <c r="I598" s="999" t="s">
        <v>897</v>
      </c>
      <c r="J598" s="1001">
        <v>40535</v>
      </c>
      <c r="K598" s="1001">
        <v>45835</v>
      </c>
      <c r="L598" s="1000">
        <f t="shared" si="75"/>
        <v>174</v>
      </c>
      <c r="M598" s="1002">
        <f t="shared" si="76"/>
        <v>14.5</v>
      </c>
      <c r="N598" s="1000">
        <v>14</v>
      </c>
      <c r="O598" s="1000">
        <v>14</v>
      </c>
      <c r="P598" s="1000">
        <v>43</v>
      </c>
      <c r="Q598" s="999" t="s">
        <v>898</v>
      </c>
      <c r="R598" s="999" t="s">
        <v>899</v>
      </c>
      <c r="S598" s="999" t="s">
        <v>900</v>
      </c>
      <c r="T598" s="999" t="s">
        <v>1707</v>
      </c>
      <c r="U598" s="1000"/>
      <c r="V598" s="1000" t="s">
        <v>914</v>
      </c>
      <c r="W598" s="1003">
        <v>17493</v>
      </c>
      <c r="X598" s="1000" t="s">
        <v>903</v>
      </c>
      <c r="Y598" s="1000">
        <v>77</v>
      </c>
      <c r="Z598" s="1000" t="s">
        <v>904</v>
      </c>
      <c r="AA598" s="1000" t="s">
        <v>905</v>
      </c>
      <c r="AB598" s="1000" t="s">
        <v>938</v>
      </c>
      <c r="AC598" s="1000" t="s">
        <v>907</v>
      </c>
      <c r="AD598" s="1004">
        <v>3813.57</v>
      </c>
      <c r="AE598" s="1004">
        <f t="shared" si="73"/>
        <v>55296.764999999999</v>
      </c>
      <c r="AF598" s="1004">
        <f t="shared" si="77"/>
        <v>55296.764999999999</v>
      </c>
      <c r="AG598" s="1005">
        <f t="shared" si="71"/>
        <v>14.5</v>
      </c>
      <c r="AH598" s="1005">
        <f t="shared" si="74"/>
        <v>11.487682738591108</v>
      </c>
    </row>
    <row r="599" spans="1:34" x14ac:dyDescent="0.25">
      <c r="A599" s="999">
        <v>49200</v>
      </c>
      <c r="B599" s="999" t="s">
        <v>1700</v>
      </c>
      <c r="C599" s="999" t="s">
        <v>1284</v>
      </c>
      <c r="D599" s="999" t="s">
        <v>894</v>
      </c>
      <c r="E599" s="999" t="s">
        <v>895</v>
      </c>
      <c r="F599" s="999">
        <v>1231798</v>
      </c>
      <c r="G599" s="1000">
        <v>16483782691</v>
      </c>
      <c r="H599" s="999" t="s">
        <v>1806</v>
      </c>
      <c r="I599" s="999" t="s">
        <v>897</v>
      </c>
      <c r="J599" s="1001">
        <v>42163</v>
      </c>
      <c r="K599" s="1001">
        <v>45835</v>
      </c>
      <c r="L599" s="1000">
        <f t="shared" si="75"/>
        <v>120</v>
      </c>
      <c r="M599" s="1002">
        <f t="shared" si="76"/>
        <v>10</v>
      </c>
      <c r="N599" s="1000">
        <v>10</v>
      </c>
      <c r="O599" s="1000">
        <v>10</v>
      </c>
      <c r="P599" s="1000">
        <v>43</v>
      </c>
      <c r="Q599" s="999" t="s">
        <v>898</v>
      </c>
      <c r="R599" s="999" t="s">
        <v>899</v>
      </c>
      <c r="S599" s="999" t="s">
        <v>900</v>
      </c>
      <c r="T599" s="999" t="s">
        <v>909</v>
      </c>
      <c r="U599" s="1000"/>
      <c r="V599" s="1000" t="s">
        <v>902</v>
      </c>
      <c r="W599" s="1003">
        <v>18031</v>
      </c>
      <c r="X599" s="1000" t="s">
        <v>903</v>
      </c>
      <c r="Y599" s="1000">
        <v>75</v>
      </c>
      <c r="Z599" s="1000" t="s">
        <v>904</v>
      </c>
      <c r="AA599" s="1000" t="s">
        <v>905</v>
      </c>
      <c r="AB599" s="1000" t="s">
        <v>938</v>
      </c>
      <c r="AC599" s="1000" t="s">
        <v>907</v>
      </c>
      <c r="AD599" s="1004">
        <v>3813.57</v>
      </c>
      <c r="AE599" s="1004">
        <f t="shared" si="73"/>
        <v>38135.700000000004</v>
      </c>
      <c r="AF599" s="1004">
        <f t="shared" si="77"/>
        <v>38135.700000000004</v>
      </c>
      <c r="AG599" s="1005">
        <f t="shared" si="71"/>
        <v>10</v>
      </c>
      <c r="AH599" s="1005">
        <f t="shared" si="74"/>
        <v>7.9225398197180068</v>
      </c>
    </row>
    <row r="600" spans="1:34" x14ac:dyDescent="0.25">
      <c r="A600" s="999">
        <v>49200</v>
      </c>
      <c r="B600" s="999" t="s">
        <v>1700</v>
      </c>
      <c r="C600" s="999" t="s">
        <v>1284</v>
      </c>
      <c r="D600" s="999" t="s">
        <v>894</v>
      </c>
      <c r="E600" s="999" t="s">
        <v>895</v>
      </c>
      <c r="F600" s="999">
        <v>1247887</v>
      </c>
      <c r="G600" s="1000">
        <v>11870850653</v>
      </c>
      <c r="H600" s="999" t="s">
        <v>1807</v>
      </c>
      <c r="I600" s="999" t="s">
        <v>920</v>
      </c>
      <c r="J600" s="1001">
        <v>44397</v>
      </c>
      <c r="K600" s="1001">
        <v>45835</v>
      </c>
      <c r="L600" s="1000">
        <f t="shared" si="75"/>
        <v>47</v>
      </c>
      <c r="M600" s="1002">
        <f t="shared" si="76"/>
        <v>3.9166666666666665</v>
      </c>
      <c r="N600" s="1000">
        <v>3</v>
      </c>
      <c r="O600" s="1000">
        <v>10</v>
      </c>
      <c r="P600" s="1000">
        <v>48</v>
      </c>
      <c r="Q600" s="999" t="s">
        <v>1695</v>
      </c>
      <c r="R600" s="999" t="s">
        <v>899</v>
      </c>
      <c r="S600" s="999" t="s">
        <v>900</v>
      </c>
      <c r="T600" s="999" t="s">
        <v>1361</v>
      </c>
      <c r="U600" s="1000" t="s">
        <v>54</v>
      </c>
      <c r="V600" s="1000" t="s">
        <v>914</v>
      </c>
      <c r="W600" s="1003">
        <v>18275</v>
      </c>
      <c r="X600" s="1000" t="s">
        <v>903</v>
      </c>
      <c r="Y600" s="1000">
        <v>75</v>
      </c>
      <c r="Z600" s="1000" t="s">
        <v>904</v>
      </c>
      <c r="AA600" s="1000" t="s">
        <v>905</v>
      </c>
      <c r="AB600" s="1000" t="s">
        <v>925</v>
      </c>
      <c r="AC600" s="1000" t="s">
        <v>907</v>
      </c>
      <c r="AD600" s="1004">
        <v>18598.61</v>
      </c>
      <c r="AE600" s="1004">
        <f t="shared" si="73"/>
        <v>72844.555833333332</v>
      </c>
      <c r="AF600" s="1004">
        <f t="shared" si="77"/>
        <v>72844.555833333332</v>
      </c>
      <c r="AG600" s="1005">
        <f t="shared" si="71"/>
        <v>3.9166666666666665</v>
      </c>
      <c r="AH600" s="1005">
        <f t="shared" si="74"/>
        <v>3.7168225620762558</v>
      </c>
    </row>
    <row r="601" spans="1:34" x14ac:dyDescent="0.25">
      <c r="A601" s="999">
        <v>49200</v>
      </c>
      <c r="B601" s="999" t="s">
        <v>1700</v>
      </c>
      <c r="C601" s="999" t="s">
        <v>1284</v>
      </c>
      <c r="D601" s="999" t="s">
        <v>894</v>
      </c>
      <c r="E601" s="999" t="s">
        <v>895</v>
      </c>
      <c r="F601" s="999">
        <v>1713168</v>
      </c>
      <c r="G601" s="1000">
        <v>8014671449</v>
      </c>
      <c r="H601" s="999" t="s">
        <v>1808</v>
      </c>
      <c r="I601" s="999" t="s">
        <v>897</v>
      </c>
      <c r="J601" s="1001">
        <v>40014</v>
      </c>
      <c r="K601" s="1001">
        <v>45835</v>
      </c>
      <c r="L601" s="1000">
        <f t="shared" si="75"/>
        <v>191</v>
      </c>
      <c r="M601" s="1002">
        <f t="shared" si="76"/>
        <v>15.916666666666666</v>
      </c>
      <c r="N601" s="1000">
        <v>15</v>
      </c>
      <c r="O601" s="1000">
        <v>15</v>
      </c>
      <c r="P601" s="1000">
        <v>43</v>
      </c>
      <c r="Q601" s="999" t="s">
        <v>898</v>
      </c>
      <c r="R601" s="999" t="s">
        <v>899</v>
      </c>
      <c r="S601" s="999" t="s">
        <v>900</v>
      </c>
      <c r="T601" s="999" t="s">
        <v>1652</v>
      </c>
      <c r="U601" s="1000" t="s">
        <v>55</v>
      </c>
      <c r="V601" s="1000" t="s">
        <v>914</v>
      </c>
      <c r="W601" s="1003">
        <v>18260</v>
      </c>
      <c r="X601" s="1000" t="s">
        <v>903</v>
      </c>
      <c r="Y601" s="1000">
        <v>75</v>
      </c>
      <c r="Z601" s="1000" t="s">
        <v>904</v>
      </c>
      <c r="AA601" s="1000" t="s">
        <v>905</v>
      </c>
      <c r="AB601" s="1000" t="s">
        <v>911</v>
      </c>
      <c r="AC601" s="1000" t="s">
        <v>907</v>
      </c>
      <c r="AD601" s="1004">
        <v>5333.97</v>
      </c>
      <c r="AE601" s="1004">
        <f t="shared" si="73"/>
        <v>84899.022500000006</v>
      </c>
      <c r="AF601" s="1004">
        <f t="shared" si="77"/>
        <v>84899.022500000006</v>
      </c>
      <c r="AG601" s="1005">
        <f t="shared" si="71"/>
        <v>15.916666666666668</v>
      </c>
      <c r="AH601" s="1005">
        <f t="shared" si="74"/>
        <v>13.403761385039715</v>
      </c>
    </row>
    <row r="602" spans="1:34" x14ac:dyDescent="0.25">
      <c r="A602" s="999">
        <v>49200</v>
      </c>
      <c r="B602" s="999" t="s">
        <v>1700</v>
      </c>
      <c r="C602" s="999" t="s">
        <v>1284</v>
      </c>
      <c r="D602" s="999" t="s">
        <v>894</v>
      </c>
      <c r="E602" s="999" t="s">
        <v>895</v>
      </c>
      <c r="F602" s="999">
        <v>1853921</v>
      </c>
      <c r="G602" s="1000">
        <v>3371719553</v>
      </c>
      <c r="H602" s="999" t="s">
        <v>1809</v>
      </c>
      <c r="I602" s="999" t="s">
        <v>897</v>
      </c>
      <c r="J602" s="1001">
        <v>40612</v>
      </c>
      <c r="K602" s="1001">
        <v>45835</v>
      </c>
      <c r="L602" s="1000">
        <f t="shared" si="75"/>
        <v>171</v>
      </c>
      <c r="M602" s="1002">
        <f t="shared" si="76"/>
        <v>14.25</v>
      </c>
      <c r="N602" s="1000">
        <v>14</v>
      </c>
      <c r="O602" s="1000">
        <v>14</v>
      </c>
      <c r="P602" s="1000">
        <v>43</v>
      </c>
      <c r="Q602" s="999" t="s">
        <v>898</v>
      </c>
      <c r="R602" s="999" t="s">
        <v>899</v>
      </c>
      <c r="S602" s="999" t="s">
        <v>900</v>
      </c>
      <c r="T602" s="999" t="s">
        <v>1726</v>
      </c>
      <c r="U602" s="1000" t="s">
        <v>55</v>
      </c>
      <c r="V602" s="1000" t="s">
        <v>914</v>
      </c>
      <c r="W602" s="1003">
        <v>17487</v>
      </c>
      <c r="X602" s="1000" t="s">
        <v>903</v>
      </c>
      <c r="Y602" s="1000">
        <v>77</v>
      </c>
      <c r="Z602" s="1000" t="s">
        <v>904</v>
      </c>
      <c r="AA602" s="1000" t="s">
        <v>905</v>
      </c>
      <c r="AB602" s="1000" t="s">
        <v>911</v>
      </c>
      <c r="AC602" s="1000" t="s">
        <v>907</v>
      </c>
      <c r="AD602" s="1004">
        <v>5333.97</v>
      </c>
      <c r="AE602" s="1004">
        <f t="shared" si="73"/>
        <v>76009.072500000009</v>
      </c>
      <c r="AF602" s="1004">
        <f t="shared" si="77"/>
        <v>76009.072500000009</v>
      </c>
      <c r="AG602" s="1005">
        <f t="shared" si="71"/>
        <v>14.250000000000002</v>
      </c>
      <c r="AH602" s="1005">
        <f t="shared" si="74"/>
        <v>12.000226161475348</v>
      </c>
    </row>
    <row r="603" spans="1:34" x14ac:dyDescent="0.25">
      <c r="A603" s="999">
        <v>49200</v>
      </c>
      <c r="B603" s="999" t="s">
        <v>1700</v>
      </c>
      <c r="C603" s="999" t="s">
        <v>1284</v>
      </c>
      <c r="D603" s="999" t="s">
        <v>894</v>
      </c>
      <c r="E603" s="999" t="s">
        <v>895</v>
      </c>
      <c r="F603" s="999">
        <v>1843425</v>
      </c>
      <c r="G603" s="1000">
        <v>5381037449</v>
      </c>
      <c r="H603" s="999" t="s">
        <v>1810</v>
      </c>
      <c r="I603" s="999" t="s">
        <v>897</v>
      </c>
      <c r="J603" s="1001">
        <v>40564</v>
      </c>
      <c r="K603" s="1001">
        <v>45835</v>
      </c>
      <c r="L603" s="1000">
        <f t="shared" si="75"/>
        <v>173</v>
      </c>
      <c r="M603" s="1002">
        <f t="shared" si="76"/>
        <v>14.416666666666666</v>
      </c>
      <c r="N603" s="1000">
        <v>14</v>
      </c>
      <c r="O603" s="1000">
        <v>14</v>
      </c>
      <c r="P603" s="1000">
        <v>43</v>
      </c>
      <c r="Q603" s="999" t="s">
        <v>898</v>
      </c>
      <c r="R603" s="999" t="s">
        <v>899</v>
      </c>
      <c r="S603" s="999" t="s">
        <v>900</v>
      </c>
      <c r="T603" s="999" t="s">
        <v>984</v>
      </c>
      <c r="U603" s="1000" t="s">
        <v>55</v>
      </c>
      <c r="V603" s="1000" t="s">
        <v>914</v>
      </c>
      <c r="W603" s="1003">
        <v>18012</v>
      </c>
      <c r="X603" s="1000" t="s">
        <v>903</v>
      </c>
      <c r="Y603" s="1000">
        <v>75</v>
      </c>
      <c r="Z603" s="1000" t="s">
        <v>904</v>
      </c>
      <c r="AA603" s="1000" t="s">
        <v>905</v>
      </c>
      <c r="AB603" s="1000" t="s">
        <v>911</v>
      </c>
      <c r="AC603" s="1000" t="s">
        <v>907</v>
      </c>
      <c r="AD603" s="1004">
        <v>5333.97</v>
      </c>
      <c r="AE603" s="1004">
        <f t="shared" si="73"/>
        <v>76898.067500000005</v>
      </c>
      <c r="AF603" s="1004">
        <f t="shared" si="77"/>
        <v>76898.067500000005</v>
      </c>
      <c r="AG603" s="1005">
        <f t="shared" si="71"/>
        <v>14.416666666666666</v>
      </c>
      <c r="AH603" s="1005">
        <f t="shared" si="74"/>
        <v>12.140579683831783</v>
      </c>
    </row>
    <row r="604" spans="1:34" x14ac:dyDescent="0.25">
      <c r="A604" s="999">
        <v>49200</v>
      </c>
      <c r="B604" s="999" t="s">
        <v>1700</v>
      </c>
      <c r="C604" s="999" t="s">
        <v>1284</v>
      </c>
      <c r="D604" s="999" t="s">
        <v>894</v>
      </c>
      <c r="E604" s="999" t="s">
        <v>895</v>
      </c>
      <c r="F604" s="999">
        <v>1067936</v>
      </c>
      <c r="G604" s="1000">
        <v>3331814415</v>
      </c>
      <c r="H604" s="999" t="s">
        <v>1811</v>
      </c>
      <c r="I604" s="999" t="s">
        <v>1444</v>
      </c>
      <c r="J604" s="1001">
        <v>45231</v>
      </c>
      <c r="K604" s="1001">
        <v>45835</v>
      </c>
      <c r="L604" s="1000">
        <f t="shared" si="75"/>
        <v>19</v>
      </c>
      <c r="M604" s="1002">
        <f t="shared" si="76"/>
        <v>1.5833333333333333</v>
      </c>
      <c r="N604" s="1000">
        <v>1</v>
      </c>
      <c r="O604" s="1000">
        <v>10</v>
      </c>
      <c r="P604" s="1000">
        <v>48</v>
      </c>
      <c r="Q604" s="999" t="s">
        <v>1695</v>
      </c>
      <c r="R604" s="999" t="s">
        <v>899</v>
      </c>
      <c r="S604" s="999" t="s">
        <v>900</v>
      </c>
      <c r="T604" s="999" t="s">
        <v>909</v>
      </c>
      <c r="U604" s="1000"/>
      <c r="V604" s="1000" t="s">
        <v>910</v>
      </c>
      <c r="W604" s="1003">
        <v>14630</v>
      </c>
      <c r="X604" s="1000" t="s">
        <v>903</v>
      </c>
      <c r="Y604" s="1000">
        <v>85</v>
      </c>
      <c r="Z604" s="1000" t="s">
        <v>904</v>
      </c>
      <c r="AA604" s="1000" t="s">
        <v>905</v>
      </c>
      <c r="AB604" s="1000" t="s">
        <v>1134</v>
      </c>
      <c r="AC604" s="1000" t="s">
        <v>907</v>
      </c>
      <c r="AD604" s="1004">
        <v>3417.68</v>
      </c>
      <c r="AE604" s="1004">
        <f t="shared" si="73"/>
        <v>5411.3266666666659</v>
      </c>
      <c r="AF604" s="1004">
        <f t="shared" si="77"/>
        <v>5411.3266666666659</v>
      </c>
      <c r="AG604" s="1005">
        <f t="shared" si="71"/>
        <v>1.5833333333333333</v>
      </c>
      <c r="AH604" s="1005">
        <f t="shared" si="74"/>
        <v>1.2249249983400032</v>
      </c>
    </row>
    <row r="605" spans="1:34" x14ac:dyDescent="0.25">
      <c r="A605" s="999">
        <v>49200</v>
      </c>
      <c r="B605" s="999" t="s">
        <v>1700</v>
      </c>
      <c r="C605" s="999" t="s">
        <v>1284</v>
      </c>
      <c r="D605" s="999" t="s">
        <v>894</v>
      </c>
      <c r="E605" s="999" t="s">
        <v>895</v>
      </c>
      <c r="F605" s="999">
        <v>1719150</v>
      </c>
      <c r="G605" s="1000">
        <v>42666317749</v>
      </c>
      <c r="H605" s="999" t="s">
        <v>1812</v>
      </c>
      <c r="I605" s="999" t="s">
        <v>897</v>
      </c>
      <c r="J605" s="1001">
        <v>40030</v>
      </c>
      <c r="K605" s="1001">
        <v>45835</v>
      </c>
      <c r="L605" s="1000">
        <f t="shared" si="75"/>
        <v>190</v>
      </c>
      <c r="M605" s="1002">
        <f t="shared" si="76"/>
        <v>15.833333333333334</v>
      </c>
      <c r="N605" s="1000">
        <v>15</v>
      </c>
      <c r="O605" s="1000">
        <v>15</v>
      </c>
      <c r="P605" s="1000">
        <v>43</v>
      </c>
      <c r="Q605" s="999" t="s">
        <v>898</v>
      </c>
      <c r="R605" s="999" t="s">
        <v>899</v>
      </c>
      <c r="S605" s="999" t="s">
        <v>900</v>
      </c>
      <c r="T605" s="999" t="s">
        <v>1044</v>
      </c>
      <c r="U605" s="1000"/>
      <c r="V605" s="1000" t="s">
        <v>914</v>
      </c>
      <c r="W605" s="1003">
        <v>17234</v>
      </c>
      <c r="X605" s="1000" t="s">
        <v>930</v>
      </c>
      <c r="Y605" s="1000">
        <v>78</v>
      </c>
      <c r="Z605" s="1000" t="s">
        <v>904</v>
      </c>
      <c r="AA605" s="1000" t="s">
        <v>905</v>
      </c>
      <c r="AB605" s="1000" t="s">
        <v>938</v>
      </c>
      <c r="AC605" s="1000" t="s">
        <v>907</v>
      </c>
      <c r="AD605" s="1004">
        <v>3813.57</v>
      </c>
      <c r="AE605" s="1004">
        <f t="shared" si="73"/>
        <v>60381.525000000001</v>
      </c>
      <c r="AF605" s="1004">
        <f t="shared" si="77"/>
        <v>60381.525000000001</v>
      </c>
      <c r="AG605" s="1005">
        <f t="shared" si="71"/>
        <v>15.833333333333332</v>
      </c>
      <c r="AH605" s="1005">
        <f t="shared" si="74"/>
        <v>12.544021381220176</v>
      </c>
    </row>
    <row r="606" spans="1:34" x14ac:dyDescent="0.25">
      <c r="A606" s="999">
        <v>49200</v>
      </c>
      <c r="B606" s="999" t="s">
        <v>1700</v>
      </c>
      <c r="C606" s="999" t="s">
        <v>1284</v>
      </c>
      <c r="D606" s="999" t="s">
        <v>894</v>
      </c>
      <c r="E606" s="999" t="s">
        <v>895</v>
      </c>
      <c r="F606" s="999">
        <v>1739038</v>
      </c>
      <c r="G606" s="1000">
        <v>35060620778</v>
      </c>
      <c r="H606" s="999" t="s">
        <v>1813</v>
      </c>
      <c r="I606" s="999" t="s">
        <v>897</v>
      </c>
      <c r="J606" s="1001">
        <v>40140</v>
      </c>
      <c r="K606" s="1001">
        <v>45835</v>
      </c>
      <c r="L606" s="1000">
        <f t="shared" si="75"/>
        <v>187</v>
      </c>
      <c r="M606" s="1002">
        <f t="shared" si="76"/>
        <v>15.583333333333334</v>
      </c>
      <c r="N606" s="1000">
        <v>15</v>
      </c>
      <c r="O606" s="1000">
        <v>15</v>
      </c>
      <c r="P606" s="1000">
        <v>43</v>
      </c>
      <c r="Q606" s="999" t="s">
        <v>898</v>
      </c>
      <c r="R606" s="999" t="s">
        <v>899</v>
      </c>
      <c r="S606" s="999" t="s">
        <v>900</v>
      </c>
      <c r="T606" s="999" t="s">
        <v>613</v>
      </c>
      <c r="U606" s="1000" t="s">
        <v>54</v>
      </c>
      <c r="V606" s="1000" t="s">
        <v>910</v>
      </c>
      <c r="W606" s="1003">
        <v>17721</v>
      </c>
      <c r="X606" s="1000" t="s">
        <v>903</v>
      </c>
      <c r="Y606" s="1000">
        <v>76</v>
      </c>
      <c r="Z606" s="1000" t="s">
        <v>904</v>
      </c>
      <c r="AA606" s="1000" t="s">
        <v>905</v>
      </c>
      <c r="AB606" s="1000" t="s">
        <v>925</v>
      </c>
      <c r="AC606" s="1000" t="s">
        <v>907</v>
      </c>
      <c r="AD606" s="1004">
        <v>10126.049999999999</v>
      </c>
      <c r="AE606" s="1004">
        <f t="shared" si="73"/>
        <v>157797.61249999999</v>
      </c>
      <c r="AF606" s="1004">
        <f t="shared" si="77"/>
        <v>157797.61249999999</v>
      </c>
      <c r="AG606" s="1005">
        <f t="shared" si="71"/>
        <v>15.583333333333334</v>
      </c>
      <c r="AH606" s="1005">
        <f t="shared" si="74"/>
        <v>14.182716462715879</v>
      </c>
    </row>
    <row r="607" spans="1:34" x14ac:dyDescent="0.25">
      <c r="A607" s="999">
        <v>49200</v>
      </c>
      <c r="B607" s="999" t="s">
        <v>1700</v>
      </c>
      <c r="C607" s="999" t="s">
        <v>1284</v>
      </c>
      <c r="D607" s="999" t="s">
        <v>894</v>
      </c>
      <c r="E607" s="999" t="s">
        <v>895</v>
      </c>
      <c r="F607" s="999">
        <v>1738739</v>
      </c>
      <c r="G607" s="1000">
        <v>62822918791</v>
      </c>
      <c r="H607" s="999" t="s">
        <v>1814</v>
      </c>
      <c r="I607" s="999" t="s">
        <v>897</v>
      </c>
      <c r="J607" s="1001">
        <v>40141</v>
      </c>
      <c r="K607" s="1001">
        <v>45835</v>
      </c>
      <c r="L607" s="1000">
        <f t="shared" si="75"/>
        <v>187</v>
      </c>
      <c r="M607" s="1002">
        <f t="shared" si="76"/>
        <v>15.583333333333334</v>
      </c>
      <c r="N607" s="1000">
        <v>15</v>
      </c>
      <c r="O607" s="1000">
        <v>15</v>
      </c>
      <c r="P607" s="1000">
        <v>43</v>
      </c>
      <c r="Q607" s="999" t="s">
        <v>898</v>
      </c>
      <c r="R607" s="999" t="s">
        <v>899</v>
      </c>
      <c r="S607" s="999" t="s">
        <v>900</v>
      </c>
      <c r="T607" s="999" t="s">
        <v>1771</v>
      </c>
      <c r="U607" s="1000"/>
      <c r="V607" s="1000" t="s">
        <v>910</v>
      </c>
      <c r="W607" s="1003">
        <v>15750</v>
      </c>
      <c r="X607" s="1000" t="s">
        <v>903</v>
      </c>
      <c r="Y607" s="1000">
        <v>82</v>
      </c>
      <c r="Z607" s="1000" t="s">
        <v>904</v>
      </c>
      <c r="AA607" s="1000" t="s">
        <v>905</v>
      </c>
      <c r="AB607" s="1000" t="s">
        <v>938</v>
      </c>
      <c r="AC607" s="1000" t="s">
        <v>907</v>
      </c>
      <c r="AD607" s="1004">
        <v>3813.57</v>
      </c>
      <c r="AE607" s="1004">
        <f t="shared" si="73"/>
        <v>59428.132500000007</v>
      </c>
      <c r="AF607" s="1004">
        <f t="shared" si="77"/>
        <v>59428.132500000007</v>
      </c>
      <c r="AG607" s="1005">
        <f t="shared" si="71"/>
        <v>15.583333333333334</v>
      </c>
      <c r="AH607" s="1005">
        <f t="shared" si="74"/>
        <v>12.345957885727227</v>
      </c>
    </row>
    <row r="608" spans="1:34" x14ac:dyDescent="0.25">
      <c r="A608" s="999">
        <v>49200</v>
      </c>
      <c r="B608" s="999" t="s">
        <v>1700</v>
      </c>
      <c r="C608" s="999" t="s">
        <v>1284</v>
      </c>
      <c r="D608" s="999" t="s">
        <v>894</v>
      </c>
      <c r="E608" s="999" t="s">
        <v>895</v>
      </c>
      <c r="F608" s="999">
        <v>1713098</v>
      </c>
      <c r="G608" s="1000">
        <v>27908500625</v>
      </c>
      <c r="H608" s="999" t="s">
        <v>1815</v>
      </c>
      <c r="I608" s="999" t="s">
        <v>897</v>
      </c>
      <c r="J608" s="1001">
        <v>40008</v>
      </c>
      <c r="K608" s="1001">
        <v>45835</v>
      </c>
      <c r="L608" s="1000">
        <f t="shared" si="75"/>
        <v>191</v>
      </c>
      <c r="M608" s="1002">
        <f t="shared" si="76"/>
        <v>15.916666666666666</v>
      </c>
      <c r="N608" s="1000">
        <v>15</v>
      </c>
      <c r="O608" s="1000">
        <v>15</v>
      </c>
      <c r="P608" s="1000">
        <v>43</v>
      </c>
      <c r="Q608" s="999" t="s">
        <v>898</v>
      </c>
      <c r="R608" s="999" t="s">
        <v>899</v>
      </c>
      <c r="S608" s="999" t="s">
        <v>900</v>
      </c>
      <c r="T608" s="999" t="s">
        <v>1816</v>
      </c>
      <c r="U608" s="1000"/>
      <c r="V608" s="1000" t="s">
        <v>914</v>
      </c>
      <c r="W608" s="1003">
        <v>18316</v>
      </c>
      <c r="X608" s="1000" t="s">
        <v>903</v>
      </c>
      <c r="Y608" s="1000">
        <v>75</v>
      </c>
      <c r="Z608" s="1000" t="s">
        <v>904</v>
      </c>
      <c r="AA608" s="1000" t="s">
        <v>905</v>
      </c>
      <c r="AB608" s="1000" t="s">
        <v>938</v>
      </c>
      <c r="AC608" s="1000" t="s">
        <v>907</v>
      </c>
      <c r="AD608" s="1004">
        <v>3813.57</v>
      </c>
      <c r="AE608" s="1004">
        <f t="shared" si="73"/>
        <v>60699.322500000002</v>
      </c>
      <c r="AF608" s="1004">
        <f t="shared" si="77"/>
        <v>60699.322500000002</v>
      </c>
      <c r="AG608" s="1005">
        <f t="shared" si="71"/>
        <v>15.916666666666666</v>
      </c>
      <c r="AH608" s="1005">
        <f t="shared" si="74"/>
        <v>12.610042546384493</v>
      </c>
    </row>
    <row r="609" spans="1:34" x14ac:dyDescent="0.25">
      <c r="A609" s="999">
        <v>49200</v>
      </c>
      <c r="B609" s="999" t="s">
        <v>1700</v>
      </c>
      <c r="C609" s="999" t="s">
        <v>1284</v>
      </c>
      <c r="D609" s="999" t="s">
        <v>894</v>
      </c>
      <c r="E609" s="999" t="s">
        <v>895</v>
      </c>
      <c r="F609" s="999">
        <v>1744755</v>
      </c>
      <c r="G609" s="1000">
        <v>36236730725</v>
      </c>
      <c r="H609" s="999" t="s">
        <v>1817</v>
      </c>
      <c r="I609" s="999" t="s">
        <v>897</v>
      </c>
      <c r="J609" s="1001">
        <v>40158</v>
      </c>
      <c r="K609" s="1001">
        <v>45835</v>
      </c>
      <c r="L609" s="1000">
        <f t="shared" si="75"/>
        <v>186</v>
      </c>
      <c r="M609" s="1002">
        <f t="shared" si="76"/>
        <v>15.5</v>
      </c>
      <c r="N609" s="1000">
        <v>15</v>
      </c>
      <c r="O609" s="1000">
        <v>15</v>
      </c>
      <c r="P609" s="1000">
        <v>43</v>
      </c>
      <c r="Q609" s="999" t="s">
        <v>898</v>
      </c>
      <c r="R609" s="999" t="s">
        <v>899</v>
      </c>
      <c r="S609" s="999" t="s">
        <v>900</v>
      </c>
      <c r="T609" s="999" t="s">
        <v>1818</v>
      </c>
      <c r="U609" s="1000"/>
      <c r="V609" s="1000" t="s">
        <v>914</v>
      </c>
      <c r="W609" s="1003">
        <v>17761</v>
      </c>
      <c r="X609" s="1000" t="s">
        <v>903</v>
      </c>
      <c r="Y609" s="1000">
        <v>76</v>
      </c>
      <c r="Z609" s="1000" t="s">
        <v>904</v>
      </c>
      <c r="AA609" s="1000" t="s">
        <v>905</v>
      </c>
      <c r="AB609" s="1000" t="s">
        <v>938</v>
      </c>
      <c r="AC609" s="1000" t="s">
        <v>907</v>
      </c>
      <c r="AD609" s="1004">
        <v>3813.57</v>
      </c>
      <c r="AE609" s="1004">
        <f t="shared" si="73"/>
        <v>59110.334999999999</v>
      </c>
      <c r="AF609" s="1004">
        <f t="shared" si="77"/>
        <v>59110.334999999999</v>
      </c>
      <c r="AG609" s="1005">
        <f t="shared" si="71"/>
        <v>15.499999999999998</v>
      </c>
      <c r="AH609" s="1005">
        <f t="shared" si="74"/>
        <v>12.27993672056291</v>
      </c>
    </row>
    <row r="610" spans="1:34" x14ac:dyDescent="0.25">
      <c r="A610" s="999">
        <v>49200</v>
      </c>
      <c r="B610" s="999" t="s">
        <v>1700</v>
      </c>
      <c r="C610" s="999" t="s">
        <v>1284</v>
      </c>
      <c r="D610" s="999" t="s">
        <v>894</v>
      </c>
      <c r="E610" s="999" t="s">
        <v>895</v>
      </c>
      <c r="F610" s="999">
        <v>1738499</v>
      </c>
      <c r="G610" s="1000">
        <v>14084228087</v>
      </c>
      <c r="H610" s="999" t="s">
        <v>1819</v>
      </c>
      <c r="I610" s="999" t="s">
        <v>897</v>
      </c>
      <c r="J610" s="1001">
        <v>40126</v>
      </c>
      <c r="K610" s="1001">
        <v>45835</v>
      </c>
      <c r="L610" s="1000">
        <f t="shared" si="75"/>
        <v>187</v>
      </c>
      <c r="M610" s="1002">
        <f t="shared" si="76"/>
        <v>15.583333333333334</v>
      </c>
      <c r="N610" s="1000">
        <v>15</v>
      </c>
      <c r="O610" s="1000">
        <v>15</v>
      </c>
      <c r="P610" s="1000">
        <v>48</v>
      </c>
      <c r="Q610" s="999" t="s">
        <v>1695</v>
      </c>
      <c r="R610" s="999" t="s">
        <v>899</v>
      </c>
      <c r="S610" s="999" t="s">
        <v>900</v>
      </c>
      <c r="T610" s="999" t="s">
        <v>1361</v>
      </c>
      <c r="U610" s="1000" t="s">
        <v>54</v>
      </c>
      <c r="V610" s="1000" t="s">
        <v>914</v>
      </c>
      <c r="W610" s="1003">
        <v>17901</v>
      </c>
      <c r="X610" s="1000" t="s">
        <v>903</v>
      </c>
      <c r="Y610" s="1000">
        <v>76</v>
      </c>
      <c r="Z610" s="1000" t="s">
        <v>904</v>
      </c>
      <c r="AA610" s="1000" t="s">
        <v>905</v>
      </c>
      <c r="AB610" s="1000" t="s">
        <v>925</v>
      </c>
      <c r="AC610" s="1000" t="s">
        <v>907</v>
      </c>
      <c r="AD610" s="1004">
        <v>15158.68</v>
      </c>
      <c r="AE610" s="1004">
        <f t="shared" si="73"/>
        <v>236222.76333333334</v>
      </c>
      <c r="AF610" s="1004">
        <f t="shared" si="77"/>
        <v>236222.76333333334</v>
      </c>
      <c r="AG610" s="1005">
        <f t="shared" si="71"/>
        <v>15.583333333333334</v>
      </c>
      <c r="AH610" s="1005">
        <f t="shared" si="74"/>
        <v>14.618939377061327</v>
      </c>
    </row>
    <row r="611" spans="1:34" x14ac:dyDescent="0.25">
      <c r="A611" s="999">
        <v>49200</v>
      </c>
      <c r="B611" s="999" t="s">
        <v>1700</v>
      </c>
      <c r="C611" s="999" t="s">
        <v>1284</v>
      </c>
      <c r="D611" s="999" t="s">
        <v>894</v>
      </c>
      <c r="E611" s="999" t="s">
        <v>895</v>
      </c>
      <c r="F611" s="999">
        <v>1783795</v>
      </c>
      <c r="G611" s="1000">
        <v>23422564772</v>
      </c>
      <c r="H611" s="999" t="s">
        <v>1820</v>
      </c>
      <c r="I611" s="999" t="s">
        <v>897</v>
      </c>
      <c r="J611" s="1001">
        <v>40302</v>
      </c>
      <c r="K611" s="1001">
        <v>45835</v>
      </c>
      <c r="L611" s="1000">
        <f t="shared" si="75"/>
        <v>181</v>
      </c>
      <c r="M611" s="1002">
        <f t="shared" si="76"/>
        <v>15.083333333333334</v>
      </c>
      <c r="N611" s="1000">
        <v>15</v>
      </c>
      <c r="O611" s="1000">
        <v>15</v>
      </c>
      <c r="P611" s="1000">
        <v>43</v>
      </c>
      <c r="Q611" s="999" t="s">
        <v>898</v>
      </c>
      <c r="R611" s="999" t="s">
        <v>899</v>
      </c>
      <c r="S611" s="999" t="s">
        <v>900</v>
      </c>
      <c r="T611" s="999" t="s">
        <v>1659</v>
      </c>
      <c r="U611" s="1000" t="s">
        <v>55</v>
      </c>
      <c r="V611" s="1000" t="s">
        <v>914</v>
      </c>
      <c r="W611" s="1003">
        <v>16892</v>
      </c>
      <c r="X611" s="1000" t="s">
        <v>903</v>
      </c>
      <c r="Y611" s="1000">
        <v>79</v>
      </c>
      <c r="Z611" s="1000" t="s">
        <v>904</v>
      </c>
      <c r="AA611" s="1000" t="s">
        <v>905</v>
      </c>
      <c r="AB611" s="1000" t="s">
        <v>911</v>
      </c>
      <c r="AC611" s="1000" t="s">
        <v>907</v>
      </c>
      <c r="AD611" s="1004">
        <v>5333.97</v>
      </c>
      <c r="AE611" s="1004">
        <f t="shared" si="73"/>
        <v>80454.047500000001</v>
      </c>
      <c r="AF611" s="1004">
        <f t="shared" si="77"/>
        <v>80454.047500000001</v>
      </c>
      <c r="AG611" s="1005">
        <f t="shared" si="71"/>
        <v>15.083333333333332</v>
      </c>
      <c r="AH611" s="1005">
        <f t="shared" si="74"/>
        <v>12.701993773257531</v>
      </c>
    </row>
    <row r="612" spans="1:34" x14ac:dyDescent="0.25">
      <c r="A612" s="999">
        <v>49200</v>
      </c>
      <c r="B612" s="999" t="s">
        <v>1700</v>
      </c>
      <c r="C612" s="999" t="s">
        <v>1284</v>
      </c>
      <c r="D612" s="999" t="s">
        <v>894</v>
      </c>
      <c r="E612" s="999" t="s">
        <v>895</v>
      </c>
      <c r="F612" s="999">
        <v>1962720</v>
      </c>
      <c r="G612" s="1000">
        <v>3732967468</v>
      </c>
      <c r="H612" s="999" t="s">
        <v>1821</v>
      </c>
      <c r="I612" s="999" t="s">
        <v>897</v>
      </c>
      <c r="J612" s="1001">
        <v>41130</v>
      </c>
      <c r="K612" s="1001">
        <v>45835</v>
      </c>
      <c r="L612" s="1000">
        <f t="shared" si="75"/>
        <v>154</v>
      </c>
      <c r="M612" s="1002">
        <f t="shared" si="76"/>
        <v>12.833333333333334</v>
      </c>
      <c r="N612" s="1000">
        <v>12</v>
      </c>
      <c r="O612" s="1000">
        <v>12</v>
      </c>
      <c r="P612" s="1000">
        <v>43</v>
      </c>
      <c r="Q612" s="999" t="s">
        <v>898</v>
      </c>
      <c r="R612" s="999" t="s">
        <v>899</v>
      </c>
      <c r="S612" s="999" t="s">
        <v>900</v>
      </c>
      <c r="T612" s="999" t="s">
        <v>1796</v>
      </c>
      <c r="U612" s="1000"/>
      <c r="V612" s="1000" t="s">
        <v>914</v>
      </c>
      <c r="W612" s="1003">
        <v>14896</v>
      </c>
      <c r="X612" s="1000" t="s">
        <v>903</v>
      </c>
      <c r="Y612" s="1000">
        <v>84</v>
      </c>
      <c r="Z612" s="1000" t="s">
        <v>904</v>
      </c>
      <c r="AA612" s="1000" t="s">
        <v>905</v>
      </c>
      <c r="AB612" s="1000" t="s">
        <v>938</v>
      </c>
      <c r="AC612" s="1000" t="s">
        <v>907</v>
      </c>
      <c r="AD612" s="1004">
        <v>4628.1000000000004</v>
      </c>
      <c r="AE612" s="1004">
        <f t="shared" si="73"/>
        <v>59393.950000000004</v>
      </c>
      <c r="AF612" s="1004">
        <f t="shared" si="77"/>
        <v>59393.950000000004</v>
      </c>
      <c r="AG612" s="1005">
        <f t="shared" si="71"/>
        <v>12.833333333333334</v>
      </c>
      <c r="AH612" s="1005">
        <f t="shared" si="74"/>
        <v>10.553108509088325</v>
      </c>
    </row>
    <row r="613" spans="1:34" x14ac:dyDescent="0.25">
      <c r="A613" s="999">
        <v>49200</v>
      </c>
      <c r="B613" s="999" t="s">
        <v>1700</v>
      </c>
      <c r="C613" s="999" t="s">
        <v>1284</v>
      </c>
      <c r="D613" s="999" t="s">
        <v>894</v>
      </c>
      <c r="E613" s="999" t="s">
        <v>895</v>
      </c>
      <c r="F613" s="999">
        <v>1737252</v>
      </c>
      <c r="G613" s="1000">
        <v>12777722404</v>
      </c>
      <c r="H613" s="999" t="s">
        <v>1822</v>
      </c>
      <c r="I613" s="999" t="s">
        <v>897</v>
      </c>
      <c r="J613" s="1001">
        <v>40116</v>
      </c>
      <c r="K613" s="1001">
        <v>45835</v>
      </c>
      <c r="L613" s="1000">
        <f t="shared" si="75"/>
        <v>187</v>
      </c>
      <c r="M613" s="1002">
        <f t="shared" si="76"/>
        <v>15.583333333333334</v>
      </c>
      <c r="N613" s="1000">
        <v>15</v>
      </c>
      <c r="O613" s="1000">
        <v>15</v>
      </c>
      <c r="P613" s="1000">
        <v>43</v>
      </c>
      <c r="Q613" s="999" t="s">
        <v>898</v>
      </c>
      <c r="R613" s="999" t="s">
        <v>899</v>
      </c>
      <c r="S613" s="999" t="s">
        <v>900</v>
      </c>
      <c r="T613" s="999" t="s">
        <v>1823</v>
      </c>
      <c r="U613" s="1000" t="s">
        <v>54</v>
      </c>
      <c r="V613" s="1000" t="s">
        <v>902</v>
      </c>
      <c r="W613" s="1003">
        <v>16405</v>
      </c>
      <c r="X613" s="1000" t="s">
        <v>930</v>
      </c>
      <c r="Y613" s="1000">
        <v>80</v>
      </c>
      <c r="Z613" s="1000" t="s">
        <v>904</v>
      </c>
      <c r="AA613" s="1000" t="s">
        <v>905</v>
      </c>
      <c r="AB613" s="1000" t="s">
        <v>925</v>
      </c>
      <c r="AC613" s="1000" t="s">
        <v>907</v>
      </c>
      <c r="AD613" s="1004">
        <v>10126.049999999999</v>
      </c>
      <c r="AE613" s="1004">
        <f t="shared" si="73"/>
        <v>157797.61249999999</v>
      </c>
      <c r="AF613" s="1004">
        <f t="shared" si="77"/>
        <v>157797.61249999999</v>
      </c>
      <c r="AG613" s="1005">
        <f t="shared" si="71"/>
        <v>15.583333333333334</v>
      </c>
      <c r="AH613" s="1005">
        <f t="shared" si="74"/>
        <v>14.182716462715879</v>
      </c>
    </row>
    <row r="614" spans="1:34" x14ac:dyDescent="0.25">
      <c r="A614" s="999">
        <v>49200</v>
      </c>
      <c r="B614" s="999" t="s">
        <v>1700</v>
      </c>
      <c r="C614" s="999" t="s">
        <v>1284</v>
      </c>
      <c r="D614" s="999" t="s">
        <v>894</v>
      </c>
      <c r="E614" s="999" t="s">
        <v>895</v>
      </c>
      <c r="F614" s="999">
        <v>1725125</v>
      </c>
      <c r="G614" s="1000">
        <v>8952132491</v>
      </c>
      <c r="H614" s="999" t="s">
        <v>1824</v>
      </c>
      <c r="I614" s="999" t="s">
        <v>897</v>
      </c>
      <c r="J614" s="1001">
        <v>40064</v>
      </c>
      <c r="K614" s="1001">
        <v>45835</v>
      </c>
      <c r="L614" s="1000">
        <f t="shared" si="75"/>
        <v>189</v>
      </c>
      <c r="M614" s="1002">
        <f t="shared" si="76"/>
        <v>15.75</v>
      </c>
      <c r="N614" s="1000">
        <v>15</v>
      </c>
      <c r="O614" s="1000">
        <v>15</v>
      </c>
      <c r="P614" s="1000">
        <v>43</v>
      </c>
      <c r="Q614" s="999" t="s">
        <v>898</v>
      </c>
      <c r="R614" s="999" t="s">
        <v>899</v>
      </c>
      <c r="S614" s="999" t="s">
        <v>900</v>
      </c>
      <c r="T614" s="999" t="s">
        <v>1097</v>
      </c>
      <c r="U614" s="1000" t="s">
        <v>55</v>
      </c>
      <c r="V614" s="1000" t="s">
        <v>921</v>
      </c>
      <c r="W614" s="1003">
        <v>18012</v>
      </c>
      <c r="X614" s="1000" t="s">
        <v>903</v>
      </c>
      <c r="Y614" s="1000">
        <v>75</v>
      </c>
      <c r="Z614" s="1000" t="s">
        <v>904</v>
      </c>
      <c r="AA614" s="1000" t="s">
        <v>905</v>
      </c>
      <c r="AB614" s="1000" t="s">
        <v>911</v>
      </c>
      <c r="AC614" s="1000" t="s">
        <v>907</v>
      </c>
      <c r="AD614" s="1004">
        <v>5333.97</v>
      </c>
      <c r="AE614" s="1004">
        <f t="shared" si="73"/>
        <v>84010.027500000011</v>
      </c>
      <c r="AF614" s="1004">
        <f t="shared" si="77"/>
        <v>84010.027500000011</v>
      </c>
      <c r="AG614" s="1005">
        <f t="shared" si="71"/>
        <v>15.750000000000002</v>
      </c>
      <c r="AH614" s="1005">
        <f t="shared" si="74"/>
        <v>13.263407862683279</v>
      </c>
    </row>
    <row r="615" spans="1:34" x14ac:dyDescent="0.25">
      <c r="A615" s="999">
        <v>49200</v>
      </c>
      <c r="B615" s="999" t="s">
        <v>1700</v>
      </c>
      <c r="C615" s="999" t="s">
        <v>1284</v>
      </c>
      <c r="D615" s="999" t="s">
        <v>894</v>
      </c>
      <c r="E615" s="999" t="s">
        <v>895</v>
      </c>
      <c r="F615" s="999">
        <v>1720987</v>
      </c>
      <c r="G615" s="1000">
        <v>7656998420</v>
      </c>
      <c r="H615" s="999" t="s">
        <v>1825</v>
      </c>
      <c r="I615" s="999" t="s">
        <v>897</v>
      </c>
      <c r="J615" s="1001">
        <v>40045</v>
      </c>
      <c r="K615" s="1001">
        <v>45835</v>
      </c>
      <c r="L615" s="1000">
        <f t="shared" si="75"/>
        <v>190</v>
      </c>
      <c r="M615" s="1002">
        <f t="shared" si="76"/>
        <v>15.833333333333334</v>
      </c>
      <c r="N615" s="1000">
        <v>15</v>
      </c>
      <c r="O615" s="1000">
        <v>15</v>
      </c>
      <c r="P615" s="1000">
        <v>43</v>
      </c>
      <c r="Q615" s="999" t="s">
        <v>898</v>
      </c>
      <c r="R615" s="999" t="s">
        <v>899</v>
      </c>
      <c r="S615" s="999" t="s">
        <v>900</v>
      </c>
      <c r="T615" s="999" t="s">
        <v>1013</v>
      </c>
      <c r="U615" s="1000" t="s">
        <v>55</v>
      </c>
      <c r="V615" s="1000" t="s">
        <v>914</v>
      </c>
      <c r="W615" s="1003">
        <v>17421</v>
      </c>
      <c r="X615" s="1000" t="s">
        <v>903</v>
      </c>
      <c r="Y615" s="1000">
        <v>77</v>
      </c>
      <c r="Z615" s="1000" t="s">
        <v>904</v>
      </c>
      <c r="AA615" s="1000" t="s">
        <v>905</v>
      </c>
      <c r="AB615" s="1000" t="s">
        <v>911</v>
      </c>
      <c r="AC615" s="1000" t="s">
        <v>907</v>
      </c>
      <c r="AD615" s="1004">
        <v>5333.97</v>
      </c>
      <c r="AE615" s="1004">
        <f t="shared" si="73"/>
        <v>84454.525000000009</v>
      </c>
      <c r="AF615" s="1004">
        <f t="shared" si="77"/>
        <v>84454.525000000009</v>
      </c>
      <c r="AG615" s="1005">
        <f t="shared" si="71"/>
        <v>15.833333333333334</v>
      </c>
      <c r="AH615" s="1005">
        <f t="shared" si="74"/>
        <v>13.333584623861498</v>
      </c>
    </row>
    <row r="616" spans="1:34" x14ac:dyDescent="0.25">
      <c r="A616" s="999">
        <v>49200</v>
      </c>
      <c r="B616" s="999" t="s">
        <v>1700</v>
      </c>
      <c r="C616" s="999" t="s">
        <v>1284</v>
      </c>
      <c r="D616" s="999" t="s">
        <v>894</v>
      </c>
      <c r="E616" s="999" t="s">
        <v>895</v>
      </c>
      <c r="F616" s="999">
        <v>1068318</v>
      </c>
      <c r="G616" s="1000">
        <v>5882311420</v>
      </c>
      <c r="H616" s="999" t="s">
        <v>1826</v>
      </c>
      <c r="I616" s="999" t="s">
        <v>1444</v>
      </c>
      <c r="J616" s="1001">
        <v>45231</v>
      </c>
      <c r="K616" s="1001">
        <v>45835</v>
      </c>
      <c r="L616" s="1000">
        <f t="shared" si="75"/>
        <v>19</v>
      </c>
      <c r="M616" s="1002">
        <f t="shared" si="76"/>
        <v>1.5833333333333333</v>
      </c>
      <c r="N616" s="1000">
        <v>1</v>
      </c>
      <c r="O616" s="1000">
        <v>10</v>
      </c>
      <c r="P616" s="1000">
        <v>48</v>
      </c>
      <c r="Q616" s="999" t="s">
        <v>1695</v>
      </c>
      <c r="R616" s="999" t="s">
        <v>899</v>
      </c>
      <c r="S616" s="999" t="s">
        <v>900</v>
      </c>
      <c r="T616" s="999" t="s">
        <v>924</v>
      </c>
      <c r="U616" s="1000" t="s">
        <v>55</v>
      </c>
      <c r="V616" s="1000" t="s">
        <v>914</v>
      </c>
      <c r="W616" s="1003">
        <v>14465</v>
      </c>
      <c r="X616" s="1000" t="s">
        <v>903</v>
      </c>
      <c r="Y616" s="1000">
        <v>85</v>
      </c>
      <c r="Z616" s="1000" t="s">
        <v>904</v>
      </c>
      <c r="AA616" s="1000" t="s">
        <v>905</v>
      </c>
      <c r="AB616" s="1000" t="s">
        <v>911</v>
      </c>
      <c r="AC616" s="1000" t="s">
        <v>907</v>
      </c>
      <c r="AD616" s="1004">
        <v>5333.97</v>
      </c>
      <c r="AE616" s="1004">
        <f t="shared" si="73"/>
        <v>8445.4524999999994</v>
      </c>
      <c r="AF616" s="1004">
        <f t="shared" si="77"/>
        <v>8445.4524999999994</v>
      </c>
      <c r="AG616" s="1005">
        <f t="shared" si="71"/>
        <v>1.5833333333333333</v>
      </c>
      <c r="AH616" s="1005">
        <f t="shared" si="74"/>
        <v>1.3333584623861494</v>
      </c>
    </row>
    <row r="617" spans="1:34" x14ac:dyDescent="0.25">
      <c r="A617" s="999">
        <v>49200</v>
      </c>
      <c r="B617" s="999" t="s">
        <v>1700</v>
      </c>
      <c r="C617" s="999" t="s">
        <v>1284</v>
      </c>
      <c r="D617" s="999" t="s">
        <v>894</v>
      </c>
      <c r="E617" s="999" t="s">
        <v>895</v>
      </c>
      <c r="F617" s="999">
        <v>1826419</v>
      </c>
      <c r="G617" s="1000">
        <v>3645126449</v>
      </c>
      <c r="H617" s="999" t="s">
        <v>1827</v>
      </c>
      <c r="I617" s="999" t="s">
        <v>897</v>
      </c>
      <c r="J617" s="1001">
        <v>40493</v>
      </c>
      <c r="K617" s="1001">
        <v>45835</v>
      </c>
      <c r="L617" s="1000">
        <f t="shared" si="75"/>
        <v>175</v>
      </c>
      <c r="M617" s="1002">
        <f t="shared" si="76"/>
        <v>14.583333333333334</v>
      </c>
      <c r="N617" s="1000">
        <v>14</v>
      </c>
      <c r="O617" s="1000">
        <v>14</v>
      </c>
      <c r="P617" s="1000">
        <v>43</v>
      </c>
      <c r="Q617" s="999" t="s">
        <v>898</v>
      </c>
      <c r="R617" s="999" t="s">
        <v>899</v>
      </c>
      <c r="S617" s="999" t="s">
        <v>900</v>
      </c>
      <c r="T617" s="999" t="s">
        <v>1213</v>
      </c>
      <c r="U617" s="1000" t="s">
        <v>55</v>
      </c>
      <c r="V617" s="1000" t="s">
        <v>914</v>
      </c>
      <c r="W617" s="1003">
        <v>17551</v>
      </c>
      <c r="X617" s="1000" t="s">
        <v>930</v>
      </c>
      <c r="Y617" s="1000">
        <v>77</v>
      </c>
      <c r="Z617" s="1000" t="s">
        <v>904</v>
      </c>
      <c r="AA617" s="1000" t="s">
        <v>905</v>
      </c>
      <c r="AB617" s="1000" t="s">
        <v>911</v>
      </c>
      <c r="AC617" s="1000" t="s">
        <v>907</v>
      </c>
      <c r="AD617" s="1004">
        <v>5333.97</v>
      </c>
      <c r="AE617" s="1004">
        <f t="shared" si="73"/>
        <v>77787.0625</v>
      </c>
      <c r="AF617" s="1004">
        <f t="shared" si="77"/>
        <v>77787.0625</v>
      </c>
      <c r="AG617" s="1005">
        <f t="shared" si="71"/>
        <v>14.583333333333332</v>
      </c>
      <c r="AH617" s="1005">
        <f t="shared" si="74"/>
        <v>12.280933206188219</v>
      </c>
    </row>
    <row r="618" spans="1:34" x14ac:dyDescent="0.25">
      <c r="A618" s="999">
        <v>49200</v>
      </c>
      <c r="B618" s="999" t="s">
        <v>1700</v>
      </c>
      <c r="C618" s="999" t="s">
        <v>1284</v>
      </c>
      <c r="D618" s="999" t="s">
        <v>894</v>
      </c>
      <c r="E618" s="999" t="s">
        <v>895</v>
      </c>
      <c r="F618" s="999">
        <v>1801090</v>
      </c>
      <c r="G618" s="1000">
        <v>25451570744</v>
      </c>
      <c r="H618" s="999" t="s">
        <v>1828</v>
      </c>
      <c r="I618" s="999" t="s">
        <v>897</v>
      </c>
      <c r="J618" s="1001">
        <v>40381</v>
      </c>
      <c r="K618" s="1001">
        <v>45835</v>
      </c>
      <c r="L618" s="1000">
        <f t="shared" si="75"/>
        <v>179</v>
      </c>
      <c r="M618" s="1002">
        <f t="shared" si="76"/>
        <v>14.916666666666666</v>
      </c>
      <c r="N618" s="1000">
        <v>14</v>
      </c>
      <c r="O618" s="1000">
        <v>14</v>
      </c>
      <c r="P618" s="1000">
        <v>43</v>
      </c>
      <c r="Q618" s="999" t="s">
        <v>898</v>
      </c>
      <c r="R618" s="999" t="s">
        <v>899</v>
      </c>
      <c r="S618" s="999" t="s">
        <v>900</v>
      </c>
      <c r="T618" s="999" t="s">
        <v>1829</v>
      </c>
      <c r="U618" s="1000" t="s">
        <v>55</v>
      </c>
      <c r="V618" s="1000" t="s">
        <v>914</v>
      </c>
      <c r="W618" s="1003">
        <v>18051</v>
      </c>
      <c r="X618" s="1000" t="s">
        <v>903</v>
      </c>
      <c r="Y618" s="1000">
        <v>75</v>
      </c>
      <c r="Z618" s="1000" t="s">
        <v>904</v>
      </c>
      <c r="AA618" s="1000" t="s">
        <v>905</v>
      </c>
      <c r="AB618" s="1000" t="s">
        <v>911</v>
      </c>
      <c r="AC618" s="1000" t="s">
        <v>907</v>
      </c>
      <c r="AD618" s="1004">
        <v>5333.97</v>
      </c>
      <c r="AE618" s="1004">
        <f t="shared" si="73"/>
        <v>79565.052500000005</v>
      </c>
      <c r="AF618" s="1004">
        <f t="shared" si="77"/>
        <v>79565.052500000005</v>
      </c>
      <c r="AG618" s="1005">
        <f t="shared" si="71"/>
        <v>14.916666666666666</v>
      </c>
      <c r="AH618" s="1005">
        <f t="shared" si="74"/>
        <v>12.561640250901094</v>
      </c>
    </row>
    <row r="619" spans="1:34" x14ac:dyDescent="0.25">
      <c r="A619" s="999">
        <v>26249</v>
      </c>
      <c r="B619" s="999" t="s">
        <v>1830</v>
      </c>
      <c r="C619" s="999" t="s">
        <v>1831</v>
      </c>
      <c r="D619" s="999" t="s">
        <v>1211</v>
      </c>
      <c r="E619" s="999" t="s">
        <v>895</v>
      </c>
      <c r="F619" s="999">
        <v>3148397</v>
      </c>
      <c r="G619" s="1000">
        <v>3263150715</v>
      </c>
      <c r="H619" s="999" t="s">
        <v>1832</v>
      </c>
      <c r="I619" s="999" t="s">
        <v>897</v>
      </c>
      <c r="J619" s="1001">
        <v>43717</v>
      </c>
      <c r="K619" s="1001">
        <v>45835</v>
      </c>
      <c r="L619" s="1000">
        <f t="shared" si="75"/>
        <v>69</v>
      </c>
      <c r="M619" s="1002">
        <f t="shared" si="76"/>
        <v>5.75</v>
      </c>
      <c r="N619" s="1000">
        <v>5</v>
      </c>
      <c r="O619" s="1000">
        <v>10</v>
      </c>
      <c r="P619" s="1000">
        <v>43</v>
      </c>
      <c r="Q619" s="999" t="s">
        <v>898</v>
      </c>
      <c r="R619" s="999" t="s">
        <v>899</v>
      </c>
      <c r="S619" s="999" t="s">
        <v>900</v>
      </c>
      <c r="T619" s="999" t="s">
        <v>1833</v>
      </c>
      <c r="U619" s="1000" t="s">
        <v>55</v>
      </c>
      <c r="V619" s="1000" t="s">
        <v>914</v>
      </c>
      <c r="W619" s="1003">
        <v>17402</v>
      </c>
      <c r="X619" s="1000" t="s">
        <v>903</v>
      </c>
      <c r="Y619" s="1000">
        <v>77</v>
      </c>
      <c r="Z619" s="1000" t="s">
        <v>904</v>
      </c>
      <c r="AA619" s="1000" t="s">
        <v>1179</v>
      </c>
      <c r="AB619" s="1000" t="s">
        <v>911</v>
      </c>
      <c r="AC619" s="1000" t="s">
        <v>907</v>
      </c>
      <c r="AD619" s="1004">
        <v>5333.97</v>
      </c>
      <c r="AE619" s="1004">
        <f t="shared" si="73"/>
        <v>30670.327500000003</v>
      </c>
      <c r="AF619" s="1004">
        <f t="shared" si="77"/>
        <v>30670.327500000003</v>
      </c>
      <c r="AG619" s="1005">
        <f t="shared" ref="AG619:AG620" si="78">AF619/AD619</f>
        <v>5.75</v>
      </c>
      <c r="AH619" s="1005">
        <f t="shared" si="74"/>
        <v>4.8421965212970699</v>
      </c>
    </row>
    <row r="620" spans="1:34" x14ac:dyDescent="0.25">
      <c r="A620" s="999">
        <v>26249</v>
      </c>
      <c r="B620" s="999" t="s">
        <v>1830</v>
      </c>
      <c r="C620" s="999" t="s">
        <v>1831</v>
      </c>
      <c r="D620" s="999" t="s">
        <v>1211</v>
      </c>
      <c r="E620" s="999" t="s">
        <v>895</v>
      </c>
      <c r="F620" s="999">
        <v>3148397</v>
      </c>
      <c r="G620" s="1000">
        <v>3263150715</v>
      </c>
      <c r="H620" s="999" t="s">
        <v>1832</v>
      </c>
      <c r="I620" s="999" t="s">
        <v>897</v>
      </c>
      <c r="J620" s="1001">
        <v>43717</v>
      </c>
      <c r="K620" s="1001">
        <v>45835</v>
      </c>
      <c r="L620" s="1000">
        <f t="shared" si="75"/>
        <v>69</v>
      </c>
      <c r="M620" s="1002">
        <f t="shared" si="76"/>
        <v>5.75</v>
      </c>
      <c r="N620" s="1000">
        <v>5</v>
      </c>
      <c r="O620" s="1000">
        <v>10</v>
      </c>
      <c r="P620" s="1000">
        <v>43</v>
      </c>
      <c r="Q620" s="999" t="s">
        <v>898</v>
      </c>
      <c r="R620" s="999" t="s">
        <v>899</v>
      </c>
      <c r="S620" s="999" t="s">
        <v>900</v>
      </c>
      <c r="T620" s="999" t="s">
        <v>1833</v>
      </c>
      <c r="U620" s="1000" t="s">
        <v>55</v>
      </c>
      <c r="V620" s="1000" t="s">
        <v>914</v>
      </c>
      <c r="W620" s="1003">
        <v>17402</v>
      </c>
      <c r="X620" s="1000" t="s">
        <v>903</v>
      </c>
      <c r="Y620" s="1000">
        <v>77</v>
      </c>
      <c r="Z620" s="1000" t="s">
        <v>904</v>
      </c>
      <c r="AA620" s="1000" t="s">
        <v>1179</v>
      </c>
      <c r="AB620" s="1000" t="s">
        <v>911</v>
      </c>
      <c r="AC620" s="1000" t="s">
        <v>907</v>
      </c>
      <c r="AD620" s="1004">
        <v>5333.97</v>
      </c>
      <c r="AE620" s="1004">
        <f t="shared" si="73"/>
        <v>30670.327500000003</v>
      </c>
      <c r="AF620" s="1004">
        <f t="shared" si="77"/>
        <v>30670.327500000003</v>
      </c>
      <c r="AG620" s="1005">
        <f t="shared" si="78"/>
        <v>5.75</v>
      </c>
      <c r="AH620" s="1005">
        <f t="shared" si="74"/>
        <v>4.8421965212970699</v>
      </c>
    </row>
    <row r="622" spans="1:34" x14ac:dyDescent="0.25">
      <c r="AF622" s="971">
        <f>SUM(AF12:AF620)</f>
        <v>61799840.300000072</v>
      </c>
    </row>
    <row r="623" spans="1:34" x14ac:dyDescent="0.25">
      <c r="A623" s="999">
        <v>20114</v>
      </c>
      <c r="B623" s="999" t="s">
        <v>893</v>
      </c>
      <c r="C623" s="999" t="s">
        <v>414</v>
      </c>
      <c r="D623" s="999" t="s">
        <v>894</v>
      </c>
      <c r="E623" s="999" t="s">
        <v>895</v>
      </c>
      <c r="F623" s="999">
        <v>1721429</v>
      </c>
      <c r="G623" s="1000">
        <v>5558689153</v>
      </c>
      <c r="H623" s="999" t="s">
        <v>922</v>
      </c>
      <c r="I623" s="999" t="s">
        <v>897</v>
      </c>
      <c r="J623" s="1001">
        <v>39993</v>
      </c>
      <c r="K623" s="1001">
        <v>45835</v>
      </c>
      <c r="L623" s="1000">
        <f t="shared" ref="L623:L631" si="79">DATEDIF(J623,K623, "m")</f>
        <v>191</v>
      </c>
      <c r="M623" s="1002">
        <f t="shared" ref="M623:M631" si="80">L623/12</f>
        <v>15.916666666666666</v>
      </c>
      <c r="N623" s="1000">
        <v>15</v>
      </c>
      <c r="O623" s="1000">
        <v>15</v>
      </c>
      <c r="P623" s="1000">
        <v>43</v>
      </c>
      <c r="Q623" s="999" t="s">
        <v>898</v>
      </c>
      <c r="R623" s="999" t="s">
        <v>899</v>
      </c>
      <c r="S623" s="999" t="s">
        <v>900</v>
      </c>
      <c r="T623" s="999" t="s">
        <v>909</v>
      </c>
      <c r="U623" s="1000"/>
      <c r="V623" s="1000"/>
      <c r="W623" s="1003">
        <v>18105</v>
      </c>
      <c r="X623" s="1000" t="s">
        <v>903</v>
      </c>
      <c r="Y623" s="1000">
        <v>75</v>
      </c>
      <c r="Z623" s="1000" t="s">
        <v>904</v>
      </c>
      <c r="AA623" s="1000" t="s">
        <v>905</v>
      </c>
      <c r="AB623" s="1000"/>
      <c r="AC623" s="1000" t="s">
        <v>907</v>
      </c>
      <c r="AD623" s="1004">
        <v>0</v>
      </c>
      <c r="AE623" s="1004">
        <f t="shared" ref="AE623:AE631" si="81">AD623*M623</f>
        <v>0</v>
      </c>
      <c r="AF623" s="1004">
        <f t="shared" ref="AF623:AF631" si="82">AE623</f>
        <v>0</v>
      </c>
      <c r="AG623" s="1005">
        <v>0</v>
      </c>
      <c r="AH623" s="1005">
        <f t="shared" ref="AH623:AH631" si="83">AF623/(AD623+1000)</f>
        <v>0</v>
      </c>
    </row>
    <row r="624" spans="1:34" x14ac:dyDescent="0.25">
      <c r="A624" s="999">
        <v>20114</v>
      </c>
      <c r="B624" s="999" t="s">
        <v>893</v>
      </c>
      <c r="C624" s="999" t="s">
        <v>414</v>
      </c>
      <c r="D624" s="999" t="s">
        <v>894</v>
      </c>
      <c r="E624" s="999" t="s">
        <v>895</v>
      </c>
      <c r="F624" s="999">
        <v>1754020</v>
      </c>
      <c r="G624" s="1000">
        <v>928500144</v>
      </c>
      <c r="H624" s="999" t="s">
        <v>926</v>
      </c>
      <c r="I624" s="999" t="s">
        <v>897</v>
      </c>
      <c r="J624" s="1001">
        <v>40175</v>
      </c>
      <c r="K624" s="1001">
        <v>45835</v>
      </c>
      <c r="L624" s="1000">
        <f t="shared" si="79"/>
        <v>185</v>
      </c>
      <c r="M624" s="1002">
        <f t="shared" si="80"/>
        <v>15.416666666666666</v>
      </c>
      <c r="N624" s="1000">
        <v>15</v>
      </c>
      <c r="O624" s="1000">
        <v>15</v>
      </c>
      <c r="P624" s="1000">
        <v>43</v>
      </c>
      <c r="Q624" s="999" t="s">
        <v>898</v>
      </c>
      <c r="R624" s="999" t="s">
        <v>899</v>
      </c>
      <c r="S624" s="999" t="s">
        <v>900</v>
      </c>
      <c r="T624" s="999" t="s">
        <v>927</v>
      </c>
      <c r="U624" s="1000"/>
      <c r="V624" s="1000"/>
      <c r="W624" s="1003">
        <v>13192</v>
      </c>
      <c r="X624" s="1000" t="s">
        <v>903</v>
      </c>
      <c r="Y624" s="1000">
        <v>89</v>
      </c>
      <c r="Z624" s="1000" t="s">
        <v>904</v>
      </c>
      <c r="AA624" s="1000" t="s">
        <v>905</v>
      </c>
      <c r="AB624" s="1000"/>
      <c r="AC624" s="1000" t="s">
        <v>907</v>
      </c>
      <c r="AD624" s="1004">
        <v>0</v>
      </c>
      <c r="AE624" s="1004">
        <f t="shared" si="81"/>
        <v>0</v>
      </c>
      <c r="AF624" s="1004">
        <f t="shared" si="82"/>
        <v>0</v>
      </c>
      <c r="AG624" s="1005">
        <v>0</v>
      </c>
      <c r="AH624" s="1005">
        <f t="shared" si="83"/>
        <v>0</v>
      </c>
    </row>
    <row r="625" spans="1:34" x14ac:dyDescent="0.25">
      <c r="A625" s="999">
        <v>32396</v>
      </c>
      <c r="B625" s="999" t="s">
        <v>933</v>
      </c>
      <c r="C625" s="999" t="s">
        <v>934</v>
      </c>
      <c r="D625" s="999" t="s">
        <v>935</v>
      </c>
      <c r="E625" s="999" t="s">
        <v>895</v>
      </c>
      <c r="F625" s="999">
        <v>1845289</v>
      </c>
      <c r="G625" s="1000">
        <v>19077432604</v>
      </c>
      <c r="H625" s="999" t="s">
        <v>1015</v>
      </c>
      <c r="I625" s="999" t="s">
        <v>897</v>
      </c>
      <c r="J625" s="1001">
        <v>40581</v>
      </c>
      <c r="K625" s="1001">
        <v>45835</v>
      </c>
      <c r="L625" s="1000">
        <f t="shared" si="79"/>
        <v>172</v>
      </c>
      <c r="M625" s="1002">
        <f t="shared" si="80"/>
        <v>14.333333333333334</v>
      </c>
      <c r="N625" s="1000">
        <v>14</v>
      </c>
      <c r="O625" s="1000">
        <v>14</v>
      </c>
      <c r="P625" s="1000">
        <v>43</v>
      </c>
      <c r="Q625" s="999" t="s">
        <v>898</v>
      </c>
      <c r="R625" s="999" t="s">
        <v>899</v>
      </c>
      <c r="S625" s="999" t="s">
        <v>900</v>
      </c>
      <c r="T625" s="999" t="s">
        <v>909</v>
      </c>
      <c r="U625" s="1000"/>
      <c r="V625" s="1000"/>
      <c r="W625" s="1003">
        <v>16625</v>
      </c>
      <c r="X625" s="1000" t="s">
        <v>903</v>
      </c>
      <c r="Y625" s="1000">
        <v>79</v>
      </c>
      <c r="Z625" s="1000" t="s">
        <v>904</v>
      </c>
      <c r="AA625" s="1000" t="s">
        <v>905</v>
      </c>
      <c r="AB625" s="1000"/>
      <c r="AC625" s="1000" t="s">
        <v>907</v>
      </c>
      <c r="AD625" s="1004">
        <v>0</v>
      </c>
      <c r="AE625" s="1004">
        <f t="shared" si="81"/>
        <v>0</v>
      </c>
      <c r="AF625" s="1004">
        <f t="shared" si="82"/>
        <v>0</v>
      </c>
      <c r="AG625" s="1005">
        <v>0</v>
      </c>
      <c r="AH625" s="1005">
        <f t="shared" si="83"/>
        <v>0</v>
      </c>
    </row>
    <row r="626" spans="1:34" x14ac:dyDescent="0.25">
      <c r="A626" s="999">
        <v>32396</v>
      </c>
      <c r="B626" s="999" t="s">
        <v>933</v>
      </c>
      <c r="C626" s="999" t="s">
        <v>934</v>
      </c>
      <c r="D626" s="999" t="s">
        <v>935</v>
      </c>
      <c r="E626" s="999" t="s">
        <v>895</v>
      </c>
      <c r="F626" s="999">
        <v>1911958</v>
      </c>
      <c r="G626" s="1000">
        <v>21415617791</v>
      </c>
      <c r="H626" s="999" t="s">
        <v>1103</v>
      </c>
      <c r="I626" s="999" t="s">
        <v>897</v>
      </c>
      <c r="J626" s="1001">
        <v>40927</v>
      </c>
      <c r="K626" s="1001">
        <v>45835</v>
      </c>
      <c r="L626" s="1000">
        <f t="shared" si="79"/>
        <v>161</v>
      </c>
      <c r="M626" s="1002">
        <f t="shared" si="80"/>
        <v>13.416666666666666</v>
      </c>
      <c r="N626" s="1000">
        <v>13</v>
      </c>
      <c r="O626" s="1000">
        <v>13</v>
      </c>
      <c r="P626" s="1000">
        <v>43</v>
      </c>
      <c r="Q626" s="999" t="s">
        <v>898</v>
      </c>
      <c r="R626" s="999" t="s">
        <v>899</v>
      </c>
      <c r="S626" s="999" t="s">
        <v>900</v>
      </c>
      <c r="T626" s="999" t="s">
        <v>1104</v>
      </c>
      <c r="U626" s="1000"/>
      <c r="V626" s="1000"/>
      <c r="W626" s="1003">
        <v>16798</v>
      </c>
      <c r="X626" s="1000" t="s">
        <v>903</v>
      </c>
      <c r="Y626" s="1000">
        <v>79</v>
      </c>
      <c r="Z626" s="1000" t="s">
        <v>904</v>
      </c>
      <c r="AA626" s="1000" t="s">
        <v>905</v>
      </c>
      <c r="AB626" s="1000"/>
      <c r="AC626" s="1000" t="s">
        <v>907</v>
      </c>
      <c r="AD626" s="1004">
        <v>0</v>
      </c>
      <c r="AE626" s="1004">
        <f t="shared" si="81"/>
        <v>0</v>
      </c>
      <c r="AF626" s="1004">
        <f t="shared" si="82"/>
        <v>0</v>
      </c>
      <c r="AG626" s="1005">
        <v>0</v>
      </c>
      <c r="AH626" s="1005">
        <f t="shared" si="83"/>
        <v>0</v>
      </c>
    </row>
    <row r="627" spans="1:34" x14ac:dyDescent="0.25">
      <c r="A627" s="999">
        <v>32396</v>
      </c>
      <c r="B627" s="999" t="s">
        <v>933</v>
      </c>
      <c r="C627" s="999" t="s">
        <v>934</v>
      </c>
      <c r="D627" s="999" t="s">
        <v>935</v>
      </c>
      <c r="E627" s="999" t="s">
        <v>895</v>
      </c>
      <c r="F627" s="999">
        <v>1036016</v>
      </c>
      <c r="G627" s="1000">
        <v>21607583615</v>
      </c>
      <c r="H627" s="999" t="s">
        <v>1145</v>
      </c>
      <c r="I627" s="999" t="s">
        <v>897</v>
      </c>
      <c r="J627" s="1001">
        <v>41439</v>
      </c>
      <c r="K627" s="1001">
        <v>45835</v>
      </c>
      <c r="L627" s="1000">
        <f t="shared" si="79"/>
        <v>144</v>
      </c>
      <c r="M627" s="1002">
        <f t="shared" si="80"/>
        <v>12</v>
      </c>
      <c r="N627" s="1000">
        <v>12</v>
      </c>
      <c r="O627" s="1000">
        <v>12</v>
      </c>
      <c r="P627" s="1000">
        <v>43</v>
      </c>
      <c r="Q627" s="999" t="s">
        <v>898</v>
      </c>
      <c r="R627" s="999" t="s">
        <v>899</v>
      </c>
      <c r="S627" s="999" t="s">
        <v>900</v>
      </c>
      <c r="T627" s="999" t="s">
        <v>1037</v>
      </c>
      <c r="U627" s="1000"/>
      <c r="V627" s="1000"/>
      <c r="W627" s="1003">
        <v>17927</v>
      </c>
      <c r="X627" s="1000" t="s">
        <v>903</v>
      </c>
      <c r="Y627" s="1000">
        <v>76</v>
      </c>
      <c r="Z627" s="1000" t="s">
        <v>904</v>
      </c>
      <c r="AA627" s="1000" t="s">
        <v>905</v>
      </c>
      <c r="AB627" s="1000"/>
      <c r="AC627" s="1000" t="s">
        <v>907</v>
      </c>
      <c r="AD627" s="1004">
        <v>0</v>
      </c>
      <c r="AE627" s="1004">
        <f t="shared" si="81"/>
        <v>0</v>
      </c>
      <c r="AF627" s="1004">
        <f t="shared" si="82"/>
        <v>0</v>
      </c>
      <c r="AG627" s="1005">
        <v>0</v>
      </c>
      <c r="AH627" s="1005">
        <f t="shared" si="83"/>
        <v>0</v>
      </c>
    </row>
    <row r="628" spans="1:34" x14ac:dyDescent="0.25">
      <c r="A628" s="999">
        <v>32396</v>
      </c>
      <c r="B628" s="999" t="s">
        <v>933</v>
      </c>
      <c r="C628" s="999" t="s">
        <v>934</v>
      </c>
      <c r="D628" s="999" t="s">
        <v>935</v>
      </c>
      <c r="E628" s="999" t="s">
        <v>895</v>
      </c>
      <c r="F628" s="999">
        <v>1889914</v>
      </c>
      <c r="G628" s="1000">
        <v>15493172615</v>
      </c>
      <c r="H628" s="999" t="s">
        <v>1148</v>
      </c>
      <c r="I628" s="999" t="s">
        <v>897</v>
      </c>
      <c r="J628" s="1001">
        <v>40792</v>
      </c>
      <c r="K628" s="1001">
        <v>45835</v>
      </c>
      <c r="L628" s="1000">
        <f t="shared" si="79"/>
        <v>165</v>
      </c>
      <c r="M628" s="1002">
        <f t="shared" si="80"/>
        <v>13.75</v>
      </c>
      <c r="N628" s="1000">
        <v>13</v>
      </c>
      <c r="O628" s="1000">
        <v>13</v>
      </c>
      <c r="P628" s="1000">
        <v>43</v>
      </c>
      <c r="Q628" s="999" t="s">
        <v>898</v>
      </c>
      <c r="R628" s="999" t="s">
        <v>899</v>
      </c>
      <c r="S628" s="999" t="s">
        <v>900</v>
      </c>
      <c r="T628" s="999" t="s">
        <v>1034</v>
      </c>
      <c r="U628" s="1000"/>
      <c r="V628" s="1000"/>
      <c r="W628" s="1003">
        <v>15613</v>
      </c>
      <c r="X628" s="1000" t="s">
        <v>903</v>
      </c>
      <c r="Y628" s="1000">
        <v>82</v>
      </c>
      <c r="Z628" s="1000" t="s">
        <v>904</v>
      </c>
      <c r="AA628" s="1000" t="s">
        <v>905</v>
      </c>
      <c r="AB628" s="1000"/>
      <c r="AC628" s="1000" t="s">
        <v>907</v>
      </c>
      <c r="AD628" s="1004">
        <v>0</v>
      </c>
      <c r="AE628" s="1004">
        <f t="shared" si="81"/>
        <v>0</v>
      </c>
      <c r="AF628" s="1004">
        <f t="shared" si="82"/>
        <v>0</v>
      </c>
      <c r="AG628" s="1005">
        <v>0</v>
      </c>
      <c r="AH628" s="1005">
        <f t="shared" si="83"/>
        <v>0</v>
      </c>
    </row>
    <row r="629" spans="1:34" x14ac:dyDescent="0.25">
      <c r="A629" s="999">
        <v>13300</v>
      </c>
      <c r="B629" s="999" t="s">
        <v>1214</v>
      </c>
      <c r="C629" s="999" t="s">
        <v>421</v>
      </c>
      <c r="D629" s="999" t="s">
        <v>894</v>
      </c>
      <c r="E629" s="999" t="s">
        <v>895</v>
      </c>
      <c r="F629" s="999">
        <v>1670962</v>
      </c>
      <c r="G629" s="1000">
        <v>433594187</v>
      </c>
      <c r="H629" s="999" t="s">
        <v>1274</v>
      </c>
      <c r="I629" s="999" t="s">
        <v>897</v>
      </c>
      <c r="J629" s="1001">
        <v>39800</v>
      </c>
      <c r="K629" s="1001">
        <v>45835</v>
      </c>
      <c r="L629" s="1000">
        <f t="shared" si="79"/>
        <v>198</v>
      </c>
      <c r="M629" s="1002">
        <f t="shared" si="80"/>
        <v>16.5</v>
      </c>
      <c r="N629" s="1000">
        <v>16</v>
      </c>
      <c r="O629" s="1000">
        <v>16</v>
      </c>
      <c r="P629" s="1000">
        <v>43</v>
      </c>
      <c r="Q629" s="999" t="s">
        <v>898</v>
      </c>
      <c r="R629" s="999" t="s">
        <v>899</v>
      </c>
      <c r="S629" s="999" t="s">
        <v>900</v>
      </c>
      <c r="T629" s="999" t="s">
        <v>1196</v>
      </c>
      <c r="U629" s="1000"/>
      <c r="V629" s="1000"/>
      <c r="W629" s="1003">
        <v>14680</v>
      </c>
      <c r="X629" s="1000" t="s">
        <v>903</v>
      </c>
      <c r="Y629" s="1000">
        <v>85</v>
      </c>
      <c r="Z629" s="1000" t="s">
        <v>904</v>
      </c>
      <c r="AA629" s="1000" t="s">
        <v>905</v>
      </c>
      <c r="AB629" s="1000"/>
      <c r="AC629" s="1000" t="s">
        <v>907</v>
      </c>
      <c r="AD629" s="1004">
        <v>0</v>
      </c>
      <c r="AE629" s="1004">
        <f t="shared" si="81"/>
        <v>0</v>
      </c>
      <c r="AF629" s="1004">
        <f t="shared" si="82"/>
        <v>0</v>
      </c>
      <c r="AG629" s="1005">
        <v>0</v>
      </c>
      <c r="AH629" s="1005">
        <f t="shared" si="83"/>
        <v>0</v>
      </c>
    </row>
    <row r="630" spans="1:34" x14ac:dyDescent="0.25">
      <c r="A630" s="999">
        <v>32000</v>
      </c>
      <c r="B630" s="999" t="s">
        <v>1540</v>
      </c>
      <c r="C630" s="999" t="s">
        <v>1541</v>
      </c>
      <c r="D630" s="999" t="s">
        <v>894</v>
      </c>
      <c r="E630" s="999" t="s">
        <v>895</v>
      </c>
      <c r="F630" s="999">
        <v>6455846</v>
      </c>
      <c r="G630" s="1000">
        <v>896926672</v>
      </c>
      <c r="H630" s="999" t="s">
        <v>1580</v>
      </c>
      <c r="I630" s="999" t="s">
        <v>897</v>
      </c>
      <c r="J630" s="1001">
        <v>39961</v>
      </c>
      <c r="K630" s="1001">
        <v>45835</v>
      </c>
      <c r="L630" s="1000">
        <f t="shared" si="79"/>
        <v>192</v>
      </c>
      <c r="M630" s="1002">
        <f t="shared" si="80"/>
        <v>16</v>
      </c>
      <c r="N630" s="1000">
        <v>16</v>
      </c>
      <c r="O630" s="1000">
        <v>16</v>
      </c>
      <c r="P630" s="1000">
        <v>43</v>
      </c>
      <c r="Q630" s="999" t="s">
        <v>898</v>
      </c>
      <c r="R630" s="999" t="s">
        <v>899</v>
      </c>
      <c r="S630" s="999" t="s">
        <v>900</v>
      </c>
      <c r="T630" s="999" t="s">
        <v>1202</v>
      </c>
      <c r="U630" s="1000"/>
      <c r="V630" s="1000"/>
      <c r="W630" s="1003">
        <v>15203</v>
      </c>
      <c r="X630" s="1000" t="s">
        <v>903</v>
      </c>
      <c r="Y630" s="1000">
        <v>83</v>
      </c>
      <c r="Z630" s="1000" t="s">
        <v>904</v>
      </c>
      <c r="AA630" s="1000" t="s">
        <v>905</v>
      </c>
      <c r="AB630" s="1000"/>
      <c r="AC630" s="1000" t="s">
        <v>907</v>
      </c>
      <c r="AD630" s="1004">
        <v>0</v>
      </c>
      <c r="AE630" s="1004">
        <f t="shared" si="81"/>
        <v>0</v>
      </c>
      <c r="AF630" s="1004">
        <f t="shared" si="82"/>
        <v>0</v>
      </c>
      <c r="AG630" s="1005">
        <v>0</v>
      </c>
      <c r="AH630" s="1005">
        <f t="shared" si="83"/>
        <v>0</v>
      </c>
    </row>
    <row r="631" spans="1:34" x14ac:dyDescent="0.25">
      <c r="A631" s="999">
        <v>49200</v>
      </c>
      <c r="B631" s="999" t="s">
        <v>1700</v>
      </c>
      <c r="C631" s="999" t="s">
        <v>1284</v>
      </c>
      <c r="D631" s="999" t="s">
        <v>894</v>
      </c>
      <c r="E631" s="999" t="s">
        <v>895</v>
      </c>
      <c r="F631" s="999">
        <v>1016964</v>
      </c>
      <c r="G631" s="1000">
        <v>1283847434</v>
      </c>
      <c r="H631" s="999" t="s">
        <v>1749</v>
      </c>
      <c r="I631" s="999" t="s">
        <v>897</v>
      </c>
      <c r="J631" s="1001">
        <v>41372</v>
      </c>
      <c r="K631" s="1001">
        <v>45835</v>
      </c>
      <c r="L631" s="1000">
        <f t="shared" si="79"/>
        <v>146</v>
      </c>
      <c r="M631" s="1002">
        <f t="shared" si="80"/>
        <v>12.166666666666666</v>
      </c>
      <c r="N631" s="1000">
        <v>12</v>
      </c>
      <c r="O631" s="1000">
        <v>12</v>
      </c>
      <c r="P631" s="1000">
        <v>43</v>
      </c>
      <c r="Q631" s="999" t="s">
        <v>898</v>
      </c>
      <c r="R631" s="999" t="s">
        <v>899</v>
      </c>
      <c r="S631" s="999" t="s">
        <v>900</v>
      </c>
      <c r="T631" s="999" t="s">
        <v>1750</v>
      </c>
      <c r="U631" s="1000"/>
      <c r="V631" s="1000"/>
      <c r="W631" s="1003">
        <v>14080</v>
      </c>
      <c r="X631" s="1000" t="s">
        <v>903</v>
      </c>
      <c r="Y631" s="1000">
        <v>86</v>
      </c>
      <c r="Z631" s="1000" t="s">
        <v>904</v>
      </c>
      <c r="AA631" s="1000" t="s">
        <v>905</v>
      </c>
      <c r="AB631" s="1000"/>
      <c r="AC631" s="1000" t="s">
        <v>907</v>
      </c>
      <c r="AD631" s="1004">
        <v>0</v>
      </c>
      <c r="AE631" s="1004">
        <f t="shared" si="81"/>
        <v>0</v>
      </c>
      <c r="AF631" s="1004">
        <f t="shared" si="82"/>
        <v>0</v>
      </c>
      <c r="AG631" s="1005">
        <v>0</v>
      </c>
      <c r="AH631" s="1005">
        <f t="shared" si="83"/>
        <v>0</v>
      </c>
    </row>
  </sheetData>
  <autoFilter ref="A11:AH620" xr:uid="{58913BE2-6D5F-4081-AEE2-4F300BB00037}"/>
  <conditionalFormatting sqref="G11">
    <cfRule type="duplicateValues" dxfId="2" priority="2"/>
  </conditionalFormatting>
  <conditionalFormatting sqref="G11:G618 G623:G631 G620">
    <cfRule type="duplicateValues" dxfId="1" priority="1"/>
  </conditionalFormatting>
  <conditionalFormatting sqref="G11:G620 G623:G631">
    <cfRule type="duplicateValues" dxfId="0" priority="3"/>
  </conditionalFormatting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F17EA-9EE0-4937-8867-A7B7179899E0}">
  <sheetPr>
    <tabColor theme="2"/>
  </sheetPr>
  <dimension ref="A6"/>
  <sheetViews>
    <sheetView showGridLines="0" workbookViewId="0">
      <selection activeCell="J28" sqref="J28"/>
    </sheetView>
  </sheetViews>
  <sheetFormatPr defaultRowHeight="15" x14ac:dyDescent="0.25"/>
  <cols>
    <col min="1" max="1" width="33.5703125" bestFit="1" customWidth="1"/>
  </cols>
  <sheetData>
    <row r="6" spans="1:1" x14ac:dyDescent="0.25">
      <c r="A6" s="1430" t="s">
        <v>1837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25E7A-D99F-408D-8276-7D5BF5B6F516}">
  <dimension ref="A2:AQ27"/>
  <sheetViews>
    <sheetView showGridLines="0" zoomScale="70" zoomScaleNormal="70" workbookViewId="0">
      <pane xSplit="4" topLeftCell="AI1" activePane="topRight" state="frozen"/>
      <selection pane="topRight" activeCell="AJ22" sqref="AJ22:AK22"/>
    </sheetView>
  </sheetViews>
  <sheetFormatPr defaultColWidth="16.42578125" defaultRowHeight="15" outlineLevelCol="2" x14ac:dyDescent="0.25"/>
  <cols>
    <col min="1" max="1" width="39.140625" style="145" customWidth="1"/>
    <col min="2" max="2" width="72.7109375" style="145" customWidth="1"/>
    <col min="3" max="4" width="12.7109375" style="145" hidden="1" customWidth="1" outlineLevel="1"/>
    <col min="5" max="5" width="39" style="145" bestFit="1" customWidth="1" collapsed="1"/>
    <col min="6" max="6" width="49.28515625" style="145" bestFit="1" customWidth="1"/>
    <col min="7" max="7" width="18.85546875" style="145" bestFit="1" customWidth="1"/>
    <col min="8" max="8" width="22.7109375" style="145" bestFit="1" customWidth="1"/>
    <col min="9" max="9" width="27.140625" style="145" customWidth="1"/>
    <col min="10" max="10" width="18.28515625" style="145" bestFit="1" customWidth="1"/>
    <col min="11" max="11" width="19.140625" style="145" bestFit="1" customWidth="1"/>
    <col min="12" max="12" width="27.42578125" style="145" customWidth="1" outlineLevel="1"/>
    <col min="13" max="13" width="28.42578125" style="145" customWidth="1" outlineLevel="1"/>
    <col min="14" max="14" width="25.28515625" style="145" customWidth="1" outlineLevel="1"/>
    <col min="15" max="15" width="30.140625" style="145" customWidth="1" outlineLevel="1"/>
    <col min="16" max="16" width="21.7109375" style="145" customWidth="1" outlineLevel="1"/>
    <col min="17" max="17" width="34.28515625" style="145" customWidth="1" outlineLevel="2"/>
    <col min="18" max="18" width="27.140625" style="145" customWidth="1" outlineLevel="2"/>
    <col min="19" max="19" width="27.42578125" style="145" customWidth="1"/>
    <col min="20" max="20" width="28.7109375" style="145" customWidth="1"/>
    <col min="21" max="22" width="34.28515625" style="145" customWidth="1" outlineLevel="1"/>
    <col min="23" max="23" width="30.140625" style="145" customWidth="1" outlineLevel="1"/>
    <col min="24" max="24" width="35.85546875" style="145" bestFit="1" customWidth="1"/>
    <col min="25" max="25" width="33.28515625" style="145" bestFit="1" customWidth="1"/>
    <col min="26" max="26" width="35.85546875" style="145" customWidth="1" outlineLevel="1"/>
    <col min="27" max="27" width="31.42578125" style="145" customWidth="1" outlineLevel="1"/>
    <col min="28" max="28" width="23.7109375" style="145" customWidth="1" outlineLevel="1"/>
    <col min="29" max="29" width="28.140625" style="145" customWidth="1"/>
    <col min="30" max="30" width="29.28515625" style="145" customWidth="1" outlineLevel="1"/>
    <col min="31" max="31" width="28" style="145" customWidth="1" outlineLevel="1"/>
    <col min="32" max="32" width="26.42578125" style="145" customWidth="1" outlineLevel="1"/>
    <col min="33" max="33" width="30" style="145" customWidth="1" outlineLevel="1"/>
    <col min="34" max="34" width="30.42578125" style="145" customWidth="1" outlineLevel="1"/>
    <col min="35" max="35" width="30" style="145" customWidth="1" outlineLevel="1"/>
    <col min="36" max="36" width="31.85546875" style="145" bestFit="1" customWidth="1"/>
    <col min="37" max="37" width="28.7109375" style="145" bestFit="1" customWidth="1"/>
    <col min="38" max="38" width="32.85546875" style="145" customWidth="1" outlineLevel="1"/>
    <col min="39" max="39" width="31" style="145" customWidth="1" outlineLevel="1"/>
    <col min="40" max="40" width="30" style="145" customWidth="1" outlineLevel="1"/>
    <col min="41" max="41" width="33.42578125" style="145" bestFit="1" customWidth="1"/>
    <col min="42" max="42" width="30.42578125" style="145" bestFit="1" customWidth="1"/>
    <col min="43" max="43" width="32.85546875" style="145" customWidth="1" outlineLevel="1"/>
    <col min="44" max="16384" width="16.42578125" style="145"/>
  </cols>
  <sheetData>
    <row r="2" spans="1:42" s="82" customFormat="1" ht="3.95" customHeight="1" x14ac:dyDescent="0.25">
      <c r="A2" s="1361"/>
      <c r="B2" s="1361"/>
      <c r="C2" s="1361"/>
      <c r="D2" s="1361"/>
      <c r="E2" s="1361"/>
      <c r="F2" s="1361"/>
      <c r="G2" s="1361"/>
      <c r="H2" s="1361"/>
      <c r="I2" s="1361"/>
      <c r="J2" s="1361"/>
      <c r="K2" s="1361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42" s="82" customFormat="1" ht="3.95" customHeight="1" x14ac:dyDescent="0.25">
      <c r="A3" s="1361"/>
      <c r="B3" s="1361"/>
      <c r="C3" s="1361"/>
      <c r="D3" s="1361"/>
      <c r="E3" s="1361"/>
      <c r="F3" s="1361"/>
      <c r="G3" s="1361"/>
      <c r="H3" s="1361"/>
      <c r="I3" s="1361"/>
      <c r="J3" s="1361"/>
      <c r="K3" s="1361"/>
      <c r="L3" s="1361"/>
      <c r="M3" s="1361"/>
      <c r="N3" s="1361"/>
      <c r="O3" s="1361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</row>
    <row r="4" spans="1:42" s="82" customFormat="1" ht="3.95" customHeight="1" x14ac:dyDescent="0.25">
      <c r="A4" s="1361"/>
      <c r="B4" s="1361"/>
      <c r="C4" s="1361"/>
      <c r="D4" s="1361"/>
      <c r="E4" s="1361"/>
      <c r="F4" s="1361"/>
      <c r="G4" s="1361"/>
      <c r="H4" s="1361"/>
      <c r="I4" s="1361"/>
      <c r="J4" s="1361"/>
      <c r="K4" s="1361"/>
      <c r="L4" s="1361"/>
      <c r="M4" s="1361"/>
      <c r="N4" s="1361"/>
      <c r="O4" s="1361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</row>
    <row r="5" spans="1:42" s="82" customFormat="1" ht="3.95" customHeight="1" x14ac:dyDescent="0.3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42" s="82" customFormat="1" ht="3.95" customHeight="1" x14ac:dyDescent="0.3">
      <c r="A6" s="79"/>
      <c r="B6" s="79"/>
      <c r="C6" s="80"/>
      <c r="D6" s="80"/>
      <c r="E6" s="80"/>
      <c r="F6" s="80"/>
      <c r="G6" s="80"/>
      <c r="H6" s="80"/>
      <c r="I6" s="80"/>
      <c r="J6" s="80"/>
      <c r="K6" s="80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42" s="82" customFormat="1" ht="20.25" x14ac:dyDescent="0.3">
      <c r="A7" s="86"/>
      <c r="B7" s="87"/>
      <c r="C7" s="86"/>
      <c r="D7" s="87"/>
      <c r="E7" s="86"/>
      <c r="F7" s="86"/>
      <c r="G7" s="86"/>
      <c r="H7" s="87"/>
      <c r="I7" s="87"/>
      <c r="J7" s="86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</row>
    <row r="8" spans="1:42" s="82" customFormat="1" ht="23.25" x14ac:dyDescent="0.35">
      <c r="A8" s="89" t="s">
        <v>331</v>
      </c>
      <c r="B8" s="1360" t="s">
        <v>332</v>
      </c>
      <c r="C8" s="1360"/>
      <c r="D8" s="87"/>
      <c r="E8" s="89" t="s">
        <v>333</v>
      </c>
      <c r="F8" s="1360" t="s">
        <v>453</v>
      </c>
      <c r="G8" s="1360"/>
      <c r="H8" s="87"/>
      <c r="I8" s="86"/>
      <c r="J8" s="86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</row>
    <row r="9" spans="1:42" s="82" customFormat="1" ht="23.25" x14ac:dyDescent="0.35">
      <c r="A9" s="89" t="s">
        <v>334</v>
      </c>
      <c r="B9" s="1360" t="s">
        <v>335</v>
      </c>
      <c r="C9" s="1360"/>
      <c r="D9" s="87"/>
      <c r="E9" s="86"/>
      <c r="F9" s="86"/>
      <c r="G9" s="86"/>
      <c r="H9" s="86"/>
      <c r="I9" s="86"/>
      <c r="J9" s="86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</row>
    <row r="10" spans="1:42" s="82" customFormat="1" ht="15.6" customHeight="1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</row>
    <row r="11" spans="1:42" s="82" customFormat="1" ht="6" customHeight="1" x14ac:dyDescent="0.2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42" s="82" customFormat="1" ht="6" customHeight="1" x14ac:dyDescent="0.2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42" s="82" customFormat="1" ht="6" customHeight="1" x14ac:dyDescent="0.3">
      <c r="A13" s="80"/>
      <c r="B13" s="80"/>
      <c r="C13" s="80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42" s="82" customFormat="1" ht="21" x14ac:dyDescent="0.35">
      <c r="A14" s="80"/>
      <c r="B14" s="90" t="s">
        <v>336</v>
      </c>
      <c r="C14" s="90" t="s">
        <v>337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O14" s="364">
        <f>AO15+AO17</f>
        <v>1159618389.7830954</v>
      </c>
    </row>
    <row r="15" spans="1:42" s="82" customFormat="1" ht="21" x14ac:dyDescent="0.35">
      <c r="A15" s="91" t="s">
        <v>338</v>
      </c>
      <c r="B15" s="92"/>
      <c r="C15" s="93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O15" s="363">
        <v>25672546</v>
      </c>
    </row>
    <row r="16" spans="1:42" s="82" customFormat="1" ht="27.75" customHeight="1" x14ac:dyDescent="0.2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94"/>
      <c r="R16" s="81"/>
      <c r="S16" s="95"/>
      <c r="T16" s="96"/>
      <c r="U16" s="94"/>
      <c r="V16" s="94"/>
      <c r="W16" s="81"/>
      <c r="X16" s="95"/>
      <c r="Y16" s="96"/>
      <c r="Z16" s="94"/>
      <c r="AA16" s="94"/>
      <c r="AB16" s="94"/>
      <c r="AG16" s="152">
        <f>AG22+Z22</f>
        <v>1320899572.2816918</v>
      </c>
      <c r="AJ16" s="97"/>
      <c r="AK16" s="97"/>
      <c r="AO16" s="97"/>
      <c r="AP16" s="97"/>
    </row>
    <row r="17" spans="1:43" s="100" customFormat="1" ht="18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9"/>
      <c r="K17" s="99"/>
      <c r="L17" s="99">
        <f t="shared" ref="L17:Z17" si="0">L22</f>
        <v>74947520.658800006</v>
      </c>
      <c r="M17" s="99">
        <f t="shared" si="0"/>
        <v>1797806.1000000003</v>
      </c>
      <c r="N17" s="99">
        <f t="shared" si="0"/>
        <v>15063120.984464001</v>
      </c>
      <c r="O17" s="99">
        <f t="shared" si="0"/>
        <v>91808447.74326399</v>
      </c>
      <c r="P17" s="99">
        <f t="shared" si="0"/>
        <v>0</v>
      </c>
      <c r="Q17" s="99">
        <f t="shared" si="0"/>
        <v>83275022.954222232</v>
      </c>
      <c r="R17" s="99">
        <f t="shared" si="0"/>
        <v>1947623.2750000004</v>
      </c>
      <c r="S17" s="99">
        <f t="shared" si="0"/>
        <v>85222646.229222223</v>
      </c>
      <c r="T17" s="99">
        <f t="shared" si="0"/>
        <v>16318381.066502668</v>
      </c>
      <c r="U17" s="99">
        <f t="shared" si="0"/>
        <v>101541027.2957249</v>
      </c>
      <c r="V17" s="99">
        <f t="shared" si="0"/>
        <v>999300275.45066679</v>
      </c>
      <c r="W17" s="99">
        <f t="shared" si="0"/>
        <v>23371479.300000004</v>
      </c>
      <c r="X17" s="99">
        <f t="shared" si="0"/>
        <v>1022671754.7506669</v>
      </c>
      <c r="Y17" s="99">
        <f t="shared" si="0"/>
        <v>195820572.79803205</v>
      </c>
      <c r="Z17" s="99">
        <f t="shared" si="0"/>
        <v>1218492327.5486987</v>
      </c>
      <c r="AA17" s="99"/>
      <c r="AB17" s="99"/>
      <c r="AD17" s="99">
        <f t="shared" ref="AD17:AQ17" si="1">AD22</f>
        <v>83283573.956440002</v>
      </c>
      <c r="AE17" s="99">
        <f t="shared" si="1"/>
        <v>1828907.9187500002</v>
      </c>
      <c r="AF17" s="99">
        <f t="shared" si="1"/>
        <v>17294762.857803203</v>
      </c>
      <c r="AG17" s="99">
        <f t="shared" si="1"/>
        <v>102407244.73299322</v>
      </c>
      <c r="AH17" s="99">
        <f t="shared" si="1"/>
        <v>1085161880.9464252</v>
      </c>
      <c r="AI17" s="99">
        <f t="shared" si="1"/>
        <v>23682497.487500004</v>
      </c>
      <c r="AJ17" s="99">
        <f t="shared" si="1"/>
        <v>1108844378.4339252</v>
      </c>
      <c r="AK17" s="99">
        <f t="shared" si="1"/>
        <v>218136991.53142405</v>
      </c>
      <c r="AL17" s="99">
        <f t="shared" si="1"/>
        <v>1326981369.9653492</v>
      </c>
      <c r="AM17" s="99">
        <f t="shared" si="1"/>
        <v>1110170040.8393452</v>
      </c>
      <c r="AN17" s="99">
        <f t="shared" si="1"/>
        <v>23775802.943750005</v>
      </c>
      <c r="AO17" s="99">
        <f t="shared" si="1"/>
        <v>1133945843.7830954</v>
      </c>
      <c r="AP17" s="99">
        <f>AP22</f>
        <v>224831917.15144163</v>
      </c>
      <c r="AQ17" s="99">
        <f t="shared" si="1"/>
        <v>1358777760.9345369</v>
      </c>
    </row>
    <row r="18" spans="1:43" s="82" customFormat="1" ht="29.1" customHeight="1" x14ac:dyDescent="0.2">
      <c r="A18" s="81"/>
      <c r="B18" s="101"/>
      <c r="C18" s="81"/>
      <c r="D18" s="81"/>
      <c r="E18" s="81"/>
      <c r="F18" s="81"/>
      <c r="G18" s="1366" t="s">
        <v>454</v>
      </c>
      <c r="H18" s="1366"/>
      <c r="I18" s="1366"/>
      <c r="J18" s="81"/>
      <c r="K18" s="81"/>
      <c r="L18" s="1363" t="s">
        <v>455</v>
      </c>
      <c r="M18" s="1363"/>
      <c r="N18" s="1363"/>
      <c r="O18" s="1363"/>
      <c r="P18" s="98"/>
      <c r="Q18" s="1363" t="s">
        <v>456</v>
      </c>
      <c r="R18" s="1363"/>
      <c r="S18" s="1363"/>
      <c r="T18" s="1363"/>
      <c r="U18" s="1363"/>
      <c r="V18" s="1363" t="s">
        <v>457</v>
      </c>
      <c r="W18" s="1363"/>
      <c r="X18" s="1363"/>
      <c r="Y18" s="1363"/>
      <c r="Z18" s="1363"/>
      <c r="AA18" s="361"/>
      <c r="AB18" s="102"/>
      <c r="AC18" s="103"/>
      <c r="AD18" s="1363" t="s">
        <v>458</v>
      </c>
      <c r="AE18" s="1363"/>
      <c r="AF18" s="1363"/>
      <c r="AG18" s="1363"/>
      <c r="AH18" s="1363" t="s">
        <v>459</v>
      </c>
      <c r="AI18" s="1363"/>
      <c r="AJ18" s="1363"/>
      <c r="AK18" s="1363"/>
      <c r="AL18" s="1363"/>
      <c r="AM18" s="1363" t="s">
        <v>460</v>
      </c>
      <c r="AN18" s="1363"/>
      <c r="AO18" s="1363"/>
      <c r="AP18" s="1363"/>
      <c r="AQ18" s="1363"/>
    </row>
    <row r="19" spans="1:43" s="82" customFormat="1" ht="23.25" x14ac:dyDescent="0.35">
      <c r="A19" s="81"/>
      <c r="B19" s="104"/>
      <c r="C19" s="81"/>
      <c r="D19" s="81"/>
      <c r="E19" s="81"/>
      <c r="F19" s="81"/>
      <c r="G19" s="1364">
        <v>8157.41</v>
      </c>
      <c r="H19" s="1364"/>
      <c r="I19" s="1364"/>
      <c r="J19" s="81"/>
      <c r="K19" s="81"/>
      <c r="L19" s="1365" t="s">
        <v>34</v>
      </c>
      <c r="M19" s="1365"/>
      <c r="N19" s="105" t="s">
        <v>343</v>
      </c>
      <c r="O19" s="106" t="s">
        <v>13</v>
      </c>
      <c r="P19" s="81"/>
      <c r="Q19" s="1365" t="s">
        <v>34</v>
      </c>
      <c r="R19" s="1365"/>
      <c r="S19" s="1365"/>
      <c r="T19" s="105" t="s">
        <v>343</v>
      </c>
      <c r="U19" s="106" t="s">
        <v>13</v>
      </c>
      <c r="V19" s="1365" t="s">
        <v>344</v>
      </c>
      <c r="W19" s="1365"/>
      <c r="X19" s="1365"/>
      <c r="Y19" s="105" t="s">
        <v>343</v>
      </c>
      <c r="Z19" s="106" t="s">
        <v>13</v>
      </c>
      <c r="AA19" s="107"/>
      <c r="AB19" s="108"/>
      <c r="AC19" s="109"/>
      <c r="AD19" s="1365" t="s">
        <v>34</v>
      </c>
      <c r="AE19" s="1365"/>
      <c r="AF19" s="105" t="s">
        <v>343</v>
      </c>
      <c r="AG19" s="106" t="s">
        <v>13</v>
      </c>
      <c r="AH19" s="1365" t="s">
        <v>344</v>
      </c>
      <c r="AI19" s="1365"/>
      <c r="AJ19" s="1365"/>
      <c r="AK19" s="105" t="s">
        <v>343</v>
      </c>
      <c r="AL19" s="106" t="s">
        <v>13</v>
      </c>
      <c r="AM19" s="1365" t="s">
        <v>344</v>
      </c>
      <c r="AN19" s="1365"/>
      <c r="AO19" s="1365"/>
      <c r="AP19" s="105" t="s">
        <v>343</v>
      </c>
      <c r="AQ19" s="106" t="s">
        <v>13</v>
      </c>
    </row>
    <row r="20" spans="1:43" s="115" customFormat="1" ht="60" customHeight="1" x14ac:dyDescent="0.25">
      <c r="A20" s="1362" t="s">
        <v>461</v>
      </c>
      <c r="B20" s="1362" t="s">
        <v>462</v>
      </c>
      <c r="C20" s="110" t="s">
        <v>347</v>
      </c>
      <c r="D20" s="110" t="s">
        <v>463</v>
      </c>
      <c r="E20" s="110" t="s">
        <v>464</v>
      </c>
      <c r="F20" s="110" t="s">
        <v>465</v>
      </c>
      <c r="G20" s="110" t="s">
        <v>355</v>
      </c>
      <c r="H20" s="110" t="s">
        <v>466</v>
      </c>
      <c r="I20" s="111" t="s">
        <v>467</v>
      </c>
      <c r="J20" s="112" t="s">
        <v>468</v>
      </c>
      <c r="K20" s="113" t="s">
        <v>469</v>
      </c>
      <c r="L20" s="114" t="s">
        <v>470</v>
      </c>
      <c r="M20" s="110" t="s">
        <v>471</v>
      </c>
      <c r="N20" s="110" t="s">
        <v>472</v>
      </c>
      <c r="O20" s="110" t="s">
        <v>473</v>
      </c>
      <c r="P20" s="110" t="s">
        <v>474</v>
      </c>
      <c r="Q20" s="110" t="s">
        <v>475</v>
      </c>
      <c r="R20" s="110" t="s">
        <v>476</v>
      </c>
      <c r="S20" s="110" t="s">
        <v>477</v>
      </c>
      <c r="T20" s="110" t="s">
        <v>478</v>
      </c>
      <c r="U20" s="110" t="s">
        <v>479</v>
      </c>
      <c r="V20" s="110" t="s">
        <v>480</v>
      </c>
      <c r="W20" s="110" t="s">
        <v>481</v>
      </c>
      <c r="X20" s="110" t="s">
        <v>482</v>
      </c>
      <c r="Y20" s="110" t="s">
        <v>483</v>
      </c>
      <c r="Z20" s="110" t="s">
        <v>484</v>
      </c>
      <c r="AA20" s="110" t="s">
        <v>355</v>
      </c>
      <c r="AB20" s="110" t="s">
        <v>466</v>
      </c>
      <c r="AC20" s="111" t="s">
        <v>485</v>
      </c>
      <c r="AD20" s="114" t="s">
        <v>470</v>
      </c>
      <c r="AE20" s="110" t="s">
        <v>471</v>
      </c>
      <c r="AF20" s="110" t="s">
        <v>472</v>
      </c>
      <c r="AG20" s="110" t="s">
        <v>473</v>
      </c>
      <c r="AH20" s="110" t="s">
        <v>480</v>
      </c>
      <c r="AI20" s="110" t="s">
        <v>481</v>
      </c>
      <c r="AJ20" s="110" t="s">
        <v>482</v>
      </c>
      <c r="AK20" s="110" t="s">
        <v>483</v>
      </c>
      <c r="AL20" s="110" t="s">
        <v>484</v>
      </c>
      <c r="AM20" s="110" t="s">
        <v>480</v>
      </c>
      <c r="AN20" s="110" t="s">
        <v>481</v>
      </c>
      <c r="AO20" s="110" t="s">
        <v>482</v>
      </c>
      <c r="AP20" s="110" t="s">
        <v>483</v>
      </c>
      <c r="AQ20" s="110" t="s">
        <v>484</v>
      </c>
    </row>
    <row r="21" spans="1:43" s="115" customFormat="1" ht="28.35" customHeight="1" x14ac:dyDescent="0.25">
      <c r="A21" s="1362"/>
      <c r="B21" s="1362"/>
      <c r="C21" s="116"/>
      <c r="D21" s="116"/>
      <c r="E21" s="116"/>
      <c r="F21" s="116"/>
      <c r="G21" s="116" t="s">
        <v>371</v>
      </c>
      <c r="H21" s="116" t="s">
        <v>372</v>
      </c>
      <c r="I21" s="117" t="s">
        <v>373</v>
      </c>
      <c r="J21" s="118" t="s">
        <v>374</v>
      </c>
      <c r="K21" s="119" t="s">
        <v>375</v>
      </c>
      <c r="L21" s="120" t="s">
        <v>376</v>
      </c>
      <c r="M21" s="116" t="s">
        <v>377</v>
      </c>
      <c r="N21" s="116" t="s">
        <v>486</v>
      </c>
      <c r="O21" s="116" t="s">
        <v>487</v>
      </c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7"/>
      <c r="AD21" s="120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</row>
    <row r="22" spans="1:43" s="82" customFormat="1" ht="19.5" x14ac:dyDescent="0.2">
      <c r="A22" s="121" t="s">
        <v>141</v>
      </c>
      <c r="B22" s="122"/>
      <c r="C22" s="123"/>
      <c r="D22" s="123"/>
      <c r="E22" s="123"/>
      <c r="F22" s="123"/>
      <c r="G22" s="124"/>
      <c r="H22" s="125"/>
      <c r="I22" s="126"/>
      <c r="J22" s="127">
        <f t="shared" ref="J22:O22" si="2">SUM(J23:J27)</f>
        <v>8825</v>
      </c>
      <c r="K22" s="127">
        <f t="shared" si="2"/>
        <v>8825</v>
      </c>
      <c r="L22" s="127">
        <f t="shared" si="2"/>
        <v>74947520.658800006</v>
      </c>
      <c r="M22" s="127">
        <f t="shared" si="2"/>
        <v>1797806.1000000003</v>
      </c>
      <c r="N22" s="127">
        <f t="shared" si="2"/>
        <v>15063120.984464001</v>
      </c>
      <c r="O22" s="127">
        <f t="shared" si="2"/>
        <v>91808447.74326399</v>
      </c>
      <c r="P22" s="127"/>
      <c r="Q22" s="127">
        <f t="shared" ref="Q22:AQ22" si="3">SUM(Q23:Q27)</f>
        <v>83275022.954222232</v>
      </c>
      <c r="R22" s="127">
        <f t="shared" si="3"/>
        <v>1947623.2750000004</v>
      </c>
      <c r="S22" s="127">
        <f t="shared" si="3"/>
        <v>85222646.229222223</v>
      </c>
      <c r="T22" s="127">
        <f t="shared" si="3"/>
        <v>16318381.066502668</v>
      </c>
      <c r="U22" s="127">
        <f t="shared" si="3"/>
        <v>101541027.2957249</v>
      </c>
      <c r="V22" s="127">
        <f t="shared" si="3"/>
        <v>999300275.45066679</v>
      </c>
      <c r="W22" s="127">
        <f t="shared" si="3"/>
        <v>23371479.300000004</v>
      </c>
      <c r="X22" s="127">
        <f t="shared" si="3"/>
        <v>1022671754.7506669</v>
      </c>
      <c r="Y22" s="127">
        <f t="shared" si="3"/>
        <v>195820572.79803205</v>
      </c>
      <c r="Z22" s="127">
        <f t="shared" si="3"/>
        <v>1218492327.5486987</v>
      </c>
      <c r="AA22" s="127">
        <f t="shared" si="3"/>
        <v>42871.25</v>
      </c>
      <c r="AB22" s="127">
        <f t="shared" si="3"/>
        <v>8222.5716094200034</v>
      </c>
      <c r="AC22" s="127">
        <f t="shared" si="3"/>
        <v>51093.821609420003</v>
      </c>
      <c r="AD22" s="127">
        <f t="shared" si="3"/>
        <v>83283573.956440002</v>
      </c>
      <c r="AE22" s="127">
        <f t="shared" si="3"/>
        <v>1828907.9187500002</v>
      </c>
      <c r="AF22" s="127">
        <f t="shared" si="3"/>
        <v>17294762.857803203</v>
      </c>
      <c r="AG22" s="127">
        <f t="shared" si="3"/>
        <v>102407244.73299322</v>
      </c>
      <c r="AH22" s="127">
        <f t="shared" si="3"/>
        <v>1085161880.9464252</v>
      </c>
      <c r="AI22" s="127">
        <f t="shared" si="3"/>
        <v>23682497.487500004</v>
      </c>
      <c r="AJ22" s="127">
        <f t="shared" si="3"/>
        <v>1108844378.4339252</v>
      </c>
      <c r="AK22" s="127">
        <f t="shared" si="3"/>
        <v>218136991.53142405</v>
      </c>
      <c r="AL22" s="127">
        <f t="shared" si="3"/>
        <v>1326981369.9653492</v>
      </c>
      <c r="AM22" s="127">
        <f t="shared" si="3"/>
        <v>1110170040.8393452</v>
      </c>
      <c r="AN22" s="127">
        <f t="shared" si="3"/>
        <v>23775802.943750005</v>
      </c>
      <c r="AO22" s="127">
        <f t="shared" si="3"/>
        <v>1133945843.7830954</v>
      </c>
      <c r="AP22" s="127">
        <f t="shared" si="3"/>
        <v>224831917.15144163</v>
      </c>
      <c r="AQ22" s="127">
        <f t="shared" si="3"/>
        <v>1358777760.9345369</v>
      </c>
    </row>
    <row r="23" spans="1:43" s="82" customFormat="1" ht="55.5" customHeight="1" x14ac:dyDescent="0.2">
      <c r="A23" s="440" t="s">
        <v>488</v>
      </c>
      <c r="B23" s="440" t="s">
        <v>489</v>
      </c>
      <c r="C23" s="440"/>
      <c r="D23" s="440"/>
      <c r="E23" s="440"/>
      <c r="F23" s="440" t="s">
        <v>490</v>
      </c>
      <c r="G23" s="139">
        <f>$G$19</f>
        <v>8157.41</v>
      </c>
      <c r="H23" s="140">
        <f>I23-G23</f>
        <v>8255.9399999999987</v>
      </c>
      <c r="I23" s="703">
        <v>16413.349999999999</v>
      </c>
      <c r="J23" s="704">
        <v>200</v>
      </c>
      <c r="K23" s="704">
        <v>200</v>
      </c>
      <c r="L23" s="134">
        <f>I23*K23</f>
        <v>3282669.9999999995</v>
      </c>
      <c r="M23" s="135">
        <f>IF(H23&gt;0,(H23*K23)*0.085,0)</f>
        <v>140350.97999999998</v>
      </c>
      <c r="N23" s="136">
        <f>IF(I23&lt;G23,I23*0.28*K23,G23*0.28*K23)</f>
        <v>456814.96000000008</v>
      </c>
      <c r="O23" s="137">
        <f>SUM(L23:N23)</f>
        <v>3879835.9399999995</v>
      </c>
      <c r="P23" s="138">
        <v>12</v>
      </c>
      <c r="Q23" s="134">
        <f>IF(P23&lt;&gt;0,(L23*(12-P23+1))+(L23*((12-P23+1)/12))+((L23*((12-P23+1)/12))/3),0)</f>
        <v>3647411.111111111</v>
      </c>
      <c r="R23" s="135">
        <f>IF(P23&lt;&gt;0,M23*(12-P23+1)+(M23*((12-P23+1)/12)),0)</f>
        <v>152046.89499999999</v>
      </c>
      <c r="S23" s="136">
        <f>SUBTOTAL(9,Q23:R23)</f>
        <v>3799458.006111111</v>
      </c>
      <c r="T23" s="135">
        <f>IF(P23&lt;&gt;0,N23*(12-P23+1)+(N23*((12-P23+1)/12)),0)</f>
        <v>494882.87333333341</v>
      </c>
      <c r="U23" s="137">
        <f>SUBTOTAL(9,Q23:T23)</f>
        <v>4294340.8794444446</v>
      </c>
      <c r="V23" s="135">
        <f>IF(P23&lt;&gt;0,L23*(13+(1/3)),0)</f>
        <v>43768933.333333328</v>
      </c>
      <c r="W23" s="136">
        <f>IF(Q23&lt;&gt;0,M23*13,0)</f>
        <v>1824562.7399999998</v>
      </c>
      <c r="X23" s="137">
        <f>SUBTOTAL(9,V23:W23)</f>
        <v>45593496.07333333</v>
      </c>
      <c r="Y23" s="134">
        <f>IF(T23&lt;&gt;0,N23*(13),0)</f>
        <v>5938594.4800000014</v>
      </c>
      <c r="Z23" s="137">
        <f>SUBTOTAL(9,V23:Y23)</f>
        <v>51532090.553333335</v>
      </c>
      <c r="AA23" s="139">
        <v>8574.25</v>
      </c>
      <c r="AB23" s="130">
        <f>AC23-AA23</f>
        <v>9152.1500000000015</v>
      </c>
      <c r="AC23" s="703">
        <v>17726.400000000001</v>
      </c>
      <c r="AD23" s="134">
        <f>AC23*K23</f>
        <v>3545280.0000000005</v>
      </c>
      <c r="AE23" s="135">
        <f>IF(AB23&gt;0,(AB23*K23)*0.085,0)</f>
        <v>155586.55000000002</v>
      </c>
      <c r="AF23" s="136">
        <f>IF(AC23&lt;AA23,AC23*0.28*K23,AA23*0.28*K23)</f>
        <v>480158.00000000006</v>
      </c>
      <c r="AG23" s="137">
        <f>SUM(AD23:AF23)</f>
        <v>4181024.5500000003</v>
      </c>
      <c r="AH23" s="135">
        <f>SUM(L23*3,AD23*10.33)</f>
        <v>46470752.400000006</v>
      </c>
      <c r="AI23" s="135">
        <f>SUM(M23*3,AE23*10)</f>
        <v>1976918.4400000002</v>
      </c>
      <c r="AJ23" s="137">
        <f>SUBTOTAL(9,AH23:AI23)</f>
        <v>48447670.840000004</v>
      </c>
      <c r="AK23" s="134">
        <f>SUM(N23*3,AF23*10)</f>
        <v>6172024.8800000008</v>
      </c>
      <c r="AL23" s="137">
        <f>SUBTOTAL(9,AH23:AK23)</f>
        <v>54619695.720000006</v>
      </c>
      <c r="AM23" s="136">
        <f>AD23*13.33</f>
        <v>47258582.400000006</v>
      </c>
      <c r="AN23" s="136">
        <f>AE23*13</f>
        <v>2022625.1500000001</v>
      </c>
      <c r="AO23" s="362">
        <f>AM23+AN23</f>
        <v>49281207.550000004</v>
      </c>
      <c r="AP23" s="136">
        <f>AF23*13</f>
        <v>6242054.0000000009</v>
      </c>
      <c r="AQ23" s="137">
        <f>AO23+AP23</f>
        <v>55523261.550000004</v>
      </c>
    </row>
    <row r="24" spans="1:43" s="82" customFormat="1" ht="55.5" customHeight="1" x14ac:dyDescent="0.2">
      <c r="A24" s="440" t="s">
        <v>488</v>
      </c>
      <c r="B24" s="440" t="s">
        <v>489</v>
      </c>
      <c r="C24" s="440"/>
      <c r="D24" s="440"/>
      <c r="E24" s="440"/>
      <c r="F24" s="440" t="s">
        <v>491</v>
      </c>
      <c r="G24" s="139">
        <f t="shared" ref="G24:G27" si="4">$G$19</f>
        <v>8157.41</v>
      </c>
      <c r="H24" s="140">
        <f t="shared" ref="H24" si="5">I24-G24</f>
        <v>-104.09000000000015</v>
      </c>
      <c r="I24" s="703">
        <v>8053.32</v>
      </c>
      <c r="J24" s="704">
        <v>25</v>
      </c>
      <c r="K24" s="704">
        <v>25</v>
      </c>
      <c r="L24" s="134">
        <f>I24*K24</f>
        <v>201333</v>
      </c>
      <c r="M24" s="135">
        <f>IF(H24&gt;0,(H24*K24)*0.085,0)</f>
        <v>0</v>
      </c>
      <c r="N24" s="136">
        <f>IF(I24&lt;G24,I24*0.28*K24,G24*0.28*K24)</f>
        <v>56373.24</v>
      </c>
      <c r="O24" s="137">
        <f>SUM(L24:N24)</f>
        <v>257706.23999999999</v>
      </c>
      <c r="P24" s="138">
        <v>12</v>
      </c>
      <c r="Q24" s="134">
        <f>IF(P24&lt;&gt;0,(L24*(12-P24+1))+(L24*((12-P24+1)/12))+((L24*((12-P24+1)/12))/3),0)</f>
        <v>223703.33333333334</v>
      </c>
      <c r="R24" s="135">
        <f>IF(P24&lt;&gt;0,M24*(12-P24+1)+(M24*((12-P24+1)/12)),0)</f>
        <v>0</v>
      </c>
      <c r="S24" s="136">
        <f>SUBTOTAL(9,Q24:R24)</f>
        <v>223703.33333333334</v>
      </c>
      <c r="T24" s="135">
        <f>IF(P24&lt;&gt;0,N24*(12-P24+1)+(N24*((12-P24+1)/12)),0)</f>
        <v>61071.009999999995</v>
      </c>
      <c r="U24" s="137">
        <f>SUBTOTAL(9,Q24:T24)</f>
        <v>284774.34333333332</v>
      </c>
      <c r="V24" s="135">
        <f>IF(P24&lt;&gt;0,L24*(13+(1/3)),0)</f>
        <v>2684440</v>
      </c>
      <c r="W24" s="136">
        <f>IF(Q24&lt;&gt;0,M24*13,0)</f>
        <v>0</v>
      </c>
      <c r="X24" s="137">
        <f>SUBTOTAL(9,V24:W24)</f>
        <v>2684440</v>
      </c>
      <c r="Y24" s="134">
        <f>IF(T24&lt;&gt;0,N24*(13),0)</f>
        <v>732852.12</v>
      </c>
      <c r="Z24" s="137">
        <f>SUBTOTAL(9,V24:Y24)</f>
        <v>3417292.12</v>
      </c>
      <c r="AA24" s="139">
        <v>8574.25</v>
      </c>
      <c r="AB24" s="130">
        <f>AC24-AA24</f>
        <v>123.35000000000036</v>
      </c>
      <c r="AC24" s="703">
        <v>8697.6</v>
      </c>
      <c r="AD24" s="134">
        <f>AC24*K24</f>
        <v>217440</v>
      </c>
      <c r="AE24" s="135">
        <f>IF(AB24&gt;0,(AB24*K24)*0.085,0)</f>
        <v>262.11875000000077</v>
      </c>
      <c r="AF24" s="136">
        <f>IF(AC24&lt;AA24,AC24*0.28*K24,AA24*0.28*K24)</f>
        <v>60019.750000000007</v>
      </c>
      <c r="AG24" s="137">
        <f>SUM(AD24:AF24)</f>
        <v>277721.86875000002</v>
      </c>
      <c r="AH24" s="135">
        <f>SUM(L24*3,AD24*10.33)</f>
        <v>2850154.2</v>
      </c>
      <c r="AI24" s="135">
        <f>SUM(M24*3,AE24*10)</f>
        <v>2621.1875000000077</v>
      </c>
      <c r="AJ24" s="137">
        <f>SUBTOTAL(9,AH24:AI24)</f>
        <v>2852775.3875000002</v>
      </c>
      <c r="AK24" s="134">
        <f>SUM(N24*3,AF24*10)</f>
        <v>769317.22000000009</v>
      </c>
      <c r="AL24" s="137">
        <f>SUBTOTAL(9,AH24:AK24)</f>
        <v>3622092.6075000004</v>
      </c>
      <c r="AM24" s="136">
        <f>AD24*13.33</f>
        <v>2898475.2</v>
      </c>
      <c r="AN24" s="136">
        <f>AE24*13</f>
        <v>3407.5437500000098</v>
      </c>
      <c r="AO24" s="362">
        <f>AM24+AN24</f>
        <v>2901882.7437500004</v>
      </c>
      <c r="AP24" s="136">
        <f>AF24*13</f>
        <v>780256.75000000012</v>
      </c>
      <c r="AQ24" s="137">
        <f>AO24+AP24</f>
        <v>3682139.4937500004</v>
      </c>
    </row>
    <row r="25" spans="1:43" s="82" customFormat="1" ht="55.5" customHeight="1" x14ac:dyDescent="0.2">
      <c r="A25" s="440" t="s">
        <v>492</v>
      </c>
      <c r="B25" s="440" t="s">
        <v>489</v>
      </c>
      <c r="C25" s="440"/>
      <c r="D25" s="440"/>
      <c r="E25" s="440"/>
      <c r="F25" s="440" t="s">
        <v>493</v>
      </c>
      <c r="G25" s="139">
        <f t="shared" si="4"/>
        <v>8157.41</v>
      </c>
      <c r="H25" s="140">
        <f t="shared" ref="H25:H27" si="6">I25-G25</f>
        <v>5131.4400000000005</v>
      </c>
      <c r="I25" s="703">
        <v>13288.85</v>
      </c>
      <c r="J25" s="704">
        <v>3800</v>
      </c>
      <c r="K25" s="704">
        <v>3800</v>
      </c>
      <c r="L25" s="134">
        <f t="shared" ref="L25:L27" si="7">I25*K25</f>
        <v>50497630</v>
      </c>
      <c r="M25" s="135">
        <f t="shared" ref="M25:M27" si="8">IF(H25&gt;0,(H25*K25)*0.085,0)</f>
        <v>1657455.1200000003</v>
      </c>
      <c r="N25" s="136">
        <f t="shared" ref="N25:N27" si="9">IF(I25&lt;G25,I25*0.28*K25,G25*0.28*K25)</f>
        <v>8679484.2400000021</v>
      </c>
      <c r="O25" s="137">
        <f t="shared" ref="O25:O27" si="10">SUM(L25:N25)</f>
        <v>60834569.359999999</v>
      </c>
      <c r="P25" s="138">
        <v>12</v>
      </c>
      <c r="Q25" s="134">
        <f t="shared" ref="Q25:Q27" si="11">IF(P25&lt;&gt;0,(L25*(12-P25+1))+(L25*((12-P25+1)/12))+((L25*((12-P25+1)/12))/3),0)</f>
        <v>56108477.777777784</v>
      </c>
      <c r="R25" s="135">
        <f t="shared" ref="R25:R27" si="12">IF(P25&lt;&gt;0,M25*(12-P25+1)+(M25*((12-P25+1)/12)),0)</f>
        <v>1795576.3800000004</v>
      </c>
      <c r="S25" s="136">
        <f t="shared" ref="S25:S27" si="13">SUBTOTAL(9,Q25:R25)</f>
        <v>57904054.157777786</v>
      </c>
      <c r="T25" s="135">
        <f t="shared" ref="T25:T27" si="14">IF(P25&lt;&gt;0,N25*(12-P25+1)+(N25*((12-P25+1)/12)),0)</f>
        <v>9402774.5933333356</v>
      </c>
      <c r="U25" s="137">
        <f t="shared" ref="U25:U27" si="15">SUBTOTAL(9,Q25:T25)</f>
        <v>67306828.75111112</v>
      </c>
      <c r="V25" s="135">
        <f t="shared" ref="V25:V27" si="16">IF(P25&lt;&gt;0,L25*(13+(1/3)),0)</f>
        <v>673301733.33333337</v>
      </c>
      <c r="W25" s="136">
        <f t="shared" ref="W25:W27" si="17">IF(Q25&lt;&gt;0,M25*13,0)</f>
        <v>21546916.560000006</v>
      </c>
      <c r="X25" s="137">
        <f t="shared" ref="X25:X27" si="18">SUBTOTAL(9,V25:W25)</f>
        <v>694848649.89333344</v>
      </c>
      <c r="Y25" s="134">
        <f t="shared" ref="Y25:Y27" si="19">IF(T25&lt;&gt;0,N25*(13),0)</f>
        <v>112833295.12000003</v>
      </c>
      <c r="Z25" s="137">
        <f t="shared" ref="Z25:Z27" si="20">SUBTOTAL(9,V25:Y25)</f>
        <v>807681945.01333344</v>
      </c>
      <c r="AA25" s="139">
        <v>8574.25</v>
      </c>
      <c r="AB25" s="130">
        <f t="shared" ref="AB25:AB27" si="21">AC25-AA25</f>
        <v>5179.75</v>
      </c>
      <c r="AC25" s="703">
        <v>13754</v>
      </c>
      <c r="AD25" s="134">
        <f t="shared" ref="AD25:AD27" si="22">AC25*K25</f>
        <v>52265200</v>
      </c>
      <c r="AE25" s="135">
        <f t="shared" ref="AE25:AE27" si="23">IF(AB25&gt;0,(AB25*K25)*0.085,0)</f>
        <v>1673059.2500000002</v>
      </c>
      <c r="AF25" s="136">
        <f t="shared" ref="AF25:AF27" si="24">IF(AC25&lt;AA25,AC25*0.28*K25,AA25*0.28*K25)</f>
        <v>9123002.0000000019</v>
      </c>
      <c r="AG25" s="137">
        <f t="shared" ref="AG25:AG27" si="25">SUM(AD25:AF25)</f>
        <v>63061261.25</v>
      </c>
      <c r="AH25" s="135">
        <f t="shared" ref="AH25:AH27" si="26">SUM(L25*3,AD25*10.33)</f>
        <v>691392406</v>
      </c>
      <c r="AI25" s="135">
        <f t="shared" ref="AI25:AI27" si="27">SUM(M25*3,AE25*10)</f>
        <v>21702957.860000003</v>
      </c>
      <c r="AJ25" s="137">
        <f t="shared" ref="AJ25:AJ27" si="28">SUBTOTAL(9,AH25:AI25)</f>
        <v>713095363.86000001</v>
      </c>
      <c r="AK25" s="134">
        <f t="shared" ref="AK25:AK27" si="29">SUM(N25*3,AF25*10)</f>
        <v>117268472.72000003</v>
      </c>
      <c r="AL25" s="137">
        <f t="shared" ref="AL25:AL27" si="30">SUBTOTAL(9,AH25:AK25)</f>
        <v>830363836.58000004</v>
      </c>
      <c r="AM25" s="136">
        <f t="shared" ref="AM25:AM27" si="31">AD25*13.33</f>
        <v>696695116</v>
      </c>
      <c r="AN25" s="136">
        <f t="shared" ref="AN25:AN27" si="32">AE25*13</f>
        <v>21749770.250000004</v>
      </c>
      <c r="AO25" s="362">
        <f t="shared" ref="AO25:AO27" si="33">AM25+AN25</f>
        <v>718444886.25</v>
      </c>
      <c r="AP25" s="136">
        <f t="shared" ref="AP25:AP27" si="34">AF25*13</f>
        <v>118599026.00000003</v>
      </c>
      <c r="AQ25" s="137">
        <f t="shared" ref="AQ25:AQ27" si="35">AO25+AP25</f>
        <v>837043912.25</v>
      </c>
    </row>
    <row r="26" spans="1:43" s="82" customFormat="1" ht="55.5" customHeight="1" x14ac:dyDescent="0.2">
      <c r="A26" s="440" t="s">
        <v>492</v>
      </c>
      <c r="B26" s="440" t="s">
        <v>489</v>
      </c>
      <c r="C26" s="440"/>
      <c r="D26" s="440"/>
      <c r="E26" s="440"/>
      <c r="F26" s="440" t="s">
        <v>494</v>
      </c>
      <c r="G26" s="139">
        <f t="shared" si="4"/>
        <v>8157.41</v>
      </c>
      <c r="H26" s="140">
        <f t="shared" si="6"/>
        <v>-4976.0190865999994</v>
      </c>
      <c r="I26" s="703">
        <f>'Item1-RSC'!E23</f>
        <v>3181.3909134</v>
      </c>
      <c r="J26" s="704">
        <v>2000</v>
      </c>
      <c r="K26" s="704">
        <v>2000</v>
      </c>
      <c r="L26" s="134">
        <f t="shared" si="7"/>
        <v>6362781.8267999999</v>
      </c>
      <c r="M26" s="135">
        <f t="shared" si="8"/>
        <v>0</v>
      </c>
      <c r="N26" s="136">
        <f t="shared" si="9"/>
        <v>1781578.9115040002</v>
      </c>
      <c r="O26" s="137">
        <f t="shared" si="10"/>
        <v>8144360.7383040003</v>
      </c>
      <c r="P26" s="138">
        <v>12</v>
      </c>
      <c r="Q26" s="134">
        <f t="shared" si="11"/>
        <v>7069757.5853333334</v>
      </c>
      <c r="R26" s="135">
        <f t="shared" si="12"/>
        <v>0</v>
      </c>
      <c r="S26" s="136">
        <f t="shared" si="13"/>
        <v>7069757.5853333334</v>
      </c>
      <c r="T26" s="135">
        <f t="shared" si="14"/>
        <v>1930043.8207960003</v>
      </c>
      <c r="U26" s="137">
        <f t="shared" si="15"/>
        <v>8999801.4061293341</v>
      </c>
      <c r="V26" s="135">
        <f t="shared" si="16"/>
        <v>84837091.024000004</v>
      </c>
      <c r="W26" s="136">
        <f t="shared" si="17"/>
        <v>0</v>
      </c>
      <c r="X26" s="137">
        <f t="shared" si="18"/>
        <v>84837091.024000004</v>
      </c>
      <c r="Y26" s="134">
        <f t="shared" si="19"/>
        <v>23160525.849552002</v>
      </c>
      <c r="Z26" s="137">
        <f t="shared" si="20"/>
        <v>107997616.87355201</v>
      </c>
      <c r="AA26" s="139">
        <v>8574.25</v>
      </c>
      <c r="AB26" s="130">
        <f t="shared" si="21"/>
        <v>-4438.4418125799994</v>
      </c>
      <c r="AC26" s="703">
        <f>'Item1-RSC'!L23</f>
        <v>4135.8081874200006</v>
      </c>
      <c r="AD26" s="134">
        <f t="shared" si="22"/>
        <v>8271616.3748400016</v>
      </c>
      <c r="AE26" s="135">
        <f t="shared" si="23"/>
        <v>0</v>
      </c>
      <c r="AF26" s="136">
        <f t="shared" si="24"/>
        <v>2316052.5849552006</v>
      </c>
      <c r="AG26" s="137">
        <f t="shared" si="25"/>
        <v>10587668.959795203</v>
      </c>
      <c r="AH26" s="135">
        <f t="shared" si="26"/>
        <v>104534142.63249721</v>
      </c>
      <c r="AI26" s="135">
        <f t="shared" si="27"/>
        <v>0</v>
      </c>
      <c r="AJ26" s="137">
        <f t="shared" si="28"/>
        <v>104534142.63249721</v>
      </c>
      <c r="AK26" s="134">
        <f t="shared" si="29"/>
        <v>28505262.584064007</v>
      </c>
      <c r="AL26" s="137">
        <f t="shared" si="30"/>
        <v>133039405.21656121</v>
      </c>
      <c r="AM26" s="136">
        <f t="shared" si="31"/>
        <v>110260646.27661723</v>
      </c>
      <c r="AN26" s="136">
        <f t="shared" si="32"/>
        <v>0</v>
      </c>
      <c r="AO26" s="362">
        <f t="shared" si="33"/>
        <v>110260646.27661723</v>
      </c>
      <c r="AP26" s="136">
        <f t="shared" si="34"/>
        <v>30108683.604417607</v>
      </c>
      <c r="AQ26" s="137">
        <f t="shared" si="35"/>
        <v>140369329.88103485</v>
      </c>
    </row>
    <row r="27" spans="1:43" s="82" customFormat="1" ht="55.5" customHeight="1" x14ac:dyDescent="0.2">
      <c r="A27" s="440" t="s">
        <v>492</v>
      </c>
      <c r="B27" s="440" t="s">
        <v>489</v>
      </c>
      <c r="C27" s="440"/>
      <c r="D27" s="440"/>
      <c r="E27" s="440"/>
      <c r="F27" s="440" t="s">
        <v>495</v>
      </c>
      <c r="G27" s="139">
        <f t="shared" si="4"/>
        <v>8157.41</v>
      </c>
      <c r="H27" s="140">
        <f t="shared" si="6"/>
        <v>-2942.0150599999997</v>
      </c>
      <c r="I27" s="703">
        <f>'Item1-RSC'!E25</f>
        <v>5215.3949400000001</v>
      </c>
      <c r="J27" s="704">
        <v>2800</v>
      </c>
      <c r="K27" s="704">
        <v>2800</v>
      </c>
      <c r="L27" s="134">
        <f t="shared" si="7"/>
        <v>14603105.832</v>
      </c>
      <c r="M27" s="135">
        <f t="shared" si="8"/>
        <v>0</v>
      </c>
      <c r="N27" s="136">
        <f t="shared" si="9"/>
        <v>4088869.6329600001</v>
      </c>
      <c r="O27" s="137">
        <f t="shared" si="10"/>
        <v>18691975.464960001</v>
      </c>
      <c r="P27" s="138">
        <v>12</v>
      </c>
      <c r="Q27" s="134">
        <f t="shared" si="11"/>
        <v>16225673.146666666</v>
      </c>
      <c r="R27" s="135">
        <f t="shared" si="12"/>
        <v>0</v>
      </c>
      <c r="S27" s="136">
        <f t="shared" si="13"/>
        <v>16225673.146666666</v>
      </c>
      <c r="T27" s="135">
        <f t="shared" si="14"/>
        <v>4429608.7690399997</v>
      </c>
      <c r="U27" s="137">
        <f t="shared" si="15"/>
        <v>20655281.915706664</v>
      </c>
      <c r="V27" s="135">
        <f t="shared" si="16"/>
        <v>194708077.76000002</v>
      </c>
      <c r="W27" s="136">
        <f t="shared" si="17"/>
        <v>0</v>
      </c>
      <c r="X27" s="137">
        <f t="shared" si="18"/>
        <v>194708077.76000002</v>
      </c>
      <c r="Y27" s="134">
        <f t="shared" si="19"/>
        <v>53155305.228480004</v>
      </c>
      <c r="Z27" s="137">
        <f t="shared" si="20"/>
        <v>247863382.98848003</v>
      </c>
      <c r="AA27" s="139">
        <v>8574.25</v>
      </c>
      <c r="AB27" s="130">
        <f t="shared" si="21"/>
        <v>-1794.236578</v>
      </c>
      <c r="AC27" s="703">
        <f>'Item1-RSC'!L25</f>
        <v>6780.013422</v>
      </c>
      <c r="AD27" s="134">
        <f t="shared" si="22"/>
        <v>18984037.581599999</v>
      </c>
      <c r="AE27" s="135">
        <f t="shared" si="23"/>
        <v>0</v>
      </c>
      <c r="AF27" s="136">
        <f t="shared" si="24"/>
        <v>5315530.5228480007</v>
      </c>
      <c r="AG27" s="137">
        <f t="shared" si="25"/>
        <v>24299568.104447998</v>
      </c>
      <c r="AH27" s="135">
        <f t="shared" si="26"/>
        <v>239914425.71392798</v>
      </c>
      <c r="AI27" s="135">
        <f t="shared" si="27"/>
        <v>0</v>
      </c>
      <c r="AJ27" s="137">
        <f t="shared" si="28"/>
        <v>239914425.71392798</v>
      </c>
      <c r="AK27" s="134">
        <f t="shared" si="29"/>
        <v>65421914.127360016</v>
      </c>
      <c r="AL27" s="137">
        <f t="shared" si="30"/>
        <v>305336339.84128797</v>
      </c>
      <c r="AM27" s="136">
        <f t="shared" si="31"/>
        <v>253057220.96272799</v>
      </c>
      <c r="AN27" s="136">
        <f t="shared" si="32"/>
        <v>0</v>
      </c>
      <c r="AO27" s="362">
        <f t="shared" si="33"/>
        <v>253057220.96272799</v>
      </c>
      <c r="AP27" s="136">
        <f t="shared" si="34"/>
        <v>69101896.797024012</v>
      </c>
      <c r="AQ27" s="137">
        <f t="shared" si="35"/>
        <v>322159117.75975204</v>
      </c>
    </row>
  </sheetData>
  <mergeCells count="22">
    <mergeCell ref="A20:A21"/>
    <mergeCell ref="B20:B21"/>
    <mergeCell ref="AM18:AQ18"/>
    <mergeCell ref="G19:I19"/>
    <mergeCell ref="L19:M19"/>
    <mergeCell ref="Q19:S19"/>
    <mergeCell ref="V19:X19"/>
    <mergeCell ref="AD19:AE19"/>
    <mergeCell ref="AH19:AJ19"/>
    <mergeCell ref="AM19:AO19"/>
    <mergeCell ref="G18:I18"/>
    <mergeCell ref="L18:O18"/>
    <mergeCell ref="Q18:U18"/>
    <mergeCell ref="V18:Z18"/>
    <mergeCell ref="AD18:AG18"/>
    <mergeCell ref="AH18:AL18"/>
    <mergeCell ref="B9:C9"/>
    <mergeCell ref="A2:K2"/>
    <mergeCell ref="A3:O3"/>
    <mergeCell ref="A4:O4"/>
    <mergeCell ref="B8:C8"/>
    <mergeCell ref="F8:G8"/>
  </mergeCells>
  <conditionalFormatting sqref="L17:AQ17">
    <cfRule type="colorScale" priority="1">
      <colorScale>
        <cfvo type="num" val="0"/>
        <cfvo type="num" val="1"/>
        <color rgb="FFFF0000"/>
        <color theme="3" tint="0.499984740745262"/>
      </colorScale>
    </cfRule>
  </conditionalFormatting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A84D-C2E5-4D04-BB62-58EAD525E727}">
  <dimension ref="C2:AI56"/>
  <sheetViews>
    <sheetView showGridLines="0" topLeftCell="L3" zoomScale="60" zoomScaleNormal="60" workbookViewId="0">
      <selection activeCell="AD26" sqref="AD26:AD27"/>
    </sheetView>
  </sheetViews>
  <sheetFormatPr defaultColWidth="8.85546875" defaultRowHeight="15" x14ac:dyDescent="0.25"/>
  <cols>
    <col min="3" max="3" width="71.140625" customWidth="1"/>
    <col min="9" max="9" width="48.42578125" customWidth="1"/>
    <col min="12" max="12" width="40.42578125" customWidth="1"/>
    <col min="13" max="13" width="30.7109375" customWidth="1"/>
    <col min="14" max="14" width="32" customWidth="1"/>
    <col min="15" max="15" width="25.7109375" customWidth="1"/>
    <col min="16" max="16" width="24.85546875" customWidth="1"/>
    <col min="17" max="17" width="54.42578125" hidden="1" customWidth="1"/>
    <col min="18" max="18" width="47.7109375" hidden="1" customWidth="1"/>
    <col min="19" max="19" width="36" hidden="1" customWidth="1"/>
    <col min="20" max="20" width="42.7109375" hidden="1" customWidth="1"/>
    <col min="21" max="21" width="20.7109375" customWidth="1"/>
    <col min="22" max="22" width="37.7109375" hidden="1" customWidth="1"/>
    <col min="23" max="23" width="43.28515625" hidden="1" customWidth="1"/>
    <col min="24" max="24" width="50.7109375" customWidth="1"/>
    <col min="25" max="25" width="29.7109375" customWidth="1"/>
    <col min="26" max="26" width="38.28515625" customWidth="1"/>
    <col min="27" max="27" width="39.42578125" hidden="1" customWidth="1"/>
    <col min="28" max="28" width="27.28515625" hidden="1" customWidth="1"/>
    <col min="29" max="29" width="39" customWidth="1"/>
    <col min="30" max="30" width="30.85546875" customWidth="1"/>
    <col min="31" max="31" width="40.42578125" customWidth="1"/>
  </cols>
  <sheetData>
    <row r="2" spans="3:17" ht="20.25" x14ac:dyDescent="0.3">
      <c r="C2" s="1310"/>
      <c r="D2" s="1310"/>
      <c r="E2" s="1310"/>
      <c r="F2" s="1310"/>
      <c r="G2" s="1310"/>
      <c r="H2" s="1310"/>
      <c r="I2" s="1310"/>
      <c r="J2" s="1310"/>
      <c r="K2" s="1310"/>
      <c r="L2" s="1310"/>
      <c r="M2" s="1310"/>
      <c r="N2" s="259"/>
      <c r="O2" s="259"/>
      <c r="P2" s="259"/>
      <c r="Q2" s="259"/>
    </row>
    <row r="3" spans="3:17" ht="23.25" x14ac:dyDescent="0.25">
      <c r="C3" s="1311" t="s">
        <v>329</v>
      </c>
      <c r="D3" s="1311"/>
      <c r="E3" s="1311"/>
      <c r="F3" s="1311"/>
      <c r="G3" s="1311"/>
      <c r="H3" s="1311"/>
      <c r="I3" s="1311"/>
      <c r="J3" s="1311"/>
      <c r="K3" s="1311"/>
      <c r="L3" s="1311"/>
      <c r="M3" s="1311"/>
      <c r="N3" s="1311"/>
      <c r="O3" s="1311"/>
      <c r="P3" s="1311"/>
      <c r="Q3" s="1311"/>
    </row>
    <row r="4" spans="3:17" ht="23.25" x14ac:dyDescent="0.25">
      <c r="C4" s="1311" t="s">
        <v>330</v>
      </c>
      <c r="D4" s="1311"/>
      <c r="E4" s="1311"/>
      <c r="F4" s="1311"/>
      <c r="G4" s="1311"/>
      <c r="H4" s="1311"/>
      <c r="I4" s="1311"/>
      <c r="J4" s="1311"/>
      <c r="K4" s="1311"/>
      <c r="L4" s="1311"/>
      <c r="M4" s="1311"/>
      <c r="N4" s="1311"/>
      <c r="O4" s="1311"/>
      <c r="P4" s="1311"/>
      <c r="Q4" s="1311"/>
    </row>
    <row r="5" spans="3:17" ht="20.25" x14ac:dyDescent="0.3"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60"/>
      <c r="O5" s="260"/>
      <c r="P5" s="260"/>
      <c r="Q5" s="260"/>
    </row>
    <row r="6" spans="3:17" ht="20.25" x14ac:dyDescent="0.3">
      <c r="C6" s="256"/>
      <c r="D6" s="256"/>
      <c r="E6" s="257"/>
      <c r="F6" s="257"/>
      <c r="G6" s="257"/>
      <c r="H6" s="257"/>
      <c r="I6" s="257"/>
      <c r="J6" s="257"/>
      <c r="K6" s="257"/>
      <c r="L6" s="257"/>
      <c r="M6" s="257"/>
      <c r="N6" s="255"/>
      <c r="O6" s="255"/>
      <c r="P6" s="255"/>
      <c r="Q6" s="255"/>
    </row>
    <row r="7" spans="3:17" ht="20.25" x14ac:dyDescent="0.3">
      <c r="C7" s="261"/>
      <c r="D7" s="262"/>
      <c r="E7" s="261"/>
      <c r="F7" s="262"/>
      <c r="G7" s="261"/>
      <c r="H7" s="261"/>
      <c r="I7" s="261"/>
      <c r="J7" s="262"/>
      <c r="K7" s="262"/>
      <c r="L7" s="261"/>
      <c r="M7" s="263"/>
      <c r="N7" s="263"/>
      <c r="O7" s="263"/>
      <c r="P7" s="263"/>
      <c r="Q7" s="263"/>
    </row>
    <row r="8" spans="3:17" ht="23.25" x14ac:dyDescent="0.35">
      <c r="C8" s="264" t="s">
        <v>331</v>
      </c>
      <c r="D8" s="1309" t="s">
        <v>332</v>
      </c>
      <c r="E8" s="1309"/>
      <c r="F8" s="262"/>
      <c r="G8" s="264" t="s">
        <v>333</v>
      </c>
      <c r="H8" s="1309">
        <v>2025</v>
      </c>
      <c r="I8" s="1309"/>
      <c r="J8" s="262"/>
      <c r="K8" s="261"/>
      <c r="L8" s="261"/>
      <c r="M8" s="263"/>
      <c r="N8" s="263"/>
      <c r="O8" s="263"/>
      <c r="P8" s="263"/>
      <c r="Q8" s="263"/>
    </row>
    <row r="9" spans="3:17" ht="23.25" x14ac:dyDescent="0.35">
      <c r="C9" s="264" t="s">
        <v>334</v>
      </c>
      <c r="D9" s="1309" t="s">
        <v>335</v>
      </c>
      <c r="E9" s="1309"/>
      <c r="F9" s="262"/>
      <c r="G9" s="261"/>
      <c r="H9" s="261"/>
      <c r="I9" s="261"/>
      <c r="J9" s="261"/>
      <c r="K9" s="261"/>
      <c r="L9" s="261"/>
      <c r="M9" s="263"/>
      <c r="N9" s="263"/>
      <c r="O9" s="263"/>
      <c r="P9" s="263"/>
      <c r="Q9" s="263"/>
    </row>
    <row r="10" spans="3:17" ht="20.25" x14ac:dyDescent="0.3"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3"/>
      <c r="N10" s="263"/>
      <c r="O10" s="263"/>
      <c r="P10" s="263"/>
      <c r="Q10" s="263"/>
    </row>
    <row r="11" spans="3:17" x14ac:dyDescent="0.25"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</row>
    <row r="12" spans="3:17" x14ac:dyDescent="0.25"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</row>
    <row r="13" spans="3:17" ht="20.25" x14ac:dyDescent="0.3">
      <c r="C13" s="257"/>
      <c r="D13" s="894" t="s">
        <v>336</v>
      </c>
      <c r="E13" s="894" t="s">
        <v>337</v>
      </c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</row>
    <row r="14" spans="3:17" ht="20.25" x14ac:dyDescent="0.3">
      <c r="C14" s="895" t="s">
        <v>338</v>
      </c>
      <c r="D14" s="896"/>
      <c r="E14" s="897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</row>
    <row r="18" spans="3:35" x14ac:dyDescent="0.25">
      <c r="C18" s="1323" t="s">
        <v>339</v>
      </c>
      <c r="D18" s="1323"/>
      <c r="E18" s="1323"/>
      <c r="F18" s="1323"/>
      <c r="G18" s="1323"/>
      <c r="H18" s="1323"/>
      <c r="I18" s="1323"/>
      <c r="J18" s="1323"/>
      <c r="K18" s="1323"/>
      <c r="L18" s="1323"/>
      <c r="M18" s="1323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5"/>
      <c r="AI18" s="255"/>
    </row>
    <row r="19" spans="3:35" x14ac:dyDescent="0.25">
      <c r="C19" s="1323"/>
      <c r="D19" s="1323"/>
      <c r="E19" s="1323"/>
      <c r="F19" s="1323"/>
      <c r="G19" s="1323"/>
      <c r="H19" s="1323"/>
      <c r="I19" s="1323"/>
      <c r="J19" s="1323"/>
      <c r="K19" s="1323"/>
      <c r="L19" s="1323"/>
      <c r="M19" s="1323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</row>
    <row r="20" spans="3:35" ht="15.75" thickBot="1" x14ac:dyDescent="0.3">
      <c r="C20" s="1323"/>
      <c r="D20" s="1323"/>
      <c r="E20" s="1323"/>
      <c r="F20" s="1323"/>
      <c r="G20" s="1323"/>
      <c r="H20" s="1323"/>
      <c r="I20" s="1323"/>
      <c r="J20" s="1323"/>
      <c r="K20" s="1323"/>
      <c r="L20" s="1323"/>
      <c r="M20" s="1323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</row>
    <row r="21" spans="3:35" ht="23.25" x14ac:dyDescent="0.25">
      <c r="C21" s="255"/>
      <c r="D21" s="26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1312" t="s">
        <v>340</v>
      </c>
      <c r="R21" s="1313"/>
      <c r="S21" s="1313"/>
      <c r="T21" s="1314"/>
      <c r="U21" s="266"/>
      <c r="V21" s="1312" t="s">
        <v>341</v>
      </c>
      <c r="W21" s="1313"/>
      <c r="X21" s="1313"/>
      <c r="Y21" s="1313"/>
      <c r="Z21" s="1314"/>
      <c r="AA21" s="1312" t="s">
        <v>342</v>
      </c>
      <c r="AB21" s="1313"/>
      <c r="AC21" s="1313"/>
      <c r="AD21" s="1313"/>
      <c r="AE21" s="1314"/>
      <c r="AF21" s="255"/>
      <c r="AG21" s="255"/>
      <c r="AH21" s="255"/>
      <c r="AI21" s="255"/>
    </row>
    <row r="22" spans="3:35" ht="36.75" thickBot="1" x14ac:dyDescent="0.3">
      <c r="C22" s="255"/>
      <c r="D22" s="267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1315" t="s">
        <v>34</v>
      </c>
      <c r="R22" s="1316"/>
      <c r="S22" s="898" t="s">
        <v>343</v>
      </c>
      <c r="T22" s="268" t="s">
        <v>13</v>
      </c>
      <c r="U22" s="255"/>
      <c r="V22" s="1315" t="s">
        <v>34</v>
      </c>
      <c r="W22" s="1316"/>
      <c r="X22" s="1316"/>
      <c r="Y22" s="898" t="s">
        <v>343</v>
      </c>
      <c r="Z22" s="268" t="s">
        <v>13</v>
      </c>
      <c r="AA22" s="1315" t="s">
        <v>344</v>
      </c>
      <c r="AB22" s="1316"/>
      <c r="AC22" s="1316"/>
      <c r="AD22" s="898" t="s">
        <v>343</v>
      </c>
      <c r="AE22" s="268" t="s">
        <v>13</v>
      </c>
      <c r="AF22" s="255"/>
      <c r="AG22" s="255"/>
      <c r="AH22" s="1329" t="s">
        <v>345</v>
      </c>
      <c r="AI22" s="1329"/>
    </row>
    <row r="23" spans="3:35" ht="40.5" x14ac:dyDescent="0.25">
      <c r="C23" s="1324" t="s">
        <v>346</v>
      </c>
      <c r="D23" s="1317" t="s">
        <v>347</v>
      </c>
      <c r="E23" s="1317" t="s">
        <v>348</v>
      </c>
      <c r="F23" s="1317" t="s">
        <v>349</v>
      </c>
      <c r="G23" s="1317" t="s">
        <v>350</v>
      </c>
      <c r="H23" s="1317" t="s">
        <v>351</v>
      </c>
      <c r="I23" s="1317" t="s">
        <v>352</v>
      </c>
      <c r="J23" s="1319" t="s">
        <v>353</v>
      </c>
      <c r="K23" s="1321" t="s">
        <v>354</v>
      </c>
      <c r="L23" s="271" t="s">
        <v>355</v>
      </c>
      <c r="M23" s="270" t="s">
        <v>356</v>
      </c>
      <c r="N23" s="272" t="s">
        <v>357</v>
      </c>
      <c r="O23" s="271" t="s">
        <v>358</v>
      </c>
      <c r="P23" s="272" t="s">
        <v>359</v>
      </c>
      <c r="Q23" s="271" t="s">
        <v>360</v>
      </c>
      <c r="R23" s="270" t="s">
        <v>361</v>
      </c>
      <c r="S23" s="270" t="s">
        <v>362</v>
      </c>
      <c r="T23" s="272" t="s">
        <v>13</v>
      </c>
      <c r="U23" s="1326" t="s">
        <v>363</v>
      </c>
      <c r="V23" s="271" t="s">
        <v>360</v>
      </c>
      <c r="W23" s="270" t="s">
        <v>361</v>
      </c>
      <c r="X23" s="270" t="s">
        <v>364</v>
      </c>
      <c r="Y23" s="270" t="s">
        <v>365</v>
      </c>
      <c r="Z23" s="272" t="s">
        <v>366</v>
      </c>
      <c r="AA23" s="271" t="s">
        <v>360</v>
      </c>
      <c r="AB23" s="270" t="s">
        <v>367</v>
      </c>
      <c r="AC23" s="270" t="s">
        <v>368</v>
      </c>
      <c r="AD23" s="270" t="s">
        <v>365</v>
      </c>
      <c r="AE23" s="272" t="s">
        <v>369</v>
      </c>
      <c r="AF23" s="1326" t="s">
        <v>370</v>
      </c>
      <c r="AG23" s="269"/>
      <c r="AH23" s="1328" t="s">
        <v>34</v>
      </c>
      <c r="AI23" s="1328" t="s">
        <v>343</v>
      </c>
    </row>
    <row r="24" spans="3:35" ht="20.25" x14ac:dyDescent="0.25">
      <c r="C24" s="1325"/>
      <c r="D24" s="1318"/>
      <c r="E24" s="1318"/>
      <c r="F24" s="1318"/>
      <c r="G24" s="1318"/>
      <c r="H24" s="1318"/>
      <c r="I24" s="1318"/>
      <c r="J24" s="1320"/>
      <c r="K24" s="1322"/>
      <c r="L24" s="274" t="s">
        <v>371</v>
      </c>
      <c r="M24" s="273" t="s">
        <v>372</v>
      </c>
      <c r="N24" s="275" t="s">
        <v>373</v>
      </c>
      <c r="O24" s="274" t="s">
        <v>374</v>
      </c>
      <c r="P24" s="275" t="s">
        <v>375</v>
      </c>
      <c r="Q24" s="274" t="s">
        <v>376</v>
      </c>
      <c r="R24" s="273" t="s">
        <v>377</v>
      </c>
      <c r="S24" s="273" t="s">
        <v>378</v>
      </c>
      <c r="T24" s="275" t="s">
        <v>379</v>
      </c>
      <c r="U24" s="1327"/>
      <c r="V24" s="274" t="s">
        <v>380</v>
      </c>
      <c r="W24" s="273" t="s">
        <v>381</v>
      </c>
      <c r="X24" s="273" t="s">
        <v>382</v>
      </c>
      <c r="Y24" s="273" t="s">
        <v>383</v>
      </c>
      <c r="Z24" s="275" t="s">
        <v>384</v>
      </c>
      <c r="AA24" s="274" t="s">
        <v>385</v>
      </c>
      <c r="AB24" s="273" t="s">
        <v>386</v>
      </c>
      <c r="AC24" s="273" t="s">
        <v>387</v>
      </c>
      <c r="AD24" s="273" t="s">
        <v>388</v>
      </c>
      <c r="AE24" s="275" t="s">
        <v>389</v>
      </c>
      <c r="AF24" s="1327"/>
      <c r="AG24" s="269"/>
      <c r="AH24" s="1328"/>
      <c r="AI24" s="1328"/>
    </row>
    <row r="25" spans="3:35" ht="33.75" x14ac:dyDescent="0.25">
      <c r="C25" s="276"/>
      <c r="D25" s="899"/>
      <c r="E25" s="899"/>
      <c r="F25" s="899"/>
      <c r="G25" s="899"/>
      <c r="H25" s="899"/>
      <c r="I25" s="899"/>
      <c r="J25" s="899"/>
      <c r="K25" s="899"/>
      <c r="L25" s="277"/>
      <c r="M25" s="900"/>
      <c r="N25" s="278"/>
      <c r="O25" s="279">
        <v>36980</v>
      </c>
      <c r="P25" s="280">
        <f t="shared" ref="P25:T25" si="0">SUM(P26:P56)</f>
        <v>36980</v>
      </c>
      <c r="Q25" s="281">
        <f t="shared" si="0"/>
        <v>54565884.5</v>
      </c>
      <c r="R25" s="901">
        <f t="shared" si="0"/>
        <v>0</v>
      </c>
      <c r="S25" s="901">
        <f t="shared" si="0"/>
        <v>12754772.118790161</v>
      </c>
      <c r="T25" s="282">
        <f t="shared" si="0"/>
        <v>67320656.61879015</v>
      </c>
      <c r="U25" s="902"/>
      <c r="V25" s="283">
        <f t="shared" ref="V25:AE25" si="1">SUM(V26:V56)</f>
        <v>545658845</v>
      </c>
      <c r="W25" s="903">
        <f t="shared" si="1"/>
        <v>0</v>
      </c>
      <c r="X25" s="904">
        <f t="shared" si="1"/>
        <v>545658845</v>
      </c>
      <c r="Y25" s="904">
        <f t="shared" si="1"/>
        <v>0</v>
      </c>
      <c r="Z25" s="284">
        <f t="shared" si="1"/>
        <v>545658845</v>
      </c>
      <c r="AA25" s="285">
        <f t="shared" si="1"/>
        <v>727545126.66666675</v>
      </c>
      <c r="AB25" s="904">
        <f t="shared" si="1"/>
        <v>0</v>
      </c>
      <c r="AC25" s="904">
        <f t="shared" si="1"/>
        <v>727545126.66666675</v>
      </c>
      <c r="AD25" s="904">
        <f t="shared" si="1"/>
        <v>0</v>
      </c>
      <c r="AE25" s="284">
        <f t="shared" si="1"/>
        <v>727545126.66666675</v>
      </c>
      <c r="AF25" s="286"/>
      <c r="AG25" s="255"/>
      <c r="AH25" s="905" t="str">
        <f>IF(X25&gt;=(AC25/2),"Válido","Inválido")</f>
        <v>Válido</v>
      </c>
      <c r="AI25" s="905" t="str">
        <f>IF(Y25&gt;=(AD25/2),"Válido","Inválido")</f>
        <v>Válido</v>
      </c>
    </row>
    <row r="26" spans="3:35" ht="36" x14ac:dyDescent="0.3">
      <c r="C26" s="906" t="s">
        <v>390</v>
      </c>
      <c r="D26" s="906"/>
      <c r="E26" s="906"/>
      <c r="F26" s="907"/>
      <c r="G26" s="908"/>
      <c r="H26" s="906"/>
      <c r="I26" s="906" t="s">
        <v>391</v>
      </c>
      <c r="J26" s="906"/>
      <c r="K26" s="906"/>
      <c r="L26" s="909">
        <v>8157.41</v>
      </c>
      <c r="M26" s="909">
        <f t="shared" ref="M26:M27" si="2">N26-L26</f>
        <v>-4067.71</v>
      </c>
      <c r="N26" s="910">
        <v>4089.7</v>
      </c>
      <c r="O26" s="911">
        <v>4430</v>
      </c>
      <c r="P26" s="911">
        <v>4430</v>
      </c>
      <c r="Q26" s="912">
        <f>N26*P26</f>
        <v>18117371</v>
      </c>
      <c r="R26" s="912">
        <f t="shared" ref="R26:R56" si="3">IF(M26&gt;0,(M26*P26)*0.085,0)</f>
        <v>0</v>
      </c>
      <c r="S26" s="912">
        <f>N26*0.233749938*P26</f>
        <v>4234934.3479729975</v>
      </c>
      <c r="T26" s="912">
        <f t="shared" ref="T26:T56" si="4">SUM(Q26:S26)</f>
        <v>22352305.347972997</v>
      </c>
      <c r="U26" s="911">
        <v>4</v>
      </c>
      <c r="V26" s="909">
        <f t="shared" ref="V26:V56" si="5">IF(U26&lt;&gt;0,(Q26*(12-U26+1))+(Q26*((12-U26+1)/12))+((Q26*((12-U26+1)/12))/3),0)</f>
        <v>181173710</v>
      </c>
      <c r="W26" s="909">
        <f>IF(U26&lt;&gt;0,R26*(12-U26+1)+(R26*((12-U26+1)/12))+((R26*((12-U26+1)/12))/3),0)</f>
        <v>0</v>
      </c>
      <c r="X26" s="913">
        <f t="shared" ref="X26:X56" si="6">V26+W26</f>
        <v>181173710</v>
      </c>
      <c r="Y26" s="913"/>
      <c r="Z26" s="913">
        <f t="shared" ref="Z26:Z56" si="7">X26+Y26</f>
        <v>181173710</v>
      </c>
      <c r="AA26" s="913">
        <f>IF(U26&lt;&gt;0,Q26*(13+(1/3)),0)</f>
        <v>241564946.66666669</v>
      </c>
      <c r="AB26" s="913">
        <f>IF(V26&lt;&gt;0,R26*(13),0)</f>
        <v>0</v>
      </c>
      <c r="AC26" s="913">
        <f t="shared" ref="AC26:AC56" si="8">AA26+AB26</f>
        <v>241564946.66666669</v>
      </c>
      <c r="AD26" s="913"/>
      <c r="AE26" s="913">
        <f t="shared" ref="AE26:AE56" si="9">AC26+AD26</f>
        <v>241564946.66666669</v>
      </c>
      <c r="AF26" s="906"/>
      <c r="AG26" s="255"/>
      <c r="AH26" s="287"/>
      <c r="AI26" s="287"/>
    </row>
    <row r="27" spans="3:35" ht="36" x14ac:dyDescent="0.3">
      <c r="C27" s="906" t="s">
        <v>390</v>
      </c>
      <c r="D27" s="906"/>
      <c r="E27" s="906"/>
      <c r="F27" s="907"/>
      <c r="G27" s="908"/>
      <c r="H27" s="906"/>
      <c r="I27" s="906" t="s">
        <v>392</v>
      </c>
      <c r="J27" s="906"/>
      <c r="K27" s="906"/>
      <c r="L27" s="909">
        <v>8157.41</v>
      </c>
      <c r="M27" s="909">
        <f t="shared" si="2"/>
        <v>-7037.6399999999994</v>
      </c>
      <c r="N27" s="910">
        <v>1119.77</v>
      </c>
      <c r="O27" s="911">
        <v>32550</v>
      </c>
      <c r="P27" s="911">
        <v>32550</v>
      </c>
      <c r="Q27" s="912">
        <f t="shared" ref="Q27:Q56" si="10">N27*P27</f>
        <v>36448513.5</v>
      </c>
      <c r="R27" s="912">
        <f t="shared" si="3"/>
        <v>0</v>
      </c>
      <c r="S27" s="912">
        <f>N27*0.233749938*P27</f>
        <v>8519837.7708171625</v>
      </c>
      <c r="T27" s="912">
        <f t="shared" si="4"/>
        <v>44968351.270817161</v>
      </c>
      <c r="U27" s="911">
        <v>4</v>
      </c>
      <c r="V27" s="909">
        <f t="shared" si="5"/>
        <v>364485135</v>
      </c>
      <c r="W27" s="909">
        <f t="shared" ref="W27:W56" si="11">IF(U27&lt;&gt;0,R27*(12-U27+1)+(R27*((12-U27+1)/12))+((R27*((12-U27+1)/12))/3),0)</f>
        <v>0</v>
      </c>
      <c r="X27" s="913">
        <f t="shared" si="6"/>
        <v>364485135</v>
      </c>
      <c r="Y27" s="913"/>
      <c r="Z27" s="913">
        <f t="shared" si="7"/>
        <v>364485135</v>
      </c>
      <c r="AA27" s="913">
        <f t="shared" ref="AA27:AA56" si="12">IF(U27&lt;&gt;0,Q27*(13+(1/3)),0)</f>
        <v>485980180</v>
      </c>
      <c r="AB27" s="913">
        <f t="shared" ref="AB27:AB56" si="13">IF(V27&lt;&gt;0,R27*(13),0)</f>
        <v>0</v>
      </c>
      <c r="AC27" s="913">
        <f t="shared" si="8"/>
        <v>485980180</v>
      </c>
      <c r="AD27" s="913"/>
      <c r="AE27" s="913">
        <f t="shared" si="9"/>
        <v>485980180</v>
      </c>
      <c r="AF27" s="906"/>
      <c r="AG27" s="255"/>
      <c r="AH27" s="287"/>
      <c r="AI27" s="287"/>
    </row>
    <row r="28" spans="3:35" ht="18.75" x14ac:dyDescent="0.3">
      <c r="C28" s="906"/>
      <c r="D28" s="906"/>
      <c r="E28" s="906"/>
      <c r="F28" s="907"/>
      <c r="G28" s="908"/>
      <c r="H28" s="906"/>
      <c r="I28" s="906"/>
      <c r="J28" s="906"/>
      <c r="K28" s="906"/>
      <c r="L28" s="909"/>
      <c r="M28" s="909"/>
      <c r="N28" s="914"/>
      <c r="O28" s="911"/>
      <c r="P28" s="915"/>
      <c r="Q28" s="912">
        <f t="shared" si="10"/>
        <v>0</v>
      </c>
      <c r="R28" s="912">
        <f t="shared" si="3"/>
        <v>0</v>
      </c>
      <c r="S28" s="912">
        <f t="shared" ref="S28:S56" si="14">IF(N28&lt;L28,N28*0.28*P28,L28*0.28*P28)</f>
        <v>0</v>
      </c>
      <c r="T28" s="912">
        <f t="shared" si="4"/>
        <v>0</v>
      </c>
      <c r="U28" s="911"/>
      <c r="V28" s="909">
        <f t="shared" si="5"/>
        <v>0</v>
      </c>
      <c r="W28" s="909">
        <f t="shared" si="11"/>
        <v>0</v>
      </c>
      <c r="X28" s="909">
        <f t="shared" si="6"/>
        <v>0</v>
      </c>
      <c r="Y28" s="909">
        <f t="shared" ref="Y28:Y56" si="15">IF(U28&lt;&gt;0,S28*(12-U28+1)+(S28*((12-U28+1)/12)),0)</f>
        <v>0</v>
      </c>
      <c r="Z28" s="909">
        <f t="shared" si="7"/>
        <v>0</v>
      </c>
      <c r="AA28" s="909">
        <f t="shared" si="12"/>
        <v>0</v>
      </c>
      <c r="AB28" s="909">
        <f t="shared" si="13"/>
        <v>0</v>
      </c>
      <c r="AC28" s="909">
        <f t="shared" si="8"/>
        <v>0</v>
      </c>
      <c r="AD28" s="909">
        <f t="shared" ref="AD28:AD56" si="16">IF(W28&lt;&gt;0,S28*(13),0)</f>
        <v>0</v>
      </c>
      <c r="AE28" s="909">
        <f t="shared" si="9"/>
        <v>0</v>
      </c>
      <c r="AF28" s="906"/>
      <c r="AG28" s="255"/>
      <c r="AH28" s="287"/>
      <c r="AI28" s="287"/>
    </row>
    <row r="29" spans="3:35" ht="18.75" x14ac:dyDescent="0.3">
      <c r="C29" s="908"/>
      <c r="D29" s="906"/>
      <c r="E29" s="906"/>
      <c r="F29" s="907"/>
      <c r="G29" s="908"/>
      <c r="H29" s="906"/>
      <c r="I29" s="906"/>
      <c r="J29" s="906"/>
      <c r="K29" s="906"/>
      <c r="L29" s="909"/>
      <c r="M29" s="909"/>
      <c r="N29" s="914"/>
      <c r="O29" s="911"/>
      <c r="P29" s="915"/>
      <c r="Q29" s="912">
        <f t="shared" si="10"/>
        <v>0</v>
      </c>
      <c r="R29" s="912">
        <f t="shared" si="3"/>
        <v>0</v>
      </c>
      <c r="S29" s="912">
        <f t="shared" si="14"/>
        <v>0</v>
      </c>
      <c r="T29" s="912">
        <f t="shared" si="4"/>
        <v>0</v>
      </c>
      <c r="U29" s="911"/>
      <c r="V29" s="909">
        <f t="shared" si="5"/>
        <v>0</v>
      </c>
      <c r="W29" s="909">
        <f t="shared" si="11"/>
        <v>0</v>
      </c>
      <c r="X29" s="909">
        <f t="shared" si="6"/>
        <v>0</v>
      </c>
      <c r="Y29" s="909">
        <f t="shared" si="15"/>
        <v>0</v>
      </c>
      <c r="Z29" s="909">
        <f t="shared" si="7"/>
        <v>0</v>
      </c>
      <c r="AA29" s="909">
        <f t="shared" si="12"/>
        <v>0</v>
      </c>
      <c r="AB29" s="909">
        <f t="shared" si="13"/>
        <v>0</v>
      </c>
      <c r="AC29" s="909">
        <f t="shared" si="8"/>
        <v>0</v>
      </c>
      <c r="AD29" s="909">
        <f t="shared" si="16"/>
        <v>0</v>
      </c>
      <c r="AE29" s="909">
        <f t="shared" si="9"/>
        <v>0</v>
      </c>
      <c r="AF29" s="906"/>
      <c r="AG29" s="255"/>
      <c r="AH29" s="287"/>
      <c r="AI29" s="287"/>
    </row>
    <row r="30" spans="3:35" ht="18.75" x14ac:dyDescent="0.3">
      <c r="C30" s="908"/>
      <c r="D30" s="906"/>
      <c r="E30" s="906"/>
      <c r="F30" s="907"/>
      <c r="G30" s="908"/>
      <c r="H30" s="906"/>
      <c r="I30" s="906"/>
      <c r="J30" s="906"/>
      <c r="K30" s="906"/>
      <c r="L30" s="909"/>
      <c r="M30" s="909"/>
      <c r="N30" s="914"/>
      <c r="O30" s="911"/>
      <c r="P30" s="911"/>
      <c r="Q30" s="912">
        <f t="shared" si="10"/>
        <v>0</v>
      </c>
      <c r="R30" s="912">
        <f t="shared" si="3"/>
        <v>0</v>
      </c>
      <c r="S30" s="912">
        <f t="shared" si="14"/>
        <v>0</v>
      </c>
      <c r="T30" s="912">
        <f t="shared" si="4"/>
        <v>0</v>
      </c>
      <c r="U30" s="911"/>
      <c r="V30" s="909">
        <f t="shared" si="5"/>
        <v>0</v>
      </c>
      <c r="W30" s="909">
        <f t="shared" si="11"/>
        <v>0</v>
      </c>
      <c r="X30" s="909">
        <f t="shared" si="6"/>
        <v>0</v>
      </c>
      <c r="Y30" s="909">
        <f t="shared" si="15"/>
        <v>0</v>
      </c>
      <c r="Z30" s="909">
        <f t="shared" si="7"/>
        <v>0</v>
      </c>
      <c r="AA30" s="909">
        <f t="shared" si="12"/>
        <v>0</v>
      </c>
      <c r="AB30" s="909">
        <f t="shared" si="13"/>
        <v>0</v>
      </c>
      <c r="AC30" s="909">
        <f t="shared" si="8"/>
        <v>0</v>
      </c>
      <c r="AD30" s="909">
        <f t="shared" si="16"/>
        <v>0</v>
      </c>
      <c r="AE30" s="909">
        <f t="shared" si="9"/>
        <v>0</v>
      </c>
      <c r="AF30" s="906"/>
      <c r="AG30" s="255"/>
      <c r="AH30" s="287"/>
      <c r="AI30" s="287"/>
    </row>
    <row r="31" spans="3:35" ht="18.75" x14ac:dyDescent="0.3">
      <c r="C31" s="908"/>
      <c r="D31" s="906"/>
      <c r="E31" s="906"/>
      <c r="F31" s="907"/>
      <c r="G31" s="908"/>
      <c r="H31" s="906"/>
      <c r="I31" s="906"/>
      <c r="J31" s="906"/>
      <c r="K31" s="906"/>
      <c r="L31" s="909"/>
      <c r="M31" s="909"/>
      <c r="N31" s="914"/>
      <c r="O31" s="911"/>
      <c r="P31" s="911"/>
      <c r="Q31" s="912">
        <f t="shared" si="10"/>
        <v>0</v>
      </c>
      <c r="R31" s="912">
        <f t="shared" si="3"/>
        <v>0</v>
      </c>
      <c r="S31" s="912">
        <f t="shared" si="14"/>
        <v>0</v>
      </c>
      <c r="T31" s="912">
        <f t="shared" si="4"/>
        <v>0</v>
      </c>
      <c r="U31" s="911"/>
      <c r="V31" s="909">
        <f t="shared" si="5"/>
        <v>0</v>
      </c>
      <c r="W31" s="909">
        <f t="shared" si="11"/>
        <v>0</v>
      </c>
      <c r="X31" s="909">
        <f t="shared" si="6"/>
        <v>0</v>
      </c>
      <c r="Y31" s="909">
        <f t="shared" si="15"/>
        <v>0</v>
      </c>
      <c r="Z31" s="909">
        <f t="shared" si="7"/>
        <v>0</v>
      </c>
      <c r="AA31" s="909">
        <f t="shared" si="12"/>
        <v>0</v>
      </c>
      <c r="AB31" s="909">
        <f t="shared" si="13"/>
        <v>0</v>
      </c>
      <c r="AC31" s="909">
        <f t="shared" si="8"/>
        <v>0</v>
      </c>
      <c r="AD31" s="909">
        <f t="shared" si="16"/>
        <v>0</v>
      </c>
      <c r="AE31" s="909">
        <f t="shared" si="9"/>
        <v>0</v>
      </c>
      <c r="AF31" s="906"/>
      <c r="AG31" s="255"/>
      <c r="AH31" s="287"/>
      <c r="AI31" s="287"/>
    </row>
    <row r="32" spans="3:35" ht="18.75" x14ac:dyDescent="0.3">
      <c r="C32" s="908"/>
      <c r="D32" s="906"/>
      <c r="E32" s="906"/>
      <c r="F32" s="907"/>
      <c r="G32" s="908"/>
      <c r="H32" s="906"/>
      <c r="I32" s="906"/>
      <c r="J32" s="906"/>
      <c r="K32" s="906"/>
      <c r="L32" s="909"/>
      <c r="M32" s="909"/>
      <c r="N32" s="914"/>
      <c r="O32" s="911"/>
      <c r="P32" s="911"/>
      <c r="Q32" s="912">
        <f t="shared" si="10"/>
        <v>0</v>
      </c>
      <c r="R32" s="912">
        <f t="shared" si="3"/>
        <v>0</v>
      </c>
      <c r="S32" s="912">
        <f t="shared" si="14"/>
        <v>0</v>
      </c>
      <c r="T32" s="912">
        <f t="shared" si="4"/>
        <v>0</v>
      </c>
      <c r="U32" s="911"/>
      <c r="V32" s="909">
        <f t="shared" si="5"/>
        <v>0</v>
      </c>
      <c r="W32" s="909">
        <f t="shared" si="11"/>
        <v>0</v>
      </c>
      <c r="X32" s="909">
        <f t="shared" si="6"/>
        <v>0</v>
      </c>
      <c r="Y32" s="909">
        <f t="shared" si="15"/>
        <v>0</v>
      </c>
      <c r="Z32" s="909">
        <f t="shared" si="7"/>
        <v>0</v>
      </c>
      <c r="AA32" s="909">
        <f t="shared" si="12"/>
        <v>0</v>
      </c>
      <c r="AB32" s="909">
        <f t="shared" si="13"/>
        <v>0</v>
      </c>
      <c r="AC32" s="909">
        <f t="shared" si="8"/>
        <v>0</v>
      </c>
      <c r="AD32" s="909">
        <f t="shared" si="16"/>
        <v>0</v>
      </c>
      <c r="AE32" s="909">
        <f t="shared" si="9"/>
        <v>0</v>
      </c>
      <c r="AF32" s="906"/>
      <c r="AG32" s="255"/>
      <c r="AH32" s="287"/>
      <c r="AI32" s="287"/>
    </row>
    <row r="33" spans="3:32" ht="18.75" x14ac:dyDescent="0.3">
      <c r="C33" s="908"/>
      <c r="D33" s="906"/>
      <c r="E33" s="906"/>
      <c r="F33" s="907"/>
      <c r="G33" s="908"/>
      <c r="H33" s="906"/>
      <c r="I33" s="906"/>
      <c r="J33" s="906"/>
      <c r="K33" s="906"/>
      <c r="L33" s="909"/>
      <c r="M33" s="909"/>
      <c r="N33" s="914"/>
      <c r="O33" s="911"/>
      <c r="P33" s="911"/>
      <c r="Q33" s="912">
        <f t="shared" si="10"/>
        <v>0</v>
      </c>
      <c r="R33" s="912">
        <f t="shared" si="3"/>
        <v>0</v>
      </c>
      <c r="S33" s="912">
        <f t="shared" si="14"/>
        <v>0</v>
      </c>
      <c r="T33" s="912">
        <f t="shared" si="4"/>
        <v>0</v>
      </c>
      <c r="U33" s="911"/>
      <c r="V33" s="909">
        <f t="shared" si="5"/>
        <v>0</v>
      </c>
      <c r="W33" s="909">
        <f t="shared" si="11"/>
        <v>0</v>
      </c>
      <c r="X33" s="909">
        <f t="shared" si="6"/>
        <v>0</v>
      </c>
      <c r="Y33" s="909">
        <f t="shared" si="15"/>
        <v>0</v>
      </c>
      <c r="Z33" s="909">
        <f t="shared" si="7"/>
        <v>0</v>
      </c>
      <c r="AA33" s="909">
        <f t="shared" si="12"/>
        <v>0</v>
      </c>
      <c r="AB33" s="909">
        <f t="shared" si="13"/>
        <v>0</v>
      </c>
      <c r="AC33" s="909">
        <f t="shared" si="8"/>
        <v>0</v>
      </c>
      <c r="AD33" s="909">
        <f t="shared" si="16"/>
        <v>0</v>
      </c>
      <c r="AE33" s="909">
        <f t="shared" si="9"/>
        <v>0</v>
      </c>
      <c r="AF33" s="906"/>
    </row>
    <row r="34" spans="3:32" ht="18.75" x14ac:dyDescent="0.3">
      <c r="C34" s="908"/>
      <c r="D34" s="906"/>
      <c r="E34" s="906"/>
      <c r="F34" s="907"/>
      <c r="G34" s="908"/>
      <c r="H34" s="906"/>
      <c r="I34" s="906"/>
      <c r="J34" s="906"/>
      <c r="K34" s="906"/>
      <c r="L34" s="909"/>
      <c r="M34" s="909"/>
      <c r="N34" s="914"/>
      <c r="O34" s="911"/>
      <c r="P34" s="911"/>
      <c r="Q34" s="912">
        <f t="shared" si="10"/>
        <v>0</v>
      </c>
      <c r="R34" s="912">
        <f t="shared" si="3"/>
        <v>0</v>
      </c>
      <c r="S34" s="912">
        <f t="shared" si="14"/>
        <v>0</v>
      </c>
      <c r="T34" s="912">
        <f t="shared" si="4"/>
        <v>0</v>
      </c>
      <c r="U34" s="911"/>
      <c r="V34" s="909">
        <f t="shared" si="5"/>
        <v>0</v>
      </c>
      <c r="W34" s="909">
        <f t="shared" si="11"/>
        <v>0</v>
      </c>
      <c r="X34" s="909">
        <f t="shared" si="6"/>
        <v>0</v>
      </c>
      <c r="Y34" s="909">
        <f t="shared" si="15"/>
        <v>0</v>
      </c>
      <c r="Z34" s="909">
        <f t="shared" si="7"/>
        <v>0</v>
      </c>
      <c r="AA34" s="909">
        <f t="shared" si="12"/>
        <v>0</v>
      </c>
      <c r="AB34" s="909">
        <f t="shared" si="13"/>
        <v>0</v>
      </c>
      <c r="AC34" s="909">
        <f t="shared" si="8"/>
        <v>0</v>
      </c>
      <c r="AD34" s="909">
        <f t="shared" si="16"/>
        <v>0</v>
      </c>
      <c r="AE34" s="909">
        <f t="shared" si="9"/>
        <v>0</v>
      </c>
      <c r="AF34" s="906"/>
    </row>
    <row r="35" spans="3:32" ht="18.75" x14ac:dyDescent="0.3">
      <c r="C35" s="908"/>
      <c r="D35" s="906"/>
      <c r="E35" s="906"/>
      <c r="F35" s="907"/>
      <c r="G35" s="908"/>
      <c r="H35" s="906"/>
      <c r="I35" s="906"/>
      <c r="J35" s="906"/>
      <c r="K35" s="906"/>
      <c r="L35" s="909"/>
      <c r="M35" s="909"/>
      <c r="N35" s="914"/>
      <c r="O35" s="911"/>
      <c r="P35" s="911"/>
      <c r="Q35" s="912">
        <f t="shared" si="10"/>
        <v>0</v>
      </c>
      <c r="R35" s="912">
        <f t="shared" si="3"/>
        <v>0</v>
      </c>
      <c r="S35" s="912">
        <f t="shared" si="14"/>
        <v>0</v>
      </c>
      <c r="T35" s="912">
        <f t="shared" si="4"/>
        <v>0</v>
      </c>
      <c r="U35" s="911"/>
      <c r="V35" s="909">
        <f t="shared" si="5"/>
        <v>0</v>
      </c>
      <c r="W35" s="909">
        <f t="shared" si="11"/>
        <v>0</v>
      </c>
      <c r="X35" s="909">
        <f t="shared" si="6"/>
        <v>0</v>
      </c>
      <c r="Y35" s="909">
        <f t="shared" si="15"/>
        <v>0</v>
      </c>
      <c r="Z35" s="909">
        <f t="shared" si="7"/>
        <v>0</v>
      </c>
      <c r="AA35" s="909">
        <f t="shared" si="12"/>
        <v>0</v>
      </c>
      <c r="AB35" s="909">
        <f t="shared" si="13"/>
        <v>0</v>
      </c>
      <c r="AC35" s="909">
        <f t="shared" si="8"/>
        <v>0</v>
      </c>
      <c r="AD35" s="909">
        <f t="shared" si="16"/>
        <v>0</v>
      </c>
      <c r="AE35" s="909">
        <f t="shared" si="9"/>
        <v>0</v>
      </c>
      <c r="AF35" s="906"/>
    </row>
    <row r="36" spans="3:32" ht="18.75" x14ac:dyDescent="0.3">
      <c r="C36" s="908"/>
      <c r="D36" s="906"/>
      <c r="E36" s="906"/>
      <c r="F36" s="907"/>
      <c r="G36" s="908"/>
      <c r="H36" s="906"/>
      <c r="I36" s="906"/>
      <c r="J36" s="906"/>
      <c r="K36" s="906"/>
      <c r="L36" s="909"/>
      <c r="M36" s="909"/>
      <c r="N36" s="914"/>
      <c r="O36" s="911"/>
      <c r="P36" s="911"/>
      <c r="Q36" s="912">
        <f t="shared" si="10"/>
        <v>0</v>
      </c>
      <c r="R36" s="912">
        <f t="shared" si="3"/>
        <v>0</v>
      </c>
      <c r="S36" s="912">
        <f t="shared" si="14"/>
        <v>0</v>
      </c>
      <c r="T36" s="912">
        <f t="shared" si="4"/>
        <v>0</v>
      </c>
      <c r="U36" s="911"/>
      <c r="V36" s="909">
        <f t="shared" si="5"/>
        <v>0</v>
      </c>
      <c r="W36" s="909">
        <f t="shared" si="11"/>
        <v>0</v>
      </c>
      <c r="X36" s="909">
        <f t="shared" si="6"/>
        <v>0</v>
      </c>
      <c r="Y36" s="909">
        <f t="shared" si="15"/>
        <v>0</v>
      </c>
      <c r="Z36" s="909">
        <f t="shared" si="7"/>
        <v>0</v>
      </c>
      <c r="AA36" s="909">
        <f t="shared" si="12"/>
        <v>0</v>
      </c>
      <c r="AB36" s="909">
        <f t="shared" si="13"/>
        <v>0</v>
      </c>
      <c r="AC36" s="909">
        <f t="shared" si="8"/>
        <v>0</v>
      </c>
      <c r="AD36" s="909">
        <f t="shared" si="16"/>
        <v>0</v>
      </c>
      <c r="AE36" s="909">
        <f t="shared" si="9"/>
        <v>0</v>
      </c>
      <c r="AF36" s="906"/>
    </row>
    <row r="37" spans="3:32" ht="18.75" x14ac:dyDescent="0.3">
      <c r="C37" s="908"/>
      <c r="D37" s="906"/>
      <c r="E37" s="906"/>
      <c r="F37" s="907"/>
      <c r="G37" s="908"/>
      <c r="H37" s="906"/>
      <c r="I37" s="906"/>
      <c r="J37" s="906"/>
      <c r="K37" s="906"/>
      <c r="L37" s="909"/>
      <c r="M37" s="909"/>
      <c r="N37" s="914"/>
      <c r="O37" s="911"/>
      <c r="P37" s="911"/>
      <c r="Q37" s="912">
        <f t="shared" si="10"/>
        <v>0</v>
      </c>
      <c r="R37" s="912">
        <f t="shared" si="3"/>
        <v>0</v>
      </c>
      <c r="S37" s="912">
        <f t="shared" si="14"/>
        <v>0</v>
      </c>
      <c r="T37" s="912">
        <f t="shared" si="4"/>
        <v>0</v>
      </c>
      <c r="U37" s="911"/>
      <c r="V37" s="909">
        <f t="shared" si="5"/>
        <v>0</v>
      </c>
      <c r="W37" s="909">
        <f t="shared" si="11"/>
        <v>0</v>
      </c>
      <c r="X37" s="909">
        <f t="shared" si="6"/>
        <v>0</v>
      </c>
      <c r="Y37" s="909">
        <f t="shared" si="15"/>
        <v>0</v>
      </c>
      <c r="Z37" s="909">
        <f t="shared" si="7"/>
        <v>0</v>
      </c>
      <c r="AA37" s="909">
        <f t="shared" si="12"/>
        <v>0</v>
      </c>
      <c r="AB37" s="909">
        <f t="shared" si="13"/>
        <v>0</v>
      </c>
      <c r="AC37" s="909">
        <f t="shared" si="8"/>
        <v>0</v>
      </c>
      <c r="AD37" s="909">
        <f t="shared" si="16"/>
        <v>0</v>
      </c>
      <c r="AE37" s="909">
        <f t="shared" si="9"/>
        <v>0</v>
      </c>
      <c r="AF37" s="906"/>
    </row>
    <row r="38" spans="3:32" ht="18.75" x14ac:dyDescent="0.3">
      <c r="C38" s="908"/>
      <c r="D38" s="906"/>
      <c r="E38" s="906"/>
      <c r="F38" s="907"/>
      <c r="G38" s="908"/>
      <c r="H38" s="906"/>
      <c r="I38" s="906"/>
      <c r="J38" s="906"/>
      <c r="K38" s="906"/>
      <c r="L38" s="909"/>
      <c r="M38" s="909"/>
      <c r="N38" s="914"/>
      <c r="O38" s="911"/>
      <c r="P38" s="911"/>
      <c r="Q38" s="912">
        <f t="shared" si="10"/>
        <v>0</v>
      </c>
      <c r="R38" s="912">
        <f t="shared" si="3"/>
        <v>0</v>
      </c>
      <c r="S38" s="912">
        <f t="shared" si="14"/>
        <v>0</v>
      </c>
      <c r="T38" s="912">
        <f t="shared" si="4"/>
        <v>0</v>
      </c>
      <c r="U38" s="911"/>
      <c r="V38" s="909">
        <f t="shared" si="5"/>
        <v>0</v>
      </c>
      <c r="W38" s="909">
        <f t="shared" si="11"/>
        <v>0</v>
      </c>
      <c r="X38" s="909">
        <f t="shared" si="6"/>
        <v>0</v>
      </c>
      <c r="Y38" s="909">
        <f t="shared" si="15"/>
        <v>0</v>
      </c>
      <c r="Z38" s="909">
        <f t="shared" si="7"/>
        <v>0</v>
      </c>
      <c r="AA38" s="909">
        <f t="shared" si="12"/>
        <v>0</v>
      </c>
      <c r="AB38" s="909">
        <f t="shared" si="13"/>
        <v>0</v>
      </c>
      <c r="AC38" s="909">
        <f t="shared" si="8"/>
        <v>0</v>
      </c>
      <c r="AD38" s="909">
        <f t="shared" si="16"/>
        <v>0</v>
      </c>
      <c r="AE38" s="909">
        <f t="shared" si="9"/>
        <v>0</v>
      </c>
      <c r="AF38" s="906"/>
    </row>
    <row r="39" spans="3:32" ht="18.75" x14ac:dyDescent="0.3">
      <c r="C39" s="908"/>
      <c r="D39" s="906"/>
      <c r="E39" s="906"/>
      <c r="F39" s="907"/>
      <c r="G39" s="908"/>
      <c r="H39" s="906"/>
      <c r="I39" s="906"/>
      <c r="J39" s="906"/>
      <c r="K39" s="906"/>
      <c r="L39" s="909"/>
      <c r="M39" s="909"/>
      <c r="N39" s="914"/>
      <c r="O39" s="911"/>
      <c r="P39" s="911"/>
      <c r="Q39" s="912">
        <f t="shared" si="10"/>
        <v>0</v>
      </c>
      <c r="R39" s="912">
        <f t="shared" si="3"/>
        <v>0</v>
      </c>
      <c r="S39" s="912">
        <f t="shared" si="14"/>
        <v>0</v>
      </c>
      <c r="T39" s="912">
        <f t="shared" si="4"/>
        <v>0</v>
      </c>
      <c r="U39" s="911"/>
      <c r="V39" s="909">
        <f t="shared" si="5"/>
        <v>0</v>
      </c>
      <c r="W39" s="909">
        <f t="shared" si="11"/>
        <v>0</v>
      </c>
      <c r="X39" s="909">
        <f t="shared" si="6"/>
        <v>0</v>
      </c>
      <c r="Y39" s="909">
        <f t="shared" si="15"/>
        <v>0</v>
      </c>
      <c r="Z39" s="909">
        <f t="shared" si="7"/>
        <v>0</v>
      </c>
      <c r="AA39" s="909">
        <f t="shared" si="12"/>
        <v>0</v>
      </c>
      <c r="AB39" s="909">
        <f t="shared" si="13"/>
        <v>0</v>
      </c>
      <c r="AC39" s="909">
        <f t="shared" si="8"/>
        <v>0</v>
      </c>
      <c r="AD39" s="909">
        <f t="shared" si="16"/>
        <v>0</v>
      </c>
      <c r="AE39" s="909">
        <f t="shared" si="9"/>
        <v>0</v>
      </c>
      <c r="AF39" s="906"/>
    </row>
    <row r="40" spans="3:32" ht="18.75" x14ac:dyDescent="0.3">
      <c r="C40" s="908"/>
      <c r="D40" s="906"/>
      <c r="E40" s="906"/>
      <c r="F40" s="907"/>
      <c r="G40" s="908"/>
      <c r="H40" s="906"/>
      <c r="I40" s="906"/>
      <c r="J40" s="906"/>
      <c r="K40" s="906"/>
      <c r="L40" s="909"/>
      <c r="M40" s="909"/>
      <c r="N40" s="914"/>
      <c r="O40" s="911"/>
      <c r="P40" s="911"/>
      <c r="Q40" s="912">
        <f t="shared" si="10"/>
        <v>0</v>
      </c>
      <c r="R40" s="912">
        <f t="shared" si="3"/>
        <v>0</v>
      </c>
      <c r="S40" s="912">
        <f t="shared" si="14"/>
        <v>0</v>
      </c>
      <c r="T40" s="912">
        <f t="shared" si="4"/>
        <v>0</v>
      </c>
      <c r="U40" s="911"/>
      <c r="V40" s="909">
        <f t="shared" si="5"/>
        <v>0</v>
      </c>
      <c r="W40" s="909">
        <f t="shared" si="11"/>
        <v>0</v>
      </c>
      <c r="X40" s="909">
        <f t="shared" si="6"/>
        <v>0</v>
      </c>
      <c r="Y40" s="909">
        <f t="shared" si="15"/>
        <v>0</v>
      </c>
      <c r="Z40" s="909">
        <f t="shared" si="7"/>
        <v>0</v>
      </c>
      <c r="AA40" s="909">
        <f t="shared" si="12"/>
        <v>0</v>
      </c>
      <c r="AB40" s="909">
        <f t="shared" si="13"/>
        <v>0</v>
      </c>
      <c r="AC40" s="909">
        <f t="shared" si="8"/>
        <v>0</v>
      </c>
      <c r="AD40" s="909">
        <f t="shared" si="16"/>
        <v>0</v>
      </c>
      <c r="AE40" s="909">
        <f t="shared" si="9"/>
        <v>0</v>
      </c>
      <c r="AF40" s="906"/>
    </row>
    <row r="41" spans="3:32" ht="18.75" x14ac:dyDescent="0.3">
      <c r="C41" s="908"/>
      <c r="D41" s="906"/>
      <c r="E41" s="906"/>
      <c r="F41" s="907"/>
      <c r="G41" s="908"/>
      <c r="H41" s="906"/>
      <c r="I41" s="906"/>
      <c r="J41" s="906"/>
      <c r="K41" s="906"/>
      <c r="L41" s="909"/>
      <c r="M41" s="909"/>
      <c r="N41" s="914"/>
      <c r="O41" s="911"/>
      <c r="P41" s="911"/>
      <c r="Q41" s="912">
        <f t="shared" si="10"/>
        <v>0</v>
      </c>
      <c r="R41" s="912">
        <f t="shared" si="3"/>
        <v>0</v>
      </c>
      <c r="S41" s="912">
        <f t="shared" si="14"/>
        <v>0</v>
      </c>
      <c r="T41" s="912">
        <f t="shared" si="4"/>
        <v>0</v>
      </c>
      <c r="U41" s="911"/>
      <c r="V41" s="909">
        <f t="shared" si="5"/>
        <v>0</v>
      </c>
      <c r="W41" s="909">
        <f t="shared" si="11"/>
        <v>0</v>
      </c>
      <c r="X41" s="909">
        <f t="shared" si="6"/>
        <v>0</v>
      </c>
      <c r="Y41" s="909">
        <f t="shared" si="15"/>
        <v>0</v>
      </c>
      <c r="Z41" s="909">
        <f t="shared" si="7"/>
        <v>0</v>
      </c>
      <c r="AA41" s="909">
        <f t="shared" si="12"/>
        <v>0</v>
      </c>
      <c r="AB41" s="909">
        <f t="shared" si="13"/>
        <v>0</v>
      </c>
      <c r="AC41" s="909">
        <f t="shared" si="8"/>
        <v>0</v>
      </c>
      <c r="AD41" s="909">
        <f t="shared" si="16"/>
        <v>0</v>
      </c>
      <c r="AE41" s="909">
        <f t="shared" si="9"/>
        <v>0</v>
      </c>
      <c r="AF41" s="906"/>
    </row>
    <row r="42" spans="3:32" ht="18.75" x14ac:dyDescent="0.3">
      <c r="C42" s="908"/>
      <c r="D42" s="906"/>
      <c r="E42" s="906"/>
      <c r="F42" s="907"/>
      <c r="G42" s="908"/>
      <c r="H42" s="906"/>
      <c r="I42" s="906"/>
      <c r="J42" s="906"/>
      <c r="K42" s="906"/>
      <c r="L42" s="909"/>
      <c r="M42" s="909"/>
      <c r="N42" s="914"/>
      <c r="O42" s="911"/>
      <c r="P42" s="911"/>
      <c r="Q42" s="912">
        <f t="shared" si="10"/>
        <v>0</v>
      </c>
      <c r="R42" s="912">
        <f t="shared" si="3"/>
        <v>0</v>
      </c>
      <c r="S42" s="912">
        <f t="shared" si="14"/>
        <v>0</v>
      </c>
      <c r="T42" s="912">
        <f t="shared" si="4"/>
        <v>0</v>
      </c>
      <c r="U42" s="911"/>
      <c r="V42" s="909">
        <f t="shared" si="5"/>
        <v>0</v>
      </c>
      <c r="W42" s="909">
        <f t="shared" si="11"/>
        <v>0</v>
      </c>
      <c r="X42" s="909">
        <f t="shared" si="6"/>
        <v>0</v>
      </c>
      <c r="Y42" s="909">
        <f t="shared" si="15"/>
        <v>0</v>
      </c>
      <c r="Z42" s="909">
        <f t="shared" si="7"/>
        <v>0</v>
      </c>
      <c r="AA42" s="909">
        <f t="shared" si="12"/>
        <v>0</v>
      </c>
      <c r="AB42" s="909">
        <f t="shared" si="13"/>
        <v>0</v>
      </c>
      <c r="AC42" s="909">
        <f t="shared" si="8"/>
        <v>0</v>
      </c>
      <c r="AD42" s="909">
        <f t="shared" si="16"/>
        <v>0</v>
      </c>
      <c r="AE42" s="909">
        <f t="shared" si="9"/>
        <v>0</v>
      </c>
      <c r="AF42" s="906"/>
    </row>
    <row r="43" spans="3:32" ht="18.75" x14ac:dyDescent="0.3">
      <c r="C43" s="908"/>
      <c r="D43" s="906"/>
      <c r="E43" s="906"/>
      <c r="F43" s="907"/>
      <c r="G43" s="908"/>
      <c r="H43" s="906"/>
      <c r="I43" s="906"/>
      <c r="J43" s="906"/>
      <c r="K43" s="906"/>
      <c r="L43" s="909"/>
      <c r="M43" s="909"/>
      <c r="N43" s="914"/>
      <c r="O43" s="911"/>
      <c r="P43" s="911"/>
      <c r="Q43" s="912">
        <f t="shared" si="10"/>
        <v>0</v>
      </c>
      <c r="R43" s="912">
        <f t="shared" si="3"/>
        <v>0</v>
      </c>
      <c r="S43" s="912">
        <f t="shared" si="14"/>
        <v>0</v>
      </c>
      <c r="T43" s="912">
        <f t="shared" si="4"/>
        <v>0</v>
      </c>
      <c r="U43" s="911"/>
      <c r="V43" s="909">
        <f t="shared" si="5"/>
        <v>0</v>
      </c>
      <c r="W43" s="909">
        <f t="shared" si="11"/>
        <v>0</v>
      </c>
      <c r="X43" s="909">
        <f t="shared" si="6"/>
        <v>0</v>
      </c>
      <c r="Y43" s="909">
        <f t="shared" si="15"/>
        <v>0</v>
      </c>
      <c r="Z43" s="909">
        <f t="shared" si="7"/>
        <v>0</v>
      </c>
      <c r="AA43" s="909">
        <f t="shared" si="12"/>
        <v>0</v>
      </c>
      <c r="AB43" s="909">
        <f t="shared" si="13"/>
        <v>0</v>
      </c>
      <c r="AC43" s="909">
        <f t="shared" si="8"/>
        <v>0</v>
      </c>
      <c r="AD43" s="909">
        <f t="shared" si="16"/>
        <v>0</v>
      </c>
      <c r="AE43" s="909">
        <f t="shared" si="9"/>
        <v>0</v>
      </c>
      <c r="AF43" s="906"/>
    </row>
    <row r="44" spans="3:32" ht="18.75" x14ac:dyDescent="0.3">
      <c r="C44" s="908"/>
      <c r="D44" s="906"/>
      <c r="E44" s="906"/>
      <c r="F44" s="907"/>
      <c r="G44" s="908"/>
      <c r="H44" s="906"/>
      <c r="I44" s="906"/>
      <c r="J44" s="906"/>
      <c r="K44" s="906"/>
      <c r="L44" s="909"/>
      <c r="M44" s="909"/>
      <c r="N44" s="914"/>
      <c r="O44" s="911"/>
      <c r="P44" s="911"/>
      <c r="Q44" s="912">
        <f t="shared" si="10"/>
        <v>0</v>
      </c>
      <c r="R44" s="912">
        <f t="shared" si="3"/>
        <v>0</v>
      </c>
      <c r="S44" s="912">
        <f t="shared" si="14"/>
        <v>0</v>
      </c>
      <c r="T44" s="912">
        <f t="shared" si="4"/>
        <v>0</v>
      </c>
      <c r="U44" s="911"/>
      <c r="V44" s="909">
        <f t="shared" si="5"/>
        <v>0</v>
      </c>
      <c r="W44" s="909">
        <f t="shared" si="11"/>
        <v>0</v>
      </c>
      <c r="X44" s="909">
        <f t="shared" si="6"/>
        <v>0</v>
      </c>
      <c r="Y44" s="909">
        <f t="shared" si="15"/>
        <v>0</v>
      </c>
      <c r="Z44" s="909">
        <f t="shared" si="7"/>
        <v>0</v>
      </c>
      <c r="AA44" s="909">
        <f t="shared" si="12"/>
        <v>0</v>
      </c>
      <c r="AB44" s="909">
        <f t="shared" si="13"/>
        <v>0</v>
      </c>
      <c r="AC44" s="909">
        <f t="shared" si="8"/>
        <v>0</v>
      </c>
      <c r="AD44" s="909">
        <f t="shared" si="16"/>
        <v>0</v>
      </c>
      <c r="AE44" s="909">
        <f t="shared" si="9"/>
        <v>0</v>
      </c>
      <c r="AF44" s="906"/>
    </row>
    <row r="45" spans="3:32" ht="18.75" x14ac:dyDescent="0.3">
      <c r="C45" s="908"/>
      <c r="D45" s="906"/>
      <c r="E45" s="906"/>
      <c r="F45" s="907"/>
      <c r="G45" s="908"/>
      <c r="H45" s="906"/>
      <c r="I45" s="906"/>
      <c r="J45" s="906"/>
      <c r="K45" s="906"/>
      <c r="L45" s="909"/>
      <c r="M45" s="909"/>
      <c r="N45" s="914"/>
      <c r="O45" s="911"/>
      <c r="P45" s="911"/>
      <c r="Q45" s="912">
        <f t="shared" si="10"/>
        <v>0</v>
      </c>
      <c r="R45" s="912">
        <f t="shared" si="3"/>
        <v>0</v>
      </c>
      <c r="S45" s="912">
        <f t="shared" si="14"/>
        <v>0</v>
      </c>
      <c r="T45" s="912">
        <f t="shared" si="4"/>
        <v>0</v>
      </c>
      <c r="U45" s="911"/>
      <c r="V45" s="909">
        <f t="shared" si="5"/>
        <v>0</v>
      </c>
      <c r="W45" s="909">
        <f t="shared" si="11"/>
        <v>0</v>
      </c>
      <c r="X45" s="909">
        <f t="shared" si="6"/>
        <v>0</v>
      </c>
      <c r="Y45" s="909">
        <f t="shared" si="15"/>
        <v>0</v>
      </c>
      <c r="Z45" s="909">
        <f t="shared" si="7"/>
        <v>0</v>
      </c>
      <c r="AA45" s="909">
        <f t="shared" si="12"/>
        <v>0</v>
      </c>
      <c r="AB45" s="909">
        <f t="shared" si="13"/>
        <v>0</v>
      </c>
      <c r="AC45" s="909">
        <f t="shared" si="8"/>
        <v>0</v>
      </c>
      <c r="AD45" s="909">
        <f t="shared" si="16"/>
        <v>0</v>
      </c>
      <c r="AE45" s="909">
        <f t="shared" si="9"/>
        <v>0</v>
      </c>
      <c r="AF45" s="906"/>
    </row>
    <row r="46" spans="3:32" ht="18.75" x14ac:dyDescent="0.3">
      <c r="C46" s="908"/>
      <c r="D46" s="906"/>
      <c r="E46" s="906"/>
      <c r="F46" s="907"/>
      <c r="G46" s="908"/>
      <c r="H46" s="906"/>
      <c r="I46" s="906"/>
      <c r="J46" s="906"/>
      <c r="K46" s="906"/>
      <c r="L46" s="909"/>
      <c r="M46" s="909"/>
      <c r="N46" s="914"/>
      <c r="O46" s="911"/>
      <c r="P46" s="911"/>
      <c r="Q46" s="912">
        <f t="shared" si="10"/>
        <v>0</v>
      </c>
      <c r="R46" s="912">
        <f t="shared" si="3"/>
        <v>0</v>
      </c>
      <c r="S46" s="912">
        <f t="shared" si="14"/>
        <v>0</v>
      </c>
      <c r="T46" s="912">
        <f t="shared" si="4"/>
        <v>0</v>
      </c>
      <c r="U46" s="911"/>
      <c r="V46" s="909">
        <f t="shared" si="5"/>
        <v>0</v>
      </c>
      <c r="W46" s="909">
        <f t="shared" si="11"/>
        <v>0</v>
      </c>
      <c r="X46" s="909">
        <f t="shared" si="6"/>
        <v>0</v>
      </c>
      <c r="Y46" s="909">
        <f t="shared" si="15"/>
        <v>0</v>
      </c>
      <c r="Z46" s="909">
        <f t="shared" si="7"/>
        <v>0</v>
      </c>
      <c r="AA46" s="909">
        <f t="shared" si="12"/>
        <v>0</v>
      </c>
      <c r="AB46" s="909">
        <f t="shared" si="13"/>
        <v>0</v>
      </c>
      <c r="AC46" s="909">
        <f t="shared" si="8"/>
        <v>0</v>
      </c>
      <c r="AD46" s="909">
        <f t="shared" si="16"/>
        <v>0</v>
      </c>
      <c r="AE46" s="909">
        <f t="shared" si="9"/>
        <v>0</v>
      </c>
      <c r="AF46" s="906"/>
    </row>
    <row r="47" spans="3:32" ht="18.75" x14ac:dyDescent="0.3">
      <c r="C47" s="908"/>
      <c r="D47" s="906"/>
      <c r="E47" s="906"/>
      <c r="F47" s="907"/>
      <c r="G47" s="908"/>
      <c r="H47" s="906"/>
      <c r="I47" s="906"/>
      <c r="J47" s="906"/>
      <c r="K47" s="906"/>
      <c r="L47" s="909"/>
      <c r="M47" s="909"/>
      <c r="N47" s="914"/>
      <c r="O47" s="911"/>
      <c r="P47" s="911"/>
      <c r="Q47" s="912">
        <f t="shared" si="10"/>
        <v>0</v>
      </c>
      <c r="R47" s="912">
        <f t="shared" si="3"/>
        <v>0</v>
      </c>
      <c r="S47" s="912">
        <f t="shared" si="14"/>
        <v>0</v>
      </c>
      <c r="T47" s="912">
        <f t="shared" si="4"/>
        <v>0</v>
      </c>
      <c r="U47" s="911"/>
      <c r="V47" s="909">
        <f t="shared" si="5"/>
        <v>0</v>
      </c>
      <c r="W47" s="909">
        <f t="shared" si="11"/>
        <v>0</v>
      </c>
      <c r="X47" s="909">
        <f t="shared" si="6"/>
        <v>0</v>
      </c>
      <c r="Y47" s="909">
        <f t="shared" si="15"/>
        <v>0</v>
      </c>
      <c r="Z47" s="909">
        <f t="shared" si="7"/>
        <v>0</v>
      </c>
      <c r="AA47" s="909">
        <f t="shared" si="12"/>
        <v>0</v>
      </c>
      <c r="AB47" s="909">
        <f t="shared" si="13"/>
        <v>0</v>
      </c>
      <c r="AC47" s="909">
        <f t="shared" si="8"/>
        <v>0</v>
      </c>
      <c r="AD47" s="909">
        <f t="shared" si="16"/>
        <v>0</v>
      </c>
      <c r="AE47" s="909">
        <f t="shared" si="9"/>
        <v>0</v>
      </c>
      <c r="AF47" s="906"/>
    </row>
    <row r="48" spans="3:32" ht="18.75" x14ac:dyDescent="0.3">
      <c r="C48" s="908"/>
      <c r="D48" s="906"/>
      <c r="E48" s="906"/>
      <c r="F48" s="907"/>
      <c r="G48" s="908"/>
      <c r="H48" s="906"/>
      <c r="I48" s="906"/>
      <c r="J48" s="906"/>
      <c r="K48" s="906"/>
      <c r="L48" s="909"/>
      <c r="M48" s="909"/>
      <c r="N48" s="914"/>
      <c r="O48" s="911"/>
      <c r="P48" s="911"/>
      <c r="Q48" s="912">
        <f t="shared" si="10"/>
        <v>0</v>
      </c>
      <c r="R48" s="912">
        <f t="shared" si="3"/>
        <v>0</v>
      </c>
      <c r="S48" s="912">
        <f t="shared" si="14"/>
        <v>0</v>
      </c>
      <c r="T48" s="912">
        <f t="shared" si="4"/>
        <v>0</v>
      </c>
      <c r="U48" s="911"/>
      <c r="V48" s="909">
        <f t="shared" si="5"/>
        <v>0</v>
      </c>
      <c r="W48" s="909">
        <f t="shared" si="11"/>
        <v>0</v>
      </c>
      <c r="X48" s="909">
        <f t="shared" si="6"/>
        <v>0</v>
      </c>
      <c r="Y48" s="909">
        <f t="shared" si="15"/>
        <v>0</v>
      </c>
      <c r="Z48" s="909">
        <f t="shared" si="7"/>
        <v>0</v>
      </c>
      <c r="AA48" s="909">
        <f t="shared" si="12"/>
        <v>0</v>
      </c>
      <c r="AB48" s="909">
        <f t="shared" si="13"/>
        <v>0</v>
      </c>
      <c r="AC48" s="909">
        <f t="shared" si="8"/>
        <v>0</v>
      </c>
      <c r="AD48" s="909">
        <f t="shared" si="16"/>
        <v>0</v>
      </c>
      <c r="AE48" s="909">
        <f t="shared" si="9"/>
        <v>0</v>
      </c>
      <c r="AF48" s="906"/>
    </row>
    <row r="49" spans="3:32" ht="18.75" x14ac:dyDescent="0.3">
      <c r="C49" s="908"/>
      <c r="D49" s="906"/>
      <c r="E49" s="906"/>
      <c r="F49" s="907"/>
      <c r="G49" s="908"/>
      <c r="H49" s="906"/>
      <c r="I49" s="906"/>
      <c r="J49" s="906"/>
      <c r="K49" s="906"/>
      <c r="L49" s="909"/>
      <c r="M49" s="909"/>
      <c r="N49" s="914"/>
      <c r="O49" s="911"/>
      <c r="P49" s="911"/>
      <c r="Q49" s="912">
        <f t="shared" si="10"/>
        <v>0</v>
      </c>
      <c r="R49" s="912">
        <f t="shared" si="3"/>
        <v>0</v>
      </c>
      <c r="S49" s="912">
        <f t="shared" si="14"/>
        <v>0</v>
      </c>
      <c r="T49" s="912">
        <f t="shared" si="4"/>
        <v>0</v>
      </c>
      <c r="U49" s="911"/>
      <c r="V49" s="909">
        <f t="shared" si="5"/>
        <v>0</v>
      </c>
      <c r="W49" s="909">
        <f t="shared" si="11"/>
        <v>0</v>
      </c>
      <c r="X49" s="909">
        <f t="shared" si="6"/>
        <v>0</v>
      </c>
      <c r="Y49" s="909">
        <f t="shared" si="15"/>
        <v>0</v>
      </c>
      <c r="Z49" s="909">
        <f t="shared" si="7"/>
        <v>0</v>
      </c>
      <c r="AA49" s="909">
        <f t="shared" si="12"/>
        <v>0</v>
      </c>
      <c r="AB49" s="909">
        <f t="shared" si="13"/>
        <v>0</v>
      </c>
      <c r="AC49" s="909">
        <f t="shared" si="8"/>
        <v>0</v>
      </c>
      <c r="AD49" s="909">
        <f t="shared" si="16"/>
        <v>0</v>
      </c>
      <c r="AE49" s="909">
        <f t="shared" si="9"/>
        <v>0</v>
      </c>
      <c r="AF49" s="906"/>
    </row>
    <row r="50" spans="3:32" ht="18.75" x14ac:dyDescent="0.3">
      <c r="C50" s="908"/>
      <c r="D50" s="906"/>
      <c r="E50" s="906"/>
      <c r="F50" s="907"/>
      <c r="G50" s="908"/>
      <c r="H50" s="906"/>
      <c r="I50" s="906"/>
      <c r="J50" s="906"/>
      <c r="K50" s="906"/>
      <c r="L50" s="909"/>
      <c r="M50" s="909"/>
      <c r="N50" s="914"/>
      <c r="O50" s="911"/>
      <c r="P50" s="911"/>
      <c r="Q50" s="912">
        <f t="shared" si="10"/>
        <v>0</v>
      </c>
      <c r="R50" s="912">
        <f t="shared" si="3"/>
        <v>0</v>
      </c>
      <c r="S50" s="912">
        <f t="shared" si="14"/>
        <v>0</v>
      </c>
      <c r="T50" s="912">
        <f t="shared" si="4"/>
        <v>0</v>
      </c>
      <c r="U50" s="911"/>
      <c r="V50" s="909">
        <f t="shared" si="5"/>
        <v>0</v>
      </c>
      <c r="W50" s="909">
        <f t="shared" si="11"/>
        <v>0</v>
      </c>
      <c r="X50" s="909">
        <f t="shared" si="6"/>
        <v>0</v>
      </c>
      <c r="Y50" s="909">
        <f t="shared" si="15"/>
        <v>0</v>
      </c>
      <c r="Z50" s="909">
        <f t="shared" si="7"/>
        <v>0</v>
      </c>
      <c r="AA50" s="909">
        <f t="shared" si="12"/>
        <v>0</v>
      </c>
      <c r="AB50" s="909">
        <f t="shared" si="13"/>
        <v>0</v>
      </c>
      <c r="AC50" s="909">
        <f t="shared" si="8"/>
        <v>0</v>
      </c>
      <c r="AD50" s="909">
        <f t="shared" si="16"/>
        <v>0</v>
      </c>
      <c r="AE50" s="909">
        <f t="shared" si="9"/>
        <v>0</v>
      </c>
      <c r="AF50" s="906"/>
    </row>
    <row r="51" spans="3:32" ht="18.75" x14ac:dyDescent="0.3">
      <c r="C51" s="908"/>
      <c r="D51" s="906"/>
      <c r="E51" s="906"/>
      <c r="F51" s="907"/>
      <c r="G51" s="908"/>
      <c r="H51" s="906"/>
      <c r="I51" s="906"/>
      <c r="J51" s="906"/>
      <c r="K51" s="906"/>
      <c r="L51" s="909"/>
      <c r="M51" s="909"/>
      <c r="N51" s="914"/>
      <c r="O51" s="911"/>
      <c r="P51" s="911"/>
      <c r="Q51" s="912">
        <f t="shared" si="10"/>
        <v>0</v>
      </c>
      <c r="R51" s="912">
        <f t="shared" si="3"/>
        <v>0</v>
      </c>
      <c r="S51" s="912">
        <f t="shared" si="14"/>
        <v>0</v>
      </c>
      <c r="T51" s="912">
        <f t="shared" si="4"/>
        <v>0</v>
      </c>
      <c r="U51" s="911"/>
      <c r="V51" s="909">
        <f t="shared" si="5"/>
        <v>0</v>
      </c>
      <c r="W51" s="909">
        <f t="shared" si="11"/>
        <v>0</v>
      </c>
      <c r="X51" s="909">
        <f t="shared" si="6"/>
        <v>0</v>
      </c>
      <c r="Y51" s="909">
        <f t="shared" si="15"/>
        <v>0</v>
      </c>
      <c r="Z51" s="909">
        <f t="shared" si="7"/>
        <v>0</v>
      </c>
      <c r="AA51" s="909">
        <f t="shared" si="12"/>
        <v>0</v>
      </c>
      <c r="AB51" s="909">
        <f t="shared" si="13"/>
        <v>0</v>
      </c>
      <c r="AC51" s="909">
        <f t="shared" si="8"/>
        <v>0</v>
      </c>
      <c r="AD51" s="909">
        <f t="shared" si="16"/>
        <v>0</v>
      </c>
      <c r="AE51" s="909">
        <f t="shared" si="9"/>
        <v>0</v>
      </c>
      <c r="AF51" s="906"/>
    </row>
    <row r="52" spans="3:32" ht="18.75" x14ac:dyDescent="0.3">
      <c r="C52" s="908"/>
      <c r="D52" s="906"/>
      <c r="E52" s="906"/>
      <c r="F52" s="907"/>
      <c r="G52" s="908"/>
      <c r="H52" s="906"/>
      <c r="I52" s="906"/>
      <c r="J52" s="906"/>
      <c r="K52" s="906"/>
      <c r="L52" s="909"/>
      <c r="M52" s="909"/>
      <c r="N52" s="914"/>
      <c r="O52" s="911"/>
      <c r="P52" s="911"/>
      <c r="Q52" s="912">
        <f t="shared" si="10"/>
        <v>0</v>
      </c>
      <c r="R52" s="912">
        <f t="shared" si="3"/>
        <v>0</v>
      </c>
      <c r="S52" s="912">
        <f t="shared" si="14"/>
        <v>0</v>
      </c>
      <c r="T52" s="912">
        <f t="shared" si="4"/>
        <v>0</v>
      </c>
      <c r="U52" s="911"/>
      <c r="V52" s="909">
        <f t="shared" si="5"/>
        <v>0</v>
      </c>
      <c r="W52" s="909">
        <f t="shared" si="11"/>
        <v>0</v>
      </c>
      <c r="X52" s="909">
        <f t="shared" si="6"/>
        <v>0</v>
      </c>
      <c r="Y52" s="909">
        <f t="shared" si="15"/>
        <v>0</v>
      </c>
      <c r="Z52" s="909">
        <f t="shared" si="7"/>
        <v>0</v>
      </c>
      <c r="AA52" s="909">
        <f t="shared" si="12"/>
        <v>0</v>
      </c>
      <c r="AB52" s="909">
        <f t="shared" si="13"/>
        <v>0</v>
      </c>
      <c r="AC52" s="909">
        <f t="shared" si="8"/>
        <v>0</v>
      </c>
      <c r="AD52" s="909">
        <f t="shared" si="16"/>
        <v>0</v>
      </c>
      <c r="AE52" s="909">
        <f t="shared" si="9"/>
        <v>0</v>
      </c>
      <c r="AF52" s="906"/>
    </row>
    <row r="53" spans="3:32" ht="18.75" x14ac:dyDescent="0.3">
      <c r="C53" s="908"/>
      <c r="D53" s="906"/>
      <c r="E53" s="906"/>
      <c r="F53" s="907"/>
      <c r="G53" s="908"/>
      <c r="H53" s="906"/>
      <c r="I53" s="906"/>
      <c r="J53" s="906"/>
      <c r="K53" s="906"/>
      <c r="L53" s="909"/>
      <c r="M53" s="909"/>
      <c r="N53" s="914"/>
      <c r="O53" s="911"/>
      <c r="P53" s="911"/>
      <c r="Q53" s="912">
        <f t="shared" si="10"/>
        <v>0</v>
      </c>
      <c r="R53" s="912">
        <f t="shared" si="3"/>
        <v>0</v>
      </c>
      <c r="S53" s="912">
        <f t="shared" si="14"/>
        <v>0</v>
      </c>
      <c r="T53" s="912">
        <f t="shared" si="4"/>
        <v>0</v>
      </c>
      <c r="U53" s="911"/>
      <c r="V53" s="909">
        <f t="shared" si="5"/>
        <v>0</v>
      </c>
      <c r="W53" s="909">
        <f t="shared" si="11"/>
        <v>0</v>
      </c>
      <c r="X53" s="909">
        <f t="shared" si="6"/>
        <v>0</v>
      </c>
      <c r="Y53" s="909">
        <f t="shared" si="15"/>
        <v>0</v>
      </c>
      <c r="Z53" s="909">
        <f t="shared" si="7"/>
        <v>0</v>
      </c>
      <c r="AA53" s="909">
        <f t="shared" si="12"/>
        <v>0</v>
      </c>
      <c r="AB53" s="909">
        <f t="shared" si="13"/>
        <v>0</v>
      </c>
      <c r="AC53" s="909">
        <f t="shared" si="8"/>
        <v>0</v>
      </c>
      <c r="AD53" s="909">
        <f t="shared" si="16"/>
        <v>0</v>
      </c>
      <c r="AE53" s="909">
        <f t="shared" si="9"/>
        <v>0</v>
      </c>
      <c r="AF53" s="906"/>
    </row>
    <row r="54" spans="3:32" ht="18.75" x14ac:dyDescent="0.3">
      <c r="C54" s="908"/>
      <c r="D54" s="906"/>
      <c r="E54" s="906"/>
      <c r="F54" s="907"/>
      <c r="G54" s="908"/>
      <c r="H54" s="906"/>
      <c r="I54" s="906"/>
      <c r="J54" s="906"/>
      <c r="K54" s="906"/>
      <c r="L54" s="909"/>
      <c r="M54" s="909"/>
      <c r="N54" s="914"/>
      <c r="O54" s="911"/>
      <c r="P54" s="911"/>
      <c r="Q54" s="912">
        <f t="shared" si="10"/>
        <v>0</v>
      </c>
      <c r="R54" s="912">
        <f t="shared" si="3"/>
        <v>0</v>
      </c>
      <c r="S54" s="912">
        <f t="shared" si="14"/>
        <v>0</v>
      </c>
      <c r="T54" s="912">
        <f t="shared" si="4"/>
        <v>0</v>
      </c>
      <c r="U54" s="911"/>
      <c r="V54" s="909">
        <f t="shared" si="5"/>
        <v>0</v>
      </c>
      <c r="W54" s="909">
        <f t="shared" si="11"/>
        <v>0</v>
      </c>
      <c r="X54" s="909">
        <f t="shared" si="6"/>
        <v>0</v>
      </c>
      <c r="Y54" s="909">
        <f t="shared" si="15"/>
        <v>0</v>
      </c>
      <c r="Z54" s="909">
        <f t="shared" si="7"/>
        <v>0</v>
      </c>
      <c r="AA54" s="909">
        <f t="shared" si="12"/>
        <v>0</v>
      </c>
      <c r="AB54" s="909">
        <f t="shared" si="13"/>
        <v>0</v>
      </c>
      <c r="AC54" s="909">
        <f t="shared" si="8"/>
        <v>0</v>
      </c>
      <c r="AD54" s="909">
        <f t="shared" si="16"/>
        <v>0</v>
      </c>
      <c r="AE54" s="909">
        <f t="shared" si="9"/>
        <v>0</v>
      </c>
      <c r="AF54" s="906"/>
    </row>
    <row r="55" spans="3:32" ht="18.75" x14ac:dyDescent="0.3">
      <c r="C55" s="908"/>
      <c r="D55" s="906"/>
      <c r="E55" s="906"/>
      <c r="F55" s="907"/>
      <c r="G55" s="908"/>
      <c r="H55" s="906"/>
      <c r="I55" s="906"/>
      <c r="J55" s="906"/>
      <c r="K55" s="906"/>
      <c r="L55" s="909"/>
      <c r="M55" s="909"/>
      <c r="N55" s="914"/>
      <c r="O55" s="911"/>
      <c r="P55" s="911"/>
      <c r="Q55" s="912">
        <f t="shared" si="10"/>
        <v>0</v>
      </c>
      <c r="R55" s="912">
        <f t="shared" si="3"/>
        <v>0</v>
      </c>
      <c r="S55" s="912">
        <f t="shared" si="14"/>
        <v>0</v>
      </c>
      <c r="T55" s="912">
        <f t="shared" si="4"/>
        <v>0</v>
      </c>
      <c r="U55" s="911"/>
      <c r="V55" s="909">
        <f t="shared" si="5"/>
        <v>0</v>
      </c>
      <c r="W55" s="909">
        <f t="shared" si="11"/>
        <v>0</v>
      </c>
      <c r="X55" s="909">
        <f t="shared" si="6"/>
        <v>0</v>
      </c>
      <c r="Y55" s="909">
        <f t="shared" si="15"/>
        <v>0</v>
      </c>
      <c r="Z55" s="909">
        <f t="shared" si="7"/>
        <v>0</v>
      </c>
      <c r="AA55" s="909">
        <f t="shared" si="12"/>
        <v>0</v>
      </c>
      <c r="AB55" s="909">
        <f t="shared" si="13"/>
        <v>0</v>
      </c>
      <c r="AC55" s="909">
        <f t="shared" si="8"/>
        <v>0</v>
      </c>
      <c r="AD55" s="909">
        <f t="shared" si="16"/>
        <v>0</v>
      </c>
      <c r="AE55" s="909">
        <f t="shared" si="9"/>
        <v>0</v>
      </c>
      <c r="AF55" s="906"/>
    </row>
    <row r="56" spans="3:32" ht="18.75" x14ac:dyDescent="0.3">
      <c r="C56" s="908"/>
      <c r="D56" s="906"/>
      <c r="E56" s="906"/>
      <c r="F56" s="907"/>
      <c r="G56" s="908"/>
      <c r="H56" s="906"/>
      <c r="I56" s="906"/>
      <c r="J56" s="906"/>
      <c r="K56" s="906"/>
      <c r="L56" s="909"/>
      <c r="M56" s="909"/>
      <c r="N56" s="914"/>
      <c r="O56" s="911"/>
      <c r="P56" s="911"/>
      <c r="Q56" s="912">
        <f t="shared" si="10"/>
        <v>0</v>
      </c>
      <c r="R56" s="912">
        <f t="shared" si="3"/>
        <v>0</v>
      </c>
      <c r="S56" s="912">
        <f t="shared" si="14"/>
        <v>0</v>
      </c>
      <c r="T56" s="912">
        <f t="shared" si="4"/>
        <v>0</v>
      </c>
      <c r="U56" s="911"/>
      <c r="V56" s="909">
        <f t="shared" si="5"/>
        <v>0</v>
      </c>
      <c r="W56" s="909">
        <f t="shared" si="11"/>
        <v>0</v>
      </c>
      <c r="X56" s="909">
        <f t="shared" si="6"/>
        <v>0</v>
      </c>
      <c r="Y56" s="909">
        <f t="shared" si="15"/>
        <v>0</v>
      </c>
      <c r="Z56" s="909">
        <f t="shared" si="7"/>
        <v>0</v>
      </c>
      <c r="AA56" s="909">
        <f t="shared" si="12"/>
        <v>0</v>
      </c>
      <c r="AB56" s="909">
        <f t="shared" si="13"/>
        <v>0</v>
      </c>
      <c r="AC56" s="909">
        <f t="shared" si="8"/>
        <v>0</v>
      </c>
      <c r="AD56" s="909">
        <f t="shared" si="16"/>
        <v>0</v>
      </c>
      <c r="AE56" s="909">
        <f t="shared" si="9"/>
        <v>0</v>
      </c>
      <c r="AF56" s="906"/>
    </row>
  </sheetData>
  <mergeCells count="27">
    <mergeCell ref="U23:U24"/>
    <mergeCell ref="AF23:AF24"/>
    <mergeCell ref="AH23:AH24"/>
    <mergeCell ref="AI23:AI24"/>
    <mergeCell ref="AH22:AI22"/>
    <mergeCell ref="H23:H24"/>
    <mergeCell ref="I23:I24"/>
    <mergeCell ref="J23:J24"/>
    <mergeCell ref="K23:K24"/>
    <mergeCell ref="C18:M20"/>
    <mergeCell ref="C23:C24"/>
    <mergeCell ref="D23:D24"/>
    <mergeCell ref="E23:E24"/>
    <mergeCell ref="F23:F24"/>
    <mergeCell ref="G23:G24"/>
    <mergeCell ref="Q21:T21"/>
    <mergeCell ref="V21:Z21"/>
    <mergeCell ref="AA21:AE21"/>
    <mergeCell ref="Q22:R22"/>
    <mergeCell ref="V22:X22"/>
    <mergeCell ref="AA22:AC22"/>
    <mergeCell ref="D9:E9"/>
    <mergeCell ref="C2:M2"/>
    <mergeCell ref="C3:Q3"/>
    <mergeCell ref="C4:Q4"/>
    <mergeCell ref="D8:E8"/>
    <mergeCell ref="H8:I8"/>
  </mergeCells>
  <dataValidations count="29">
    <dataValidation type="whole" allowBlank="1" showInputMessage="1" showErrorMessage="1" errorTitle="Verificação" error="Inserir apenas número do ato._x000a_Exemplo: 12134." promptTitle="Número do Ato" prompt="Preenchimento obrigatório caso o &quot;Tipo de Ato Normativo&quot; seja (i) Projeto de Lei, (ii) Projeto de Lei Complementar, (iii) Medida Provisória, (iv) Lei Ordinária ou (v) Decreto." sqref="F26:F56" xr:uid="{B6B753C9-FFA4-47BC-A001-A659D3B9F175}">
      <formula1>0</formula1>
      <formula2>9999999999</formula2>
    </dataValidation>
    <dataValidation allowBlank="1" showInputMessage="1" showErrorMessage="1" promptTitle="Complemento" prompt="Preenchimento obrigatório caso o &quot;Tipo de Ato Normativo&quot; seja (i) Anteprojeto de Lei." sqref="H26:H56" xr:uid="{CF1F6596-A3C8-4D06-BC95-78B691BE3525}"/>
    <dataValidation allowBlank="1" showInputMessage="1" showErrorMessage="1" promptTitle="Memória de Cálculo" prompt="Preenchimento opcional._x000a_Indicar aba que contém a memória de cálculo da linha, caso seja utilizada metodologia diversa." sqref="AF26:AF56" xr:uid="{4DFD3BDC-5941-4D27-B090-04797D1BFAD0}"/>
    <dataValidation type="whole" allowBlank="1" showInputMessage="1" showErrorMessage="1" errorTitle="Verificação" error="Inserir ano do ato normativo._x000a_Exemplo: 2025." promptTitle="Ano do Ato Normativo" prompt="Preenchimento obrigatório caso o &quot;Tipo de Ato Normativo&quot; seja (i) Projeto de Lei, (ii) Projeto de Lei Complementar, (iii) Medida Provisória, (iv) Lei Ordinária ou (v) Decreto." sqref="G26:G56" xr:uid="{C1568EFB-944F-43D4-BE8C-C999CD0F8154}">
      <formula1>1800</formula1>
      <formula2>2050</formula2>
    </dataValidation>
    <dataValidation allowBlank="1" showInputMessage="1" showErrorMessage="1" promptTitle="Nota de Rodapé" prompt="Nota de rodapé, opcional. Quando informada, constará do Quadro final com a consolidação das informações._x000a_" sqref="K26:K56" xr:uid="{1F533993-F823-42B5-BF11-D28CC885B74B}"/>
    <dataValidation allowBlank="1" showInputMessage="1" showErrorMessage="1" promptTitle="Remuneração" prompt="Preenchimento obrigatório._x000a_Inserir remuneração mensal do cargo ou função para o exercício de referência do PLOA." sqref="N26:N56" xr:uid="{D3C7430E-6D4C-40B5-B42D-3C100CEAA806}"/>
    <dataValidation type="whole" allowBlank="1" showInputMessage="1" showErrorMessage="1" promptTitle="Quant. Criação" prompt="Número de vagas a serem criadas para o cargo ou função._x000a_Caso a linha refira-se a um provimento, deixar este campo sem preencimento." sqref="O26:O56 P26:P27" xr:uid="{202EE6D0-69DC-4497-82A6-4FF873826C26}">
      <formula1>0</formula1>
      <formula2>9999999999</formula2>
    </dataValidation>
    <dataValidation type="whole" allowBlank="1" showInputMessage="1" showErrorMessage="1" promptTitle="Quant. Provimento" prompt="Inserir o número de vagas do cargo ou função a serem ocupadas." sqref="P28:P56" xr:uid="{8CDD0A60-18EB-4937-851F-C7F32BBF65D8}">
      <formula1>0</formula1>
      <formula2>9999999999</formula2>
    </dataValidation>
    <dataValidation type="whole" allowBlank="1" showInputMessage="1" showErrorMessage="1" errorTitle="Verificação" error="Inserir um mês entre 1 e 12." promptTitle="Mês do Provimento ou Implantação" prompt="Preenchimento obrigatório._x000a_Inserir mês previsto para implantação da ação." sqref="U26:U56" xr:uid="{6752D55B-3547-4ED4-9010-6C360EBB4D1E}">
      <formula1>1</formula1>
      <formula2>12</formula2>
    </dataValidation>
    <dataValidation allowBlank="1" showInputMessage="1" showErrorMessage="1" promptTitle="Carreira, Cargo, Função" prompt="Preenchimento obrigatório._x000a_Inserir nome da carreira civil ou militar, cargo ou função." sqref="I26:I56" xr:uid="{84515F21-382C-48BE-A1F9-1E6BFD9CC1E5}"/>
    <dataValidation allowBlank="1" showInputMessage="1" showErrorMessage="1" promptTitle="Observações" prompt="Observações opcionais. Destina-se à inserção de comentários ou informações gerenciais cujo conhecimento por parte da CGDPE/SEPES o usuário julgar importante." sqref="J23:J24 J26:J56" xr:uid="{07F6FB38-1960-4AAC-B7BD-9BFE8270688E}"/>
    <dataValidation allowBlank="1" showInputMessage="1" showErrorMessage="1" promptTitle="Unidade" prompt="Unidade de vinculação da carreira civil ou militar, cargo ou função." sqref="C23:C24" xr:uid="{205EF679-7905-4E92-9F3E-46E3FE542B42}"/>
    <dataValidation allowBlank="1" showInputMessage="1" showErrorMessage="1" promptTitle="Tipo de Autorização" prompt="Categoria de autorização que possibilita a ação (provimento de cargos efetivos vagos, criação de cargos/funções, concessão de vantagens, alteração de remuneração)." sqref="D23:D24" xr:uid="{87B04DA3-0F2C-4D79-9D0E-E4E834421B0B}"/>
    <dataValidation allowBlank="1" showInputMessage="1" showErrorMessage="1" promptTitle="Tipo de Ato Normativo" prompt="Tipo de Ato Normativo que subsidiará a autorização." sqref="E23:E24" xr:uid="{8D6D4FE5-C912-45AD-9580-39E25185ACAF}"/>
    <dataValidation allowBlank="1" showInputMessage="1" showErrorMessage="1" promptTitle="Número do Ato" prompt="Identificação numérica da Legislação que ampara ou amparará a ação." sqref="F23:F24" xr:uid="{867CA6FB-494C-437C-9EFA-F0A873AC363A}"/>
    <dataValidation allowBlank="1" showInputMessage="1" showErrorMessage="1" promptTitle="Ano do Ato Normativo" prompt="Identificação do ano da Legislação que ampara ou amparará a ação." sqref="G23:G24" xr:uid="{1AA22F5F-0552-44A6-8FE3-CE9962D177AB}"/>
    <dataValidation allowBlank="1" showInputMessage="1" showErrorMessage="1" promptTitle="Complemento" prompt="Complemento (descrição) do ato normativo, em geral, opcional. É obrigatório caso o Tipo de Autorização seja AntePL." sqref="H23:H24" xr:uid="{31EF57CF-2EF1-4428-8C6A-F5C85FB5EC29}"/>
    <dataValidation allowBlank="1" showInputMessage="1" showErrorMessage="1" promptTitle="Carreira, Cargo, Função" prompt="Nome da carreira civil ou militar, cargo ou função." sqref="I23:I24" xr:uid="{A3DA3D84-6F3E-4B0D-8DC9-5F2E28B5BBC9}"/>
    <dataValidation allowBlank="1" showInputMessage="1" showErrorMessage="1" promptTitle="Nota de Rodapé" prompt="Nota de rodapé, opcional. Quando informada, constará do Quadro final com a consolidação das informações." sqref="K23:K24" xr:uid="{074FED3B-36B4-4BD0-B06D-07CFEA240BFB}"/>
    <dataValidation allowBlank="1" showInputMessage="1" showErrorMessage="1" promptTitle="Remuneração" prompt="Remuneração mensal do cargo ou função para o exercício de referência do PLOA." sqref="N23" xr:uid="{2F0F081B-E0DA-4D8C-BA28-EF57D98C82FF}"/>
    <dataValidation allowBlank="1" showInputMessage="1" showErrorMessage="1" promptTitle="Quant. Criação" prompt="Número de vagas a serem criadas para o cargo ou função._x000a_Caso a linha refira-se a um provimento, deixar este campo sem preencimento." sqref="O23" xr:uid="{F78770A8-E0DF-4A34-A1FA-225A25E17189}"/>
    <dataValidation allowBlank="1" showInputMessage="1" showErrorMessage="1" promptTitle="Quant. Provimento" prompt="Número vagas do cargo ou função a serem providas." sqref="P23" xr:uid="{434BDB99-A947-4D76-BF46-9FF4977DBCA7}"/>
    <dataValidation allowBlank="1" showInputMessage="1" showErrorMessage="1" promptTitle="Despesa Mensal - Ativos (...)" prompt="Despesa mensal com a parcela paga pelo empregador à previdência complementar do servidor efetivo, no caso do Poder Executivo, a Funpresp. Trata-se de Despesa Primária - RP1." sqref="R23" xr:uid="{E68CDD00-C3CA-46A4-9BC9-259009F3C38B}"/>
    <dataValidation allowBlank="1" showInputMessage="1" showErrorMessage="1" promptTitle="Despesa Mensal - CPSS" prompt="Seguindo IN RFB n° 2.097/2022, a União contribui com o dobro da alíquota aplicada aos servidores ativos. Adotando-se uma abordagem conservadora, considera-se uma alíquota média de 14% para os servidores, resultando na aplicação de 28% para a contribuição." sqref="S24" xr:uid="{18BBFC7F-24F3-4566-9EC8-7B348861F87F}"/>
    <dataValidation allowBlank="1" showInputMessage="1" showErrorMessage="1" promptTitle="Despesa Mensal - CPSS" prompt="Despesa mensal referente à Contribuição Patronal ao Regime Próprio de Previdência Social (RPPS) dos servidores civis ocupantes de cargos efeitivos, classificada como Despesa Financeira - RP 0." sqref="S23" xr:uid="{F5B96318-818D-442E-97EA-6B21C0205264}"/>
    <dataValidation allowBlank="1" showInputMessage="1" showErrorMessage="1" promptTitle="Despesa Mensal - Ativos (...)" prompt="Despesa mensal com a remuneração principal do cargo ou função, seja efetivo ou de livre nomeação. Trata-se de Despesa Primária - RP1." sqref="Q23" xr:uid="{C85300C2-740A-4C67-86DE-2D20C1300B1E}"/>
    <dataValidation allowBlank="1" showInputMessage="1" showErrorMessage="1" promptTitle="Despesa Mensal - Total" prompt="Total do impacto na despesa mensal com os cargos ou funções, referente ao ato especificado no registro." sqref="T23" xr:uid="{1BB0840E-B843-4F2D-B2A3-81A398B24251}"/>
    <dataValidation allowBlank="1" showInputMessage="1" showErrorMessage="1" promptTitle="Mês do Provimento ou Implantação" prompt="Mês previsto para a implantação da ação (provimento ou reajuste). " sqref="U23:U24" xr:uid="{2DFFDDCA-EFF4-47DF-976C-F44D539424D4}"/>
    <dataValidation allowBlank="1" showInputMessage="1" showErrorMessage="1" promptTitle="Memória de Cálculo" prompt="Indica aba que contém a memória de cálculo da linha, caso seja utilizada metodologia diversa." sqref="AF23:AF24" xr:uid="{54BF6E0E-8D5E-4A32-B069-AA303A4E9171}"/>
  </dataValidations>
  <pageMargins left="0.7" right="0.7" top="0.75" bottom="0.75" header="0.3" footer="0.3"/>
  <pageSetup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16A84-0FB5-43C6-A904-61391612CD28}">
  <sheetPr>
    <tabColor theme="2"/>
  </sheetPr>
  <dimension ref="A4"/>
  <sheetViews>
    <sheetView showGridLines="0" workbookViewId="0">
      <selection activeCell="E19" sqref="E17:E19"/>
    </sheetView>
  </sheetViews>
  <sheetFormatPr defaultRowHeight="15" x14ac:dyDescent="0.25"/>
  <cols>
    <col min="1" max="1" width="49" bestFit="1" customWidth="1"/>
  </cols>
  <sheetData>
    <row r="4" spans="1:1" x14ac:dyDescent="0.25">
      <c r="A4" s="1430" t="s">
        <v>1849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CB931-6B09-4978-9D67-FC8AE9CE8913}">
  <sheetPr>
    <tabColor rgb="FFFFC000"/>
  </sheetPr>
  <dimension ref="A1:AM7"/>
  <sheetViews>
    <sheetView zoomScale="290" workbookViewId="0">
      <selection activeCell="A12" sqref="A12"/>
    </sheetView>
  </sheetViews>
  <sheetFormatPr defaultColWidth="8.85546875" defaultRowHeight="15" outlineLevelRow="1" x14ac:dyDescent="0.25"/>
  <cols>
    <col min="1" max="1" width="33" customWidth="1"/>
    <col min="2" max="2" width="13.85546875" bestFit="1" customWidth="1"/>
    <col min="6" max="6" width="16.42578125" customWidth="1"/>
    <col min="7" max="7" width="17.85546875" bestFit="1" customWidth="1"/>
    <col min="8" max="8" width="19" bestFit="1" customWidth="1"/>
    <col min="9" max="9" width="17.7109375" customWidth="1"/>
    <col min="10" max="10" width="16.42578125" bestFit="1" customWidth="1"/>
    <col min="11" max="14" width="17.7109375" customWidth="1"/>
    <col min="15" max="15" width="17.85546875" bestFit="1" customWidth="1"/>
    <col min="16" max="16" width="16.42578125" bestFit="1" customWidth="1"/>
    <col min="17" max="17" width="15" bestFit="1" customWidth="1"/>
    <col min="18" max="21" width="16.42578125" bestFit="1" customWidth="1"/>
    <col min="22" max="22" width="15" bestFit="1" customWidth="1"/>
    <col min="23" max="26" width="16.42578125" bestFit="1" customWidth="1"/>
    <col min="27" max="27" width="5.85546875" bestFit="1" customWidth="1"/>
    <col min="28" max="28" width="8.140625" bestFit="1" customWidth="1"/>
    <col min="29" max="29" width="8.7109375" bestFit="1" customWidth="1"/>
    <col min="30" max="30" width="16.42578125" bestFit="1" customWidth="1"/>
    <col min="31" max="31" width="5.7109375" bestFit="1" customWidth="1"/>
    <col min="32" max="34" width="16.42578125" bestFit="1" customWidth="1"/>
    <col min="35" max="35" width="16.28515625" bestFit="1" customWidth="1"/>
    <col min="36" max="36" width="16.42578125" bestFit="1" customWidth="1"/>
    <col min="37" max="37" width="15" bestFit="1" customWidth="1"/>
    <col min="38" max="39" width="16.42578125" bestFit="1" customWidth="1"/>
  </cols>
  <sheetData>
    <row r="1" spans="1:39" x14ac:dyDescent="0.25">
      <c r="A1" s="1021" t="s">
        <v>24</v>
      </c>
      <c r="B1" s="1022" t="s">
        <v>25</v>
      </c>
      <c r="C1" s="1023" t="s">
        <v>26</v>
      </c>
      <c r="D1" s="1023"/>
      <c r="E1" s="1023"/>
      <c r="F1" s="1022" t="s">
        <v>27</v>
      </c>
      <c r="G1" s="1022" t="s">
        <v>28</v>
      </c>
      <c r="H1" s="1022"/>
      <c r="I1" s="1022"/>
      <c r="J1" s="1022"/>
      <c r="K1" s="1022"/>
      <c r="L1" s="1022"/>
      <c r="M1" s="1022"/>
      <c r="N1" s="1022"/>
      <c r="O1" s="1022"/>
      <c r="P1" s="1022"/>
      <c r="Q1" s="1022" t="s">
        <v>28</v>
      </c>
      <c r="R1" s="1022"/>
      <c r="S1" s="1022"/>
      <c r="T1" s="1022"/>
      <c r="U1" s="1022"/>
      <c r="V1" s="1022"/>
      <c r="W1" s="1022"/>
      <c r="X1" s="1022"/>
      <c r="Y1" s="1022"/>
      <c r="Z1" s="1022"/>
      <c r="AA1" s="28"/>
      <c r="AB1" s="28"/>
      <c r="AC1" s="28"/>
      <c r="AD1" s="28"/>
      <c r="AE1" s="28"/>
      <c r="AF1" s="1022" t="s">
        <v>28</v>
      </c>
      <c r="AG1" s="1022"/>
      <c r="AH1" s="1022"/>
      <c r="AI1" s="1022"/>
      <c r="AJ1" s="1022"/>
      <c r="AK1" s="1024" t="s">
        <v>2</v>
      </c>
      <c r="AL1" s="1024"/>
      <c r="AM1" s="1024"/>
    </row>
    <row r="2" spans="1:39" x14ac:dyDescent="0.25">
      <c r="A2" s="1021"/>
      <c r="B2" s="1022"/>
      <c r="C2" s="2" t="s">
        <v>29</v>
      </c>
      <c r="D2" s="2" t="s">
        <v>30</v>
      </c>
      <c r="E2" s="2" t="s">
        <v>13</v>
      </c>
      <c r="F2" s="1022"/>
      <c r="G2" s="1025">
        <v>2025</v>
      </c>
      <c r="H2" s="1025"/>
      <c r="I2" s="1025"/>
      <c r="J2" s="1025"/>
      <c r="K2" s="1025"/>
      <c r="L2" s="1025" t="s">
        <v>31</v>
      </c>
      <c r="M2" s="1025"/>
      <c r="N2" s="1025"/>
      <c r="O2" s="1025"/>
      <c r="P2" s="1025"/>
      <c r="Q2" s="1026">
        <v>2026</v>
      </c>
      <c r="R2" s="1026"/>
      <c r="S2" s="1026"/>
      <c r="T2" s="1026"/>
      <c r="U2" s="1026"/>
      <c r="V2" s="1026" t="s">
        <v>31</v>
      </c>
      <c r="W2" s="1026"/>
      <c r="X2" s="1026"/>
      <c r="Y2" s="1026"/>
      <c r="Z2" s="1026"/>
      <c r="AA2" s="1027">
        <v>2027</v>
      </c>
      <c r="AB2" s="1028"/>
      <c r="AC2" s="1028"/>
      <c r="AD2" s="1028"/>
      <c r="AE2" s="1029"/>
      <c r="AF2" s="1022" t="s">
        <v>13</v>
      </c>
      <c r="AG2" s="1022"/>
      <c r="AH2" s="1022"/>
      <c r="AI2" s="1022"/>
      <c r="AJ2" s="1022"/>
      <c r="AK2" s="8"/>
      <c r="AL2" s="8"/>
      <c r="AM2" s="8"/>
    </row>
    <row r="3" spans="1:39" x14ac:dyDescent="0.25">
      <c r="A3" s="1021"/>
      <c r="B3" s="1022"/>
      <c r="C3" s="2"/>
      <c r="D3" s="2"/>
      <c r="E3" s="2"/>
      <c r="F3" s="1022"/>
      <c r="G3" s="64" t="s">
        <v>32</v>
      </c>
      <c r="H3" s="64" t="s">
        <v>30</v>
      </c>
      <c r="I3" s="64" t="s">
        <v>34</v>
      </c>
      <c r="J3" s="64" t="s">
        <v>35</v>
      </c>
      <c r="K3" s="64" t="s">
        <v>13</v>
      </c>
      <c r="L3" s="64" t="s">
        <v>32</v>
      </c>
      <c r="M3" s="64" t="s">
        <v>30</v>
      </c>
      <c r="N3" s="64" t="s">
        <v>34</v>
      </c>
      <c r="O3" s="64" t="s">
        <v>35</v>
      </c>
      <c r="P3" s="64" t="s">
        <v>13</v>
      </c>
      <c r="Q3" s="65" t="s">
        <v>32</v>
      </c>
      <c r="R3" s="65" t="s">
        <v>30</v>
      </c>
      <c r="S3" s="65" t="s">
        <v>34</v>
      </c>
      <c r="T3" s="65" t="s">
        <v>35</v>
      </c>
      <c r="U3" s="65" t="s">
        <v>13</v>
      </c>
      <c r="V3" s="65" t="s">
        <v>32</v>
      </c>
      <c r="W3" s="65" t="s">
        <v>30</v>
      </c>
      <c r="X3" s="65" t="s">
        <v>34</v>
      </c>
      <c r="Y3" s="65" t="s">
        <v>35</v>
      </c>
      <c r="Z3" s="65" t="s">
        <v>13</v>
      </c>
      <c r="AA3" s="69" t="s">
        <v>32</v>
      </c>
      <c r="AB3" s="69" t="s">
        <v>30</v>
      </c>
      <c r="AC3" s="69" t="s">
        <v>34</v>
      </c>
      <c r="AD3" s="69" t="s">
        <v>35</v>
      </c>
      <c r="AE3" s="69" t="s">
        <v>13</v>
      </c>
      <c r="AF3" s="28" t="s">
        <v>32</v>
      </c>
      <c r="AG3" s="28" t="s">
        <v>30</v>
      </c>
      <c r="AH3" s="28" t="s">
        <v>34</v>
      </c>
      <c r="AI3" s="28" t="s">
        <v>35</v>
      </c>
      <c r="AJ3" s="28" t="s">
        <v>13</v>
      </c>
      <c r="AK3" s="7">
        <v>2025</v>
      </c>
      <c r="AL3" s="8">
        <v>2026</v>
      </c>
      <c r="AM3" s="8">
        <v>2027</v>
      </c>
    </row>
    <row r="4" spans="1:39" s="9" customFormat="1" outlineLevel="1" x14ac:dyDescent="0.25">
      <c r="A4" s="31" t="s">
        <v>73</v>
      </c>
      <c r="B4" s="22"/>
      <c r="C4" s="23">
        <v>17096</v>
      </c>
      <c r="D4" s="23">
        <v>20884</v>
      </c>
      <c r="E4" s="23">
        <f t="shared" ref="E4:E6" si="0">SUM(C4:D4)</f>
        <v>37980</v>
      </c>
      <c r="F4" s="24" t="s">
        <v>43</v>
      </c>
      <c r="G4" s="70">
        <v>42928777.195396423</v>
      </c>
      <c r="H4" s="70">
        <v>61219205.460000001</v>
      </c>
      <c r="I4" s="70">
        <f>SUM(G4:H4)</f>
        <v>104147982.65539643</v>
      </c>
      <c r="J4" s="70">
        <v>0</v>
      </c>
      <c r="K4" s="70">
        <f>SUM(I4:J4)</f>
        <v>104147982.65539643</v>
      </c>
      <c r="L4" s="70">
        <v>279037051.77007675</v>
      </c>
      <c r="M4" s="70">
        <v>397924835.48000002</v>
      </c>
      <c r="N4" s="70">
        <f>SUM(L4:M4)</f>
        <v>676961887.25007677</v>
      </c>
      <c r="O4" s="70">
        <v>0</v>
      </c>
      <c r="P4" s="70">
        <f>SUM(N4:O4)</f>
        <v>676961887.25007677</v>
      </c>
      <c r="Q4" s="70">
        <v>632454960.80274463</v>
      </c>
      <c r="R4" s="70">
        <v>846048786.01999998</v>
      </c>
      <c r="S4" s="70">
        <f t="shared" ref="S4:S6" si="1">SUM(Q4:R4)</f>
        <v>1478503746.8227446</v>
      </c>
      <c r="T4" s="70">
        <v>0</v>
      </c>
      <c r="U4" s="70">
        <f t="shared" ref="U4:U6" si="2">SUM(S4:T4)</f>
        <v>1478503746.8227446</v>
      </c>
      <c r="V4" s="70">
        <v>632454960.80274463</v>
      </c>
      <c r="W4" s="70">
        <v>846048786.01999998</v>
      </c>
      <c r="X4" s="70">
        <f t="shared" ref="X4:X6" si="3">SUM(V4:W4)</f>
        <v>1478503746.8227446</v>
      </c>
      <c r="Y4" s="70">
        <v>0</v>
      </c>
      <c r="Z4" s="70">
        <f t="shared" ref="Z4:Z6" si="4">SUM(X4:Y4)</f>
        <v>1478503746.8227446</v>
      </c>
      <c r="AA4" s="70"/>
      <c r="AB4" s="70"/>
      <c r="AC4" s="70">
        <f>AA4+AB4</f>
        <v>0</v>
      </c>
      <c r="AD4" s="70"/>
      <c r="AE4" s="70">
        <f>AC4+AD4</f>
        <v>0</v>
      </c>
      <c r="AF4" s="71">
        <f t="shared" ref="AF4:AJ6" si="5">L4+V4</f>
        <v>911492012.57282138</v>
      </c>
      <c r="AG4" s="71">
        <f t="shared" si="5"/>
        <v>1243973621.5</v>
      </c>
      <c r="AH4" s="71">
        <f t="shared" si="5"/>
        <v>2155465634.0728216</v>
      </c>
      <c r="AI4" s="71">
        <f t="shared" si="5"/>
        <v>0</v>
      </c>
      <c r="AJ4" s="71">
        <f t="shared" si="5"/>
        <v>2155465634.0728216</v>
      </c>
      <c r="AK4" s="72">
        <f t="shared" ref="AK4:AK6" si="6">K4</f>
        <v>104147982.65539643</v>
      </c>
      <c r="AL4" s="72">
        <f t="shared" ref="AL4:AL6" si="7">P4+U4</f>
        <v>2155465634.0728216</v>
      </c>
      <c r="AM4" s="72">
        <f>P4+Z4</f>
        <v>2155465634.0728216</v>
      </c>
    </row>
    <row r="5" spans="1:39" s="9" customFormat="1" outlineLevel="1" x14ac:dyDescent="0.25">
      <c r="A5" s="31" t="s">
        <v>75</v>
      </c>
      <c r="B5" s="22"/>
      <c r="C5" s="23">
        <v>4567</v>
      </c>
      <c r="D5" s="23">
        <v>5547</v>
      </c>
      <c r="E5" s="23">
        <f t="shared" si="0"/>
        <v>10114</v>
      </c>
      <c r="F5" s="24" t="s">
        <v>43</v>
      </c>
      <c r="G5" s="73">
        <v>19651687.458570644</v>
      </c>
      <c r="H5" s="73">
        <v>26411313.149999999</v>
      </c>
      <c r="I5" s="73">
        <f>SUM(G5:H5)</f>
        <v>46063000.608570643</v>
      </c>
      <c r="J5" s="73">
        <v>5349701.5018864255</v>
      </c>
      <c r="K5" s="73">
        <f>SUM(I5:J5)</f>
        <v>51412702.11045707</v>
      </c>
      <c r="L5" s="73">
        <v>127735968.48070918</v>
      </c>
      <c r="M5" s="73">
        <v>171673535.49000001</v>
      </c>
      <c r="N5" s="73">
        <f>SUM(L5:M5)</f>
        <v>299409503.9707092</v>
      </c>
      <c r="O5" s="73">
        <v>34773059.762261763</v>
      </c>
      <c r="P5" s="73">
        <f>SUM(N5:O5)</f>
        <v>334182563.73297095</v>
      </c>
      <c r="Q5" s="73">
        <v>271384598.09994411</v>
      </c>
      <c r="R5" s="73">
        <v>365410810.75999999</v>
      </c>
      <c r="S5" s="73">
        <f t="shared" si="1"/>
        <v>636795408.85994411</v>
      </c>
      <c r="T5" s="73">
        <v>73877960.6130431</v>
      </c>
      <c r="U5" s="73">
        <f t="shared" si="2"/>
        <v>710673369.47298717</v>
      </c>
      <c r="V5" s="73">
        <v>271384598.09994411</v>
      </c>
      <c r="W5" s="73">
        <v>365410810.75999999</v>
      </c>
      <c r="X5" s="73">
        <f t="shared" si="3"/>
        <v>636795408.85994411</v>
      </c>
      <c r="Y5" s="73">
        <v>73877960.6130431</v>
      </c>
      <c r="Z5" s="73">
        <f t="shared" si="4"/>
        <v>710673369.47298717</v>
      </c>
      <c r="AA5" s="73"/>
      <c r="AB5" s="73"/>
      <c r="AC5" s="73">
        <f>AA5+AB5</f>
        <v>0</v>
      </c>
      <c r="AD5" s="73"/>
      <c r="AE5" s="73">
        <f>AC5+AD5</f>
        <v>0</v>
      </c>
      <c r="AF5" s="71">
        <f t="shared" si="5"/>
        <v>399120566.58065331</v>
      </c>
      <c r="AG5" s="71">
        <f t="shared" si="5"/>
        <v>537084346.25</v>
      </c>
      <c r="AH5" s="71">
        <f t="shared" si="5"/>
        <v>936204912.83065331</v>
      </c>
      <c r="AI5" s="71">
        <f t="shared" si="5"/>
        <v>108651020.37530486</v>
      </c>
      <c r="AJ5" s="71">
        <f t="shared" si="5"/>
        <v>1044855933.2059581</v>
      </c>
      <c r="AK5" s="72">
        <f t="shared" si="6"/>
        <v>51412702.11045707</v>
      </c>
      <c r="AL5" s="72">
        <f t="shared" si="7"/>
        <v>1044855933.2059581</v>
      </c>
      <c r="AM5" s="72">
        <f>P5+Z5</f>
        <v>1044855933.2059581</v>
      </c>
    </row>
    <row r="6" spans="1:39" s="9" customFormat="1" outlineLevel="1" x14ac:dyDescent="0.25">
      <c r="A6" s="66" t="s">
        <v>42</v>
      </c>
      <c r="B6" s="22"/>
      <c r="C6" s="23">
        <v>17096</v>
      </c>
      <c r="D6" s="23">
        <v>20884</v>
      </c>
      <c r="E6" s="23">
        <f t="shared" si="0"/>
        <v>37980</v>
      </c>
      <c r="F6" s="24" t="s">
        <v>43</v>
      </c>
      <c r="G6" s="73">
        <v>2847551.8115000017</v>
      </c>
      <c r="H6" s="73">
        <v>4276677.8600000003</v>
      </c>
      <c r="I6" s="73">
        <f>SUM(G6:H6)</f>
        <v>7124229.671500002</v>
      </c>
      <c r="J6" s="73">
        <v>0</v>
      </c>
      <c r="K6" s="73">
        <f>SUM(I6:J6)</f>
        <v>7124229.671500002</v>
      </c>
      <c r="L6" s="73">
        <v>34170621.73800002</v>
      </c>
      <c r="M6" s="73">
        <v>51320134.289999999</v>
      </c>
      <c r="N6" s="73">
        <f>SUM(L6:M6)</f>
        <v>85490756.028000027</v>
      </c>
      <c r="O6" s="73">
        <v>0</v>
      </c>
      <c r="P6" s="73">
        <f>SUM(N6:O6)</f>
        <v>85490756.028000027</v>
      </c>
      <c r="Q6" s="73">
        <v>72270864.975869983</v>
      </c>
      <c r="R6" s="73">
        <v>108542084.03</v>
      </c>
      <c r="S6" s="73">
        <f t="shared" si="1"/>
        <v>180812949.00586998</v>
      </c>
      <c r="T6" s="73">
        <v>0</v>
      </c>
      <c r="U6" s="73">
        <f t="shared" si="2"/>
        <v>180812949.00586998</v>
      </c>
      <c r="V6" s="73">
        <v>72270864.975869983</v>
      </c>
      <c r="W6" s="73">
        <v>108542084.03</v>
      </c>
      <c r="X6" s="73">
        <f t="shared" si="3"/>
        <v>180812949.00586998</v>
      </c>
      <c r="Y6" s="73">
        <v>0</v>
      </c>
      <c r="Z6" s="73">
        <f t="shared" si="4"/>
        <v>180812949.00586998</v>
      </c>
      <c r="AA6" s="73"/>
      <c r="AB6" s="73"/>
      <c r="AC6" s="73">
        <f>AA6+AB6</f>
        <v>0</v>
      </c>
      <c r="AD6" s="73"/>
      <c r="AE6" s="73">
        <f>AC6+AD6</f>
        <v>0</v>
      </c>
      <c r="AF6" s="71">
        <f t="shared" si="5"/>
        <v>106441486.71387</v>
      </c>
      <c r="AG6" s="71">
        <f t="shared" si="5"/>
        <v>159862218.31999999</v>
      </c>
      <c r="AH6" s="71">
        <f t="shared" si="5"/>
        <v>266303705.03387001</v>
      </c>
      <c r="AI6" s="71">
        <f t="shared" si="5"/>
        <v>0</v>
      </c>
      <c r="AJ6" s="71">
        <f t="shared" si="5"/>
        <v>266303705.03387001</v>
      </c>
      <c r="AK6" s="72">
        <f t="shared" si="6"/>
        <v>7124229.671500002</v>
      </c>
      <c r="AL6" s="72">
        <f t="shared" si="7"/>
        <v>266303705.03387001</v>
      </c>
      <c r="AM6" s="72">
        <f>P6+Z6</f>
        <v>266303705.03387001</v>
      </c>
    </row>
    <row r="7" spans="1:39" s="1" customFormat="1" ht="14.25" customHeight="1" x14ac:dyDescent="0.25">
      <c r="A7" s="18" t="s">
        <v>585</v>
      </c>
      <c r="B7" s="12"/>
      <c r="C7" s="13">
        <f t="shared" ref="C7:AM7" si="8">SUM(C4:C6)</f>
        <v>38759</v>
      </c>
      <c r="D7" s="13">
        <f t="shared" si="8"/>
        <v>47315</v>
      </c>
      <c r="E7" s="13">
        <f t="shared" si="8"/>
        <v>86074</v>
      </c>
      <c r="F7" s="13">
        <f t="shared" si="8"/>
        <v>0</v>
      </c>
      <c r="G7" s="68">
        <f t="shared" si="8"/>
        <v>65428016.465467066</v>
      </c>
      <c r="H7" s="68">
        <f t="shared" si="8"/>
        <v>91907196.469999999</v>
      </c>
      <c r="I7" s="68">
        <f t="shared" si="8"/>
        <v>157335212.93546706</v>
      </c>
      <c r="J7" s="68">
        <f t="shared" si="8"/>
        <v>5349701.5018864255</v>
      </c>
      <c r="K7" s="68">
        <f t="shared" si="8"/>
        <v>162684914.43735349</v>
      </c>
      <c r="L7" s="68">
        <f t="shared" si="8"/>
        <v>440943641.98878598</v>
      </c>
      <c r="M7" s="68">
        <f t="shared" si="8"/>
        <v>620918505.25999999</v>
      </c>
      <c r="N7" s="68">
        <f t="shared" si="8"/>
        <v>1061862147.248786</v>
      </c>
      <c r="O7" s="68">
        <f t="shared" si="8"/>
        <v>34773059.762261763</v>
      </c>
      <c r="P7" s="68">
        <f t="shared" si="8"/>
        <v>1096635207.0110478</v>
      </c>
      <c r="Q7" s="68">
        <f t="shared" si="8"/>
        <v>976110423.87855875</v>
      </c>
      <c r="R7" s="68">
        <f t="shared" si="8"/>
        <v>1320001680.8099999</v>
      </c>
      <c r="S7" s="68">
        <f t="shared" si="8"/>
        <v>2296112104.6885586</v>
      </c>
      <c r="T7" s="68">
        <f t="shared" si="8"/>
        <v>73877960.6130431</v>
      </c>
      <c r="U7" s="68">
        <f t="shared" si="8"/>
        <v>2369990065.3016014</v>
      </c>
      <c r="V7" s="68">
        <f t="shared" si="8"/>
        <v>976110423.87855875</v>
      </c>
      <c r="W7" s="68">
        <f t="shared" si="8"/>
        <v>1320001680.8099999</v>
      </c>
      <c r="X7" s="68">
        <f t="shared" si="8"/>
        <v>2296112104.6885586</v>
      </c>
      <c r="Y7" s="68">
        <f t="shared" si="8"/>
        <v>73877960.6130431</v>
      </c>
      <c r="Z7" s="68">
        <f t="shared" si="8"/>
        <v>2369990065.3016014</v>
      </c>
      <c r="AA7" s="68">
        <f t="shared" si="8"/>
        <v>0</v>
      </c>
      <c r="AB7" s="68">
        <f t="shared" si="8"/>
        <v>0</v>
      </c>
      <c r="AC7" s="68">
        <f t="shared" si="8"/>
        <v>0</v>
      </c>
      <c r="AD7" s="68">
        <f t="shared" si="8"/>
        <v>0</v>
      </c>
      <c r="AE7" s="68">
        <f t="shared" si="8"/>
        <v>0</v>
      </c>
      <c r="AF7" s="68">
        <f t="shared" si="8"/>
        <v>1417054065.8673449</v>
      </c>
      <c r="AG7" s="68">
        <f t="shared" si="8"/>
        <v>1940920186.0699999</v>
      </c>
      <c r="AH7" s="68">
        <f t="shared" si="8"/>
        <v>3357974251.937345</v>
      </c>
      <c r="AI7" s="68">
        <f t="shared" si="8"/>
        <v>108651020.37530486</v>
      </c>
      <c r="AJ7" s="68">
        <f t="shared" si="8"/>
        <v>3466625272.3126502</v>
      </c>
      <c r="AK7" s="68">
        <f t="shared" si="8"/>
        <v>162684914.43735349</v>
      </c>
      <c r="AL7" s="68">
        <f t="shared" si="8"/>
        <v>3466625272.3126502</v>
      </c>
      <c r="AM7" s="68">
        <f t="shared" si="8"/>
        <v>3466625272.3126502</v>
      </c>
    </row>
  </sheetData>
  <mergeCells count="14">
    <mergeCell ref="AF1:AJ1"/>
    <mergeCell ref="AK1:AM1"/>
    <mergeCell ref="G2:K2"/>
    <mergeCell ref="L2:P2"/>
    <mergeCell ref="Q2:U2"/>
    <mergeCell ref="V2:Z2"/>
    <mergeCell ref="AA2:AE2"/>
    <mergeCell ref="AF2:AJ2"/>
    <mergeCell ref="Q1:Z1"/>
    <mergeCell ref="A1:A3"/>
    <mergeCell ref="B1:B3"/>
    <mergeCell ref="C1:E1"/>
    <mergeCell ref="F1:F3"/>
    <mergeCell ref="G1:P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D98E9-2775-6B42-9C19-61FD6C91B818}">
  <sheetPr>
    <tabColor rgb="FFFFC000"/>
  </sheetPr>
  <dimension ref="A1:AH22"/>
  <sheetViews>
    <sheetView topLeftCell="J1" zoomScale="174" workbookViewId="0">
      <selection activeCell="A15" sqref="A4:AH15"/>
    </sheetView>
  </sheetViews>
  <sheetFormatPr defaultColWidth="11.42578125" defaultRowHeight="15" outlineLevelRow="1" x14ac:dyDescent="0.25"/>
  <cols>
    <col min="1" max="1" width="36.42578125" customWidth="1"/>
    <col min="2" max="2" width="13.85546875" bestFit="1" customWidth="1"/>
    <col min="3" max="5" width="8.140625" bestFit="1" customWidth="1"/>
    <col min="6" max="6" width="8.42578125" bestFit="1" customWidth="1"/>
    <col min="7" max="7" width="8.85546875" bestFit="1" customWidth="1"/>
    <col min="8" max="8" width="9.85546875" bestFit="1" customWidth="1"/>
    <col min="9" max="9" width="20.28515625" bestFit="1" customWidth="1"/>
    <col min="10" max="10" width="16.42578125" bestFit="1" customWidth="1"/>
    <col min="11" max="12" width="9.85546875" bestFit="1" customWidth="1"/>
    <col min="13" max="14" width="11" bestFit="1" customWidth="1"/>
    <col min="15" max="15" width="16.42578125" bestFit="1" customWidth="1"/>
    <col min="16" max="16" width="11" bestFit="1" customWidth="1"/>
    <col min="17" max="18" width="15" bestFit="1" customWidth="1"/>
    <col min="19" max="22" width="16.42578125" bestFit="1" customWidth="1"/>
    <col min="23" max="23" width="15" bestFit="1" customWidth="1"/>
    <col min="24" max="27" width="16.42578125" bestFit="1" customWidth="1"/>
    <col min="28" max="28" width="15" bestFit="1" customWidth="1"/>
    <col min="29" max="29" width="16.42578125" bestFit="1" customWidth="1"/>
    <col min="30" max="30" width="16.28515625" bestFit="1" customWidth="1"/>
    <col min="31" max="31" width="16.42578125" bestFit="1" customWidth="1"/>
    <col min="32" max="32" width="9.85546875" bestFit="1" customWidth="1"/>
    <col min="33" max="34" width="16.42578125" bestFit="1" customWidth="1"/>
  </cols>
  <sheetData>
    <row r="1" spans="1:34" s="1" customFormat="1" ht="15" customHeight="1" x14ac:dyDescent="0.25">
      <c r="A1" s="1021" t="s">
        <v>24</v>
      </c>
      <c r="B1" s="1022" t="s">
        <v>25</v>
      </c>
      <c r="C1" s="1023" t="s">
        <v>26</v>
      </c>
      <c r="D1" s="1023"/>
      <c r="E1" s="1023"/>
      <c r="F1" s="1022" t="s">
        <v>27</v>
      </c>
      <c r="G1" s="1022" t="s">
        <v>28</v>
      </c>
      <c r="H1" s="1022"/>
      <c r="I1" s="1022"/>
      <c r="J1" s="1022"/>
      <c r="K1" s="1022"/>
      <c r="L1" s="1022"/>
      <c r="M1" s="1022"/>
      <c r="N1" s="1022"/>
      <c r="O1" s="1022"/>
      <c r="P1" s="1022"/>
      <c r="Q1" s="1022" t="s">
        <v>28</v>
      </c>
      <c r="R1" s="1022"/>
      <c r="S1" s="1022"/>
      <c r="T1" s="1022"/>
      <c r="U1" s="1022"/>
      <c r="V1" s="1022"/>
      <c r="W1" s="1022"/>
      <c r="X1" s="1022"/>
      <c r="Y1" s="1022"/>
      <c r="Z1" s="1022"/>
      <c r="AA1" s="1022" t="s">
        <v>28</v>
      </c>
      <c r="AB1" s="1022"/>
      <c r="AC1" s="1022"/>
      <c r="AD1" s="1022"/>
      <c r="AE1" s="1022"/>
      <c r="AF1" s="1024" t="s">
        <v>2</v>
      </c>
      <c r="AG1" s="1024"/>
      <c r="AH1" s="1024"/>
    </row>
    <row r="2" spans="1:34" s="1" customFormat="1" x14ac:dyDescent="0.25">
      <c r="A2" s="1021"/>
      <c r="B2" s="1022"/>
      <c r="C2" s="2" t="s">
        <v>29</v>
      </c>
      <c r="D2" s="2" t="s">
        <v>30</v>
      </c>
      <c r="E2" s="2" t="s">
        <v>13</v>
      </c>
      <c r="F2" s="1022"/>
      <c r="G2" s="1025">
        <v>2025</v>
      </c>
      <c r="H2" s="1025"/>
      <c r="I2" s="1025"/>
      <c r="J2" s="1025"/>
      <c r="K2" s="1025"/>
      <c r="L2" s="1025" t="s">
        <v>31</v>
      </c>
      <c r="M2" s="1025"/>
      <c r="N2" s="1025"/>
      <c r="O2" s="1025"/>
      <c r="P2" s="1025"/>
      <c r="Q2" s="1026">
        <v>2026</v>
      </c>
      <c r="R2" s="1026"/>
      <c r="S2" s="1026"/>
      <c r="T2" s="1026"/>
      <c r="U2" s="1026"/>
      <c r="V2" s="1026" t="s">
        <v>31</v>
      </c>
      <c r="W2" s="1026"/>
      <c r="X2" s="1026"/>
      <c r="Y2" s="1026"/>
      <c r="Z2" s="1026"/>
      <c r="AA2" s="1022" t="s">
        <v>13</v>
      </c>
      <c r="AB2" s="1022"/>
      <c r="AC2" s="1022"/>
      <c r="AD2" s="1022"/>
      <c r="AE2" s="1022"/>
      <c r="AF2" s="3"/>
      <c r="AG2" s="3"/>
      <c r="AH2" s="3"/>
    </row>
    <row r="3" spans="1:34" s="1" customFormat="1" x14ac:dyDescent="0.25">
      <c r="A3" s="1021"/>
      <c r="B3" s="1022"/>
      <c r="C3" s="2"/>
      <c r="D3" s="2"/>
      <c r="E3" s="2"/>
      <c r="F3" s="1022"/>
      <c r="G3" s="4" t="s">
        <v>32</v>
      </c>
      <c r="H3" s="4" t="s">
        <v>30</v>
      </c>
      <c r="I3" s="4" t="s">
        <v>34</v>
      </c>
      <c r="J3" s="4" t="s">
        <v>35</v>
      </c>
      <c r="K3" s="4" t="s">
        <v>13</v>
      </c>
      <c r="L3" s="4" t="s">
        <v>32</v>
      </c>
      <c r="M3" s="4" t="s">
        <v>30</v>
      </c>
      <c r="N3" s="4" t="s">
        <v>34</v>
      </c>
      <c r="O3" s="4" t="s">
        <v>35</v>
      </c>
      <c r="P3" s="4" t="s">
        <v>13</v>
      </c>
      <c r="Q3" s="5" t="s">
        <v>32</v>
      </c>
      <c r="R3" s="5" t="s">
        <v>30</v>
      </c>
      <c r="S3" s="5" t="s">
        <v>34</v>
      </c>
      <c r="T3" s="5" t="s">
        <v>35</v>
      </c>
      <c r="U3" s="5" t="s">
        <v>13</v>
      </c>
      <c r="V3" s="5" t="s">
        <v>32</v>
      </c>
      <c r="W3" s="5" t="s">
        <v>30</v>
      </c>
      <c r="X3" s="5" t="s">
        <v>34</v>
      </c>
      <c r="Y3" s="5" t="s">
        <v>35</v>
      </c>
      <c r="Z3" s="5" t="s">
        <v>13</v>
      </c>
      <c r="AA3" s="6" t="s">
        <v>32</v>
      </c>
      <c r="AB3" s="6" t="s">
        <v>30</v>
      </c>
      <c r="AC3" s="6" t="s">
        <v>34</v>
      </c>
      <c r="AD3" s="6" t="s">
        <v>35</v>
      </c>
      <c r="AE3" s="6" t="s">
        <v>13</v>
      </c>
      <c r="AF3" s="7">
        <v>2025</v>
      </c>
      <c r="AG3" s="8">
        <v>2026</v>
      </c>
      <c r="AH3" s="8">
        <v>2027</v>
      </c>
    </row>
    <row r="4" spans="1:34" s="9" customFormat="1" ht="27.75" customHeight="1" outlineLevel="1" x14ac:dyDescent="0.25">
      <c r="A4" s="1367" t="s">
        <v>53</v>
      </c>
      <c r="B4" s="33" t="s">
        <v>54</v>
      </c>
      <c r="C4" s="34">
        <v>412</v>
      </c>
      <c r="D4" s="34">
        <v>817</v>
      </c>
      <c r="E4" s="34">
        <f>SUM(C4:D4)</f>
        <v>1229</v>
      </c>
      <c r="F4" s="35">
        <v>46113</v>
      </c>
      <c r="G4" s="74">
        <v>0</v>
      </c>
      <c r="H4" s="74">
        <v>0</v>
      </c>
      <c r="I4" s="74">
        <v>0</v>
      </c>
      <c r="J4" s="74">
        <v>0</v>
      </c>
      <c r="K4" s="74">
        <v>0</v>
      </c>
      <c r="L4" s="74">
        <v>0</v>
      </c>
      <c r="M4" s="74">
        <v>0</v>
      </c>
      <c r="N4" s="74">
        <v>0</v>
      </c>
      <c r="O4" s="74">
        <v>0</v>
      </c>
      <c r="P4" s="74">
        <v>0</v>
      </c>
      <c r="Q4" s="74">
        <v>13482831.931118647</v>
      </c>
      <c r="R4" s="74">
        <v>40723269.901600011</v>
      </c>
      <c r="S4" s="74">
        <f>SUM(Q4:R4)</f>
        <v>54206101.832718655</v>
      </c>
      <c r="T4" s="74">
        <v>3141683.0598889571</v>
      </c>
      <c r="U4" s="74">
        <f>SUM(S4:T4)</f>
        <v>57347784.892607614</v>
      </c>
      <c r="V4" s="74">
        <v>17398465.599400926</v>
      </c>
      <c r="W4" s="74">
        <v>52940250.872080006</v>
      </c>
      <c r="X4" s="74">
        <f>SUM(V4:W4)</f>
        <v>70338716.471480936</v>
      </c>
      <c r="Y4" s="74">
        <v>4054078.9146485771</v>
      </c>
      <c r="Z4" s="74">
        <f>SUM(X4:Y4)</f>
        <v>74392795.386129513</v>
      </c>
      <c r="AA4" s="75">
        <f>L4+V4</f>
        <v>17398465.599400926</v>
      </c>
      <c r="AB4" s="75">
        <f>M4+W4</f>
        <v>52940250.872080006</v>
      </c>
      <c r="AC4" s="75">
        <f>N4+X4</f>
        <v>70338716.471480936</v>
      </c>
      <c r="AD4" s="75">
        <f>O4+Y4</f>
        <v>4054078.9146485771</v>
      </c>
      <c r="AE4" s="75">
        <f>P4+Z4</f>
        <v>74392795.386129513</v>
      </c>
      <c r="AF4" s="76">
        <f>K4</f>
        <v>0</v>
      </c>
      <c r="AG4" s="76">
        <f>P4+U4</f>
        <v>57347784.892607614</v>
      </c>
      <c r="AH4" s="76">
        <f>P4+Z4</f>
        <v>74392795.386129513</v>
      </c>
    </row>
    <row r="5" spans="1:34" s="9" customFormat="1" ht="27.75" customHeight="1" outlineLevel="1" x14ac:dyDescent="0.25">
      <c r="A5" s="1367"/>
      <c r="B5" s="33" t="s">
        <v>55</v>
      </c>
      <c r="C5" s="34">
        <v>319</v>
      </c>
      <c r="D5" s="34">
        <v>1073</v>
      </c>
      <c r="E5" s="34">
        <f t="shared" ref="E5:E6" si="0">SUM(C5:D5)</f>
        <v>1392</v>
      </c>
      <c r="F5" s="35">
        <v>46113</v>
      </c>
      <c r="G5" s="74">
        <v>0</v>
      </c>
      <c r="H5" s="74">
        <v>0</v>
      </c>
      <c r="I5" s="74">
        <v>0</v>
      </c>
      <c r="J5" s="74">
        <v>0</v>
      </c>
      <c r="K5" s="74">
        <v>0</v>
      </c>
      <c r="L5" s="74">
        <v>0</v>
      </c>
      <c r="M5" s="74">
        <v>0</v>
      </c>
      <c r="N5" s="74">
        <v>0</v>
      </c>
      <c r="O5" s="74">
        <v>0</v>
      </c>
      <c r="P5" s="74">
        <v>0</v>
      </c>
      <c r="Q5" s="74">
        <v>7906793.9863676867</v>
      </c>
      <c r="R5" s="74">
        <v>24069799.9399</v>
      </c>
      <c r="S5" s="74">
        <f t="shared" ref="S5:S14" si="1">SUM(Q5:R5)</f>
        <v>31976593.926267687</v>
      </c>
      <c r="T5" s="74">
        <v>1842390.4452647327</v>
      </c>
      <c r="U5" s="74">
        <f t="shared" ref="U5:U14" si="2">SUM(S5:T5)</f>
        <v>33818984.371532418</v>
      </c>
      <c r="V5" s="74">
        <v>10203055.550656464</v>
      </c>
      <c r="W5" s="74">
        <v>31290739.921869997</v>
      </c>
      <c r="X5" s="74">
        <f t="shared" ref="X5:X14" si="3">SUM(V5:W5)</f>
        <v>41493795.472526461</v>
      </c>
      <c r="Y5" s="74">
        <v>2377450.5939379372</v>
      </c>
      <c r="Z5" s="74">
        <f t="shared" ref="Z5:Z14" si="4">SUM(X5:Y5)</f>
        <v>43871246.066464394</v>
      </c>
      <c r="AA5" s="75">
        <f t="shared" ref="AA5:AE14" si="5">L5+V5</f>
        <v>10203055.550656464</v>
      </c>
      <c r="AB5" s="75">
        <f t="shared" si="5"/>
        <v>31290739.921869997</v>
      </c>
      <c r="AC5" s="75">
        <f t="shared" si="5"/>
        <v>41493795.472526461</v>
      </c>
      <c r="AD5" s="75">
        <f t="shared" si="5"/>
        <v>2377450.5939379372</v>
      </c>
      <c r="AE5" s="75">
        <f t="shared" si="5"/>
        <v>43871246.066464394</v>
      </c>
      <c r="AF5" s="76">
        <f t="shared" ref="AF5:AF6" si="6">K5</f>
        <v>0</v>
      </c>
      <c r="AG5" s="76">
        <f t="shared" ref="AG5:AG6" si="7">P5+U5</f>
        <v>33818984.371532418</v>
      </c>
      <c r="AH5" s="76">
        <f t="shared" ref="AH5:AH6" si="8">P5+Z5</f>
        <v>43871246.066464394</v>
      </c>
    </row>
    <row r="6" spans="1:34" s="9" customFormat="1" ht="30" customHeight="1" outlineLevel="1" x14ac:dyDescent="0.25">
      <c r="A6" s="1367"/>
      <c r="B6" s="33" t="s">
        <v>56</v>
      </c>
      <c r="C6" s="34">
        <v>14</v>
      </c>
      <c r="D6" s="34">
        <v>17</v>
      </c>
      <c r="E6" s="34">
        <f t="shared" si="0"/>
        <v>31</v>
      </c>
      <c r="F6" s="35">
        <v>46113</v>
      </c>
      <c r="G6" s="74">
        <v>0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36811.726660255634</v>
      </c>
      <c r="R6" s="74">
        <v>7319.9840999999924</v>
      </c>
      <c r="S6" s="74">
        <f t="shared" si="1"/>
        <v>44131.710760255628</v>
      </c>
      <c r="T6" s="74">
        <v>8577.6325511307095</v>
      </c>
      <c r="U6" s="74">
        <f t="shared" si="2"/>
        <v>52709.343311386336</v>
      </c>
      <c r="V6" s="74">
        <v>47502.450762943627</v>
      </c>
      <c r="W6" s="74">
        <v>9515.979329999991</v>
      </c>
      <c r="X6" s="74">
        <f t="shared" si="3"/>
        <v>57018.430092943614</v>
      </c>
      <c r="Y6" s="74">
        <v>11068.716544682708</v>
      </c>
      <c r="Z6" s="74">
        <f t="shared" si="4"/>
        <v>68087.146637626327</v>
      </c>
      <c r="AA6" s="75">
        <f t="shared" si="5"/>
        <v>47502.450762943627</v>
      </c>
      <c r="AB6" s="75">
        <f t="shared" si="5"/>
        <v>9515.979329999991</v>
      </c>
      <c r="AC6" s="75">
        <f t="shared" si="5"/>
        <v>57018.430092943614</v>
      </c>
      <c r="AD6" s="75">
        <f t="shared" si="5"/>
        <v>11068.716544682708</v>
      </c>
      <c r="AE6" s="75">
        <f t="shared" si="5"/>
        <v>68087.146637626327</v>
      </c>
      <c r="AF6" s="76">
        <f t="shared" si="6"/>
        <v>0</v>
      </c>
      <c r="AG6" s="76">
        <f t="shared" si="7"/>
        <v>52709.343311386336</v>
      </c>
      <c r="AH6" s="76">
        <f t="shared" si="8"/>
        <v>68087.146637626327</v>
      </c>
    </row>
    <row r="7" spans="1:34" s="9" customFormat="1" ht="30" customHeight="1" outlineLevel="1" x14ac:dyDescent="0.25">
      <c r="A7" s="1367" t="s">
        <v>57</v>
      </c>
      <c r="B7" s="33" t="s">
        <v>54</v>
      </c>
      <c r="C7" s="34">
        <v>412</v>
      </c>
      <c r="D7" s="34">
        <v>817</v>
      </c>
      <c r="E7" s="34">
        <f>SUM(C7:D7)</f>
        <v>1229</v>
      </c>
      <c r="F7" s="35">
        <v>45962</v>
      </c>
      <c r="G7" s="74"/>
      <c r="H7" s="74">
        <v>990.09768000000167</v>
      </c>
      <c r="I7" s="74">
        <f>SUM(G7:H7)</f>
        <v>990.09768000000167</v>
      </c>
      <c r="J7" s="74"/>
      <c r="K7" s="74">
        <f>SUM(I7:J7)</f>
        <v>990.09768000000167</v>
      </c>
      <c r="L7" s="74"/>
      <c r="M7" s="74">
        <v>4290.4232800000073</v>
      </c>
      <c r="N7" s="74">
        <f>SUM(L7:M7)</f>
        <v>4290.4232800000073</v>
      </c>
      <c r="O7" s="74"/>
      <c r="P7" s="74">
        <f>SUM(N7:O7)</f>
        <v>4290.4232800000073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5">
        <v>0</v>
      </c>
      <c r="AB7" s="75">
        <v>0</v>
      </c>
      <c r="AC7" s="75">
        <v>0</v>
      </c>
      <c r="AD7" s="75">
        <v>0</v>
      </c>
      <c r="AE7" s="75">
        <v>0</v>
      </c>
      <c r="AF7" s="76">
        <f t="shared" ref="AF7:AF9" si="9">K7</f>
        <v>990.09768000000167</v>
      </c>
      <c r="AG7" s="76">
        <f t="shared" ref="AG7:AG9" si="10">P7+U7</f>
        <v>4290.4232800000073</v>
      </c>
      <c r="AH7" s="76">
        <f t="shared" ref="AH7:AH9" si="11">P7+Z7</f>
        <v>4290.4232800000073</v>
      </c>
    </row>
    <row r="8" spans="1:34" s="9" customFormat="1" ht="30" customHeight="1" outlineLevel="1" x14ac:dyDescent="0.25">
      <c r="A8" s="1367"/>
      <c r="B8" s="33" t="s">
        <v>55</v>
      </c>
      <c r="C8" s="34">
        <v>319</v>
      </c>
      <c r="D8" s="34">
        <v>1073</v>
      </c>
      <c r="E8" s="34">
        <f t="shared" ref="E8:E9" si="12">SUM(C8:D8)</f>
        <v>1392</v>
      </c>
      <c r="F8" s="35">
        <v>45962</v>
      </c>
      <c r="G8" s="74"/>
      <c r="H8" s="74">
        <v>23508.693780000009</v>
      </c>
      <c r="I8" s="74">
        <f t="shared" ref="I8:I9" si="13">SUM(G8:H8)</f>
        <v>23508.693780000009</v>
      </c>
      <c r="J8" s="74"/>
      <c r="K8" s="74">
        <f t="shared" ref="K8:K9" si="14">SUM(I8:J8)</f>
        <v>23508.693780000009</v>
      </c>
      <c r="L8" s="74"/>
      <c r="M8" s="74">
        <v>101871.00638000004</v>
      </c>
      <c r="N8" s="74">
        <f t="shared" ref="N8:N9" si="15">SUM(L8:M8)</f>
        <v>101871.00638000004</v>
      </c>
      <c r="O8" s="74"/>
      <c r="P8" s="74">
        <f t="shared" ref="P8:P9" si="16">SUM(N8:O8)</f>
        <v>101871.00638000004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5">
        <v>0</v>
      </c>
      <c r="AB8" s="75">
        <v>0</v>
      </c>
      <c r="AC8" s="75">
        <v>0</v>
      </c>
      <c r="AD8" s="75">
        <v>0</v>
      </c>
      <c r="AE8" s="75">
        <v>0</v>
      </c>
      <c r="AF8" s="76">
        <f t="shared" si="9"/>
        <v>23508.693780000009</v>
      </c>
      <c r="AG8" s="76">
        <f t="shared" si="10"/>
        <v>101871.00638000004</v>
      </c>
      <c r="AH8" s="76">
        <f t="shared" si="11"/>
        <v>101871.00638000004</v>
      </c>
    </row>
    <row r="9" spans="1:34" s="9" customFormat="1" ht="30" customHeight="1" outlineLevel="1" x14ac:dyDescent="0.25">
      <c r="A9" s="1367"/>
      <c r="B9" s="33" t="s">
        <v>56</v>
      </c>
      <c r="C9" s="34">
        <v>14</v>
      </c>
      <c r="D9" s="34">
        <v>17</v>
      </c>
      <c r="E9" s="34">
        <f t="shared" si="12"/>
        <v>31</v>
      </c>
      <c r="F9" s="35">
        <v>45962</v>
      </c>
      <c r="G9" s="74"/>
      <c r="H9" s="74"/>
      <c r="I9" s="74">
        <f t="shared" si="13"/>
        <v>0</v>
      </c>
      <c r="J9" s="74"/>
      <c r="K9" s="74">
        <f t="shared" si="14"/>
        <v>0</v>
      </c>
      <c r="L9" s="74"/>
      <c r="M9" s="74"/>
      <c r="N9" s="74">
        <f t="shared" si="15"/>
        <v>0</v>
      </c>
      <c r="O9" s="74"/>
      <c r="P9" s="74">
        <f t="shared" si="16"/>
        <v>0</v>
      </c>
      <c r="Q9" s="74">
        <v>0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4">
        <v>0</v>
      </c>
      <c r="Y9" s="74">
        <v>0</v>
      </c>
      <c r="Z9" s="74">
        <v>0</v>
      </c>
      <c r="AA9" s="75">
        <v>0</v>
      </c>
      <c r="AB9" s="75">
        <v>0</v>
      </c>
      <c r="AC9" s="75">
        <v>0</v>
      </c>
      <c r="AD9" s="75">
        <v>0</v>
      </c>
      <c r="AE9" s="75">
        <v>0</v>
      </c>
      <c r="AF9" s="76">
        <f t="shared" si="9"/>
        <v>0</v>
      </c>
      <c r="AG9" s="76">
        <f t="shared" si="10"/>
        <v>0</v>
      </c>
      <c r="AH9" s="76">
        <f t="shared" si="11"/>
        <v>0</v>
      </c>
    </row>
    <row r="10" spans="1:34" s="9" customFormat="1" ht="30" customHeight="1" outlineLevel="1" x14ac:dyDescent="0.25">
      <c r="A10" s="32" t="s">
        <v>58</v>
      </c>
      <c r="B10" s="33" t="s">
        <v>54</v>
      </c>
      <c r="C10" s="34">
        <v>4642</v>
      </c>
      <c r="D10" s="34">
        <v>2942</v>
      </c>
      <c r="E10" s="34">
        <f>SUM(C10:D10)</f>
        <v>7584</v>
      </c>
      <c r="F10" s="35">
        <v>46113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203473250.27532342</v>
      </c>
      <c r="R10" s="74">
        <v>157832559.89214998</v>
      </c>
      <c r="S10" s="74">
        <f t="shared" si="1"/>
        <v>361305810.16747344</v>
      </c>
      <c r="T10" s="74">
        <v>47412032.338334762</v>
      </c>
      <c r="U10" s="74">
        <f t="shared" si="2"/>
        <v>408717842.50580817</v>
      </c>
      <c r="V10" s="74">
        <v>262565191.30397499</v>
      </c>
      <c r="W10" s="74">
        <v>205182327.85979497</v>
      </c>
      <c r="X10" s="74">
        <f t="shared" si="3"/>
        <v>467747519.16376996</v>
      </c>
      <c r="Y10" s="74">
        <v>61181257.606002159</v>
      </c>
      <c r="Z10" s="74">
        <f t="shared" si="4"/>
        <v>528928776.76977211</v>
      </c>
      <c r="AA10" s="75">
        <f t="shared" si="5"/>
        <v>262565191.30397499</v>
      </c>
      <c r="AB10" s="75">
        <f t="shared" si="5"/>
        <v>205182327.85979497</v>
      </c>
      <c r="AC10" s="75">
        <f t="shared" si="5"/>
        <v>467747519.16376996</v>
      </c>
      <c r="AD10" s="75">
        <f t="shared" si="5"/>
        <v>61181257.606002159</v>
      </c>
      <c r="AE10" s="75">
        <f t="shared" si="5"/>
        <v>528928776.76977211</v>
      </c>
      <c r="AF10" s="76">
        <f>K10</f>
        <v>0</v>
      </c>
      <c r="AG10" s="76">
        <f>P10+U10</f>
        <v>408717842.50580817</v>
      </c>
      <c r="AH10" s="76">
        <f>P10+Z10</f>
        <v>528928776.76977211</v>
      </c>
    </row>
    <row r="11" spans="1:34" s="9" customFormat="1" ht="30" customHeight="1" outlineLevel="1" x14ac:dyDescent="0.25">
      <c r="A11" s="32" t="s">
        <v>59</v>
      </c>
      <c r="B11" s="33" t="s">
        <v>54</v>
      </c>
      <c r="C11" s="34">
        <v>4642</v>
      </c>
      <c r="D11" s="34">
        <v>2942</v>
      </c>
      <c r="E11" s="34">
        <f>SUM(C11:D11)</f>
        <v>7584</v>
      </c>
      <c r="F11" s="35">
        <v>45962</v>
      </c>
      <c r="G11" s="74">
        <v>7445.6772077419591</v>
      </c>
      <c r="H11" s="74">
        <v>14734.12083000002</v>
      </c>
      <c r="I11" s="74">
        <f t="shared" ref="I11" si="17">SUM(G11:H11)</f>
        <v>22179.798037741981</v>
      </c>
      <c r="J11" s="74">
        <v>1734.9439696696891</v>
      </c>
      <c r="K11" s="74">
        <f t="shared" ref="K11" si="18">SUM(I11:J11)</f>
        <v>23914.742007411671</v>
      </c>
      <c r="L11" s="74">
        <v>29805.068221982074</v>
      </c>
      <c r="M11" s="74">
        <v>63847.856930000082</v>
      </c>
      <c r="N11" s="74">
        <f t="shared" ref="N11" si="19">SUM(L11:M11)</f>
        <v>93652.925151982156</v>
      </c>
      <c r="O11" s="74">
        <v>6944.985920629716</v>
      </c>
      <c r="P11" s="74">
        <f t="shared" ref="P11" si="20">SUM(N11:O11)</f>
        <v>100597.91107261187</v>
      </c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5"/>
      <c r="AB11" s="75"/>
      <c r="AC11" s="75"/>
      <c r="AD11" s="75"/>
      <c r="AE11" s="75"/>
      <c r="AF11" s="76"/>
      <c r="AG11" s="76"/>
      <c r="AH11" s="76"/>
    </row>
    <row r="12" spans="1:34" s="9" customFormat="1" outlineLevel="1" x14ac:dyDescent="0.25">
      <c r="A12" s="36" t="s">
        <v>60</v>
      </c>
      <c r="B12" s="33" t="s">
        <v>61</v>
      </c>
      <c r="C12" s="34">
        <v>1728</v>
      </c>
      <c r="D12" s="34">
        <v>1811</v>
      </c>
      <c r="E12" s="34">
        <f t="shared" ref="E12:E14" si="21">SUM(C12:D12)</f>
        <v>3539</v>
      </c>
      <c r="F12" s="35">
        <v>46113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53126104.277697228</v>
      </c>
      <c r="R12" s="74">
        <v>74410667.645599976</v>
      </c>
      <c r="S12" s="74">
        <f t="shared" si="1"/>
        <v>127536771.9232972</v>
      </c>
      <c r="T12" s="74">
        <v>12379104.234171655</v>
      </c>
      <c r="U12" s="74">
        <f t="shared" si="2"/>
        <v>139915876.15746886</v>
      </c>
      <c r="V12" s="74">
        <v>68554788.966283053</v>
      </c>
      <c r="W12" s="74">
        <v>96733867.939279974</v>
      </c>
      <c r="X12" s="74">
        <f t="shared" si="3"/>
        <v>165288656.90556303</v>
      </c>
      <c r="Y12" s="74">
        <v>15974197.428994015</v>
      </c>
      <c r="Z12" s="74">
        <f t="shared" si="4"/>
        <v>181262854.33455706</v>
      </c>
      <c r="AA12" s="75">
        <f t="shared" si="5"/>
        <v>68554788.966283053</v>
      </c>
      <c r="AB12" s="75">
        <f t="shared" si="5"/>
        <v>96733867.939279974</v>
      </c>
      <c r="AC12" s="75">
        <f t="shared" si="5"/>
        <v>165288656.90556303</v>
      </c>
      <c r="AD12" s="75">
        <f t="shared" si="5"/>
        <v>15974197.428994015</v>
      </c>
      <c r="AE12" s="75">
        <f t="shared" si="5"/>
        <v>181262854.33455706</v>
      </c>
      <c r="AF12" s="76">
        <f>K12</f>
        <v>0</v>
      </c>
      <c r="AG12" s="76">
        <f>P12+U12</f>
        <v>139915876.15746886</v>
      </c>
      <c r="AH12" s="76">
        <f>P12+Z12</f>
        <v>181262854.33455706</v>
      </c>
    </row>
    <row r="13" spans="1:34" s="9" customFormat="1" ht="45" outlineLevel="1" x14ac:dyDescent="0.25">
      <c r="A13" s="153" t="s">
        <v>86</v>
      </c>
      <c r="B13" s="33" t="s">
        <v>87</v>
      </c>
      <c r="C13" s="34">
        <v>36980</v>
      </c>
      <c r="D13" s="34"/>
      <c r="E13" s="34">
        <f t="shared" si="21"/>
        <v>36980</v>
      </c>
      <c r="F13" s="35">
        <v>46113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672738261.03208637</v>
      </c>
      <c r="R13" s="74"/>
      <c r="S13" s="74">
        <f t="shared" si="1"/>
        <v>672738261.03208637</v>
      </c>
      <c r="T13" s="74"/>
      <c r="U13" s="74">
        <f t="shared" si="2"/>
        <v>672738261.03208637</v>
      </c>
      <c r="V13" s="74">
        <v>896984348.04278195</v>
      </c>
      <c r="W13" s="74"/>
      <c r="X13" s="74">
        <f t="shared" si="3"/>
        <v>896984348.04278195</v>
      </c>
      <c r="Y13" s="74"/>
      <c r="Z13" s="74">
        <f t="shared" si="4"/>
        <v>896984348.04278195</v>
      </c>
      <c r="AA13" s="75">
        <f t="shared" si="5"/>
        <v>896984348.04278195</v>
      </c>
      <c r="AB13" s="75">
        <f t="shared" si="5"/>
        <v>0</v>
      </c>
      <c r="AC13" s="75">
        <f t="shared" si="5"/>
        <v>896984348.04278195</v>
      </c>
      <c r="AD13" s="75">
        <f t="shared" si="5"/>
        <v>0</v>
      </c>
      <c r="AE13" s="75">
        <f t="shared" si="5"/>
        <v>896984348.04278195</v>
      </c>
      <c r="AF13" s="76">
        <f>K13</f>
        <v>0</v>
      </c>
      <c r="AG13" s="76">
        <f>P13+U13</f>
        <v>672738261.03208637</v>
      </c>
      <c r="AH13" s="76">
        <f>P13+Z13</f>
        <v>896984348.04278195</v>
      </c>
    </row>
    <row r="14" spans="1:34" s="9" customFormat="1" ht="30" outlineLevel="1" x14ac:dyDescent="0.25">
      <c r="A14" s="32" t="s">
        <v>70</v>
      </c>
      <c r="B14" s="33" t="s">
        <v>54</v>
      </c>
      <c r="C14" s="34">
        <v>106</v>
      </c>
      <c r="D14" s="34">
        <v>309</v>
      </c>
      <c r="E14" s="34">
        <f t="shared" si="21"/>
        <v>415</v>
      </c>
      <c r="F14" s="35">
        <v>46113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5990996.1281360239</v>
      </c>
      <c r="R14" s="74">
        <v>16868929.977899998</v>
      </c>
      <c r="S14" s="74">
        <f t="shared" si="1"/>
        <v>22859926.106036022</v>
      </c>
      <c r="T14" s="74">
        <v>1395983.5102731022</v>
      </c>
      <c r="U14" s="74">
        <f t="shared" si="2"/>
        <v>24255909.616309125</v>
      </c>
      <c r="V14" s="74">
        <v>7730878.8371784315</v>
      </c>
      <c r="W14" s="74">
        <v>21929608.971269999</v>
      </c>
      <c r="X14" s="74">
        <f t="shared" si="3"/>
        <v>29660487.80844843</v>
      </c>
      <c r="Y14" s="74">
        <v>1801399.824970034</v>
      </c>
      <c r="Z14" s="74">
        <f t="shared" si="4"/>
        <v>31461887.633418463</v>
      </c>
      <c r="AA14" s="75">
        <f t="shared" si="5"/>
        <v>7730878.8371784315</v>
      </c>
      <c r="AB14" s="75">
        <f t="shared" si="5"/>
        <v>21929608.971269999</v>
      </c>
      <c r="AC14" s="75">
        <f t="shared" si="5"/>
        <v>29660487.80844843</v>
      </c>
      <c r="AD14" s="75">
        <f t="shared" si="5"/>
        <v>1801399.824970034</v>
      </c>
      <c r="AE14" s="75">
        <f t="shared" si="5"/>
        <v>31461887.633418463</v>
      </c>
      <c r="AF14" s="76">
        <f>K14</f>
        <v>0</v>
      </c>
      <c r="AG14" s="76">
        <f>P14+U14</f>
        <v>24255909.616309125</v>
      </c>
      <c r="AH14" s="76">
        <f>P14+Z14</f>
        <v>31461887.633418463</v>
      </c>
    </row>
    <row r="15" spans="1:34" s="1" customFormat="1" ht="14.25" customHeight="1" x14ac:dyDescent="0.25">
      <c r="A15" s="18" t="s">
        <v>586</v>
      </c>
      <c r="B15" s="12"/>
      <c r="C15" s="13">
        <f>SUM(C4:C14)</f>
        <v>49588</v>
      </c>
      <c r="D15" s="13">
        <f t="shared" ref="D15:AH15" si="22">SUM(D4:D14)</f>
        <v>11818</v>
      </c>
      <c r="E15" s="13">
        <f t="shared" si="22"/>
        <v>61406</v>
      </c>
      <c r="F15" s="13"/>
      <c r="G15" s="77">
        <f t="shared" si="22"/>
        <v>7445.6772077419591</v>
      </c>
      <c r="H15" s="77">
        <f t="shared" si="22"/>
        <v>39232.912290000029</v>
      </c>
      <c r="I15" s="77">
        <f t="shared" si="22"/>
        <v>46678.589497741996</v>
      </c>
      <c r="J15" s="77">
        <f t="shared" si="22"/>
        <v>1734.9439696696891</v>
      </c>
      <c r="K15" s="77">
        <f t="shared" si="22"/>
        <v>48413.533467411682</v>
      </c>
      <c r="L15" s="77">
        <f t="shared" si="22"/>
        <v>29805.068221982074</v>
      </c>
      <c r="M15" s="77">
        <f t="shared" si="22"/>
        <v>170009.28659000012</v>
      </c>
      <c r="N15" s="77">
        <f t="shared" si="22"/>
        <v>199814.35481198219</v>
      </c>
      <c r="O15" s="77">
        <f t="shared" si="22"/>
        <v>6944.985920629716</v>
      </c>
      <c r="P15" s="77">
        <f t="shared" si="22"/>
        <v>206759.34073261189</v>
      </c>
      <c r="Q15" s="77">
        <f t="shared" si="22"/>
        <v>956755049.35738957</v>
      </c>
      <c r="R15" s="77">
        <f t="shared" si="22"/>
        <v>313912547.34124994</v>
      </c>
      <c r="S15" s="77">
        <f t="shared" si="22"/>
        <v>1270667596.6986396</v>
      </c>
      <c r="T15" s="77">
        <f t="shared" si="22"/>
        <v>66179771.220484331</v>
      </c>
      <c r="U15" s="77">
        <f t="shared" si="22"/>
        <v>1336847367.9191241</v>
      </c>
      <c r="V15" s="77">
        <f t="shared" si="22"/>
        <v>1263484230.7510388</v>
      </c>
      <c r="W15" s="77">
        <f t="shared" si="22"/>
        <v>408086311.543625</v>
      </c>
      <c r="X15" s="77">
        <f t="shared" si="22"/>
        <v>1671570542.2946634</v>
      </c>
      <c r="Y15" s="77">
        <f t="shared" si="22"/>
        <v>85399453.085097402</v>
      </c>
      <c r="Z15" s="77">
        <f t="shared" si="22"/>
        <v>1756969995.3797612</v>
      </c>
      <c r="AA15" s="77">
        <f t="shared" si="22"/>
        <v>1263484230.7510388</v>
      </c>
      <c r="AB15" s="77">
        <f t="shared" si="22"/>
        <v>408086311.543625</v>
      </c>
      <c r="AC15" s="77">
        <f t="shared" si="22"/>
        <v>1671570542.2946634</v>
      </c>
      <c r="AD15" s="77">
        <f t="shared" si="22"/>
        <v>85399453.085097402</v>
      </c>
      <c r="AE15" s="77">
        <f t="shared" si="22"/>
        <v>1756969995.3797612</v>
      </c>
      <c r="AF15" s="77">
        <f t="shared" si="22"/>
        <v>24498.791460000011</v>
      </c>
      <c r="AG15" s="77">
        <f t="shared" si="22"/>
        <v>1336953529.348784</v>
      </c>
      <c r="AH15" s="77">
        <f t="shared" si="22"/>
        <v>1757076156.8094211</v>
      </c>
    </row>
    <row r="19" spans="1:9" x14ac:dyDescent="0.25">
      <c r="A19" s="153" t="s">
        <v>587</v>
      </c>
    </row>
    <row r="20" spans="1:9" x14ac:dyDescent="0.25">
      <c r="I20">
        <v>3082069001.2093158</v>
      </c>
    </row>
    <row r="21" spans="1:9" x14ac:dyDescent="0.25">
      <c r="I21">
        <v>1270667596.6986396</v>
      </c>
    </row>
    <row r="22" spans="1:9" x14ac:dyDescent="0.25">
      <c r="I22" s="63">
        <f>I20+I21</f>
        <v>4352736597.9079552</v>
      </c>
    </row>
  </sheetData>
  <mergeCells count="15">
    <mergeCell ref="A7:A9"/>
    <mergeCell ref="A4:A6"/>
    <mergeCell ref="AA1:AE1"/>
    <mergeCell ref="AF1:AH1"/>
    <mergeCell ref="G2:K2"/>
    <mergeCell ref="L2:P2"/>
    <mergeCell ref="Q2:U2"/>
    <mergeCell ref="V2:Z2"/>
    <mergeCell ref="AA2:AE2"/>
    <mergeCell ref="A1:A3"/>
    <mergeCell ref="B1:B3"/>
    <mergeCell ref="C1:E1"/>
    <mergeCell ref="F1:F3"/>
    <mergeCell ref="G1:P1"/>
    <mergeCell ref="Q1:Z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C49D5-B138-455D-BF9C-76ABB42FC7B3}">
  <sheetPr>
    <tabColor rgb="FFFFC000"/>
  </sheetPr>
  <dimension ref="A1:AV8"/>
  <sheetViews>
    <sheetView showGridLines="0" zoomScale="85" zoomScaleNormal="85" workbookViewId="0">
      <pane xSplit="2" ySplit="4" topLeftCell="AJ5" activePane="bottomRight" state="frozen"/>
      <selection activeCell="AR6" sqref="AR6"/>
      <selection pane="topRight" activeCell="AR6" sqref="AR6"/>
      <selection pane="bottomLeft" activeCell="AR6" sqref="AR6"/>
      <selection pane="bottomRight" activeCell="AU13" sqref="AU13"/>
    </sheetView>
  </sheetViews>
  <sheetFormatPr defaultColWidth="9.140625" defaultRowHeight="15" outlineLevelRow="1" outlineLevelCol="1" x14ac:dyDescent="0.25"/>
  <cols>
    <col min="1" max="1" width="39.85546875" style="221" customWidth="1"/>
    <col min="2" max="2" width="24.140625" style="17" customWidth="1"/>
    <col min="3" max="3" width="20.42578125" style="1" hidden="1" customWidth="1" outlineLevel="1"/>
    <col min="4" max="6" width="15" style="10" hidden="1" customWidth="1" outlineLevel="1"/>
    <col min="7" max="7" width="15" style="11" customWidth="1" collapsed="1"/>
    <col min="8" max="10" width="18.28515625" style="1" customWidth="1" outlineLevel="1"/>
    <col min="11" max="13" width="18.28515625" style="1" customWidth="1"/>
    <col min="14" max="16" width="18.28515625" style="1" customWidth="1" outlineLevel="1"/>
    <col min="17" max="17" width="21.7109375" style="1" bestFit="1" customWidth="1"/>
    <col min="18" max="18" width="15" style="1" customWidth="1"/>
    <col min="19" max="19" width="21.7109375" style="1" bestFit="1" customWidth="1"/>
    <col min="20" max="20" width="16.85546875" style="1" customWidth="1" outlineLevel="1"/>
    <col min="21" max="21" width="16.7109375" style="1" customWidth="1" outlineLevel="1"/>
    <col min="22" max="22" width="17.85546875" style="1" bestFit="1" customWidth="1" outlineLevel="1"/>
    <col min="23" max="23" width="20.28515625" style="1" customWidth="1"/>
    <col min="24" max="24" width="18.140625" style="1" bestFit="1" customWidth="1"/>
    <col min="25" max="25" width="18.28515625" style="1" customWidth="1"/>
    <col min="26" max="26" width="19.140625" style="1" bestFit="1" customWidth="1" outlineLevel="1"/>
    <col min="27" max="27" width="16.42578125" style="1" customWidth="1" outlineLevel="1"/>
    <col min="28" max="28" width="17.85546875" style="1" bestFit="1" customWidth="1" outlineLevel="1"/>
    <col min="29" max="29" width="17.85546875" style="1" customWidth="1"/>
    <col min="30" max="30" width="16.42578125" style="1" customWidth="1"/>
    <col min="31" max="31" width="17.85546875" style="1" customWidth="1"/>
    <col min="32" max="32" width="17.28515625" style="1" customWidth="1"/>
    <col min="33" max="34" width="15" style="1" customWidth="1"/>
    <col min="35" max="35" width="18.28515625" style="1" bestFit="1" customWidth="1"/>
    <col min="36" max="36" width="15" style="1" customWidth="1"/>
    <col min="37" max="37" width="18.28515625" style="1" bestFit="1" customWidth="1"/>
    <col min="38" max="38" width="19.140625" style="1" customWidth="1" outlineLevel="1"/>
    <col min="39" max="39" width="8" style="1" bestFit="1" customWidth="1" outlineLevel="1"/>
    <col min="40" max="40" width="12" style="1" bestFit="1" customWidth="1" outlineLevel="1"/>
    <col min="41" max="41" width="18.7109375" style="1" customWidth="1"/>
    <col min="42" max="42" width="17" style="1" customWidth="1"/>
    <col min="43" max="43" width="20.85546875" style="1" bestFit="1" customWidth="1"/>
    <col min="44" max="44" width="18.42578125" style="15" bestFit="1" customWidth="1"/>
    <col min="45" max="45" width="19.7109375" style="16" bestFit="1" customWidth="1"/>
    <col min="46" max="47" width="22.28515625" style="16" customWidth="1"/>
    <col min="48" max="48" width="35.42578125" style="1" bestFit="1" customWidth="1"/>
    <col min="49" max="50" width="19.42578125" style="1" bestFit="1" customWidth="1"/>
    <col min="51" max="16384" width="9.140625" style="1"/>
  </cols>
  <sheetData>
    <row r="1" spans="1:48" x14ac:dyDescent="0.25">
      <c r="H1" s="1">
        <f>SUBTOTAL(9,H6:H7)</f>
        <v>87103947.667522237</v>
      </c>
      <c r="I1" s="220">
        <f>SUBTOTAL(9,I6:I7)</f>
        <v>0</v>
      </c>
      <c r="J1" s="220"/>
      <c r="K1" s="220">
        <f>SUBTOTAL(9,K6:K7)</f>
        <v>0</v>
      </c>
      <c r="L1" s="220">
        <f>SUBTOTAL(9,L6:L7)</f>
        <v>16845145.46922667</v>
      </c>
      <c r="M1" s="220">
        <f>SUBTOTAL(9,M6:M7)</f>
        <v>103949093.1367489</v>
      </c>
      <c r="N1" s="220">
        <f>SUBTOTAL(9,N6:N7)</f>
        <v>1033434736.7989669</v>
      </c>
      <c r="O1" s="220">
        <f>SUBTOTAL(9,O6:O7)</f>
        <v>0</v>
      </c>
      <c r="P1" s="220"/>
      <c r="Q1" s="220">
        <f>SUBTOTAL(9,Q6:Q7)</f>
        <v>1033434736.7989669</v>
      </c>
      <c r="R1" s="220">
        <f>SUBTOTAL(9,R6:R7)</f>
        <v>198834207.77155605</v>
      </c>
      <c r="S1" s="220">
        <f>SUBTOTAL(9,S6:S7)</f>
        <v>1232268944.5705228</v>
      </c>
      <c r="T1" s="220">
        <f>SUBTOTAL(9,T6:T7)</f>
        <v>1136058409.2429953</v>
      </c>
      <c r="U1" s="220">
        <f>SUBTOTAL(9,U6:U7)</f>
        <v>0</v>
      </c>
      <c r="V1" s="220"/>
      <c r="W1" s="220">
        <f>SUBTOTAL(9,W6:W7)</f>
        <v>1136058409.2429953</v>
      </c>
      <c r="X1" s="220">
        <f>SUBTOTAL(9,X6:X7)</f>
        <v>225423435.48021364</v>
      </c>
      <c r="Y1" s="220">
        <f>SUBTOTAL(9,Y6:Y7)</f>
        <v>1361481844.7232089</v>
      </c>
      <c r="Z1" s="220">
        <f>SUBTOTAL(9,Z6:Z7)</f>
        <v>1136058409.242995</v>
      </c>
      <c r="AA1" s="220">
        <f>SUBTOTAL(9,AA6:AA7)</f>
        <v>0</v>
      </c>
      <c r="AB1" s="220"/>
      <c r="AC1" s="220">
        <f>SUBTOTAL(9,AC6:AC7)</f>
        <v>1136058409.242995</v>
      </c>
      <c r="AD1" s="220">
        <f>SUBTOTAL(9,AD6:AD7)</f>
        <v>225423435.48021364</v>
      </c>
      <c r="AE1" s="220">
        <f>SUBTOTAL(9,AE6:AE7)</f>
        <v>1361481844.7232087</v>
      </c>
      <c r="AF1" s="220">
        <f>SUBTOTAL(9,AF6:AF7)</f>
        <v>1136058409.242995</v>
      </c>
      <c r="AG1" s="220">
        <f>SUBTOTAL(9,AG6:AG7)</f>
        <v>0</v>
      </c>
      <c r="AH1" s="220"/>
      <c r="AI1" s="220">
        <f>SUBTOTAL(9,AI6:AI7)</f>
        <v>1136058409.242995</v>
      </c>
      <c r="AJ1" s="220">
        <f>SUBTOTAL(9,AJ6:AJ7)</f>
        <v>225423435.48021364</v>
      </c>
      <c r="AK1" s="220">
        <f>SUBTOTAL(9,AK6:AK7)</f>
        <v>1361481844.7232087</v>
      </c>
      <c r="AL1" s="220">
        <f>SUBTOTAL(9,AL6:AL7)</f>
        <v>2169493146.0419621</v>
      </c>
      <c r="AM1" s="220">
        <f>SUBTOTAL(9,AM6:AM7)</f>
        <v>0</v>
      </c>
      <c r="AN1" s="220"/>
      <c r="AO1" s="220">
        <f t="shared" ref="AO1:AT1" si="0">SUBTOTAL(9,AO6:AO7)</f>
        <v>2169493146.0419621</v>
      </c>
      <c r="AP1" s="220">
        <f t="shared" si="0"/>
        <v>424257643.25176966</v>
      </c>
      <c r="AQ1" s="220">
        <f t="shared" si="0"/>
        <v>2593750789.2937312</v>
      </c>
      <c r="AR1" s="220">
        <f t="shared" si="0"/>
        <v>103949093.1367489</v>
      </c>
      <c r="AS1" s="220">
        <f t="shared" si="0"/>
        <v>2593750789.2937312</v>
      </c>
      <c r="AT1" s="220">
        <f t="shared" si="0"/>
        <v>4059181727.1536894</v>
      </c>
      <c r="AU1" s="220"/>
    </row>
    <row r="2" spans="1:48" ht="15" customHeight="1" x14ac:dyDescent="0.25">
      <c r="B2" s="1021" t="s">
        <v>24</v>
      </c>
      <c r="C2" s="1022" t="s">
        <v>25</v>
      </c>
      <c r="D2" s="1023" t="s">
        <v>26</v>
      </c>
      <c r="E2" s="1023"/>
      <c r="F2" s="1023"/>
      <c r="G2" s="1022" t="s">
        <v>27</v>
      </c>
      <c r="H2" s="1022" t="s">
        <v>28</v>
      </c>
      <c r="I2" s="1022"/>
      <c r="J2" s="1022"/>
      <c r="K2" s="1022"/>
      <c r="L2" s="1022"/>
      <c r="M2" s="1022"/>
      <c r="N2" s="1022"/>
      <c r="O2" s="1022"/>
      <c r="P2" s="1022"/>
      <c r="Q2" s="1022"/>
      <c r="R2" s="1022"/>
      <c r="S2" s="1022"/>
      <c r="T2" s="1022" t="s">
        <v>28</v>
      </c>
      <c r="U2" s="1022"/>
      <c r="V2" s="1022"/>
      <c r="W2" s="1022"/>
      <c r="X2" s="1022"/>
      <c r="Y2" s="1022"/>
      <c r="Z2" s="1022"/>
      <c r="AA2" s="1022"/>
      <c r="AB2" s="1022"/>
      <c r="AC2" s="1022"/>
      <c r="AD2" s="1022"/>
      <c r="AE2" s="1022"/>
      <c r="AF2" s="28"/>
      <c r="AG2" s="28"/>
      <c r="AH2" s="28"/>
      <c r="AI2" s="28"/>
      <c r="AJ2" s="28"/>
      <c r="AK2" s="28"/>
      <c r="AL2" s="1022" t="s">
        <v>28</v>
      </c>
      <c r="AM2" s="1022"/>
      <c r="AN2" s="1022"/>
      <c r="AO2" s="1022"/>
      <c r="AP2" s="1022"/>
      <c r="AQ2" s="1022"/>
      <c r="AR2" s="1024" t="s">
        <v>2</v>
      </c>
      <c r="AS2" s="1024"/>
      <c r="AT2" s="1024"/>
      <c r="AU2" s="1452"/>
    </row>
    <row r="3" spans="1:48" x14ac:dyDescent="0.25">
      <c r="B3" s="1021"/>
      <c r="C3" s="1022"/>
      <c r="D3" s="2" t="s">
        <v>29</v>
      </c>
      <c r="E3" s="2" t="s">
        <v>30</v>
      </c>
      <c r="F3" s="2" t="s">
        <v>13</v>
      </c>
      <c r="G3" s="1022"/>
      <c r="H3" s="1025">
        <v>2025</v>
      </c>
      <c r="I3" s="1025"/>
      <c r="J3" s="1025"/>
      <c r="K3" s="1025"/>
      <c r="L3" s="1025"/>
      <c r="M3" s="1025"/>
      <c r="N3" s="1025" t="s">
        <v>31</v>
      </c>
      <c r="O3" s="1025"/>
      <c r="P3" s="1025"/>
      <c r="Q3" s="1025"/>
      <c r="R3" s="1025"/>
      <c r="S3" s="1025"/>
      <c r="T3" s="1026">
        <v>2026</v>
      </c>
      <c r="U3" s="1026"/>
      <c r="V3" s="1026"/>
      <c r="W3" s="1026"/>
      <c r="X3" s="1026"/>
      <c r="Y3" s="1026"/>
      <c r="Z3" s="1026" t="s">
        <v>31</v>
      </c>
      <c r="AA3" s="1026"/>
      <c r="AB3" s="1026"/>
      <c r="AC3" s="1026"/>
      <c r="AD3" s="1026"/>
      <c r="AE3" s="1026"/>
      <c r="AF3" s="1027">
        <v>2027</v>
      </c>
      <c r="AG3" s="1028"/>
      <c r="AH3" s="1028"/>
      <c r="AI3" s="1028"/>
      <c r="AJ3" s="1028"/>
      <c r="AK3" s="1029"/>
      <c r="AL3" s="1022" t="s">
        <v>13</v>
      </c>
      <c r="AM3" s="1022"/>
      <c r="AN3" s="1022"/>
      <c r="AO3" s="1022"/>
      <c r="AP3" s="1022"/>
      <c r="AQ3" s="1022"/>
      <c r="AR3" s="3"/>
      <c r="AS3" s="3"/>
      <c r="AT3" s="3"/>
      <c r="AU3" s="3"/>
      <c r="AV3" s="3"/>
    </row>
    <row r="4" spans="1:48" x14ac:dyDescent="0.25">
      <c r="B4" s="1021"/>
      <c r="C4" s="1022"/>
      <c r="D4" s="2"/>
      <c r="E4" s="2"/>
      <c r="F4" s="2"/>
      <c r="G4" s="1022"/>
      <c r="H4" s="4" t="s">
        <v>32</v>
      </c>
      <c r="I4" s="4" t="s">
        <v>30</v>
      </c>
      <c r="J4" s="4" t="s">
        <v>33</v>
      </c>
      <c r="K4" s="4" t="s">
        <v>34</v>
      </c>
      <c r="L4" s="4" t="s">
        <v>35</v>
      </c>
      <c r="M4" s="4" t="s">
        <v>13</v>
      </c>
      <c r="N4" s="4" t="s">
        <v>32</v>
      </c>
      <c r="O4" s="4" t="s">
        <v>30</v>
      </c>
      <c r="P4" s="4" t="s">
        <v>33</v>
      </c>
      <c r="Q4" s="4" t="s">
        <v>34</v>
      </c>
      <c r="R4" s="4" t="s">
        <v>35</v>
      </c>
      <c r="S4" s="4" t="s">
        <v>13</v>
      </c>
      <c r="T4" s="5" t="s">
        <v>32</v>
      </c>
      <c r="U4" s="5" t="s">
        <v>30</v>
      </c>
      <c r="V4" s="5" t="s">
        <v>36</v>
      </c>
      <c r="W4" s="5" t="s">
        <v>34</v>
      </c>
      <c r="X4" s="5" t="s">
        <v>35</v>
      </c>
      <c r="Y4" s="5" t="s">
        <v>13</v>
      </c>
      <c r="Z4" s="5" t="s">
        <v>32</v>
      </c>
      <c r="AA4" s="5" t="s">
        <v>30</v>
      </c>
      <c r="AB4" s="5" t="s">
        <v>33</v>
      </c>
      <c r="AC4" s="5" t="s">
        <v>34</v>
      </c>
      <c r="AD4" s="5" t="s">
        <v>35</v>
      </c>
      <c r="AE4" s="5" t="s">
        <v>13</v>
      </c>
      <c r="AF4" s="29" t="s">
        <v>32</v>
      </c>
      <c r="AG4" s="29" t="s">
        <v>30</v>
      </c>
      <c r="AH4" s="29" t="s">
        <v>33</v>
      </c>
      <c r="AI4" s="29" t="s">
        <v>34</v>
      </c>
      <c r="AJ4" s="29" t="s">
        <v>35</v>
      </c>
      <c r="AK4" s="29" t="s">
        <v>13</v>
      </c>
      <c r="AL4" s="6" t="s">
        <v>32</v>
      </c>
      <c r="AM4" s="6" t="s">
        <v>30</v>
      </c>
      <c r="AN4" s="6" t="s">
        <v>33</v>
      </c>
      <c r="AO4" s="6" t="s">
        <v>34</v>
      </c>
      <c r="AP4" s="6" t="s">
        <v>35</v>
      </c>
      <c r="AQ4" s="6" t="s">
        <v>13</v>
      </c>
      <c r="AR4" s="7">
        <v>2025</v>
      </c>
      <c r="AS4" s="8">
        <v>2026</v>
      </c>
      <c r="AT4" s="8" t="s">
        <v>84</v>
      </c>
      <c r="AU4" s="8"/>
      <c r="AV4" s="8" t="s">
        <v>38</v>
      </c>
    </row>
    <row r="5" spans="1:48" s="218" customFormat="1" ht="29.25" customHeight="1" x14ac:dyDescent="0.2">
      <c r="A5" s="228" t="s">
        <v>85</v>
      </c>
      <c r="B5" s="32" t="s">
        <v>86</v>
      </c>
      <c r="C5" s="33" t="s">
        <v>87</v>
      </c>
      <c r="D5" s="34">
        <v>36980</v>
      </c>
      <c r="E5" s="34"/>
      <c r="F5" s="34">
        <f>SUM(D5:E5)</f>
        <v>36980</v>
      </c>
      <c r="G5" s="35">
        <v>46113</v>
      </c>
      <c r="H5" s="344">
        <v>0</v>
      </c>
      <c r="I5" s="344">
        <v>0</v>
      </c>
      <c r="J5" s="344"/>
      <c r="K5" s="342">
        <f>H5+I5+J5</f>
        <v>0</v>
      </c>
      <c r="L5" s="344">
        <v>0</v>
      </c>
      <c r="M5" s="342">
        <f>K5+L5</f>
        <v>0</v>
      </c>
      <c r="N5" s="344">
        <v>0</v>
      </c>
      <c r="O5" s="344">
        <v>0</v>
      </c>
      <c r="P5" s="344"/>
      <c r="Q5" s="342">
        <f>N5+O5+P5</f>
        <v>0</v>
      </c>
      <c r="R5" s="344">
        <v>0</v>
      </c>
      <c r="S5" s="342">
        <f>Q5+R5</f>
        <v>0</v>
      </c>
      <c r="T5" s="344">
        <f>'Item17-GTATA '!X25</f>
        <v>545658845</v>
      </c>
      <c r="U5" s="344">
        <v>0</v>
      </c>
      <c r="V5" s="344">
        <v>0</v>
      </c>
      <c r="W5" s="342">
        <f>T5+U5+V5</f>
        <v>545658845</v>
      </c>
      <c r="X5" s="687">
        <v>0</v>
      </c>
      <c r="Y5" s="342">
        <f>W5+X5</f>
        <v>545658845</v>
      </c>
      <c r="Z5" s="344">
        <f>'Item17-GTATA '!AC25</f>
        <v>727545126.66666675</v>
      </c>
      <c r="AA5" s="344">
        <v>0</v>
      </c>
      <c r="AB5" s="344">
        <v>0</v>
      </c>
      <c r="AC5" s="342">
        <f>Z5+AA5+AB5</f>
        <v>727545126.66666675</v>
      </c>
      <c r="AD5" s="687">
        <v>0</v>
      </c>
      <c r="AE5" s="342">
        <f>AC5+AD5</f>
        <v>727545126.66666675</v>
      </c>
      <c r="AF5" s="216">
        <f>Z5</f>
        <v>727545126.66666675</v>
      </c>
      <c r="AG5" s="216">
        <f t="shared" ref="AG5:AJ5" si="1">AA5</f>
        <v>0</v>
      </c>
      <c r="AH5" s="216">
        <f t="shared" si="1"/>
        <v>0</v>
      </c>
      <c r="AI5" s="216">
        <f t="shared" si="1"/>
        <v>727545126.66666675</v>
      </c>
      <c r="AJ5" s="216">
        <f t="shared" si="1"/>
        <v>0</v>
      </c>
      <c r="AK5" s="216">
        <f>AE5</f>
        <v>727545126.66666675</v>
      </c>
      <c r="AL5" s="351">
        <f>N5+Z5</f>
        <v>727545126.66666675</v>
      </c>
      <c r="AM5" s="351">
        <f t="shared" ref="AM5:AN7" si="2">O5+AA5</f>
        <v>0</v>
      </c>
      <c r="AN5" s="351">
        <f t="shared" si="2"/>
        <v>0</v>
      </c>
      <c r="AO5" s="351">
        <f t="shared" ref="AO5:AO7" si="3">Q5+AC5</f>
        <v>727545126.66666675</v>
      </c>
      <c r="AP5" s="351">
        <f t="shared" ref="AP5:AQ7" si="4">R5+AD5</f>
        <v>0</v>
      </c>
      <c r="AQ5" s="351">
        <f t="shared" si="4"/>
        <v>727545126.66666675</v>
      </c>
      <c r="AR5" s="348">
        <f>M5</f>
        <v>0</v>
      </c>
      <c r="AS5" s="348">
        <f>S5+Y5</f>
        <v>545658845</v>
      </c>
      <c r="AT5" s="974">
        <f>AR5+AS5+AK5</f>
        <v>1273203971.6666667</v>
      </c>
      <c r="AU5" s="974">
        <f>AR5+AS5+AT5</f>
        <v>1818862816.6666667</v>
      </c>
      <c r="AV5" s="373" t="s">
        <v>88</v>
      </c>
    </row>
    <row r="6" spans="1:48" s="20" customFormat="1" outlineLevel="1" x14ac:dyDescent="0.2">
      <c r="A6" s="441" t="s">
        <v>89</v>
      </c>
      <c r="B6" s="224" t="s">
        <v>90</v>
      </c>
      <c r="C6" s="22"/>
      <c r="D6" s="23"/>
      <c r="E6" s="23"/>
      <c r="F6" s="23"/>
      <c r="G6" s="24">
        <v>45992</v>
      </c>
      <c r="H6" s="73">
        <f>'Item 16 - CriaçãoCARGOS'!Q22+'Item 16 - CriaçãoCARGOS'!R22</f>
        <v>85222646.229222238</v>
      </c>
      <c r="I6" s="73"/>
      <c r="J6" s="73"/>
      <c r="K6" s="73"/>
      <c r="L6" s="73">
        <f>+'Item 16 - CriaçãoCARGOS'!T22</f>
        <v>16318381.066502668</v>
      </c>
      <c r="M6" s="73">
        <f>+'Item 16 - CriaçãoCARGOS'!U22</f>
        <v>101541027.2957249</v>
      </c>
      <c r="N6" s="73">
        <f>'Item 16 - CriaçãoCARGOS'!X22</f>
        <v>1022671754.7506669</v>
      </c>
      <c r="O6" s="73"/>
      <c r="P6" s="73"/>
      <c r="Q6" s="73">
        <f>'Item 16 - CriaçãoCARGOS'!X22</f>
        <v>1022671754.7506669</v>
      </c>
      <c r="R6" s="73">
        <f>'Item 16 - CriaçãoCARGOS'!Y22</f>
        <v>195820572.79803205</v>
      </c>
      <c r="S6" s="73">
        <f>'Item 16 - CriaçãoCARGOS'!Z22</f>
        <v>1218492327.5486987</v>
      </c>
      <c r="T6" s="73">
        <f>'Item 16 - CriaçãoCARGOS'!AO22</f>
        <v>1133945843.7830954</v>
      </c>
      <c r="U6" s="73">
        <v>0</v>
      </c>
      <c r="V6" s="73"/>
      <c r="W6" s="342">
        <f t="shared" ref="W6:W7" si="5">T6+U6+V6</f>
        <v>1133945843.7830954</v>
      </c>
      <c r="X6" s="73">
        <f>'Item 16 - CriaçãoCARGOS'!AP22</f>
        <v>224831917.15144163</v>
      </c>
      <c r="Y6" s="73">
        <f t="shared" ref="Y6" si="6">SUM(W6:X6)</f>
        <v>1358777760.9345369</v>
      </c>
      <c r="Z6" s="73">
        <f>'Item 16 - CriaçãoCARGOS'!AM22+'Item 16 - CriaçãoCARGOS'!AN22</f>
        <v>1133945843.7830951</v>
      </c>
      <c r="AA6" s="73">
        <v>0</v>
      </c>
      <c r="AB6" s="73"/>
      <c r="AC6" s="73">
        <f t="shared" ref="AC6" si="7">Z6+AA6+AB6</f>
        <v>1133945843.7830951</v>
      </c>
      <c r="AD6" s="73">
        <f>'Item 16 - CriaçãoCARGOS'!AP22</f>
        <v>224831917.15144163</v>
      </c>
      <c r="AE6" s="73">
        <f t="shared" ref="AE6" si="8">SUM(AC6:AD6)</f>
        <v>1358777760.9345367</v>
      </c>
      <c r="AF6" s="216">
        <f t="shared" ref="AF6:AF7" si="9">Z6</f>
        <v>1133945843.7830951</v>
      </c>
      <c r="AG6" s="216">
        <f t="shared" ref="AG6:AG7" si="10">AA6</f>
        <v>0</v>
      </c>
      <c r="AH6" s="216">
        <f t="shared" ref="AH6:AH7" si="11">AB6</f>
        <v>0</v>
      </c>
      <c r="AI6" s="216">
        <f t="shared" ref="AI6:AI7" si="12">AC6</f>
        <v>1133945843.7830951</v>
      </c>
      <c r="AJ6" s="216">
        <f t="shared" ref="AJ6:AJ7" si="13">AD6</f>
        <v>224831917.15144163</v>
      </c>
      <c r="AK6" s="216">
        <f t="shared" ref="AK6:AK7" si="14">AE6</f>
        <v>1358777760.9345367</v>
      </c>
      <c r="AL6" s="351">
        <f t="shared" ref="AL6:AL7" si="15">N6+Z6</f>
        <v>2156617598.533762</v>
      </c>
      <c r="AM6" s="351">
        <f t="shared" si="2"/>
        <v>0</v>
      </c>
      <c r="AN6" s="351">
        <f t="shared" si="2"/>
        <v>0</v>
      </c>
      <c r="AO6" s="351">
        <f t="shared" si="3"/>
        <v>2156617598.533762</v>
      </c>
      <c r="AP6" s="351">
        <f t="shared" si="4"/>
        <v>420652489.94947368</v>
      </c>
      <c r="AQ6" s="351">
        <f t="shared" si="4"/>
        <v>2577270088.4832354</v>
      </c>
      <c r="AR6" s="348">
        <f t="shared" ref="AR6:AR7" si="16">M6</f>
        <v>101541027.2957249</v>
      </c>
      <c r="AS6" s="348">
        <f t="shared" ref="AS6:AS7" si="17">S6+Y6</f>
        <v>2577270088.4832354</v>
      </c>
      <c r="AT6" s="974">
        <f t="shared" ref="AT6:AT7" si="18">AR6+AS6+AK6</f>
        <v>4037588876.7134972</v>
      </c>
      <c r="AU6" s="974">
        <f t="shared" ref="AU6:AU8" si="19">AR6+AS6+AT6</f>
        <v>6716399992.4924574</v>
      </c>
      <c r="AV6" s="20" t="s">
        <v>91</v>
      </c>
    </row>
    <row r="7" spans="1:48" s="20" customFormat="1" ht="30" outlineLevel="1" x14ac:dyDescent="0.2">
      <c r="A7" s="792" t="s">
        <v>92</v>
      </c>
      <c r="B7" s="224" t="s">
        <v>93</v>
      </c>
      <c r="C7" s="22"/>
      <c r="D7" s="23"/>
      <c r="E7" s="23"/>
      <c r="F7" s="23"/>
      <c r="G7" s="24">
        <v>45992</v>
      </c>
      <c r="H7" s="73">
        <f>'Item22-Transform.RFB'!R75</f>
        <v>1881301.4382999993</v>
      </c>
      <c r="I7" s="73"/>
      <c r="J7" s="73"/>
      <c r="K7" s="73"/>
      <c r="L7" s="73">
        <f>'Item22-Transform.RFB'!S75</f>
        <v>526764.40272399981</v>
      </c>
      <c r="M7" s="73">
        <f>'Item22-Transform.RFB'!Q75</f>
        <v>2408065.8410239993</v>
      </c>
      <c r="N7" s="73">
        <f>'Item22-Transform.RFB'!U75</f>
        <v>10762982.048300002</v>
      </c>
      <c r="O7" s="73"/>
      <c r="P7" s="73"/>
      <c r="Q7" s="73">
        <f>N7</f>
        <v>10762982.048300002</v>
      </c>
      <c r="R7" s="73">
        <f>'Item22-Transform.RFB'!V75</f>
        <v>3013634.973524001</v>
      </c>
      <c r="S7" s="73">
        <f>Q7+R7</f>
        <v>13776617.021824002</v>
      </c>
      <c r="T7" s="78">
        <f>'Item22-Transform.RFB'!AA75</f>
        <v>2112565.4599000029</v>
      </c>
      <c r="U7" s="78"/>
      <c r="V7" s="78"/>
      <c r="W7" s="342">
        <f t="shared" si="5"/>
        <v>2112565.4599000029</v>
      </c>
      <c r="X7" s="78">
        <f>'Item22-Transform.RFB'!AB75</f>
        <v>591518.3287720005</v>
      </c>
      <c r="Y7" s="73">
        <f>W7+X7</f>
        <v>2704083.7886720034</v>
      </c>
      <c r="Z7" s="73">
        <f t="shared" ref="Z7:AE7" si="20">T7</f>
        <v>2112565.4599000029</v>
      </c>
      <c r="AA7" s="73">
        <f t="shared" si="20"/>
        <v>0</v>
      </c>
      <c r="AB7" s="73">
        <f t="shared" si="20"/>
        <v>0</v>
      </c>
      <c r="AC7" s="73">
        <f t="shared" si="20"/>
        <v>2112565.4599000029</v>
      </c>
      <c r="AD7" s="73">
        <f t="shared" si="20"/>
        <v>591518.3287720005</v>
      </c>
      <c r="AE7" s="73">
        <f t="shared" si="20"/>
        <v>2704083.7886720034</v>
      </c>
      <c r="AF7" s="216">
        <f t="shared" si="9"/>
        <v>2112565.4599000029</v>
      </c>
      <c r="AG7" s="216">
        <f t="shared" si="10"/>
        <v>0</v>
      </c>
      <c r="AH7" s="216">
        <f t="shared" si="11"/>
        <v>0</v>
      </c>
      <c r="AI7" s="216">
        <f t="shared" si="12"/>
        <v>2112565.4599000029</v>
      </c>
      <c r="AJ7" s="216">
        <f t="shared" si="13"/>
        <v>591518.3287720005</v>
      </c>
      <c r="AK7" s="216">
        <f t="shared" si="14"/>
        <v>2704083.7886720034</v>
      </c>
      <c r="AL7" s="351">
        <f t="shared" si="15"/>
        <v>12875547.508200005</v>
      </c>
      <c r="AM7" s="351">
        <f t="shared" si="2"/>
        <v>0</v>
      </c>
      <c r="AN7" s="351">
        <f t="shared" si="2"/>
        <v>0</v>
      </c>
      <c r="AO7" s="351">
        <f t="shared" si="3"/>
        <v>12875547.508200005</v>
      </c>
      <c r="AP7" s="351">
        <f t="shared" si="4"/>
        <v>3605153.3022960015</v>
      </c>
      <c r="AQ7" s="351">
        <f t="shared" si="4"/>
        <v>16480700.810496006</v>
      </c>
      <c r="AR7" s="348">
        <f t="shared" si="16"/>
        <v>2408065.8410239993</v>
      </c>
      <c r="AS7" s="348">
        <f t="shared" si="17"/>
        <v>16480700.810496006</v>
      </c>
      <c r="AT7" s="974">
        <f t="shared" si="18"/>
        <v>21592850.44019201</v>
      </c>
      <c r="AU7" s="974">
        <f t="shared" si="19"/>
        <v>40481617.091712013</v>
      </c>
      <c r="AV7" s="20" t="s">
        <v>94</v>
      </c>
    </row>
    <row r="8" spans="1:48" s="394" customFormat="1" ht="15.75" outlineLevel="1" x14ac:dyDescent="0.25">
      <c r="A8" s="531"/>
      <c r="B8" s="532"/>
      <c r="C8" s="533"/>
      <c r="D8" s="534"/>
      <c r="E8" s="534"/>
      <c r="F8" s="534"/>
      <c r="G8" s="535"/>
      <c r="H8" s="793">
        <f>SUM(H6:H7)</f>
        <v>87103947.667522237</v>
      </c>
      <c r="I8" s="793">
        <f t="shared" ref="I8:AT8" si="21">SUM(I6:I7)</f>
        <v>0</v>
      </c>
      <c r="J8" s="793">
        <f t="shared" si="21"/>
        <v>0</v>
      </c>
      <c r="K8" s="793">
        <f t="shared" si="21"/>
        <v>0</v>
      </c>
      <c r="L8" s="793">
        <f t="shared" si="21"/>
        <v>16845145.46922667</v>
      </c>
      <c r="M8" s="793">
        <f t="shared" si="21"/>
        <v>103949093.1367489</v>
      </c>
      <c r="N8" s="793">
        <f t="shared" si="21"/>
        <v>1033434736.7989669</v>
      </c>
      <c r="O8" s="793">
        <f t="shared" si="21"/>
        <v>0</v>
      </c>
      <c r="P8" s="793">
        <f t="shared" si="21"/>
        <v>0</v>
      </c>
      <c r="Q8" s="793">
        <f t="shared" si="21"/>
        <v>1033434736.7989669</v>
      </c>
      <c r="R8" s="793">
        <f t="shared" si="21"/>
        <v>198834207.77155605</v>
      </c>
      <c r="S8" s="793">
        <f t="shared" si="21"/>
        <v>1232268944.5705228</v>
      </c>
      <c r="T8" s="793">
        <f t="shared" si="21"/>
        <v>1136058409.2429953</v>
      </c>
      <c r="U8" s="793">
        <f t="shared" si="21"/>
        <v>0</v>
      </c>
      <c r="V8" s="793">
        <f t="shared" si="21"/>
        <v>0</v>
      </c>
      <c r="W8" s="793">
        <f t="shared" si="21"/>
        <v>1136058409.2429953</v>
      </c>
      <c r="X8" s="793">
        <f t="shared" si="21"/>
        <v>225423435.48021364</v>
      </c>
      <c r="Y8" s="793">
        <f t="shared" si="21"/>
        <v>1361481844.7232089</v>
      </c>
      <c r="Z8" s="793">
        <f t="shared" si="21"/>
        <v>1136058409.242995</v>
      </c>
      <c r="AA8" s="793">
        <f t="shared" si="21"/>
        <v>0</v>
      </c>
      <c r="AB8" s="793">
        <f t="shared" si="21"/>
        <v>0</v>
      </c>
      <c r="AC8" s="793">
        <f>SUM(AC6:AC7)</f>
        <v>1136058409.242995</v>
      </c>
      <c r="AD8" s="793">
        <f t="shared" si="21"/>
        <v>225423435.48021364</v>
      </c>
      <c r="AE8" s="793">
        <f t="shared" si="21"/>
        <v>1361481844.7232087</v>
      </c>
      <c r="AF8" s="793">
        <f t="shared" si="21"/>
        <v>1136058409.242995</v>
      </c>
      <c r="AG8" s="793">
        <f t="shared" ref="AG8" si="22">SUM(AG6:AG7)</f>
        <v>0</v>
      </c>
      <c r="AH8" s="793">
        <f t="shared" ref="AH8" si="23">SUM(AH6:AH7)</f>
        <v>0</v>
      </c>
      <c r="AI8" s="793">
        <f t="shared" si="21"/>
        <v>1136058409.242995</v>
      </c>
      <c r="AJ8" s="793">
        <f t="shared" si="21"/>
        <v>225423435.48021364</v>
      </c>
      <c r="AK8" s="793">
        <f t="shared" si="21"/>
        <v>1361481844.7232087</v>
      </c>
      <c r="AL8" s="793">
        <f t="shared" si="21"/>
        <v>2169493146.0419621</v>
      </c>
      <c r="AM8" s="793">
        <f t="shared" si="21"/>
        <v>0</v>
      </c>
      <c r="AN8" s="793">
        <f t="shared" si="21"/>
        <v>0</v>
      </c>
      <c r="AO8" s="793">
        <f t="shared" si="21"/>
        <v>2169493146.0419621</v>
      </c>
      <c r="AP8" s="793">
        <f t="shared" si="21"/>
        <v>424257643.25176966</v>
      </c>
      <c r="AQ8" s="793">
        <f t="shared" si="21"/>
        <v>2593750789.2937312</v>
      </c>
      <c r="AR8" s="793">
        <f t="shared" si="21"/>
        <v>103949093.1367489</v>
      </c>
      <c r="AS8" s="793">
        <f t="shared" si="21"/>
        <v>2593750789.2937312</v>
      </c>
      <c r="AT8" s="793">
        <f t="shared" si="21"/>
        <v>4059181727.1536894</v>
      </c>
      <c r="AU8" s="974">
        <f t="shared" si="19"/>
        <v>6756881609.5841694</v>
      </c>
    </row>
  </sheetData>
  <mergeCells count="14">
    <mergeCell ref="AL2:AQ2"/>
    <mergeCell ref="AR2:AT2"/>
    <mergeCell ref="H3:M3"/>
    <mergeCell ref="N3:S3"/>
    <mergeCell ref="T3:Y3"/>
    <mergeCell ref="Z3:AE3"/>
    <mergeCell ref="AF3:AK3"/>
    <mergeCell ref="AL3:AQ3"/>
    <mergeCell ref="T2:AE2"/>
    <mergeCell ref="B2:B4"/>
    <mergeCell ref="C2:C4"/>
    <mergeCell ref="D2:F2"/>
    <mergeCell ref="G2:G4"/>
    <mergeCell ref="H2:S2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C2BB5-17F3-47BF-B48D-5464D71EC923}">
  <sheetPr>
    <tabColor rgb="FFFFC000"/>
  </sheetPr>
  <dimension ref="A1:AM18"/>
  <sheetViews>
    <sheetView zoomScale="188" zoomScaleNormal="15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7" sqref="A7"/>
    </sheetView>
  </sheetViews>
  <sheetFormatPr defaultColWidth="9.140625" defaultRowHeight="15" outlineLevelRow="1" outlineLevelCol="1" x14ac:dyDescent="0.25"/>
  <cols>
    <col min="1" max="1" width="54.7109375" style="17" customWidth="1"/>
    <col min="2" max="2" width="20.42578125" style="1" customWidth="1" outlineLevel="1"/>
    <col min="3" max="5" width="15" style="10" customWidth="1" outlineLevel="1"/>
    <col min="6" max="6" width="15" style="11" customWidth="1"/>
    <col min="7" max="8" width="18.28515625" style="1" customWidth="1" outlineLevel="1"/>
    <col min="9" max="11" width="18.28515625" style="1" customWidth="1"/>
    <col min="12" max="13" width="18.28515625" style="1" customWidth="1" outlineLevel="1"/>
    <col min="14" max="16" width="15" style="1" customWidth="1"/>
    <col min="17" max="17" width="16.85546875" style="1" customWidth="1" outlineLevel="1"/>
    <col min="18" max="18" width="15" style="1" customWidth="1" outlineLevel="1"/>
    <col min="19" max="19" width="20.28515625" style="1" customWidth="1"/>
    <col min="20" max="21" width="15" style="1" customWidth="1"/>
    <col min="22" max="23" width="15" style="1" customWidth="1" outlineLevel="1"/>
    <col min="24" max="31" width="15" style="1" customWidth="1"/>
    <col min="32" max="33" width="15" style="1" customWidth="1" outlineLevel="1"/>
    <col min="34" max="35" width="15" style="1" customWidth="1"/>
    <col min="36" max="36" width="15.28515625" style="1" bestFit="1" customWidth="1"/>
    <col min="37" max="37" width="7.28515625" style="15" bestFit="1" customWidth="1"/>
    <col min="38" max="38" width="15.28515625" style="16" customWidth="1"/>
    <col min="39" max="39" width="16.28515625" style="16" bestFit="1" customWidth="1"/>
    <col min="40" max="40" width="18" style="1" bestFit="1" customWidth="1"/>
    <col min="41" max="42" width="19.42578125" style="1" bestFit="1" customWidth="1"/>
    <col min="43" max="16384" width="9.140625" style="1"/>
  </cols>
  <sheetData>
    <row r="1" spans="1:39" ht="15" customHeight="1" x14ac:dyDescent="0.25">
      <c r="A1" s="1021" t="s">
        <v>24</v>
      </c>
      <c r="B1" s="1022" t="s">
        <v>25</v>
      </c>
      <c r="C1" s="1023" t="s">
        <v>26</v>
      </c>
      <c r="D1" s="1023"/>
      <c r="E1" s="1023"/>
      <c r="F1" s="1022" t="s">
        <v>27</v>
      </c>
      <c r="G1" s="1022" t="s">
        <v>28</v>
      </c>
      <c r="H1" s="1022"/>
      <c r="I1" s="1022"/>
      <c r="J1" s="1022"/>
      <c r="K1" s="1022"/>
      <c r="L1" s="1022"/>
      <c r="M1" s="1022"/>
      <c r="N1" s="1022"/>
      <c r="O1" s="1022"/>
      <c r="P1" s="1022"/>
      <c r="Q1" s="1022" t="s">
        <v>28</v>
      </c>
      <c r="R1" s="1022"/>
      <c r="S1" s="1022"/>
      <c r="T1" s="1022"/>
      <c r="U1" s="1022"/>
      <c r="V1" s="1022"/>
      <c r="W1" s="1022"/>
      <c r="X1" s="1022"/>
      <c r="Y1" s="1022"/>
      <c r="Z1" s="1022"/>
      <c r="AA1" s="28"/>
      <c r="AB1" s="28"/>
      <c r="AC1" s="28"/>
      <c r="AD1" s="28"/>
      <c r="AE1" s="28"/>
      <c r="AF1" s="1022" t="s">
        <v>28</v>
      </c>
      <c r="AG1" s="1022"/>
      <c r="AH1" s="1022"/>
      <c r="AI1" s="1022"/>
      <c r="AJ1" s="1022"/>
      <c r="AK1" s="1024" t="s">
        <v>2</v>
      </c>
      <c r="AL1" s="1024"/>
      <c r="AM1" s="1024"/>
    </row>
    <row r="2" spans="1:39" x14ac:dyDescent="0.25">
      <c r="A2" s="1021"/>
      <c r="B2" s="1022"/>
      <c r="C2" s="2" t="s">
        <v>29</v>
      </c>
      <c r="D2" s="2" t="s">
        <v>30</v>
      </c>
      <c r="E2" s="2" t="s">
        <v>13</v>
      </c>
      <c r="F2" s="1022"/>
      <c r="G2" s="1025">
        <v>2025</v>
      </c>
      <c r="H2" s="1025"/>
      <c r="I2" s="1025"/>
      <c r="J2" s="1025"/>
      <c r="K2" s="1025"/>
      <c r="L2" s="1025" t="s">
        <v>31</v>
      </c>
      <c r="M2" s="1025"/>
      <c r="N2" s="1025"/>
      <c r="O2" s="1025"/>
      <c r="P2" s="1025"/>
      <c r="Q2" s="1026">
        <v>2026</v>
      </c>
      <c r="R2" s="1026"/>
      <c r="S2" s="1026"/>
      <c r="T2" s="1026"/>
      <c r="U2" s="1026"/>
      <c r="V2" s="1026" t="s">
        <v>31</v>
      </c>
      <c r="W2" s="1026"/>
      <c r="X2" s="1026"/>
      <c r="Y2" s="1026"/>
      <c r="Z2" s="1026"/>
      <c r="AA2" s="1027">
        <v>2027</v>
      </c>
      <c r="AB2" s="1028"/>
      <c r="AC2" s="1028"/>
      <c r="AD2" s="1028"/>
      <c r="AE2" s="1029"/>
      <c r="AF2" s="1022" t="s">
        <v>13</v>
      </c>
      <c r="AG2" s="1022"/>
      <c r="AH2" s="1022"/>
      <c r="AI2" s="1022"/>
      <c r="AJ2" s="1022"/>
      <c r="AK2" s="3"/>
      <c r="AL2" s="3"/>
      <c r="AM2" s="3"/>
    </row>
    <row r="3" spans="1:39" x14ac:dyDescent="0.25">
      <c r="A3" s="1021"/>
      <c r="B3" s="1022"/>
      <c r="C3" s="2"/>
      <c r="D3" s="2"/>
      <c r="E3" s="2"/>
      <c r="F3" s="1022"/>
      <c r="G3" s="4" t="s">
        <v>32</v>
      </c>
      <c r="H3" s="4" t="s">
        <v>30</v>
      </c>
      <c r="I3" s="4" t="s">
        <v>34</v>
      </c>
      <c r="J3" s="4" t="s">
        <v>35</v>
      </c>
      <c r="K3" s="4" t="s">
        <v>13</v>
      </c>
      <c r="L3" s="4" t="s">
        <v>32</v>
      </c>
      <c r="M3" s="4" t="s">
        <v>30</v>
      </c>
      <c r="N3" s="4" t="s">
        <v>34</v>
      </c>
      <c r="O3" s="4" t="s">
        <v>35</v>
      </c>
      <c r="P3" s="4" t="s">
        <v>13</v>
      </c>
      <c r="Q3" s="5" t="s">
        <v>32</v>
      </c>
      <c r="R3" s="5" t="s">
        <v>30</v>
      </c>
      <c r="S3" s="5" t="s">
        <v>34</v>
      </c>
      <c r="T3" s="5" t="s">
        <v>35</v>
      </c>
      <c r="U3" s="5" t="s">
        <v>13</v>
      </c>
      <c r="V3" s="5" t="s">
        <v>32</v>
      </c>
      <c r="W3" s="5" t="s">
        <v>30</v>
      </c>
      <c r="X3" s="5" t="s">
        <v>34</v>
      </c>
      <c r="Y3" s="5" t="s">
        <v>35</v>
      </c>
      <c r="Z3" s="5" t="s">
        <v>13</v>
      </c>
      <c r="AA3" s="29" t="s">
        <v>32</v>
      </c>
      <c r="AB3" s="29" t="s">
        <v>30</v>
      </c>
      <c r="AC3" s="29" t="s">
        <v>34</v>
      </c>
      <c r="AD3" s="29" t="s">
        <v>35</v>
      </c>
      <c r="AE3" s="29" t="s">
        <v>13</v>
      </c>
      <c r="AF3" s="6" t="s">
        <v>32</v>
      </c>
      <c r="AG3" s="6" t="s">
        <v>30</v>
      </c>
      <c r="AH3" s="6" t="s">
        <v>34</v>
      </c>
      <c r="AI3" s="6" t="s">
        <v>35</v>
      </c>
      <c r="AJ3" s="6" t="s">
        <v>13</v>
      </c>
      <c r="AK3" s="7">
        <v>2025</v>
      </c>
      <c r="AL3" s="8">
        <v>2026</v>
      </c>
      <c r="AM3" s="8">
        <v>2027</v>
      </c>
    </row>
    <row r="4" spans="1:39" s="9" customFormat="1" ht="27.75" customHeight="1" outlineLevel="1" x14ac:dyDescent="0.25">
      <c r="A4" s="31" t="s">
        <v>62</v>
      </c>
      <c r="B4" s="22" t="s">
        <v>63</v>
      </c>
      <c r="C4" s="23"/>
      <c r="D4" s="23">
        <v>25245</v>
      </c>
      <c r="E4" s="23">
        <f t="shared" ref="E4:E13" si="0">SUM(C4:D4)</f>
        <v>25245</v>
      </c>
      <c r="F4" s="24">
        <v>46113</v>
      </c>
      <c r="G4" s="73">
        <v>0</v>
      </c>
      <c r="H4" s="73">
        <v>0</v>
      </c>
      <c r="I4" s="73">
        <v>0</v>
      </c>
      <c r="J4" s="73">
        <v>0</v>
      </c>
      <c r="K4" s="73">
        <v>0</v>
      </c>
      <c r="L4" s="73">
        <v>0</v>
      </c>
      <c r="M4" s="73">
        <v>0</v>
      </c>
      <c r="N4" s="73">
        <v>0</v>
      </c>
      <c r="O4" s="73">
        <v>0</v>
      </c>
      <c r="P4" s="73">
        <v>0</v>
      </c>
      <c r="Q4" s="73"/>
      <c r="R4" s="73">
        <v>389993175</v>
      </c>
      <c r="S4" s="73">
        <f>SUM(Q4:R4)</f>
        <v>389993175</v>
      </c>
      <c r="T4" s="73"/>
      <c r="U4" s="73">
        <f t="shared" ref="U4:U13" si="1">SUM(S4:T4)</f>
        <v>389993175</v>
      </c>
      <c r="V4" s="73"/>
      <c r="W4" s="73">
        <v>425447100</v>
      </c>
      <c r="X4" s="73">
        <f t="shared" ref="X4:X13" si="2">SUM(V4:W4)</f>
        <v>425447100</v>
      </c>
      <c r="Y4" s="73"/>
      <c r="Z4" s="73">
        <f t="shared" ref="Z4:Z13" si="3">SUM(X4:Y4)</f>
        <v>425447100</v>
      </c>
      <c r="AA4" s="73"/>
      <c r="AB4" s="73"/>
      <c r="AC4" s="73">
        <f t="shared" ref="AC4:AC11" si="4">AA4+AB4</f>
        <v>0</v>
      </c>
      <c r="AD4" s="73"/>
      <c r="AE4" s="73">
        <f t="shared" ref="AE4:AE11" si="5">AC4+AD4</f>
        <v>0</v>
      </c>
      <c r="AF4" s="71">
        <f t="shared" ref="AF4:AJ10" si="6">L4+V4</f>
        <v>0</v>
      </c>
      <c r="AG4" s="71">
        <f t="shared" si="6"/>
        <v>425447100</v>
      </c>
      <c r="AH4" s="71">
        <f t="shared" si="6"/>
        <v>425447100</v>
      </c>
      <c r="AI4" s="71">
        <f t="shared" si="6"/>
        <v>0</v>
      </c>
      <c r="AJ4" s="71">
        <f t="shared" si="6"/>
        <v>425447100</v>
      </c>
      <c r="AK4" s="72">
        <f t="shared" ref="AK4:AK13" si="7">K4</f>
        <v>0</v>
      </c>
      <c r="AL4" s="72">
        <f t="shared" ref="AL4:AL12" si="8">P4+U4</f>
        <v>389993175</v>
      </c>
      <c r="AM4" s="72">
        <f t="shared" ref="AM4:AM10" si="9">P4+Z4</f>
        <v>425447100</v>
      </c>
    </row>
    <row r="5" spans="1:39" s="9" customFormat="1" ht="27.75" customHeight="1" outlineLevel="1" x14ac:dyDescent="0.25">
      <c r="A5" s="31" t="s">
        <v>64</v>
      </c>
      <c r="B5" s="22" t="s">
        <v>65</v>
      </c>
      <c r="C5" s="23">
        <v>13135</v>
      </c>
      <c r="D5" s="23">
        <v>25245</v>
      </c>
      <c r="E5" s="23">
        <f t="shared" si="0"/>
        <v>38380</v>
      </c>
      <c r="F5" s="24">
        <v>46113</v>
      </c>
      <c r="G5" s="73">
        <v>0</v>
      </c>
      <c r="H5" s="73">
        <v>0</v>
      </c>
      <c r="I5" s="73">
        <v>0</v>
      </c>
      <c r="J5" s="73">
        <v>0</v>
      </c>
      <c r="K5" s="73">
        <v>0</v>
      </c>
      <c r="L5" s="73">
        <v>0</v>
      </c>
      <c r="M5" s="73">
        <v>0</v>
      </c>
      <c r="N5" s="73">
        <v>0</v>
      </c>
      <c r="O5" s="73">
        <v>0</v>
      </c>
      <c r="P5" s="73">
        <v>0</v>
      </c>
      <c r="Q5" s="73">
        <v>302444528</v>
      </c>
      <c r="R5" s="73">
        <v>614282322</v>
      </c>
      <c r="S5" s="73">
        <f>SUM(Q5:R5)</f>
        <v>916726850</v>
      </c>
      <c r="T5" s="73">
        <v>50960230.883151256</v>
      </c>
      <c r="U5" s="73">
        <f t="shared" si="1"/>
        <v>967687080.88315129</v>
      </c>
      <c r="V5" s="73">
        <v>393177887</v>
      </c>
      <c r="W5" s="73">
        <v>798567019</v>
      </c>
      <c r="X5" s="73">
        <f t="shared" si="2"/>
        <v>1191744906</v>
      </c>
      <c r="Y5" s="73">
        <v>66248300.148096636</v>
      </c>
      <c r="Z5" s="73">
        <f t="shared" si="3"/>
        <v>1257993206.1480966</v>
      </c>
      <c r="AA5" s="73"/>
      <c r="AB5" s="73"/>
      <c r="AC5" s="73">
        <f t="shared" si="4"/>
        <v>0</v>
      </c>
      <c r="AD5" s="73"/>
      <c r="AE5" s="73">
        <f t="shared" si="5"/>
        <v>0</v>
      </c>
      <c r="AF5" s="71">
        <f t="shared" si="6"/>
        <v>393177887</v>
      </c>
      <c r="AG5" s="71">
        <f t="shared" si="6"/>
        <v>798567019</v>
      </c>
      <c r="AH5" s="71">
        <f t="shared" si="6"/>
        <v>1191744906</v>
      </c>
      <c r="AI5" s="71">
        <f t="shared" si="6"/>
        <v>66248300.148096636</v>
      </c>
      <c r="AJ5" s="71">
        <f t="shared" si="6"/>
        <v>1257993206.1480966</v>
      </c>
      <c r="AK5" s="72">
        <f t="shared" si="7"/>
        <v>0</v>
      </c>
      <c r="AL5" s="72">
        <f t="shared" si="8"/>
        <v>967687080.88315129</v>
      </c>
      <c r="AM5" s="72">
        <f t="shared" si="9"/>
        <v>1257993206.1480966</v>
      </c>
    </row>
    <row r="6" spans="1:39" s="9" customFormat="1" ht="30" customHeight="1" outlineLevel="1" x14ac:dyDescent="0.25">
      <c r="A6" s="31" t="s">
        <v>66</v>
      </c>
      <c r="B6" s="22" t="s">
        <v>67</v>
      </c>
      <c r="C6" s="23">
        <v>0</v>
      </c>
      <c r="D6" s="23">
        <v>4136</v>
      </c>
      <c r="E6" s="23">
        <f t="shared" si="0"/>
        <v>4136</v>
      </c>
      <c r="F6" s="24">
        <v>46113</v>
      </c>
      <c r="G6" s="73">
        <v>0</v>
      </c>
      <c r="H6" s="73">
        <v>0</v>
      </c>
      <c r="I6" s="73">
        <v>0</v>
      </c>
      <c r="J6" s="73">
        <v>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8">
        <v>72512330</v>
      </c>
      <c r="R6" s="78">
        <v>72512330</v>
      </c>
      <c r="S6" s="73">
        <f>SUM(Q6:R6)</f>
        <v>145024660</v>
      </c>
      <c r="T6" s="73">
        <v>0</v>
      </c>
      <c r="U6" s="73">
        <f t="shared" si="1"/>
        <v>145024660</v>
      </c>
      <c r="V6" s="78">
        <v>79104360</v>
      </c>
      <c r="W6" s="78">
        <f>SUM(U6:V6)</f>
        <v>224129020</v>
      </c>
      <c r="X6" s="73">
        <f t="shared" si="2"/>
        <v>303233380</v>
      </c>
      <c r="Y6" s="73">
        <v>0</v>
      </c>
      <c r="Z6" s="73">
        <f t="shared" si="3"/>
        <v>303233380</v>
      </c>
      <c r="AA6" s="73"/>
      <c r="AB6" s="73"/>
      <c r="AC6" s="73">
        <f t="shared" si="4"/>
        <v>0</v>
      </c>
      <c r="AD6" s="73"/>
      <c r="AE6" s="73">
        <f t="shared" si="5"/>
        <v>0</v>
      </c>
      <c r="AF6" s="71">
        <f t="shared" si="6"/>
        <v>79104360</v>
      </c>
      <c r="AG6" s="71">
        <f t="shared" si="6"/>
        <v>224129020</v>
      </c>
      <c r="AH6" s="71">
        <f t="shared" si="6"/>
        <v>303233380</v>
      </c>
      <c r="AI6" s="71">
        <f t="shared" si="6"/>
        <v>0</v>
      </c>
      <c r="AJ6" s="71">
        <f t="shared" si="6"/>
        <v>303233380</v>
      </c>
      <c r="AK6" s="72">
        <f t="shared" si="7"/>
        <v>0</v>
      </c>
      <c r="AL6" s="72">
        <f t="shared" si="8"/>
        <v>145024660</v>
      </c>
      <c r="AM6" s="72">
        <f t="shared" si="9"/>
        <v>303233380</v>
      </c>
    </row>
    <row r="7" spans="1:39" s="9" customFormat="1" ht="27.75" customHeight="1" outlineLevel="1" x14ac:dyDescent="0.25">
      <c r="A7" s="31" t="s">
        <v>68</v>
      </c>
      <c r="B7" s="22" t="s">
        <v>69</v>
      </c>
      <c r="C7" s="23">
        <v>1866</v>
      </c>
      <c r="D7" s="23">
        <v>4136</v>
      </c>
      <c r="E7" s="23">
        <f t="shared" si="0"/>
        <v>6002</v>
      </c>
      <c r="F7" s="24">
        <v>46113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52960113</v>
      </c>
      <c r="R7" s="73">
        <v>112488450</v>
      </c>
      <c r="S7" s="73">
        <f>SUM(Q7:R7)</f>
        <v>165448563</v>
      </c>
      <c r="T7" s="73">
        <v>9469991.1648723669</v>
      </c>
      <c r="U7" s="73">
        <f t="shared" si="1"/>
        <v>174918554.16487238</v>
      </c>
      <c r="V7" s="73">
        <v>68848147</v>
      </c>
      <c r="W7" s="73">
        <v>146234985</v>
      </c>
      <c r="X7" s="73">
        <f t="shared" si="2"/>
        <v>215083132</v>
      </c>
      <c r="Y7" s="73">
        <v>12310988.514334077</v>
      </c>
      <c r="Z7" s="73">
        <f t="shared" si="3"/>
        <v>227394120.51433408</v>
      </c>
      <c r="AA7" s="73"/>
      <c r="AB7" s="73"/>
      <c r="AC7" s="73">
        <f t="shared" si="4"/>
        <v>0</v>
      </c>
      <c r="AD7" s="73"/>
      <c r="AE7" s="73">
        <f t="shared" si="5"/>
        <v>0</v>
      </c>
      <c r="AF7" s="71">
        <f t="shared" si="6"/>
        <v>68848147</v>
      </c>
      <c r="AG7" s="71">
        <f t="shared" si="6"/>
        <v>146234985</v>
      </c>
      <c r="AH7" s="71">
        <f t="shared" si="6"/>
        <v>215083132</v>
      </c>
      <c r="AI7" s="71">
        <f t="shared" si="6"/>
        <v>12310988.514334077</v>
      </c>
      <c r="AJ7" s="71">
        <f t="shared" si="6"/>
        <v>227394120.51433408</v>
      </c>
      <c r="AK7" s="72">
        <f t="shared" si="7"/>
        <v>0</v>
      </c>
      <c r="AL7" s="72">
        <f t="shared" si="8"/>
        <v>174918554.16487238</v>
      </c>
      <c r="AM7" s="72">
        <f t="shared" si="9"/>
        <v>227394120.51433408</v>
      </c>
    </row>
    <row r="8" spans="1:39" s="9" customFormat="1" outlineLevel="1" x14ac:dyDescent="0.25">
      <c r="A8" s="31" t="s">
        <v>588</v>
      </c>
      <c r="B8" s="22" t="s">
        <v>51</v>
      </c>
      <c r="C8" s="23">
        <v>5946</v>
      </c>
      <c r="D8" s="23">
        <v>4004</v>
      </c>
      <c r="E8" s="23">
        <f t="shared" si="0"/>
        <v>9950</v>
      </c>
      <c r="F8" s="24">
        <v>46113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66359557.560692422</v>
      </c>
      <c r="R8" s="73">
        <v>43069656.60862343</v>
      </c>
      <c r="S8" s="73">
        <f>SUM(Q8:R8)</f>
        <v>109429214.16931584</v>
      </c>
      <c r="T8" s="73">
        <v>18047793.593148217</v>
      </c>
      <c r="U8" s="73">
        <f t="shared" si="1"/>
        <v>127477007.76246406</v>
      </c>
      <c r="V8" s="73">
        <v>86267424.828900144</v>
      </c>
      <c r="W8" s="73">
        <v>55990553.590000004</v>
      </c>
      <c r="X8" s="73">
        <f t="shared" si="2"/>
        <v>142257978.41890013</v>
      </c>
      <c r="Y8" s="73">
        <v>23462131.671092678</v>
      </c>
      <c r="Z8" s="73">
        <f t="shared" si="3"/>
        <v>165720110.08999282</v>
      </c>
      <c r="AA8" s="73"/>
      <c r="AB8" s="73"/>
      <c r="AC8" s="73">
        <f t="shared" si="4"/>
        <v>0</v>
      </c>
      <c r="AD8" s="73"/>
      <c r="AE8" s="73">
        <f t="shared" si="5"/>
        <v>0</v>
      </c>
      <c r="AF8" s="71">
        <f t="shared" si="6"/>
        <v>86267424.828900144</v>
      </c>
      <c r="AG8" s="71">
        <f t="shared" si="6"/>
        <v>55990553.590000004</v>
      </c>
      <c r="AH8" s="71">
        <f t="shared" si="6"/>
        <v>142257978.41890013</v>
      </c>
      <c r="AI8" s="71">
        <f t="shared" si="6"/>
        <v>23462131.671092678</v>
      </c>
      <c r="AJ8" s="71">
        <f t="shared" si="6"/>
        <v>165720110.08999282</v>
      </c>
      <c r="AK8" s="72">
        <f t="shared" si="7"/>
        <v>0</v>
      </c>
      <c r="AL8" s="72">
        <f t="shared" si="8"/>
        <v>127477007.76246406</v>
      </c>
      <c r="AM8" s="72">
        <f t="shared" si="9"/>
        <v>165720110.08999282</v>
      </c>
    </row>
    <row r="9" spans="1:39" s="9" customFormat="1" outlineLevel="1" x14ac:dyDescent="0.25">
      <c r="A9" s="31" t="s">
        <v>47</v>
      </c>
      <c r="B9" s="22"/>
      <c r="C9" s="23">
        <v>86182</v>
      </c>
      <c r="D9" s="23">
        <v>0</v>
      </c>
      <c r="E9" s="23">
        <f t="shared" si="0"/>
        <v>86182</v>
      </c>
      <c r="F9" s="24">
        <v>46113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1011021624</v>
      </c>
      <c r="R9" s="73">
        <v>0</v>
      </c>
      <c r="S9" s="73">
        <f>Q9+R9</f>
        <v>1011021624</v>
      </c>
      <c r="T9" s="73">
        <v>222424757</v>
      </c>
      <c r="U9" s="73">
        <f t="shared" si="1"/>
        <v>1233446381</v>
      </c>
      <c r="V9" s="73">
        <v>1444471409</v>
      </c>
      <c r="W9" s="73"/>
      <c r="X9" s="73">
        <f t="shared" si="2"/>
        <v>1444471409</v>
      </c>
      <c r="Y9" s="73">
        <v>453976729</v>
      </c>
      <c r="Z9" s="73">
        <f t="shared" si="3"/>
        <v>1898448138</v>
      </c>
      <c r="AA9" s="73"/>
      <c r="AB9" s="73"/>
      <c r="AC9" s="73">
        <f t="shared" si="4"/>
        <v>0</v>
      </c>
      <c r="AD9" s="73"/>
      <c r="AE9" s="73">
        <f t="shared" si="5"/>
        <v>0</v>
      </c>
      <c r="AF9" s="71">
        <f t="shared" si="6"/>
        <v>1444471409</v>
      </c>
      <c r="AG9" s="71">
        <f t="shared" si="6"/>
        <v>0</v>
      </c>
      <c r="AH9" s="71">
        <f t="shared" si="6"/>
        <v>1444471409</v>
      </c>
      <c r="AI9" s="71">
        <f t="shared" si="6"/>
        <v>453976729</v>
      </c>
      <c r="AJ9" s="71">
        <f t="shared" si="6"/>
        <v>1898448138</v>
      </c>
      <c r="AK9" s="72">
        <f t="shared" si="7"/>
        <v>0</v>
      </c>
      <c r="AL9" s="72">
        <f t="shared" si="8"/>
        <v>1233446381</v>
      </c>
      <c r="AM9" s="72">
        <f t="shared" si="9"/>
        <v>1898448138</v>
      </c>
    </row>
    <row r="10" spans="1:39" s="9" customFormat="1" outlineLevel="1" x14ac:dyDescent="0.25">
      <c r="A10" s="31" t="s">
        <v>72</v>
      </c>
      <c r="B10" s="22"/>
      <c r="C10" s="23">
        <v>2524</v>
      </c>
      <c r="D10" s="23">
        <v>0</v>
      </c>
      <c r="E10" s="23">
        <f t="shared" si="0"/>
        <v>2524</v>
      </c>
      <c r="F10" s="24">
        <v>46113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330486269</v>
      </c>
      <c r="R10" s="73">
        <v>0</v>
      </c>
      <c r="S10" s="73">
        <f>SUM(Q10:R10)</f>
        <v>330486269</v>
      </c>
      <c r="T10" s="73"/>
      <c r="U10" s="73">
        <f t="shared" si="1"/>
        <v>330486269</v>
      </c>
      <c r="V10" s="73">
        <v>340400857</v>
      </c>
      <c r="W10" s="73">
        <v>0</v>
      </c>
      <c r="X10" s="73">
        <f t="shared" si="2"/>
        <v>340400857</v>
      </c>
      <c r="Y10" s="73">
        <v>0</v>
      </c>
      <c r="Z10" s="73">
        <f t="shared" si="3"/>
        <v>340400857</v>
      </c>
      <c r="AA10" s="73"/>
      <c r="AB10" s="73"/>
      <c r="AC10" s="73">
        <f t="shared" si="4"/>
        <v>0</v>
      </c>
      <c r="AD10" s="73"/>
      <c r="AE10" s="73">
        <f t="shared" si="5"/>
        <v>0</v>
      </c>
      <c r="AF10" s="71">
        <f t="shared" si="6"/>
        <v>340400857</v>
      </c>
      <c r="AG10" s="71">
        <f t="shared" si="6"/>
        <v>0</v>
      </c>
      <c r="AH10" s="71">
        <f t="shared" si="6"/>
        <v>340400857</v>
      </c>
      <c r="AI10" s="71">
        <f t="shared" si="6"/>
        <v>0</v>
      </c>
      <c r="AJ10" s="71">
        <f t="shared" si="6"/>
        <v>340400857</v>
      </c>
      <c r="AK10" s="72">
        <f t="shared" si="7"/>
        <v>0</v>
      </c>
      <c r="AL10" s="72">
        <f t="shared" si="8"/>
        <v>330486269</v>
      </c>
      <c r="AM10" s="72">
        <f t="shared" si="9"/>
        <v>340400857</v>
      </c>
    </row>
    <row r="11" spans="1:39" s="9" customFormat="1" outlineLevel="1" x14ac:dyDescent="0.25">
      <c r="A11" s="31" t="s">
        <v>71</v>
      </c>
      <c r="B11" s="22"/>
      <c r="C11" s="23">
        <v>3222</v>
      </c>
      <c r="D11" s="23">
        <v>0</v>
      </c>
      <c r="E11" s="23">
        <f t="shared" si="0"/>
        <v>3222</v>
      </c>
      <c r="F11" s="24">
        <v>46113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13938646.039999999</v>
      </c>
      <c r="R11" s="73">
        <v>0</v>
      </c>
      <c r="S11" s="73">
        <f>SUM(Q11:R11)</f>
        <v>13938646.039999999</v>
      </c>
      <c r="T11" s="73">
        <v>2816704.34</v>
      </c>
      <c r="U11" s="73">
        <f t="shared" si="1"/>
        <v>16755350.379999999</v>
      </c>
      <c r="V11" s="73">
        <v>13938646.039999999</v>
      </c>
      <c r="W11" s="73">
        <v>0</v>
      </c>
      <c r="X11" s="73">
        <f t="shared" si="2"/>
        <v>13938646.039999999</v>
      </c>
      <c r="Y11" s="73">
        <v>2816704.34</v>
      </c>
      <c r="Z11" s="73">
        <f t="shared" si="3"/>
        <v>16755350.379999999</v>
      </c>
      <c r="AA11" s="73">
        <v>14149163.699999999</v>
      </c>
      <c r="AB11" s="73">
        <v>0</v>
      </c>
      <c r="AC11" s="73">
        <f t="shared" si="4"/>
        <v>14149163.699999999</v>
      </c>
      <c r="AD11" s="73">
        <v>2858218.99</v>
      </c>
      <c r="AE11" s="73">
        <f t="shared" si="5"/>
        <v>17007382.689999998</v>
      </c>
      <c r="AF11" s="71">
        <f>L11+V11+AA11</f>
        <v>28087809.739999998</v>
      </c>
      <c r="AG11" s="71">
        <f>M11+W11+AB11</f>
        <v>0</v>
      </c>
      <c r="AH11" s="71">
        <f>N11+X11+AC11</f>
        <v>28087809.739999998</v>
      </c>
      <c r="AI11" s="71">
        <f>O11+Y11+AD11</f>
        <v>5674923.3300000001</v>
      </c>
      <c r="AJ11" s="71">
        <f>P11+Z11+AE11</f>
        <v>33762733.069999993</v>
      </c>
      <c r="AK11" s="72">
        <f t="shared" si="7"/>
        <v>0</v>
      </c>
      <c r="AL11" s="72">
        <f t="shared" si="8"/>
        <v>16755350.379999999</v>
      </c>
      <c r="AM11" s="72">
        <f>P11+Z11+AA11</f>
        <v>30904514.079999998</v>
      </c>
    </row>
    <row r="12" spans="1:39" s="9" customFormat="1" outlineLevel="1" x14ac:dyDescent="0.25">
      <c r="A12" s="160" t="s">
        <v>76</v>
      </c>
      <c r="B12" s="22"/>
      <c r="C12" s="67">
        <v>154</v>
      </c>
      <c r="D12" s="67">
        <v>10687</v>
      </c>
      <c r="E12" s="23">
        <f t="shared" si="0"/>
        <v>10841</v>
      </c>
      <c r="F12" s="24" t="s">
        <v>43</v>
      </c>
      <c r="G12" s="73">
        <v>470826.76461455517</v>
      </c>
      <c r="H12" s="73">
        <v>34826272.719999999</v>
      </c>
      <c r="I12" s="73">
        <v>33844646.409999996</v>
      </c>
      <c r="J12" s="73">
        <v>0</v>
      </c>
      <c r="K12" s="73">
        <f>SUM(I12:J12)</f>
        <v>33844646.409999996</v>
      </c>
      <c r="L12" s="73">
        <v>3060373.9699946088</v>
      </c>
      <c r="M12" s="73">
        <v>219990201.66</v>
      </c>
      <c r="N12" s="73">
        <f>SUM(L12:M12)</f>
        <v>223050575.6299946</v>
      </c>
      <c r="O12" s="73">
        <v>0</v>
      </c>
      <c r="P12" s="73">
        <f>SUM(N12:O12)</f>
        <v>223050575.6299946</v>
      </c>
      <c r="Q12" s="73">
        <v>6472689.9360542921</v>
      </c>
      <c r="R12" s="73">
        <v>499270963.75</v>
      </c>
      <c r="S12" s="73">
        <f t="shared" ref="S12:S13" si="10">SUM(Q12:R12)</f>
        <v>505743653.68605429</v>
      </c>
      <c r="T12" s="73">
        <v>0</v>
      </c>
      <c r="U12" s="73">
        <f t="shared" si="1"/>
        <v>505743653.68605429</v>
      </c>
      <c r="V12" s="73">
        <v>6472689.9360542921</v>
      </c>
      <c r="W12" s="73">
        <v>499270963.75</v>
      </c>
      <c r="X12" s="73">
        <f t="shared" si="2"/>
        <v>505743653.68605429</v>
      </c>
      <c r="Y12" s="73">
        <v>0</v>
      </c>
      <c r="Z12" s="73">
        <f t="shared" si="3"/>
        <v>505743653.68605429</v>
      </c>
      <c r="AA12" s="73"/>
      <c r="AB12" s="73"/>
      <c r="AC12" s="73">
        <f>AA12+AB12</f>
        <v>0</v>
      </c>
      <c r="AD12" s="73"/>
      <c r="AE12" s="73">
        <f>AC12+AD12</f>
        <v>0</v>
      </c>
      <c r="AF12" s="71">
        <f t="shared" ref="AF12:AJ13" si="11">L12+V12</f>
        <v>9533063.9060489014</v>
      </c>
      <c r="AG12" s="71">
        <f t="shared" si="11"/>
        <v>719261165.40999997</v>
      </c>
      <c r="AH12" s="71">
        <f t="shared" si="11"/>
        <v>728794229.31604886</v>
      </c>
      <c r="AI12" s="71">
        <f t="shared" si="11"/>
        <v>0</v>
      </c>
      <c r="AJ12" s="71">
        <f t="shared" si="11"/>
        <v>728794229.31604886</v>
      </c>
      <c r="AK12" s="72">
        <f t="shared" si="7"/>
        <v>33844646.409999996</v>
      </c>
      <c r="AL12" s="72">
        <f t="shared" si="8"/>
        <v>728794229.31604886</v>
      </c>
      <c r="AM12" s="72">
        <f>P12+Z12</f>
        <v>728794229.31604886</v>
      </c>
    </row>
    <row r="13" spans="1:39" s="20" customFormat="1" ht="75" customHeight="1" outlineLevel="1" x14ac:dyDescent="0.25">
      <c r="A13" s="161" t="s">
        <v>45</v>
      </c>
      <c r="B13" s="22"/>
      <c r="C13" s="67">
        <v>154</v>
      </c>
      <c r="D13" s="67">
        <v>10687</v>
      </c>
      <c r="E13" s="23">
        <f t="shared" si="0"/>
        <v>10841</v>
      </c>
      <c r="F13" s="24" t="s">
        <v>43</v>
      </c>
      <c r="G13" s="73">
        <v>29900.336949999997</v>
      </c>
      <c r="H13" s="73">
        <v>981626.31</v>
      </c>
      <c r="I13" s="73">
        <f>SUM(G13:H13)</f>
        <v>1011526.6469500001</v>
      </c>
      <c r="J13" s="73">
        <v>0</v>
      </c>
      <c r="K13" s="73">
        <f>SUM(I13:J13)</f>
        <v>1011526.6469500001</v>
      </c>
      <c r="L13" s="73">
        <v>358804.04339999997</v>
      </c>
      <c r="M13" s="73">
        <v>11779515.74</v>
      </c>
      <c r="N13" s="73">
        <f>SUM(L13:M13)</f>
        <v>12138319.783400001</v>
      </c>
      <c r="O13" s="73">
        <v>0</v>
      </c>
      <c r="P13" s="73">
        <f>SUM(N13:O13)</f>
        <v>12138319.783400001</v>
      </c>
      <c r="Q13" s="73">
        <v>758870.5517909996</v>
      </c>
      <c r="R13" s="73">
        <v>24913675.789999999</v>
      </c>
      <c r="S13" s="73">
        <f t="shared" si="10"/>
        <v>25672546.341791</v>
      </c>
      <c r="T13" s="73">
        <v>0</v>
      </c>
      <c r="U13" s="73">
        <f t="shared" si="1"/>
        <v>25672546.341791</v>
      </c>
      <c r="V13" s="73">
        <v>758870.5517909996</v>
      </c>
      <c r="W13" s="73">
        <v>24913675.789999999</v>
      </c>
      <c r="X13" s="73">
        <f t="shared" si="2"/>
        <v>25672546.341791</v>
      </c>
      <c r="Y13" s="73">
        <v>0</v>
      </c>
      <c r="Z13" s="73">
        <f t="shared" si="3"/>
        <v>25672546.341791</v>
      </c>
      <c r="AA13" s="73"/>
      <c r="AB13" s="73"/>
      <c r="AC13" s="73">
        <f>AA13+AB13</f>
        <v>0</v>
      </c>
      <c r="AD13" s="73"/>
      <c r="AE13" s="73">
        <f>AC13+AD13</f>
        <v>0</v>
      </c>
      <c r="AF13" s="71">
        <f t="shared" si="11"/>
        <v>1117674.5951909996</v>
      </c>
      <c r="AG13" s="71">
        <f t="shared" si="11"/>
        <v>36693191.530000001</v>
      </c>
      <c r="AH13" s="71">
        <f t="shared" si="11"/>
        <v>37810866.125191003</v>
      </c>
      <c r="AI13" s="71">
        <f t="shared" si="11"/>
        <v>0</v>
      </c>
      <c r="AJ13" s="71">
        <f t="shared" si="11"/>
        <v>37810866.125191003</v>
      </c>
      <c r="AK13" s="72">
        <f t="shared" si="7"/>
        <v>1011526.6469500001</v>
      </c>
      <c r="AL13" s="72">
        <f>P13+U13</f>
        <v>37810866.125191003</v>
      </c>
      <c r="AM13" s="72">
        <f>P13+Z13</f>
        <v>37810866.125191003</v>
      </c>
    </row>
    <row r="14" spans="1:39" s="20" customFormat="1" outlineLevel="1" x14ac:dyDescent="0.25">
      <c r="A14" s="18" t="s">
        <v>589</v>
      </c>
      <c r="B14" s="12"/>
      <c r="C14" s="13">
        <f>SUM(C4:C11)</f>
        <v>112875</v>
      </c>
      <c r="D14" s="13">
        <f>SUM(D4:D11)</f>
        <v>62766</v>
      </c>
      <c r="E14" s="13">
        <f>SUM(E4:E11)</f>
        <v>175641</v>
      </c>
      <c r="F14" s="13"/>
      <c r="G14" s="77">
        <f t="shared" ref="G14:Z14" si="12">SUM(G4:G11)</f>
        <v>0</v>
      </c>
      <c r="H14" s="77">
        <f t="shared" si="12"/>
        <v>0</v>
      </c>
      <c r="I14" s="77">
        <f t="shared" si="12"/>
        <v>0</v>
      </c>
      <c r="J14" s="77">
        <f t="shared" si="12"/>
        <v>0</v>
      </c>
      <c r="K14" s="77">
        <f t="shared" si="12"/>
        <v>0</v>
      </c>
      <c r="L14" s="77">
        <f t="shared" si="12"/>
        <v>0</v>
      </c>
      <c r="M14" s="77">
        <f t="shared" si="12"/>
        <v>0</v>
      </c>
      <c r="N14" s="77">
        <f t="shared" si="12"/>
        <v>0</v>
      </c>
      <c r="O14" s="77">
        <f t="shared" si="12"/>
        <v>0</v>
      </c>
      <c r="P14" s="77">
        <f t="shared" si="12"/>
        <v>0</v>
      </c>
      <c r="Q14" s="77">
        <f t="shared" si="12"/>
        <v>1849723067.6006923</v>
      </c>
      <c r="R14" s="77">
        <f t="shared" si="12"/>
        <v>1232345933.6086235</v>
      </c>
      <c r="S14" s="77">
        <f t="shared" si="12"/>
        <v>3082069001.2093158</v>
      </c>
      <c r="T14" s="77">
        <f t="shared" si="12"/>
        <v>303719476.98117179</v>
      </c>
      <c r="U14" s="77">
        <f t="shared" si="12"/>
        <v>3385788478.1904879</v>
      </c>
      <c r="V14" s="77">
        <f t="shared" si="12"/>
        <v>2426208730.8689003</v>
      </c>
      <c r="W14" s="77">
        <f t="shared" si="12"/>
        <v>1650368677.5899999</v>
      </c>
      <c r="X14" s="77">
        <f t="shared" si="12"/>
        <v>4076577408.4589</v>
      </c>
      <c r="Y14" s="77">
        <f t="shared" si="12"/>
        <v>558814853.67352343</v>
      </c>
      <c r="Z14" s="77">
        <f t="shared" si="12"/>
        <v>4635392262.1324244</v>
      </c>
      <c r="AA14" s="77"/>
      <c r="AB14" s="77"/>
      <c r="AC14" s="77"/>
      <c r="AD14" s="77"/>
      <c r="AE14" s="77"/>
      <c r="AF14" s="77">
        <f t="shared" ref="AF14:AM14" si="13">SUM(AF4:AF11)</f>
        <v>2440357894.5689001</v>
      </c>
      <c r="AG14" s="77">
        <f t="shared" si="13"/>
        <v>1650368677.5899999</v>
      </c>
      <c r="AH14" s="77">
        <f t="shared" si="13"/>
        <v>4090726572.1588998</v>
      </c>
      <c r="AI14" s="77">
        <f t="shared" si="13"/>
        <v>561673072.66352344</v>
      </c>
      <c r="AJ14" s="77">
        <f t="shared" si="13"/>
        <v>4652399644.8224239</v>
      </c>
      <c r="AK14" s="77">
        <f t="shared" si="13"/>
        <v>0</v>
      </c>
      <c r="AL14" s="77">
        <f t="shared" si="13"/>
        <v>3385788478.1904879</v>
      </c>
      <c r="AM14" s="77">
        <f t="shared" si="13"/>
        <v>4649541425.8324242</v>
      </c>
    </row>
    <row r="15" spans="1:39" s="20" customFormat="1" outlineLevel="1" x14ac:dyDescent="0.2">
      <c r="A15" s="17" t="s">
        <v>14</v>
      </c>
      <c r="B15" s="1"/>
      <c r="C15" s="10"/>
      <c r="D15" s="10"/>
      <c r="E15" s="10"/>
      <c r="F15" s="11"/>
      <c r="J15" s="1"/>
      <c r="K15" s="1"/>
      <c r="N15" s="1"/>
      <c r="O15" s="1"/>
      <c r="P15" s="1"/>
      <c r="Q15" s="44">
        <v>539707217.73000002</v>
      </c>
      <c r="R15" s="1"/>
      <c r="S15" s="1"/>
      <c r="T15" s="1"/>
      <c r="U15" s="46">
        <f>Q15</f>
        <v>539707217.73000002</v>
      </c>
      <c r="V15" s="1"/>
      <c r="W15" s="1"/>
      <c r="X15" s="1"/>
      <c r="Y15" s="1"/>
      <c r="Z15" s="1"/>
      <c r="AA15" s="44">
        <v>1020216179.05</v>
      </c>
      <c r="AB15" s="1"/>
      <c r="AC15" s="1"/>
      <c r="AD15" s="1"/>
      <c r="AE15" s="45">
        <f>AA15</f>
        <v>1020216179.05</v>
      </c>
      <c r="AF15" s="44">
        <v>1660894794.1400001</v>
      </c>
      <c r="AG15" s="1"/>
      <c r="AH15" s="1"/>
      <c r="AI15" s="1"/>
      <c r="AJ15" s="44">
        <v>1660894794.1400001</v>
      </c>
      <c r="AK15" s="30">
        <f>K15</f>
        <v>0</v>
      </c>
      <c r="AL15" s="27">
        <f>P15+U15</f>
        <v>539707217.73000002</v>
      </c>
      <c r="AM15" s="30">
        <f>P15+Z15</f>
        <v>0</v>
      </c>
    </row>
    <row r="16" spans="1:39" s="20" customFormat="1" outlineLevel="1" x14ac:dyDescent="0.25">
      <c r="A16" s="17" t="s">
        <v>93</v>
      </c>
      <c r="B16" s="1"/>
      <c r="C16" s="10"/>
      <c r="D16" s="10"/>
      <c r="E16" s="10"/>
      <c r="F16" s="11"/>
      <c r="G16" s="1"/>
      <c r="H16" s="1"/>
      <c r="I16" s="1"/>
      <c r="J16" s="1"/>
      <c r="K16" s="14"/>
      <c r="L16" s="1"/>
      <c r="M16" s="1"/>
      <c r="N16" s="1"/>
      <c r="O16" s="1"/>
      <c r="P16" s="1"/>
      <c r="R16" s="1"/>
      <c r="S16" s="1"/>
      <c r="T16" s="1"/>
      <c r="U16" s="1">
        <f>'Item22-Transform.RFB'!Q75</f>
        <v>2408065.8410239993</v>
      </c>
      <c r="V16" s="1"/>
      <c r="W16" s="1"/>
      <c r="X16" s="1"/>
      <c r="Y16" s="1"/>
      <c r="Z16" s="1">
        <f>'Item22-Transform.RFB'!W75</f>
        <v>16480700.810496006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30">
        <f>K16</f>
        <v>0</v>
      </c>
      <c r="AL16" s="27">
        <f>P16+U16</f>
        <v>2408065.8410239993</v>
      </c>
      <c r="AM16" s="30">
        <f>P16+Z16</f>
        <v>16480700.810496006</v>
      </c>
    </row>
    <row r="17" spans="1:39" s="9" customFormat="1" outlineLevel="1" x14ac:dyDescent="0.25">
      <c r="A17" s="17"/>
      <c r="B17" s="1"/>
      <c r="C17" s="10"/>
      <c r="D17" s="10"/>
      <c r="E17" s="10"/>
      <c r="F17" s="11"/>
      <c r="G17" s="1"/>
      <c r="H17" s="1"/>
      <c r="I17" s="1"/>
      <c r="J17" s="1"/>
      <c r="K17" s="1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30">
        <f>K17</f>
        <v>0</v>
      </c>
      <c r="AL17" s="27">
        <f>P17+U17</f>
        <v>0</v>
      </c>
      <c r="AM17" s="30">
        <f>P17+Z17</f>
        <v>0</v>
      </c>
    </row>
    <row r="18" spans="1:39" s="9" customFormat="1" ht="18.75" outlineLevel="1" x14ac:dyDescent="0.25">
      <c r="A18" s="17"/>
      <c r="B18" s="1"/>
      <c r="C18" s="10"/>
      <c r="D18" s="10"/>
      <c r="E18" s="10"/>
      <c r="F18" s="11"/>
      <c r="G18" s="794">
        <v>46063000.609999999</v>
      </c>
      <c r="H18" s="794">
        <v>5349701.5</v>
      </c>
      <c r="I18" s="794">
        <v>299409503.97000003</v>
      </c>
      <c r="J18" s="794">
        <v>34773059.759999998</v>
      </c>
      <c r="K18" s="794">
        <v>636795408.86000001</v>
      </c>
      <c r="L18" s="794">
        <v>73877960.609999999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5"/>
      <c r="AL18" s="16"/>
      <c r="AM18" s="16"/>
    </row>
  </sheetData>
  <mergeCells count="14">
    <mergeCell ref="Q1:Z1"/>
    <mergeCell ref="AF1:AJ1"/>
    <mergeCell ref="AK1:AM1"/>
    <mergeCell ref="G2:K2"/>
    <mergeCell ref="L2:P2"/>
    <mergeCell ref="Q2:U2"/>
    <mergeCell ref="V2:Z2"/>
    <mergeCell ref="AF2:AJ2"/>
    <mergeCell ref="AA2:AE2"/>
    <mergeCell ref="A1:A3"/>
    <mergeCell ref="B1:B3"/>
    <mergeCell ref="C1:E1"/>
    <mergeCell ref="F1:F3"/>
    <mergeCell ref="G1:P1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96F23-5BDA-4CF3-9592-D963AD1EA036}">
  <sheetPr>
    <tabColor theme="9"/>
  </sheetPr>
  <dimension ref="A1:AM2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9" sqref="B9"/>
    </sheetView>
  </sheetViews>
  <sheetFormatPr defaultColWidth="9.140625" defaultRowHeight="15" outlineLevelRow="1" outlineLevelCol="1" x14ac:dyDescent="0.25"/>
  <cols>
    <col min="1" max="1" width="50.42578125" style="17" customWidth="1"/>
    <col min="2" max="2" width="47" style="1" customWidth="1" outlineLevel="1"/>
    <col min="3" max="3" width="13.42578125" style="10" customWidth="1" outlineLevel="1"/>
    <col min="4" max="4" width="11.85546875" style="10" customWidth="1" outlineLevel="1"/>
    <col min="5" max="5" width="12" style="10" customWidth="1" outlineLevel="1"/>
    <col min="6" max="6" width="26.7109375" style="11" customWidth="1"/>
    <col min="7" max="7" width="17.42578125" style="1" customWidth="1" outlineLevel="1"/>
    <col min="8" max="8" width="14.85546875" style="1" customWidth="1" outlineLevel="1"/>
    <col min="9" max="9" width="17.28515625" style="1" customWidth="1"/>
    <col min="10" max="10" width="15.42578125" style="1" customWidth="1"/>
    <col min="11" max="11" width="17" style="1" customWidth="1"/>
    <col min="12" max="12" width="16.42578125" style="1" customWidth="1" outlineLevel="1"/>
    <col min="13" max="13" width="14.85546875" style="1" customWidth="1" outlineLevel="1"/>
    <col min="14" max="14" width="17.7109375" style="1" customWidth="1"/>
    <col min="15" max="15" width="16.42578125" style="1" customWidth="1"/>
    <col min="16" max="16" width="17.28515625" style="1" customWidth="1"/>
    <col min="17" max="18" width="16.85546875" style="1" bestFit="1" customWidth="1" outlineLevel="1"/>
    <col min="19" max="19" width="17.7109375" style="1" customWidth="1"/>
    <col min="20" max="20" width="16.42578125" style="1" customWidth="1"/>
    <col min="21" max="21" width="16.85546875" style="1" bestFit="1" customWidth="1"/>
    <col min="22" max="22" width="17.140625" style="1" customWidth="1" outlineLevel="1"/>
    <col min="23" max="23" width="17" style="1" customWidth="1" outlineLevel="1"/>
    <col min="24" max="24" width="17.7109375" style="1" customWidth="1"/>
    <col min="25" max="25" width="16.42578125" style="1" customWidth="1"/>
    <col min="26" max="26" width="16.85546875" style="1" bestFit="1" customWidth="1"/>
    <col min="27" max="30" width="15.42578125" style="1" customWidth="1"/>
    <col min="31" max="31" width="17.7109375" style="1" bestFit="1" customWidth="1"/>
    <col min="32" max="32" width="16.7109375" style="1" customWidth="1" outlineLevel="1"/>
    <col min="33" max="33" width="17.85546875" style="1" customWidth="1" outlineLevel="1"/>
    <col min="34" max="34" width="17.28515625" style="1" customWidth="1"/>
    <col min="35" max="35" width="16.28515625" style="1" customWidth="1"/>
    <col min="36" max="36" width="20.28515625" style="1" customWidth="1"/>
    <col min="37" max="37" width="18.42578125" style="15" customWidth="1"/>
    <col min="38" max="38" width="19.85546875" style="16" customWidth="1"/>
    <col min="39" max="39" width="19.7109375" style="16" customWidth="1"/>
    <col min="40" max="40" width="18" style="1" bestFit="1" customWidth="1"/>
    <col min="41" max="42" width="19.42578125" style="1" bestFit="1" customWidth="1"/>
    <col min="43" max="16384" width="9.140625" style="1"/>
  </cols>
  <sheetData>
    <row r="1" spans="1:39" ht="15" customHeight="1" x14ac:dyDescent="0.25">
      <c r="A1" s="1021" t="s">
        <v>24</v>
      </c>
      <c r="B1" s="1022" t="s">
        <v>25</v>
      </c>
      <c r="C1" s="1023" t="s">
        <v>26</v>
      </c>
      <c r="D1" s="1023"/>
      <c r="E1" s="1023"/>
      <c r="F1" s="1022" t="s">
        <v>27</v>
      </c>
      <c r="G1" s="1022" t="s">
        <v>28</v>
      </c>
      <c r="H1" s="1022"/>
      <c r="I1" s="1022"/>
      <c r="J1" s="1022"/>
      <c r="K1" s="1022"/>
      <c r="L1" s="1022"/>
      <c r="M1" s="1022"/>
      <c r="N1" s="1022"/>
      <c r="O1" s="1022"/>
      <c r="P1" s="1022"/>
      <c r="Q1" s="1022" t="s">
        <v>28</v>
      </c>
      <c r="R1" s="1022"/>
      <c r="S1" s="1022"/>
      <c r="T1" s="1022"/>
      <c r="U1" s="1022"/>
      <c r="V1" s="1022"/>
      <c r="W1" s="1022"/>
      <c r="X1" s="1022"/>
      <c r="Y1" s="1022"/>
      <c r="Z1" s="1022"/>
      <c r="AA1" s="28"/>
      <c r="AB1" s="28"/>
      <c r="AC1" s="28"/>
      <c r="AD1" s="28"/>
      <c r="AE1" s="28"/>
      <c r="AF1" s="1022" t="s">
        <v>28</v>
      </c>
      <c r="AG1" s="1022"/>
      <c r="AH1" s="1022"/>
      <c r="AI1" s="1022"/>
      <c r="AJ1" s="1022"/>
      <c r="AK1" s="1024" t="s">
        <v>2</v>
      </c>
      <c r="AL1" s="1024"/>
      <c r="AM1" s="1024"/>
    </row>
    <row r="2" spans="1:39" x14ac:dyDescent="0.25">
      <c r="A2" s="1021"/>
      <c r="B2" s="1022"/>
      <c r="C2" s="2" t="s">
        <v>29</v>
      </c>
      <c r="D2" s="2" t="s">
        <v>30</v>
      </c>
      <c r="E2" s="2" t="s">
        <v>13</v>
      </c>
      <c r="F2" s="1022"/>
      <c r="G2" s="1025">
        <v>2025</v>
      </c>
      <c r="H2" s="1025"/>
      <c r="I2" s="1025"/>
      <c r="J2" s="1025"/>
      <c r="K2" s="1025"/>
      <c r="L2" s="1025" t="s">
        <v>31</v>
      </c>
      <c r="M2" s="1025"/>
      <c r="N2" s="1025"/>
      <c r="O2" s="1025"/>
      <c r="P2" s="1025"/>
      <c r="Q2" s="1026">
        <v>2026</v>
      </c>
      <c r="R2" s="1026"/>
      <c r="S2" s="1026"/>
      <c r="T2" s="1026"/>
      <c r="U2" s="1026"/>
      <c r="V2" s="1026" t="s">
        <v>31</v>
      </c>
      <c r="W2" s="1026"/>
      <c r="X2" s="1026"/>
      <c r="Y2" s="1026"/>
      <c r="Z2" s="1026"/>
      <c r="AA2" s="1027">
        <v>2027</v>
      </c>
      <c r="AB2" s="1028"/>
      <c r="AC2" s="1028"/>
      <c r="AD2" s="1028"/>
      <c r="AE2" s="1029"/>
      <c r="AF2" s="1022" t="s">
        <v>13</v>
      </c>
      <c r="AG2" s="1022"/>
      <c r="AH2" s="1022"/>
      <c r="AI2" s="1022"/>
      <c r="AJ2" s="1022"/>
      <c r="AK2" s="3"/>
      <c r="AL2" s="3"/>
      <c r="AM2" s="3"/>
    </row>
    <row r="3" spans="1:39" x14ac:dyDescent="0.25">
      <c r="A3" s="1021"/>
      <c r="B3" s="1022"/>
      <c r="C3" s="2"/>
      <c r="D3" s="2"/>
      <c r="E3" s="2"/>
      <c r="F3" s="1022"/>
      <c r="G3" s="4" t="s">
        <v>32</v>
      </c>
      <c r="H3" s="4" t="s">
        <v>30</v>
      </c>
      <c r="I3" s="4" t="s">
        <v>34</v>
      </c>
      <c r="J3" s="4" t="s">
        <v>35</v>
      </c>
      <c r="K3" s="4" t="s">
        <v>13</v>
      </c>
      <c r="L3" s="4" t="s">
        <v>32</v>
      </c>
      <c r="M3" s="4" t="s">
        <v>30</v>
      </c>
      <c r="N3" s="4" t="s">
        <v>34</v>
      </c>
      <c r="O3" s="4" t="s">
        <v>35</v>
      </c>
      <c r="P3" s="4" t="s">
        <v>13</v>
      </c>
      <c r="Q3" s="5" t="s">
        <v>32</v>
      </c>
      <c r="R3" s="5" t="s">
        <v>30</v>
      </c>
      <c r="S3" s="5" t="s">
        <v>34</v>
      </c>
      <c r="T3" s="5" t="s">
        <v>35</v>
      </c>
      <c r="U3" s="5" t="s">
        <v>13</v>
      </c>
      <c r="V3" s="5" t="s">
        <v>32</v>
      </c>
      <c r="W3" s="5" t="s">
        <v>30</v>
      </c>
      <c r="X3" s="5" t="s">
        <v>34</v>
      </c>
      <c r="Y3" s="5" t="s">
        <v>35</v>
      </c>
      <c r="Z3" s="5" t="s">
        <v>13</v>
      </c>
      <c r="AA3" s="29" t="s">
        <v>32</v>
      </c>
      <c r="AB3" s="29" t="s">
        <v>30</v>
      </c>
      <c r="AC3" s="29" t="s">
        <v>34</v>
      </c>
      <c r="AD3" s="29" t="s">
        <v>35</v>
      </c>
      <c r="AE3" s="29" t="s">
        <v>13</v>
      </c>
      <c r="AF3" s="6" t="s">
        <v>32</v>
      </c>
      <c r="AG3" s="6" t="s">
        <v>30</v>
      </c>
      <c r="AH3" s="6" t="s">
        <v>34</v>
      </c>
      <c r="AI3" s="6" t="s">
        <v>35</v>
      </c>
      <c r="AJ3" s="6" t="s">
        <v>13</v>
      </c>
      <c r="AK3" s="7">
        <v>2025</v>
      </c>
      <c r="AL3" s="8">
        <v>2026</v>
      </c>
      <c r="AM3" s="8">
        <v>2027</v>
      </c>
    </row>
    <row r="4" spans="1:39" s="9" customFormat="1" ht="27.75" customHeight="1" outlineLevel="1" x14ac:dyDescent="0.25">
      <c r="A4" s="31" t="s">
        <v>62</v>
      </c>
      <c r="B4" s="22" t="s">
        <v>67</v>
      </c>
      <c r="C4" s="23"/>
      <c r="D4" s="23">
        <v>25245</v>
      </c>
      <c r="E4" s="23">
        <f t="shared" ref="E4:E20" si="0">SUM(C4:D4)</f>
        <v>25245</v>
      </c>
      <c r="F4" s="24">
        <v>46113</v>
      </c>
      <c r="G4" s="25"/>
      <c r="H4" s="25"/>
      <c r="I4" s="25">
        <f t="shared" ref="I4:I6" si="1">SUM(G4:H4)</f>
        <v>0</v>
      </c>
      <c r="J4" s="25"/>
      <c r="K4" s="25">
        <f t="shared" ref="K4:K20" si="2">SUM(I4:J4)</f>
        <v>0</v>
      </c>
      <c r="L4" s="25"/>
      <c r="M4" s="25"/>
      <c r="N4" s="25">
        <f t="shared" ref="N4:N8" si="3">SUM(L4:M4)</f>
        <v>0</v>
      </c>
      <c r="O4" s="25"/>
      <c r="P4" s="25">
        <f t="shared" ref="P4:P20" si="4">SUM(N4:O4)</f>
        <v>0</v>
      </c>
      <c r="Q4" s="25"/>
      <c r="R4" s="25">
        <v>389993175</v>
      </c>
      <c r="S4" s="25">
        <f t="shared" ref="S4:S14" si="5">SUM(Q4:R4)</f>
        <v>389993175</v>
      </c>
      <c r="T4" s="25"/>
      <c r="U4" s="25">
        <f t="shared" ref="U4:U20" si="6">SUM(S4:T4)</f>
        <v>389993175</v>
      </c>
      <c r="V4" s="25"/>
      <c r="W4" s="25">
        <v>425447100</v>
      </c>
      <c r="X4" s="25">
        <f t="shared" ref="X4" si="7">SUM(V4:W4)</f>
        <v>425447100</v>
      </c>
      <c r="Y4" s="25"/>
      <c r="Z4" s="25">
        <f t="shared" ref="Z4" si="8">SUM(X4:Y4)</f>
        <v>425447100</v>
      </c>
      <c r="AA4" s="25"/>
      <c r="AB4" s="25"/>
      <c r="AC4" s="25">
        <f>AA4+AB4</f>
        <v>0</v>
      </c>
      <c r="AD4" s="25"/>
      <c r="AE4" s="25">
        <f>AC4+AD4</f>
        <v>0</v>
      </c>
      <c r="AF4" s="26">
        <f t="shared" ref="AF4:AJ17" si="9">L4+V4</f>
        <v>0</v>
      </c>
      <c r="AG4" s="26">
        <f t="shared" si="9"/>
        <v>425447100</v>
      </c>
      <c r="AH4" s="26">
        <f t="shared" si="9"/>
        <v>425447100</v>
      </c>
      <c r="AI4" s="26">
        <f t="shared" si="9"/>
        <v>0</v>
      </c>
      <c r="AJ4" s="26">
        <f t="shared" si="9"/>
        <v>425447100</v>
      </c>
      <c r="AK4" s="30">
        <f t="shared" ref="AK4:AK20" si="10">K4</f>
        <v>0</v>
      </c>
      <c r="AL4" s="27">
        <f t="shared" ref="AL4:AL20" si="11">P4+U4</f>
        <v>389993175</v>
      </c>
      <c r="AM4" s="30">
        <f t="shared" ref="AM4:AM17" si="12">P4+Z4</f>
        <v>425447100</v>
      </c>
    </row>
    <row r="5" spans="1:39" s="9" customFormat="1" ht="27.75" customHeight="1" outlineLevel="1" x14ac:dyDescent="0.25">
      <c r="A5" s="51" t="s">
        <v>590</v>
      </c>
      <c r="B5" s="52" t="s">
        <v>591</v>
      </c>
      <c r="C5" s="23">
        <v>13135</v>
      </c>
      <c r="D5" s="23">
        <v>25245</v>
      </c>
      <c r="E5" s="23">
        <f t="shared" si="0"/>
        <v>38380</v>
      </c>
      <c r="F5" s="50">
        <v>45962</v>
      </c>
      <c r="G5" s="944">
        <v>35738551.539314836</v>
      </c>
      <c r="H5" s="944">
        <v>76123318.459999993</v>
      </c>
      <c r="I5" s="25">
        <f t="shared" si="1"/>
        <v>111861869.99931483</v>
      </c>
      <c r="J5" s="49">
        <v>0</v>
      </c>
      <c r="K5" s="944">
        <f t="shared" si="2"/>
        <v>111861869.99931483</v>
      </c>
      <c r="L5" s="47">
        <v>0</v>
      </c>
      <c r="M5" s="25">
        <v>0</v>
      </c>
      <c r="N5" s="25">
        <f t="shared" si="3"/>
        <v>0</v>
      </c>
      <c r="O5" s="25">
        <v>0</v>
      </c>
      <c r="P5" s="25">
        <f t="shared" si="4"/>
        <v>0</v>
      </c>
      <c r="Q5" s="25">
        <v>17869275.769657418</v>
      </c>
      <c r="R5" s="25">
        <v>38061659</v>
      </c>
      <c r="S5" s="25">
        <f t="shared" si="5"/>
        <v>55930934.769657418</v>
      </c>
      <c r="T5" s="25">
        <v>0</v>
      </c>
      <c r="U5" s="25">
        <f t="shared" si="6"/>
        <v>55930934.769657418</v>
      </c>
      <c r="V5" s="25"/>
      <c r="W5" s="25"/>
      <c r="X5" s="25"/>
      <c r="Y5" s="25">
        <v>0</v>
      </c>
      <c r="Z5" s="25"/>
      <c r="AA5" s="25"/>
      <c r="AB5" s="25"/>
      <c r="AC5" s="25"/>
      <c r="AD5" s="25"/>
      <c r="AE5" s="25"/>
      <c r="AF5" s="26">
        <f t="shared" si="9"/>
        <v>0</v>
      </c>
      <c r="AG5" s="26">
        <f t="shared" si="9"/>
        <v>0</v>
      </c>
      <c r="AH5" s="26">
        <f t="shared" si="9"/>
        <v>0</v>
      </c>
      <c r="AI5" s="26">
        <f t="shared" si="9"/>
        <v>0</v>
      </c>
      <c r="AJ5" s="26">
        <f t="shared" si="9"/>
        <v>0</v>
      </c>
      <c r="AK5" s="30">
        <f t="shared" si="10"/>
        <v>111861869.99931483</v>
      </c>
      <c r="AL5" s="30">
        <f t="shared" si="11"/>
        <v>55930934.769657418</v>
      </c>
      <c r="AM5" s="30">
        <f t="shared" si="12"/>
        <v>0</v>
      </c>
    </row>
    <row r="6" spans="1:39" s="9" customFormat="1" ht="27.75" customHeight="1" outlineLevel="1" x14ac:dyDescent="0.25">
      <c r="A6" s="31" t="s">
        <v>64</v>
      </c>
      <c r="B6" s="22" t="s">
        <v>65</v>
      </c>
      <c r="C6" s="23">
        <v>13135</v>
      </c>
      <c r="D6" s="23">
        <v>25245</v>
      </c>
      <c r="E6" s="23">
        <f t="shared" si="0"/>
        <v>38380</v>
      </c>
      <c r="F6" s="24">
        <v>46113</v>
      </c>
      <c r="G6" s="48">
        <v>0</v>
      </c>
      <c r="H6" s="48">
        <v>0</v>
      </c>
      <c r="I6" s="25">
        <f t="shared" si="1"/>
        <v>0</v>
      </c>
      <c r="J6" s="25">
        <v>0</v>
      </c>
      <c r="K6" s="48">
        <f t="shared" si="2"/>
        <v>0</v>
      </c>
      <c r="L6" s="25">
        <v>0</v>
      </c>
      <c r="M6" s="25">
        <v>0</v>
      </c>
      <c r="N6" s="25">
        <f t="shared" si="3"/>
        <v>0</v>
      </c>
      <c r="O6" s="25">
        <v>0</v>
      </c>
      <c r="P6" s="25">
        <f t="shared" si="4"/>
        <v>0</v>
      </c>
      <c r="Q6" s="25">
        <v>302444528</v>
      </c>
      <c r="R6" s="25">
        <v>614282322</v>
      </c>
      <c r="S6" s="25">
        <f t="shared" si="5"/>
        <v>916726850</v>
      </c>
      <c r="T6" s="25">
        <v>50960230.883151256</v>
      </c>
      <c r="U6" s="25">
        <f t="shared" si="6"/>
        <v>967687080.88315129</v>
      </c>
      <c r="V6" s="25">
        <v>393177887</v>
      </c>
      <c r="W6" s="25">
        <v>798567019</v>
      </c>
      <c r="X6" s="25">
        <f t="shared" ref="X6:X20" si="13">SUM(V6:W6)</f>
        <v>1191744906</v>
      </c>
      <c r="Y6" s="25">
        <v>66248300.148096636</v>
      </c>
      <c r="Z6" s="25">
        <f t="shared" ref="Z6:Z20" si="14">SUM(X6:Y6)</f>
        <v>1257993206.1480966</v>
      </c>
      <c r="AA6" s="25"/>
      <c r="AB6" s="25"/>
      <c r="AC6" s="25">
        <f t="shared" ref="AC6:AC17" si="15">AA6+AB6</f>
        <v>0</v>
      </c>
      <c r="AD6" s="25"/>
      <c r="AE6" s="25">
        <f t="shared" ref="AE6:AE14" si="16">AC6+AD6</f>
        <v>0</v>
      </c>
      <c r="AF6" s="26">
        <f t="shared" si="9"/>
        <v>393177887</v>
      </c>
      <c r="AG6" s="26">
        <f t="shared" si="9"/>
        <v>798567019</v>
      </c>
      <c r="AH6" s="26">
        <f t="shared" si="9"/>
        <v>1191744906</v>
      </c>
      <c r="AI6" s="26">
        <f t="shared" si="9"/>
        <v>66248300.148096636</v>
      </c>
      <c r="AJ6" s="26">
        <f t="shared" si="9"/>
        <v>1257993206.1480966</v>
      </c>
      <c r="AK6" s="30">
        <f t="shared" si="10"/>
        <v>0</v>
      </c>
      <c r="AL6" s="30">
        <f t="shared" si="11"/>
        <v>967687080.88315129</v>
      </c>
      <c r="AM6" s="30">
        <f t="shared" si="12"/>
        <v>1257993206.1480966</v>
      </c>
    </row>
    <row r="7" spans="1:39" s="9" customFormat="1" ht="27.75" customHeight="1" outlineLevel="1" x14ac:dyDescent="0.25">
      <c r="A7" s="31" t="s">
        <v>68</v>
      </c>
      <c r="B7" s="22" t="s">
        <v>69</v>
      </c>
      <c r="C7" s="23">
        <v>1866</v>
      </c>
      <c r="D7" s="23">
        <v>4136</v>
      </c>
      <c r="E7" s="23">
        <f t="shared" si="0"/>
        <v>6002</v>
      </c>
      <c r="F7" s="24">
        <v>46113</v>
      </c>
      <c r="G7" s="25">
        <v>0</v>
      </c>
      <c r="H7" s="25">
        <v>0</v>
      </c>
      <c r="I7" s="25">
        <f>SUM(G7:H7)</f>
        <v>0</v>
      </c>
      <c r="J7" s="25"/>
      <c r="K7" s="25">
        <f t="shared" si="2"/>
        <v>0</v>
      </c>
      <c r="L7" s="25">
        <v>0</v>
      </c>
      <c r="M7" s="25">
        <v>0</v>
      </c>
      <c r="N7" s="25">
        <f t="shared" si="3"/>
        <v>0</v>
      </c>
      <c r="O7" s="25"/>
      <c r="P7" s="25">
        <f t="shared" si="4"/>
        <v>0</v>
      </c>
      <c r="Q7" s="25">
        <v>52960113</v>
      </c>
      <c r="R7" s="25">
        <v>112488450</v>
      </c>
      <c r="S7" s="25">
        <f t="shared" si="5"/>
        <v>165448563</v>
      </c>
      <c r="T7" s="25">
        <v>9469991.1648723669</v>
      </c>
      <c r="U7" s="25">
        <f t="shared" si="6"/>
        <v>174918554.16487238</v>
      </c>
      <c r="V7" s="25">
        <v>68848147</v>
      </c>
      <c r="W7" s="25">
        <v>146234985</v>
      </c>
      <c r="X7" s="25">
        <f t="shared" si="13"/>
        <v>215083132</v>
      </c>
      <c r="Y7" s="25">
        <v>12310988.514334077</v>
      </c>
      <c r="Z7" s="25">
        <f t="shared" si="14"/>
        <v>227394120.51433408</v>
      </c>
      <c r="AA7" s="25"/>
      <c r="AB7" s="25"/>
      <c r="AC7" s="25">
        <f t="shared" si="15"/>
        <v>0</v>
      </c>
      <c r="AD7" s="25"/>
      <c r="AE7" s="25">
        <f t="shared" si="16"/>
        <v>0</v>
      </c>
      <c r="AF7" s="26">
        <f t="shared" si="9"/>
        <v>68848147</v>
      </c>
      <c r="AG7" s="26">
        <f t="shared" si="9"/>
        <v>146234985</v>
      </c>
      <c r="AH7" s="26">
        <f t="shared" si="9"/>
        <v>215083132</v>
      </c>
      <c r="AI7" s="26">
        <f t="shared" si="9"/>
        <v>12310988.514334077</v>
      </c>
      <c r="AJ7" s="26">
        <f t="shared" si="9"/>
        <v>227394120.51433408</v>
      </c>
      <c r="AK7" s="30">
        <f t="shared" si="10"/>
        <v>0</v>
      </c>
      <c r="AL7" s="30">
        <f t="shared" si="11"/>
        <v>174918554.16487238</v>
      </c>
      <c r="AM7" s="30">
        <f t="shared" si="12"/>
        <v>227394120.51433408</v>
      </c>
    </row>
    <row r="8" spans="1:39" s="9" customFormat="1" ht="30" customHeight="1" outlineLevel="1" x14ac:dyDescent="0.25">
      <c r="A8" s="51" t="s">
        <v>592</v>
      </c>
      <c r="B8" s="22"/>
      <c r="C8" s="23">
        <v>1866</v>
      </c>
      <c r="D8" s="23">
        <v>4136</v>
      </c>
      <c r="E8" s="23">
        <f t="shared" si="0"/>
        <v>6002</v>
      </c>
      <c r="F8" s="53">
        <v>46327</v>
      </c>
      <c r="G8" s="25">
        <v>6334622.3092302568</v>
      </c>
      <c r="H8" s="25">
        <v>14040728</v>
      </c>
      <c r="I8" s="25">
        <f t="shared" ref="I8" si="17">SUM(G8:H8)</f>
        <v>20375350.309230257</v>
      </c>
      <c r="J8" s="25">
        <v>0</v>
      </c>
      <c r="K8" s="25">
        <f t="shared" si="2"/>
        <v>20375350.309230257</v>
      </c>
      <c r="L8" s="25"/>
      <c r="M8" s="25"/>
      <c r="N8" s="25">
        <f t="shared" si="3"/>
        <v>0</v>
      </c>
      <c r="O8" s="25"/>
      <c r="P8" s="25">
        <f t="shared" si="4"/>
        <v>0</v>
      </c>
      <c r="Q8" s="25">
        <v>3167311.1546151284</v>
      </c>
      <c r="R8" s="25">
        <v>7020364</v>
      </c>
      <c r="S8" s="25">
        <f t="shared" si="5"/>
        <v>10187675.154615128</v>
      </c>
      <c r="T8" s="25">
        <v>0</v>
      </c>
      <c r="U8" s="25">
        <f t="shared" si="6"/>
        <v>10187675.154615128</v>
      </c>
      <c r="V8" s="25"/>
      <c r="W8" s="25"/>
      <c r="X8" s="25">
        <f t="shared" si="13"/>
        <v>0</v>
      </c>
      <c r="Y8" s="25">
        <v>0</v>
      </c>
      <c r="Z8" s="25">
        <f t="shared" si="14"/>
        <v>0</v>
      </c>
      <c r="AA8" s="25"/>
      <c r="AB8" s="25"/>
      <c r="AC8" s="25">
        <f>AA8+AB8</f>
        <v>0</v>
      </c>
      <c r="AD8" s="25"/>
      <c r="AE8" s="25">
        <f>AC8+AD8</f>
        <v>0</v>
      </c>
      <c r="AF8" s="26">
        <f t="shared" si="9"/>
        <v>0</v>
      </c>
      <c r="AG8" s="26">
        <f t="shared" si="9"/>
        <v>0</v>
      </c>
      <c r="AH8" s="26">
        <f t="shared" si="9"/>
        <v>0</v>
      </c>
      <c r="AI8" s="26">
        <f t="shared" si="9"/>
        <v>0</v>
      </c>
      <c r="AJ8" s="26">
        <f t="shared" si="9"/>
        <v>0</v>
      </c>
      <c r="AK8" s="30">
        <f t="shared" si="10"/>
        <v>20375350.309230257</v>
      </c>
      <c r="AL8" s="27">
        <f t="shared" si="11"/>
        <v>10187675.154615128</v>
      </c>
      <c r="AM8" s="30">
        <f t="shared" si="12"/>
        <v>0</v>
      </c>
    </row>
    <row r="9" spans="1:39" s="9" customFormat="1" ht="30" customHeight="1" outlineLevel="1" x14ac:dyDescent="0.25">
      <c r="A9" s="31" t="s">
        <v>66</v>
      </c>
      <c r="B9" s="22" t="s">
        <v>67</v>
      </c>
      <c r="C9" s="23">
        <v>0</v>
      </c>
      <c r="D9" s="23">
        <v>4136</v>
      </c>
      <c r="E9" s="23">
        <f t="shared" si="0"/>
        <v>4136</v>
      </c>
      <c r="F9" s="24">
        <v>46113</v>
      </c>
      <c r="G9" s="25"/>
      <c r="H9" s="54"/>
      <c r="I9" s="54"/>
      <c r="J9" s="25"/>
      <c r="K9" s="54">
        <f t="shared" si="2"/>
        <v>0</v>
      </c>
      <c r="L9" s="25"/>
      <c r="M9" s="54"/>
      <c r="N9" s="54"/>
      <c r="O9" s="25"/>
      <c r="P9" s="54">
        <f t="shared" si="4"/>
        <v>0</v>
      </c>
      <c r="Q9" s="54">
        <v>72512330</v>
      </c>
      <c r="R9" s="54">
        <v>72512330</v>
      </c>
      <c r="S9" s="25">
        <f t="shared" si="5"/>
        <v>145024660</v>
      </c>
      <c r="T9" s="25">
        <v>0</v>
      </c>
      <c r="U9" s="25">
        <f t="shared" si="6"/>
        <v>145024660</v>
      </c>
      <c r="V9" s="54">
        <v>79104360</v>
      </c>
      <c r="W9" s="54">
        <f>SUM(U9:V9)</f>
        <v>224129020</v>
      </c>
      <c r="X9" s="25">
        <f t="shared" si="13"/>
        <v>303233380</v>
      </c>
      <c r="Y9" s="25">
        <v>0</v>
      </c>
      <c r="Z9" s="25">
        <f t="shared" si="14"/>
        <v>303233380</v>
      </c>
      <c r="AA9" s="25"/>
      <c r="AB9" s="25"/>
      <c r="AC9" s="25">
        <f>AA9+AB9</f>
        <v>0</v>
      </c>
      <c r="AD9" s="25"/>
      <c r="AE9" s="25">
        <f>AC9+AD9</f>
        <v>0</v>
      </c>
      <c r="AF9" s="26">
        <f t="shared" si="9"/>
        <v>79104360</v>
      </c>
      <c r="AG9" s="26">
        <f t="shared" si="9"/>
        <v>224129020</v>
      </c>
      <c r="AH9" s="26">
        <f t="shared" si="9"/>
        <v>303233380</v>
      </c>
      <c r="AI9" s="26">
        <f t="shared" si="9"/>
        <v>0</v>
      </c>
      <c r="AJ9" s="26">
        <f t="shared" si="9"/>
        <v>303233380</v>
      </c>
      <c r="AK9" s="30">
        <f t="shared" si="10"/>
        <v>0</v>
      </c>
      <c r="AL9" s="27">
        <f t="shared" si="11"/>
        <v>145024660</v>
      </c>
      <c r="AM9" s="30">
        <f t="shared" si="12"/>
        <v>303233380</v>
      </c>
    </row>
    <row r="10" spans="1:39" s="9" customFormat="1" outlineLevel="1" x14ac:dyDescent="0.25">
      <c r="A10" s="31" t="s">
        <v>588</v>
      </c>
      <c r="B10" s="22" t="s">
        <v>51</v>
      </c>
      <c r="C10" s="23">
        <v>5946</v>
      </c>
      <c r="D10" s="23">
        <v>4004</v>
      </c>
      <c r="E10" s="23">
        <f t="shared" si="0"/>
        <v>9950</v>
      </c>
      <c r="F10" s="24">
        <v>46113</v>
      </c>
      <c r="G10" s="25"/>
      <c r="H10" s="25"/>
      <c r="I10" s="25">
        <f t="shared" ref="I10:I14" si="18">SUM(G10:H10)</f>
        <v>0</v>
      </c>
      <c r="J10" s="25"/>
      <c r="K10" s="25">
        <f t="shared" si="2"/>
        <v>0</v>
      </c>
      <c r="L10" s="25"/>
      <c r="M10" s="25"/>
      <c r="N10" s="25">
        <f t="shared" ref="N10:N14" si="19">SUM(L10:M10)</f>
        <v>0</v>
      </c>
      <c r="O10" s="25"/>
      <c r="P10" s="25">
        <f t="shared" si="4"/>
        <v>0</v>
      </c>
      <c r="Q10" s="25">
        <v>66359557.560692422</v>
      </c>
      <c r="R10" s="25">
        <v>43069656.60862343</v>
      </c>
      <c r="S10" s="25">
        <f t="shared" si="5"/>
        <v>109429214.16931584</v>
      </c>
      <c r="T10" s="25">
        <v>18047793.593148217</v>
      </c>
      <c r="U10" s="25">
        <f t="shared" si="6"/>
        <v>127477007.76246406</v>
      </c>
      <c r="V10" s="25">
        <v>86267424.828900144</v>
      </c>
      <c r="W10" s="25">
        <v>55990553.590000004</v>
      </c>
      <c r="X10" s="25">
        <f t="shared" si="13"/>
        <v>142257978.41890013</v>
      </c>
      <c r="Y10" s="25">
        <v>23462131.671092678</v>
      </c>
      <c r="Z10" s="25">
        <f t="shared" si="14"/>
        <v>165720110.08999282</v>
      </c>
      <c r="AA10" s="25"/>
      <c r="AB10" s="25"/>
      <c r="AC10" s="25">
        <f t="shared" si="15"/>
        <v>0</v>
      </c>
      <c r="AD10" s="25"/>
      <c r="AE10" s="25">
        <f t="shared" si="16"/>
        <v>0</v>
      </c>
      <c r="AF10" s="26">
        <f t="shared" si="9"/>
        <v>86267424.828900144</v>
      </c>
      <c r="AG10" s="26">
        <f t="shared" si="9"/>
        <v>55990553.590000004</v>
      </c>
      <c r="AH10" s="26">
        <f t="shared" si="9"/>
        <v>142257978.41890013</v>
      </c>
      <c r="AI10" s="26">
        <f t="shared" si="9"/>
        <v>23462131.671092678</v>
      </c>
      <c r="AJ10" s="26">
        <f t="shared" si="9"/>
        <v>165720110.08999282</v>
      </c>
      <c r="AK10" s="30">
        <f t="shared" si="10"/>
        <v>0</v>
      </c>
      <c r="AL10" s="30">
        <f t="shared" si="11"/>
        <v>127477007.76246406</v>
      </c>
      <c r="AM10" s="30">
        <f t="shared" si="12"/>
        <v>165720110.08999282</v>
      </c>
    </row>
    <row r="11" spans="1:39" s="9" customFormat="1" outlineLevel="1" x14ac:dyDescent="0.25">
      <c r="A11" s="31" t="s">
        <v>47</v>
      </c>
      <c r="B11" s="22"/>
      <c r="C11" s="23">
        <v>86182</v>
      </c>
      <c r="D11" s="23">
        <v>0</v>
      </c>
      <c r="E11" s="23">
        <f t="shared" si="0"/>
        <v>86182</v>
      </c>
      <c r="F11" s="24">
        <v>46113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>
        <v>1011021624</v>
      </c>
      <c r="R11" s="25">
        <v>0</v>
      </c>
      <c r="S11" s="25">
        <f>Q11+R11</f>
        <v>1011021624</v>
      </c>
      <c r="T11" s="25">
        <v>222424757</v>
      </c>
      <c r="U11" s="25">
        <f>SUM(S11:T11)</f>
        <v>1233446381</v>
      </c>
      <c r="V11" s="25">
        <v>1444471409</v>
      </c>
      <c r="W11" s="25"/>
      <c r="X11" s="25">
        <f>SUM(V11:W11)</f>
        <v>1444471409</v>
      </c>
      <c r="Y11" s="25">
        <v>453976729</v>
      </c>
      <c r="Z11" s="25">
        <f>SUM(X11:Y11)</f>
        <v>1898448138</v>
      </c>
      <c r="AA11" s="25"/>
      <c r="AB11" s="25"/>
      <c r="AC11" s="25">
        <f t="shared" si="15"/>
        <v>0</v>
      </c>
      <c r="AD11" s="25"/>
      <c r="AE11" s="25">
        <f t="shared" si="16"/>
        <v>0</v>
      </c>
      <c r="AF11" s="26">
        <f>L11+V11</f>
        <v>1444471409</v>
      </c>
      <c r="AG11" s="26">
        <f>M11+W11</f>
        <v>0</v>
      </c>
      <c r="AH11" s="26">
        <f>N11+X11</f>
        <v>1444471409</v>
      </c>
      <c r="AI11" s="26">
        <f>O11+Y11</f>
        <v>453976729</v>
      </c>
      <c r="AJ11" s="26">
        <f>P11+Z11</f>
        <v>1898448138</v>
      </c>
      <c r="AK11" s="30">
        <f>K11</f>
        <v>0</v>
      </c>
      <c r="AL11" s="30">
        <f>P11+U11</f>
        <v>1233446381</v>
      </c>
      <c r="AM11" s="30">
        <f>P11+Z11</f>
        <v>1898448138</v>
      </c>
    </row>
    <row r="12" spans="1:39" s="9" customFormat="1" outlineLevel="1" x14ac:dyDescent="0.25">
      <c r="A12" s="31" t="s">
        <v>73</v>
      </c>
      <c r="B12" s="22"/>
      <c r="C12" s="23">
        <v>17096</v>
      </c>
      <c r="D12" s="23">
        <v>20884</v>
      </c>
      <c r="E12" s="23">
        <f t="shared" si="0"/>
        <v>37980</v>
      </c>
      <c r="F12" s="24" t="s">
        <v>43</v>
      </c>
      <c r="G12" s="25">
        <v>45776329.009999998</v>
      </c>
      <c r="H12" s="25">
        <v>65495883.32</v>
      </c>
      <c r="I12" s="25">
        <f t="shared" si="18"/>
        <v>111272212.33</v>
      </c>
      <c r="J12" s="25">
        <v>0</v>
      </c>
      <c r="K12" s="25">
        <f t="shared" si="2"/>
        <v>111272212.33</v>
      </c>
      <c r="L12" s="25">
        <v>313207673.50999999</v>
      </c>
      <c r="M12" s="25">
        <v>449244969.76999998</v>
      </c>
      <c r="N12" s="25">
        <f t="shared" si="19"/>
        <v>762452643.27999997</v>
      </c>
      <c r="O12" s="25">
        <v>0</v>
      </c>
      <c r="P12" s="25">
        <f t="shared" si="4"/>
        <v>762452643.27999997</v>
      </c>
      <c r="Q12" s="25">
        <v>704725825.77999997</v>
      </c>
      <c r="R12" s="25">
        <v>954590870.04999995</v>
      </c>
      <c r="S12" s="25">
        <f t="shared" si="5"/>
        <v>1659316695.8299999</v>
      </c>
      <c r="T12" s="25">
        <v>0</v>
      </c>
      <c r="U12" s="25">
        <f t="shared" si="6"/>
        <v>1659316695.8299999</v>
      </c>
      <c r="V12" s="25">
        <v>704725825.77999997</v>
      </c>
      <c r="W12" s="25">
        <v>954590870.04999995</v>
      </c>
      <c r="X12" s="25">
        <f t="shared" si="13"/>
        <v>1659316695.8299999</v>
      </c>
      <c r="Y12" s="25">
        <v>0</v>
      </c>
      <c r="Z12" s="25">
        <f t="shared" si="14"/>
        <v>1659316695.8299999</v>
      </c>
      <c r="AA12" s="25"/>
      <c r="AB12" s="25"/>
      <c r="AC12" s="25">
        <f t="shared" si="15"/>
        <v>0</v>
      </c>
      <c r="AD12" s="25"/>
      <c r="AE12" s="25">
        <f t="shared" si="16"/>
        <v>0</v>
      </c>
      <c r="AF12" s="26">
        <f t="shared" si="9"/>
        <v>1017933499.29</v>
      </c>
      <c r="AG12" s="26">
        <f t="shared" si="9"/>
        <v>1403835839.8199999</v>
      </c>
      <c r="AH12" s="26">
        <f t="shared" si="9"/>
        <v>2421769339.1099997</v>
      </c>
      <c r="AI12" s="26">
        <f t="shared" si="9"/>
        <v>0</v>
      </c>
      <c r="AJ12" s="26">
        <f t="shared" si="9"/>
        <v>2421769339.1099997</v>
      </c>
      <c r="AK12" s="30">
        <f t="shared" si="10"/>
        <v>111272212.33</v>
      </c>
      <c r="AL12" s="30">
        <f t="shared" si="11"/>
        <v>2421769339.1099997</v>
      </c>
      <c r="AM12" s="30">
        <f t="shared" si="12"/>
        <v>2421769339.1099997</v>
      </c>
    </row>
    <row r="13" spans="1:39" s="9" customFormat="1" outlineLevel="1" x14ac:dyDescent="0.25">
      <c r="A13" s="31" t="s">
        <v>76</v>
      </c>
      <c r="B13" s="22"/>
      <c r="C13" s="23"/>
      <c r="D13" s="23"/>
      <c r="E13" s="23"/>
      <c r="F13" s="24" t="s">
        <v>43</v>
      </c>
      <c r="G13" s="25">
        <v>500727.1</v>
      </c>
      <c r="H13" s="25">
        <v>34826272.719999999</v>
      </c>
      <c r="I13" s="25">
        <f t="shared" si="18"/>
        <v>35326999.82</v>
      </c>
      <c r="J13" s="25">
        <v>0</v>
      </c>
      <c r="K13" s="25">
        <f t="shared" si="2"/>
        <v>35326999.82</v>
      </c>
      <c r="L13" s="25">
        <v>14480392.27</v>
      </c>
      <c r="M13" s="25">
        <v>231769717.40000001</v>
      </c>
      <c r="N13" s="25">
        <f t="shared" si="19"/>
        <v>246250109.67000002</v>
      </c>
      <c r="O13" s="25">
        <v>0</v>
      </c>
      <c r="P13" s="25">
        <f t="shared" si="4"/>
        <v>246250109.67000002</v>
      </c>
      <c r="Q13" s="25">
        <v>7231560.4900000002</v>
      </c>
      <c r="R13" s="25">
        <v>524184639.52999997</v>
      </c>
      <c r="S13" s="25">
        <f t="shared" si="5"/>
        <v>531416200.01999998</v>
      </c>
      <c r="T13" s="25">
        <v>0</v>
      </c>
      <c r="U13" s="25">
        <f t="shared" si="6"/>
        <v>531416200.01999998</v>
      </c>
      <c r="V13" s="25">
        <v>7231560.4900000002</v>
      </c>
      <c r="W13" s="25">
        <v>524184639.52999997</v>
      </c>
      <c r="X13" s="25">
        <f t="shared" si="13"/>
        <v>531416200.01999998</v>
      </c>
      <c r="Y13" s="25">
        <v>0</v>
      </c>
      <c r="Z13" s="25">
        <f t="shared" si="14"/>
        <v>531416200.01999998</v>
      </c>
      <c r="AA13" s="25"/>
      <c r="AB13" s="25"/>
      <c r="AC13" s="25">
        <f t="shared" si="15"/>
        <v>0</v>
      </c>
      <c r="AD13" s="25"/>
      <c r="AE13" s="25">
        <f t="shared" si="16"/>
        <v>0</v>
      </c>
      <c r="AF13" s="26">
        <f t="shared" si="9"/>
        <v>21711952.759999998</v>
      </c>
      <c r="AG13" s="26">
        <f t="shared" si="9"/>
        <v>755954356.92999995</v>
      </c>
      <c r="AH13" s="26">
        <f t="shared" si="9"/>
        <v>777666309.69000006</v>
      </c>
      <c r="AI13" s="26">
        <f t="shared" si="9"/>
        <v>0</v>
      </c>
      <c r="AJ13" s="26">
        <f t="shared" si="9"/>
        <v>777666309.69000006</v>
      </c>
      <c r="AK13" s="30">
        <f t="shared" si="10"/>
        <v>35326999.82</v>
      </c>
      <c r="AL13" s="30">
        <f t="shared" si="11"/>
        <v>777666309.69000006</v>
      </c>
      <c r="AM13" s="30">
        <f t="shared" si="12"/>
        <v>777666309.69000006</v>
      </c>
    </row>
    <row r="14" spans="1:39" s="9" customFormat="1" outlineLevel="1" x14ac:dyDescent="0.25">
      <c r="A14" s="31" t="s">
        <v>75</v>
      </c>
      <c r="B14" s="22"/>
      <c r="C14" s="23">
        <v>4567</v>
      </c>
      <c r="D14" s="23">
        <v>5547</v>
      </c>
      <c r="E14" s="23">
        <f t="shared" si="0"/>
        <v>10114</v>
      </c>
      <c r="F14" s="24" t="s">
        <v>43</v>
      </c>
      <c r="G14" s="25">
        <v>19651687.458570644</v>
      </c>
      <c r="H14" s="25">
        <v>26411313.149999999</v>
      </c>
      <c r="I14" s="25">
        <f t="shared" si="18"/>
        <v>46063000.608570643</v>
      </c>
      <c r="J14" s="25">
        <v>5349701.5018864255</v>
      </c>
      <c r="K14" s="25">
        <f t="shared" si="2"/>
        <v>51412702.11045707</v>
      </c>
      <c r="L14" s="25">
        <v>127735968.48070918</v>
      </c>
      <c r="M14" s="25">
        <v>171673535.49000001</v>
      </c>
      <c r="N14" s="25">
        <f t="shared" si="19"/>
        <v>299409503.9707092</v>
      </c>
      <c r="O14" s="25">
        <v>34773059.762261763</v>
      </c>
      <c r="P14" s="25">
        <f t="shared" si="4"/>
        <v>334182563.73297095</v>
      </c>
      <c r="Q14" s="25">
        <v>271384598.09994411</v>
      </c>
      <c r="R14" s="25">
        <v>365410810.75999999</v>
      </c>
      <c r="S14" s="25">
        <f t="shared" si="5"/>
        <v>636795408.85994411</v>
      </c>
      <c r="T14" s="25">
        <v>73877960.6130431</v>
      </c>
      <c r="U14" s="25">
        <f t="shared" si="6"/>
        <v>710673369.47298717</v>
      </c>
      <c r="V14" s="25">
        <v>271384598.09994411</v>
      </c>
      <c r="W14" s="25">
        <v>365410810.75999999</v>
      </c>
      <c r="X14" s="25">
        <f t="shared" si="13"/>
        <v>636795408.85994411</v>
      </c>
      <c r="Y14" s="25">
        <v>73877960.6130431</v>
      </c>
      <c r="Z14" s="25">
        <f t="shared" si="14"/>
        <v>710673369.47298717</v>
      </c>
      <c r="AA14" s="25"/>
      <c r="AB14" s="25"/>
      <c r="AC14" s="25">
        <f t="shared" si="15"/>
        <v>0</v>
      </c>
      <c r="AD14" s="25"/>
      <c r="AE14" s="25">
        <f t="shared" si="16"/>
        <v>0</v>
      </c>
      <c r="AF14" s="26">
        <f t="shared" si="9"/>
        <v>399120566.58065331</v>
      </c>
      <c r="AG14" s="26">
        <f t="shared" si="9"/>
        <v>537084346.25</v>
      </c>
      <c r="AH14" s="26">
        <f t="shared" si="9"/>
        <v>936204912.83065331</v>
      </c>
      <c r="AI14" s="26">
        <f t="shared" si="9"/>
        <v>108651020.37530486</v>
      </c>
      <c r="AJ14" s="26">
        <f t="shared" si="9"/>
        <v>1044855933.2059581</v>
      </c>
      <c r="AK14" s="30">
        <f t="shared" si="10"/>
        <v>51412702.11045707</v>
      </c>
      <c r="AL14" s="30">
        <f>P14+U14</f>
        <v>1044855933.2059581</v>
      </c>
      <c r="AM14" s="30">
        <f t="shared" si="12"/>
        <v>1044855933.2059581</v>
      </c>
    </row>
    <row r="15" spans="1:39" s="9" customFormat="1" outlineLevel="1" x14ac:dyDescent="0.25">
      <c r="A15" s="51" t="s">
        <v>593</v>
      </c>
      <c r="B15" s="22"/>
      <c r="C15" s="23"/>
      <c r="D15" s="23"/>
      <c r="E15" s="23"/>
      <c r="F15" s="24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6"/>
      <c r="AG15" s="26"/>
      <c r="AH15" s="26"/>
      <c r="AI15" s="26"/>
      <c r="AJ15" s="26"/>
      <c r="AK15" s="30"/>
      <c r="AL15" s="30"/>
      <c r="AM15" s="30"/>
    </row>
    <row r="16" spans="1:39" s="9" customFormat="1" outlineLevel="1" x14ac:dyDescent="0.25">
      <c r="A16" s="51" t="s">
        <v>594</v>
      </c>
      <c r="B16" s="22"/>
      <c r="C16" s="23"/>
      <c r="D16" s="23"/>
      <c r="E16" s="23"/>
      <c r="F16" s="24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6"/>
      <c r="AG16" s="26"/>
      <c r="AH16" s="26"/>
      <c r="AI16" s="26"/>
      <c r="AJ16" s="26"/>
      <c r="AK16" s="30"/>
      <c r="AL16" s="30"/>
      <c r="AM16" s="30"/>
    </row>
    <row r="17" spans="1:39" s="9" customFormat="1" outlineLevel="1" x14ac:dyDescent="0.25">
      <c r="A17" s="31" t="s">
        <v>72</v>
      </c>
      <c r="B17" s="22"/>
      <c r="C17" s="23">
        <v>2524</v>
      </c>
      <c r="D17" s="23">
        <v>0</v>
      </c>
      <c r="E17" s="23">
        <f t="shared" si="0"/>
        <v>2524</v>
      </c>
      <c r="F17" s="24">
        <v>46113</v>
      </c>
      <c r="G17" s="25">
        <v>0</v>
      </c>
      <c r="H17" s="25">
        <v>0</v>
      </c>
      <c r="I17" s="25">
        <f t="shared" ref="I17:I20" si="20">SUM(G17:H17)</f>
        <v>0</v>
      </c>
      <c r="J17" s="25">
        <v>0</v>
      </c>
      <c r="K17" s="25">
        <f t="shared" si="2"/>
        <v>0</v>
      </c>
      <c r="L17" s="25">
        <v>0</v>
      </c>
      <c r="M17" s="25">
        <v>0</v>
      </c>
      <c r="N17" s="25">
        <f t="shared" ref="N17" si="21">SUM(L17:M17)</f>
        <v>0</v>
      </c>
      <c r="O17" s="25">
        <v>0</v>
      </c>
      <c r="P17" s="25">
        <f t="shared" si="4"/>
        <v>0</v>
      </c>
      <c r="Q17" s="25">
        <v>330486269</v>
      </c>
      <c r="R17" s="25">
        <v>0</v>
      </c>
      <c r="S17" s="25">
        <f>SUM(Q17:R17)</f>
        <v>330486269</v>
      </c>
      <c r="T17" s="25"/>
      <c r="U17" s="25">
        <f t="shared" si="6"/>
        <v>330486269</v>
      </c>
      <c r="V17" s="25">
        <v>340400857</v>
      </c>
      <c r="W17" s="25">
        <v>0</v>
      </c>
      <c r="X17" s="25">
        <f t="shared" si="13"/>
        <v>340400857</v>
      </c>
      <c r="Y17" s="25">
        <v>0</v>
      </c>
      <c r="Z17" s="25">
        <f t="shared" si="14"/>
        <v>340400857</v>
      </c>
      <c r="AA17" s="25"/>
      <c r="AB17" s="25"/>
      <c r="AC17" s="25">
        <f t="shared" si="15"/>
        <v>0</v>
      </c>
      <c r="AD17" s="25"/>
      <c r="AE17" s="25">
        <f>AC17+AD17</f>
        <v>0</v>
      </c>
      <c r="AF17" s="26">
        <f t="shared" si="9"/>
        <v>340400857</v>
      </c>
      <c r="AG17" s="26">
        <f t="shared" si="9"/>
        <v>0</v>
      </c>
      <c r="AH17" s="26">
        <f t="shared" si="9"/>
        <v>340400857</v>
      </c>
      <c r="AI17" s="26">
        <f t="shared" si="9"/>
        <v>0</v>
      </c>
      <c r="AJ17" s="26">
        <f t="shared" si="9"/>
        <v>340400857</v>
      </c>
      <c r="AK17" s="30">
        <f t="shared" si="10"/>
        <v>0</v>
      </c>
      <c r="AL17" s="30">
        <f t="shared" si="11"/>
        <v>330486269</v>
      </c>
      <c r="AM17" s="30">
        <f t="shared" si="12"/>
        <v>340400857</v>
      </c>
    </row>
    <row r="18" spans="1:39" s="9" customFormat="1" outlineLevel="1" x14ac:dyDescent="0.25">
      <c r="A18" s="31" t="s">
        <v>71</v>
      </c>
      <c r="B18" s="22"/>
      <c r="C18" s="23">
        <v>3222</v>
      </c>
      <c r="D18" s="23">
        <v>0</v>
      </c>
      <c r="E18" s="23">
        <f t="shared" si="0"/>
        <v>3222</v>
      </c>
      <c r="F18" s="53">
        <v>45962</v>
      </c>
      <c r="G18" s="54">
        <v>6274802.96</v>
      </c>
      <c r="H18" s="54">
        <v>0</v>
      </c>
      <c r="I18" s="54">
        <f t="shared" si="20"/>
        <v>6274802.96</v>
      </c>
      <c r="J18" s="54">
        <v>1269682.8600000001</v>
      </c>
      <c r="K18" s="54">
        <f t="shared" si="2"/>
        <v>7544485.8200000003</v>
      </c>
      <c r="L18" s="54">
        <v>13213763.57</v>
      </c>
      <c r="M18" s="54">
        <v>0</v>
      </c>
      <c r="N18" s="54">
        <v>13213763.57</v>
      </c>
      <c r="O18" s="54">
        <v>2673755.54</v>
      </c>
      <c r="P18" s="54">
        <f t="shared" si="4"/>
        <v>15887519.109999999</v>
      </c>
      <c r="Q18" s="25">
        <v>13938646.039999999</v>
      </c>
      <c r="R18" s="25">
        <v>0</v>
      </c>
      <c r="S18" s="25">
        <f t="shared" ref="S18:S20" si="22">SUM(Q18:R18)</f>
        <v>13938646.039999999</v>
      </c>
      <c r="T18" s="25">
        <v>2816704.34</v>
      </c>
      <c r="U18" s="25">
        <f t="shared" si="6"/>
        <v>16755350.379999999</v>
      </c>
      <c r="V18" s="25">
        <v>13938646.039999999</v>
      </c>
      <c r="W18" s="25">
        <v>0</v>
      </c>
      <c r="X18" s="25">
        <f t="shared" si="13"/>
        <v>13938646.039999999</v>
      </c>
      <c r="Y18" s="25">
        <v>2816704.34</v>
      </c>
      <c r="Z18" s="25">
        <f t="shared" si="14"/>
        <v>16755350.379999999</v>
      </c>
      <c r="AA18" s="25">
        <v>14149163.699999999</v>
      </c>
      <c r="AB18" s="25">
        <v>0</v>
      </c>
      <c r="AC18" s="25">
        <f>AA18+AB18</f>
        <v>14149163.699999999</v>
      </c>
      <c r="AD18" s="25">
        <v>2858218.99</v>
      </c>
      <c r="AE18" s="25">
        <f>AC18+AD18</f>
        <v>17007382.689999998</v>
      </c>
      <c r="AF18" s="26">
        <f t="shared" ref="AF18:AJ19" si="23">L18+V18+AA18</f>
        <v>41301573.310000002</v>
      </c>
      <c r="AG18" s="26">
        <f t="shared" si="23"/>
        <v>0</v>
      </c>
      <c r="AH18" s="26">
        <f t="shared" si="23"/>
        <v>41301573.310000002</v>
      </c>
      <c r="AI18" s="26">
        <f t="shared" si="23"/>
        <v>8348678.8700000001</v>
      </c>
      <c r="AJ18" s="26">
        <f t="shared" si="23"/>
        <v>49650252.179999992</v>
      </c>
      <c r="AK18" s="30">
        <f t="shared" si="10"/>
        <v>7544485.8200000003</v>
      </c>
      <c r="AL18" s="30">
        <f t="shared" si="11"/>
        <v>32642869.489999998</v>
      </c>
      <c r="AM18" s="30">
        <f>P18+Z18+AA18</f>
        <v>46792033.189999998</v>
      </c>
    </row>
    <row r="19" spans="1:39" s="9" customFormat="1" outlineLevel="1" x14ac:dyDescent="0.25">
      <c r="A19" s="31" t="s">
        <v>595</v>
      </c>
      <c r="B19" s="22"/>
      <c r="C19" s="23"/>
      <c r="D19" s="23"/>
      <c r="E19" s="23">
        <f t="shared" si="0"/>
        <v>0</v>
      </c>
      <c r="F19" s="24">
        <v>46113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>
        <v>8450442</v>
      </c>
      <c r="R19" s="25">
        <v>0</v>
      </c>
      <c r="S19" s="25">
        <f t="shared" si="22"/>
        <v>8450442</v>
      </c>
      <c r="T19" s="25">
        <v>0</v>
      </c>
      <c r="U19" s="25">
        <f t="shared" si="6"/>
        <v>8450442</v>
      </c>
      <c r="V19" s="25">
        <v>10328318</v>
      </c>
      <c r="W19" s="25">
        <v>0</v>
      </c>
      <c r="X19" s="25">
        <f t="shared" si="13"/>
        <v>10328318</v>
      </c>
      <c r="Y19" s="25">
        <v>0</v>
      </c>
      <c r="Z19" s="25">
        <f t="shared" si="14"/>
        <v>10328318</v>
      </c>
      <c r="AA19" s="25"/>
      <c r="AB19" s="25"/>
      <c r="AC19" s="25"/>
      <c r="AD19" s="25"/>
      <c r="AE19" s="25"/>
      <c r="AF19" s="26">
        <f t="shared" si="23"/>
        <v>10328318</v>
      </c>
      <c r="AG19" s="26">
        <f t="shared" si="23"/>
        <v>0</v>
      </c>
      <c r="AH19" s="26">
        <f t="shared" si="23"/>
        <v>10328318</v>
      </c>
      <c r="AI19" s="26">
        <f t="shared" si="23"/>
        <v>0</v>
      </c>
      <c r="AJ19" s="26">
        <f t="shared" si="23"/>
        <v>10328318</v>
      </c>
      <c r="AK19" s="30">
        <f t="shared" si="10"/>
        <v>0</v>
      </c>
      <c r="AL19" s="30">
        <f t="shared" si="11"/>
        <v>8450442</v>
      </c>
      <c r="AM19" s="30">
        <f>P19+Z19+AA19</f>
        <v>10328318</v>
      </c>
    </row>
    <row r="20" spans="1:39" s="9" customFormat="1" outlineLevel="1" x14ac:dyDescent="0.25">
      <c r="A20" s="21"/>
      <c r="B20" s="22"/>
      <c r="C20" s="23"/>
      <c r="D20" s="23"/>
      <c r="E20" s="23">
        <f t="shared" si="0"/>
        <v>0</v>
      </c>
      <c r="F20" s="24"/>
      <c r="G20" s="25"/>
      <c r="H20" s="25"/>
      <c r="I20" s="25">
        <f t="shared" si="20"/>
        <v>0</v>
      </c>
      <c r="J20" s="25"/>
      <c r="K20" s="25">
        <f t="shared" si="2"/>
        <v>0</v>
      </c>
      <c r="L20" s="25"/>
      <c r="M20" s="25"/>
      <c r="N20" s="25">
        <f t="shared" ref="N20" si="24">SUM(L20:M20)</f>
        <v>0</v>
      </c>
      <c r="O20" s="25"/>
      <c r="P20" s="25">
        <f t="shared" si="4"/>
        <v>0</v>
      </c>
      <c r="Q20" s="25"/>
      <c r="R20" s="25"/>
      <c r="S20" s="25">
        <f t="shared" si="22"/>
        <v>0</v>
      </c>
      <c r="T20" s="25"/>
      <c r="U20" s="25">
        <f t="shared" si="6"/>
        <v>0</v>
      </c>
      <c r="V20" s="25"/>
      <c r="W20" s="25"/>
      <c r="X20" s="25">
        <f t="shared" si="13"/>
        <v>0</v>
      </c>
      <c r="Y20" s="25"/>
      <c r="Z20" s="25">
        <f t="shared" si="14"/>
        <v>0</v>
      </c>
      <c r="AA20" s="25"/>
      <c r="AB20" s="25"/>
      <c r="AC20" s="25">
        <f>AA20+AB20</f>
        <v>0</v>
      </c>
      <c r="AD20" s="25"/>
      <c r="AE20" s="25">
        <f>AC20+AD20</f>
        <v>0</v>
      </c>
      <c r="AF20" s="26">
        <f t="shared" ref="AF20:AJ20" si="25">L20+V20</f>
        <v>0</v>
      </c>
      <c r="AG20" s="26">
        <f t="shared" si="25"/>
        <v>0</v>
      </c>
      <c r="AH20" s="26">
        <f t="shared" si="25"/>
        <v>0</v>
      </c>
      <c r="AI20" s="26">
        <f t="shared" si="25"/>
        <v>0</v>
      </c>
      <c r="AJ20" s="26">
        <f t="shared" si="25"/>
        <v>0</v>
      </c>
      <c r="AK20" s="30">
        <f t="shared" si="10"/>
        <v>0</v>
      </c>
      <c r="AL20" s="27">
        <f t="shared" si="11"/>
        <v>0</v>
      </c>
      <c r="AM20" s="30">
        <f t="shared" ref="AM20" si="26">P20+Z20</f>
        <v>0</v>
      </c>
    </row>
    <row r="21" spans="1:39" s="9" customFormat="1" outlineLevel="1" x14ac:dyDescent="0.25">
      <c r="A21" s="18" t="s">
        <v>596</v>
      </c>
      <c r="B21" s="12"/>
      <c r="C21" s="13">
        <f>SUM(C4:C20)</f>
        <v>149539</v>
      </c>
      <c r="D21" s="13">
        <f>SUM(D4:D20)</f>
        <v>118578</v>
      </c>
      <c r="E21" s="13">
        <f>SUM(E4:E20)</f>
        <v>268117</v>
      </c>
      <c r="F21" s="13"/>
      <c r="G21" s="19">
        <f t="shared" ref="G21:Z21" si="27">SUM(G4:G20)</f>
        <v>114276720.37711573</v>
      </c>
      <c r="H21" s="19">
        <f t="shared" si="27"/>
        <v>216897515.65000001</v>
      </c>
      <c r="I21" s="19">
        <f t="shared" si="27"/>
        <v>331174236.0271157</v>
      </c>
      <c r="J21" s="19">
        <f t="shared" si="27"/>
        <v>6619384.3618864259</v>
      </c>
      <c r="K21" s="19">
        <f t="shared" si="27"/>
        <v>337793620.38900214</v>
      </c>
      <c r="L21" s="19">
        <f t="shared" si="27"/>
        <v>468637797.83070916</v>
      </c>
      <c r="M21" s="19">
        <f t="shared" si="27"/>
        <v>852688222.65999997</v>
      </c>
      <c r="N21" s="19">
        <f t="shared" si="27"/>
        <v>1321326020.4907091</v>
      </c>
      <c r="O21" s="19">
        <f t="shared" si="27"/>
        <v>37446815.302261762</v>
      </c>
      <c r="P21" s="19">
        <f t="shared" si="27"/>
        <v>1358772835.7929709</v>
      </c>
      <c r="Q21" s="19">
        <f t="shared" si="27"/>
        <v>2862552080.8949089</v>
      </c>
      <c r="R21" s="19">
        <f t="shared" si="27"/>
        <v>3121614276.9486237</v>
      </c>
      <c r="S21" s="19">
        <f t="shared" si="27"/>
        <v>5984166357.8435326</v>
      </c>
      <c r="T21" s="19">
        <f t="shared" si="27"/>
        <v>377597437.59421486</v>
      </c>
      <c r="U21" s="19">
        <f t="shared" si="27"/>
        <v>6361763795.437748</v>
      </c>
      <c r="V21" s="19">
        <f t="shared" si="27"/>
        <v>3419879033.2388439</v>
      </c>
      <c r="W21" s="19">
        <f t="shared" si="27"/>
        <v>3494554997.9300003</v>
      </c>
      <c r="X21" s="19">
        <f t="shared" si="27"/>
        <v>6914434031.1688442</v>
      </c>
      <c r="Y21" s="19">
        <f t="shared" si="27"/>
        <v>632692814.2865665</v>
      </c>
      <c r="Z21" s="19">
        <f t="shared" si="27"/>
        <v>7547126845.4554119</v>
      </c>
      <c r="AA21" s="19"/>
      <c r="AB21" s="19"/>
      <c r="AC21" s="19"/>
      <c r="AD21" s="19"/>
      <c r="AE21" s="19"/>
      <c r="AF21" s="19">
        <f t="shared" ref="AF21:AM21" si="28">SUM(AF4:AF20)</f>
        <v>3902665994.7695537</v>
      </c>
      <c r="AG21" s="19">
        <f t="shared" si="28"/>
        <v>4347243220.5900002</v>
      </c>
      <c r="AH21" s="19">
        <f t="shared" si="28"/>
        <v>8249909215.3595543</v>
      </c>
      <c r="AI21" s="19">
        <f t="shared" si="28"/>
        <v>672997848.57882822</v>
      </c>
      <c r="AJ21" s="19">
        <f t="shared" si="28"/>
        <v>8922907063.9383812</v>
      </c>
      <c r="AK21" s="19">
        <f t="shared" si="28"/>
        <v>337793620.38900214</v>
      </c>
      <c r="AL21" s="19">
        <f t="shared" si="28"/>
        <v>7720536631.2307177</v>
      </c>
      <c r="AM21" s="19">
        <f t="shared" si="28"/>
        <v>8920048844.9483814</v>
      </c>
    </row>
    <row r="22" spans="1:39" s="20" customFormat="1" ht="75" customHeight="1" outlineLevel="1" x14ac:dyDescent="0.2">
      <c r="A22" s="17" t="s">
        <v>14</v>
      </c>
      <c r="B22" s="1"/>
      <c r="C22" s="10"/>
      <c r="D22" s="10"/>
      <c r="E22" s="10"/>
      <c r="F22" s="11"/>
      <c r="J22" s="1"/>
      <c r="K22" s="1"/>
      <c r="N22" s="1"/>
      <c r="O22" s="1"/>
      <c r="P22" s="1"/>
      <c r="Q22" s="44">
        <v>539707217.73000002</v>
      </c>
      <c r="R22" s="1"/>
      <c r="S22" s="1"/>
      <c r="T22" s="1"/>
      <c r="U22" s="46">
        <f>Q22</f>
        <v>539707217.73000002</v>
      </c>
      <c r="V22" s="1"/>
      <c r="W22" s="1"/>
      <c r="X22" s="1"/>
      <c r="Y22" s="1"/>
      <c r="Z22" s="1"/>
      <c r="AA22" s="44">
        <v>1020216179.05</v>
      </c>
      <c r="AB22" s="1"/>
      <c r="AC22" s="1"/>
      <c r="AD22" s="1"/>
      <c r="AE22" s="45">
        <f>AA22</f>
        <v>1020216179.05</v>
      </c>
      <c r="AF22" s="44">
        <v>1660894794.1400001</v>
      </c>
      <c r="AG22" s="1"/>
      <c r="AH22" s="1"/>
      <c r="AI22" s="1"/>
      <c r="AJ22" s="44">
        <v>1660894794.1400001</v>
      </c>
      <c r="AK22" s="30">
        <f t="shared" ref="AK22:AK24" si="29">K22</f>
        <v>0</v>
      </c>
      <c r="AL22" s="27">
        <f t="shared" ref="AL22:AL24" si="30">P22+U22</f>
        <v>539707217.73000002</v>
      </c>
      <c r="AM22" s="30">
        <f t="shared" ref="AM22:AM24" si="31">P22+Z22</f>
        <v>0</v>
      </c>
    </row>
    <row r="23" spans="1:39" s="20" customFormat="1" outlineLevel="1" x14ac:dyDescent="0.25">
      <c r="A23" s="17" t="s">
        <v>93</v>
      </c>
      <c r="B23" s="1"/>
      <c r="C23" s="10"/>
      <c r="D23" s="10"/>
      <c r="E23" s="10"/>
      <c r="F23" s="11"/>
      <c r="G23" s="1"/>
      <c r="H23" s="1"/>
      <c r="I23" s="1"/>
      <c r="J23" s="1"/>
      <c r="K23" s="14"/>
      <c r="L23" s="1"/>
      <c r="M23" s="1"/>
      <c r="N23" s="1"/>
      <c r="O23" s="1"/>
      <c r="P23" s="1"/>
      <c r="R23" s="1"/>
      <c r="S23" s="1"/>
      <c r="T23" s="1"/>
      <c r="U23" s="1">
        <f>'Item22-Transform.RFB'!Q75</f>
        <v>2408065.8410239993</v>
      </c>
      <c r="V23" s="1"/>
      <c r="W23" s="1"/>
      <c r="X23" s="1"/>
      <c r="Y23" s="1"/>
      <c r="Z23" s="1">
        <f>'Item22-Transform.RFB'!W75</f>
        <v>16480700.810496006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0">
        <f t="shared" si="29"/>
        <v>0</v>
      </c>
      <c r="AL23" s="27">
        <f t="shared" si="30"/>
        <v>2408065.8410239993</v>
      </c>
      <c r="AM23" s="30">
        <f t="shared" si="31"/>
        <v>16480700.810496006</v>
      </c>
    </row>
    <row r="24" spans="1:39" s="20" customFormat="1" outlineLevel="1" x14ac:dyDescent="0.25">
      <c r="A24" s="17"/>
      <c r="B24" s="1"/>
      <c r="C24" s="10"/>
      <c r="D24" s="10"/>
      <c r="E24" s="10"/>
      <c r="F24" s="11"/>
      <c r="G24" s="1"/>
      <c r="H24" s="1"/>
      <c r="I24" s="1"/>
      <c r="J24" s="1"/>
      <c r="K24" s="1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0">
        <f t="shared" si="29"/>
        <v>0</v>
      </c>
      <c r="AL24" s="27">
        <f t="shared" si="30"/>
        <v>0</v>
      </c>
      <c r="AM24" s="30">
        <f t="shared" si="31"/>
        <v>0</v>
      </c>
    </row>
    <row r="25" spans="1:39" s="20" customFormat="1" ht="18.75" outlineLevel="1" x14ac:dyDescent="0.25">
      <c r="A25" s="17"/>
      <c r="B25" s="1"/>
      <c r="C25" s="10"/>
      <c r="D25" s="10"/>
      <c r="E25" s="10"/>
      <c r="F25" s="11"/>
      <c r="G25" s="794">
        <v>46063000.609999999</v>
      </c>
      <c r="H25" s="794">
        <v>5349701.5</v>
      </c>
      <c r="I25" s="794">
        <v>299409503.97000003</v>
      </c>
      <c r="J25" s="794">
        <v>34773059.759999998</v>
      </c>
      <c r="K25" s="794">
        <v>636795408.86000001</v>
      </c>
      <c r="L25" s="794">
        <v>73877960.609999999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5"/>
      <c r="AL25" s="16"/>
      <c r="AM25" s="16"/>
    </row>
    <row r="26" spans="1:39" s="9" customFormat="1" outlineLevel="1" x14ac:dyDescent="0.25"/>
    <row r="27" spans="1:39" s="9" customFormat="1" outlineLevel="1" x14ac:dyDescent="0.25"/>
  </sheetData>
  <mergeCells count="14">
    <mergeCell ref="AF1:AJ1"/>
    <mergeCell ref="AK1:AM1"/>
    <mergeCell ref="G2:K2"/>
    <mergeCell ref="L2:P2"/>
    <mergeCell ref="Q2:U2"/>
    <mergeCell ref="V2:Z2"/>
    <mergeCell ref="AA2:AE2"/>
    <mergeCell ref="AF2:AJ2"/>
    <mergeCell ref="Q1:Z1"/>
    <mergeCell ref="A1:A3"/>
    <mergeCell ref="B1:B3"/>
    <mergeCell ref="C1:E1"/>
    <mergeCell ref="F1:F3"/>
    <mergeCell ref="G1:P1"/>
  </mergeCells>
  <pageMargins left="0.7" right="0.7" top="0.75" bottom="0.75" header="0.3" footer="0.3"/>
  <pageSetup paperSize="9" orientation="portrait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4E5FA-339A-E544-A1B9-2BE1FC026735}">
  <sheetPr>
    <tabColor theme="2"/>
  </sheetPr>
  <dimension ref="A2:AQ110"/>
  <sheetViews>
    <sheetView showGridLines="0" topLeftCell="A22" zoomScale="55" zoomScaleNormal="55" workbookViewId="0">
      <pane xSplit="4" topLeftCell="E1" activePane="topRight" state="frozen"/>
      <selection activeCell="H29" sqref="H29"/>
      <selection pane="topRight" activeCell="K89" sqref="K89"/>
    </sheetView>
  </sheetViews>
  <sheetFormatPr defaultColWidth="16.42578125" defaultRowHeight="15" outlineLevelCol="2" x14ac:dyDescent="0.25"/>
  <cols>
    <col min="1" max="1" width="12.7109375" style="145" customWidth="1"/>
    <col min="2" max="2" width="72.7109375" style="145" customWidth="1"/>
    <col min="3" max="4" width="12.7109375" style="145" hidden="1" customWidth="1" outlineLevel="1"/>
    <col min="5" max="5" width="44" style="145" bestFit="1" customWidth="1" collapsed="1"/>
    <col min="6" max="6" width="68.42578125" style="145" customWidth="1"/>
    <col min="7" max="7" width="18.85546875" style="145" bestFit="1" customWidth="1"/>
    <col min="8" max="8" width="22.7109375" style="145" bestFit="1" customWidth="1"/>
    <col min="9" max="9" width="27.140625" style="145" customWidth="1"/>
    <col min="10" max="10" width="18.28515625" style="145" bestFit="1" customWidth="1"/>
    <col min="11" max="11" width="19.140625" style="145" bestFit="1" customWidth="1"/>
    <col min="12" max="12" width="27.42578125" style="145" hidden="1" customWidth="1" outlineLevel="1"/>
    <col min="13" max="13" width="28.42578125" style="145" hidden="1" customWidth="1" outlineLevel="1"/>
    <col min="14" max="14" width="25.28515625" style="145" hidden="1" customWidth="1" outlineLevel="1"/>
    <col min="15" max="15" width="30.140625" style="145" hidden="1" customWidth="1" outlineLevel="1"/>
    <col min="16" max="16" width="21.7109375" style="145" hidden="1" customWidth="1" outlineLevel="1"/>
    <col min="17" max="17" width="34.28515625" style="145" hidden="1" customWidth="1" outlineLevel="2"/>
    <col min="18" max="18" width="27.140625" style="145" hidden="1" customWidth="1" outlineLevel="2"/>
    <col min="19" max="19" width="27.42578125" style="145" customWidth="1" collapsed="1"/>
    <col min="20" max="20" width="28.7109375" style="145" customWidth="1"/>
    <col min="21" max="22" width="34.28515625" style="145" hidden="1" customWidth="1" outlineLevel="1"/>
    <col min="23" max="23" width="30.140625" style="145" hidden="1" customWidth="1" outlineLevel="1"/>
    <col min="24" max="24" width="35.85546875" style="145" bestFit="1" customWidth="1" collapsed="1"/>
    <col min="25" max="25" width="33.28515625" style="145" bestFit="1" customWidth="1"/>
    <col min="26" max="26" width="35.85546875" style="145" hidden="1" customWidth="1" outlineLevel="1"/>
    <col min="27" max="27" width="31.42578125" style="145" hidden="1" customWidth="1" outlineLevel="1"/>
    <col min="28" max="28" width="23.7109375" style="145" hidden="1" customWidth="1" outlineLevel="1"/>
    <col min="29" max="29" width="28.140625" style="145" customWidth="1" collapsed="1"/>
    <col min="30" max="30" width="29.28515625" style="145" hidden="1" customWidth="1" outlineLevel="1"/>
    <col min="31" max="31" width="28" style="145" hidden="1" customWidth="1" outlineLevel="1"/>
    <col min="32" max="32" width="26.42578125" style="145" hidden="1" customWidth="1" outlineLevel="1"/>
    <col min="33" max="33" width="30" style="145" hidden="1" customWidth="1" outlineLevel="1"/>
    <col min="34" max="34" width="30.42578125" style="145" hidden="1" customWidth="1" outlineLevel="1"/>
    <col min="35" max="35" width="30" style="145" hidden="1" customWidth="1" outlineLevel="1"/>
    <col min="36" max="36" width="31.85546875" style="145" bestFit="1" customWidth="1" collapsed="1"/>
    <col min="37" max="37" width="28.7109375" style="145" bestFit="1" customWidth="1"/>
    <col min="38" max="38" width="32.85546875" style="145" hidden="1" customWidth="1" outlineLevel="1"/>
    <col min="39" max="39" width="31" style="145" hidden="1" customWidth="1" outlineLevel="1"/>
    <col min="40" max="40" width="30" style="145" hidden="1" customWidth="1" outlineLevel="1"/>
    <col min="41" max="41" width="33.42578125" style="145" bestFit="1" customWidth="1" collapsed="1"/>
    <col min="42" max="42" width="30.42578125" style="145" bestFit="1" customWidth="1"/>
    <col min="43" max="43" width="32.85546875" style="145" customWidth="1" outlineLevel="1"/>
    <col min="44" max="16384" width="16.42578125" style="145"/>
  </cols>
  <sheetData>
    <row r="2" spans="1:42" s="82" customFormat="1" ht="3.95" customHeight="1" x14ac:dyDescent="0.25">
      <c r="A2" s="1361"/>
      <c r="B2" s="1361"/>
      <c r="C2" s="1361"/>
      <c r="D2" s="1361"/>
      <c r="E2" s="1361"/>
      <c r="F2" s="1361"/>
      <c r="G2" s="1361"/>
      <c r="H2" s="1361"/>
      <c r="I2" s="1361"/>
      <c r="J2" s="1361"/>
      <c r="K2" s="1361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42" s="82" customFormat="1" ht="3.95" customHeight="1" x14ac:dyDescent="0.25">
      <c r="A3" s="1361"/>
      <c r="B3" s="1361"/>
      <c r="C3" s="1361"/>
      <c r="D3" s="1361"/>
      <c r="E3" s="1361"/>
      <c r="F3" s="1361"/>
      <c r="G3" s="1361"/>
      <c r="H3" s="1361"/>
      <c r="I3" s="1361"/>
      <c r="J3" s="1361"/>
      <c r="K3" s="1361"/>
      <c r="L3" s="1361"/>
      <c r="M3" s="1361"/>
      <c r="N3" s="1361"/>
      <c r="O3" s="1361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</row>
    <row r="4" spans="1:42" s="82" customFormat="1" ht="3.95" customHeight="1" x14ac:dyDescent="0.25">
      <c r="A4" s="1361"/>
      <c r="B4" s="1361"/>
      <c r="C4" s="1361"/>
      <c r="D4" s="1361"/>
      <c r="E4" s="1361"/>
      <c r="F4" s="1361"/>
      <c r="G4" s="1361"/>
      <c r="H4" s="1361"/>
      <c r="I4" s="1361"/>
      <c r="J4" s="1361"/>
      <c r="K4" s="1361"/>
      <c r="L4" s="1361"/>
      <c r="M4" s="1361"/>
      <c r="N4" s="1361"/>
      <c r="O4" s="1361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</row>
    <row r="5" spans="1:42" s="82" customFormat="1" ht="3.95" customHeight="1" x14ac:dyDescent="0.3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42" s="82" customFormat="1" ht="3.95" customHeight="1" x14ac:dyDescent="0.3">
      <c r="A6" s="79"/>
      <c r="B6" s="79"/>
      <c r="C6" s="80"/>
      <c r="D6" s="80"/>
      <c r="E6" s="80"/>
      <c r="F6" s="80"/>
      <c r="G6" s="80"/>
      <c r="H6" s="80"/>
      <c r="I6" s="80"/>
      <c r="J6" s="80"/>
      <c r="K6" s="80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42" s="82" customFormat="1" ht="20.25" x14ac:dyDescent="0.3">
      <c r="A7" s="86"/>
      <c r="B7" s="87"/>
      <c r="C7" s="86"/>
      <c r="D7" s="87"/>
      <c r="E7" s="86"/>
      <c r="F7" s="86"/>
      <c r="G7" s="86"/>
      <c r="H7" s="87"/>
      <c r="I7" s="87"/>
      <c r="J7" s="86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</row>
    <row r="8" spans="1:42" s="82" customFormat="1" ht="23.25" x14ac:dyDescent="0.35">
      <c r="A8" s="89" t="s">
        <v>331</v>
      </c>
      <c r="B8" s="1360" t="s">
        <v>332</v>
      </c>
      <c r="C8" s="1360"/>
      <c r="D8" s="87"/>
      <c r="E8" s="89" t="s">
        <v>333</v>
      </c>
      <c r="F8" s="1360" t="s">
        <v>453</v>
      </c>
      <c r="G8" s="1360"/>
      <c r="H8" s="87"/>
      <c r="I8" s="86"/>
      <c r="J8" s="86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</row>
    <row r="9" spans="1:42" s="82" customFormat="1" ht="23.25" x14ac:dyDescent="0.35">
      <c r="A9" s="89" t="s">
        <v>334</v>
      </c>
      <c r="B9" s="1360" t="s">
        <v>335</v>
      </c>
      <c r="C9" s="1360"/>
      <c r="D9" s="87"/>
      <c r="E9" s="86"/>
      <c r="F9" s="86"/>
      <c r="G9" s="86"/>
      <c r="H9" s="86"/>
      <c r="I9" s="86"/>
      <c r="J9" s="86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</row>
    <row r="10" spans="1:42" s="82" customFormat="1" ht="15.6" customHeight="1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</row>
    <row r="11" spans="1:42" s="82" customFormat="1" ht="6" customHeight="1" x14ac:dyDescent="0.2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42" s="82" customFormat="1" ht="6" customHeight="1" x14ac:dyDescent="0.2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42" s="82" customFormat="1" ht="6" customHeight="1" x14ac:dyDescent="0.3">
      <c r="A13" s="80"/>
      <c r="B13" s="80"/>
      <c r="C13" s="80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42" s="82" customFormat="1" ht="21" x14ac:dyDescent="0.35">
      <c r="A14" s="80"/>
      <c r="B14" s="90" t="s">
        <v>336</v>
      </c>
      <c r="C14" s="90" t="s">
        <v>337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42" s="82" customFormat="1" ht="21" x14ac:dyDescent="0.35">
      <c r="A15" s="91" t="s">
        <v>338</v>
      </c>
      <c r="B15" s="92"/>
      <c r="C15" s="93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42" s="82" customFormat="1" ht="27.75" customHeight="1" x14ac:dyDescent="0.2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94"/>
      <c r="R16" s="81"/>
      <c r="S16" s="95"/>
      <c r="T16" s="96"/>
      <c r="U16" s="94"/>
      <c r="V16" s="94"/>
      <c r="W16" s="81"/>
      <c r="X16" s="95"/>
      <c r="Y16" s="96"/>
      <c r="Z16" s="94"/>
      <c r="AA16" s="94"/>
      <c r="AB16" s="94"/>
      <c r="AG16" s="152">
        <f>AG22+Z22</f>
        <v>-126151747.72290027</v>
      </c>
      <c r="AJ16" s="97"/>
      <c r="AK16" s="97"/>
      <c r="AO16" s="97"/>
      <c r="AP16" s="97"/>
    </row>
    <row r="17" spans="1:43" s="100" customFormat="1" ht="18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9"/>
      <c r="K17" s="99"/>
      <c r="L17" s="99">
        <f t="shared" ref="L17:Z17" si="0">L22</f>
        <v>-6803760.47999998</v>
      </c>
      <c r="M17" s="99">
        <f t="shared" si="0"/>
        <v>382708.82544999989</v>
      </c>
      <c r="N17" s="99">
        <f t="shared" si="0"/>
        <v>-3165740.8299999982</v>
      </c>
      <c r="O17" s="99">
        <f t="shared" si="0"/>
        <v>-9586792.4845499955</v>
      </c>
      <c r="P17" s="99">
        <f t="shared" si="0"/>
        <v>924</v>
      </c>
      <c r="Q17" s="99">
        <f t="shared" si="0"/>
        <v>-7559733.8666666951</v>
      </c>
      <c r="R17" s="99">
        <f t="shared" si="0"/>
        <v>414601.22757083329</v>
      </c>
      <c r="S17" s="99">
        <f t="shared" si="0"/>
        <v>-7145132.6390958596</v>
      </c>
      <c r="T17" s="99">
        <f t="shared" si="0"/>
        <v>-3429552.5658333455</v>
      </c>
      <c r="U17" s="99">
        <f t="shared" si="0"/>
        <v>-10574685.204929156</v>
      </c>
      <c r="V17" s="99">
        <f t="shared" si="0"/>
        <v>-90716806.399999753</v>
      </c>
      <c r="W17" s="99">
        <f t="shared" si="0"/>
        <v>4975214.730849999</v>
      </c>
      <c r="X17" s="99">
        <f t="shared" si="0"/>
        <v>-85741591.669149786</v>
      </c>
      <c r="Y17" s="99">
        <f t="shared" si="0"/>
        <v>-41154630.789999969</v>
      </c>
      <c r="Z17" s="99">
        <f t="shared" si="0"/>
        <v>-126896222.45915025</v>
      </c>
      <c r="AA17" s="99"/>
      <c r="AB17" s="99"/>
      <c r="AD17" s="99">
        <f t="shared" ref="AD17:AQ17" si="1">AD22</f>
        <v>1355535.250000004</v>
      </c>
      <c r="AE17" s="99">
        <f t="shared" si="1"/>
        <v>431804.52624999994</v>
      </c>
      <c r="AF17" s="99">
        <f t="shared" si="1"/>
        <v>-1042865.0399999971</v>
      </c>
      <c r="AG17" s="99">
        <f t="shared" si="1"/>
        <v>744474.73624998587</v>
      </c>
      <c r="AH17" s="99">
        <f t="shared" si="1"/>
        <v>-6408602.3075000159</v>
      </c>
      <c r="AI17" s="99">
        <f t="shared" si="1"/>
        <v>5466171.7388499994</v>
      </c>
      <c r="AJ17" s="99">
        <f t="shared" si="1"/>
        <v>-942430.56865005195</v>
      </c>
      <c r="AK17" s="99">
        <f t="shared" si="1"/>
        <v>-19925872.889999859</v>
      </c>
      <c r="AL17" s="99">
        <f t="shared" si="1"/>
        <v>-20868303.458649911</v>
      </c>
      <c r="AM17" s="99">
        <f t="shared" si="1"/>
        <v>-21516610.97679776</v>
      </c>
      <c r="AN17" s="99">
        <f t="shared" si="1"/>
        <v>20798428.766462505</v>
      </c>
      <c r="AO17" s="99">
        <f t="shared" si="1"/>
        <v>-718182.21033483744</v>
      </c>
      <c r="AP17" s="99">
        <f>AP22</f>
        <v>-76601229.067021564</v>
      </c>
      <c r="AQ17" s="99">
        <f t="shared" si="1"/>
        <v>-9426780.3592999876</v>
      </c>
    </row>
    <row r="18" spans="1:43" s="82" customFormat="1" ht="29.1" customHeight="1" x14ac:dyDescent="0.2">
      <c r="A18" s="81"/>
      <c r="B18" s="101"/>
      <c r="C18" s="81"/>
      <c r="D18" s="81"/>
      <c r="E18" s="81"/>
      <c r="F18" s="81"/>
      <c r="G18" s="1366" t="s">
        <v>454</v>
      </c>
      <c r="H18" s="1366"/>
      <c r="I18" s="1366"/>
      <c r="J18" s="81"/>
      <c r="K18" s="81"/>
      <c r="L18" s="1363" t="s">
        <v>455</v>
      </c>
      <c r="M18" s="1363"/>
      <c r="N18" s="1363"/>
      <c r="O18" s="1363"/>
      <c r="P18" s="98"/>
      <c r="Q18" s="1363" t="s">
        <v>456</v>
      </c>
      <c r="R18" s="1363"/>
      <c r="S18" s="1363"/>
      <c r="T18" s="1363"/>
      <c r="U18" s="1363"/>
      <c r="V18" s="1363" t="s">
        <v>457</v>
      </c>
      <c r="W18" s="1363"/>
      <c r="X18" s="1363"/>
      <c r="Y18" s="1363"/>
      <c r="Z18" s="1363"/>
      <c r="AA18" s="361" t="s">
        <v>597</v>
      </c>
      <c r="AB18" s="102"/>
      <c r="AC18" s="103"/>
      <c r="AD18" s="1363" t="s">
        <v>458</v>
      </c>
      <c r="AE18" s="1363"/>
      <c r="AF18" s="1363"/>
      <c r="AG18" s="1363"/>
      <c r="AH18" s="1363" t="s">
        <v>459</v>
      </c>
      <c r="AI18" s="1363"/>
      <c r="AJ18" s="1363"/>
      <c r="AK18" s="1363"/>
      <c r="AL18" s="1363"/>
      <c r="AM18" s="1363" t="s">
        <v>460</v>
      </c>
      <c r="AN18" s="1363"/>
      <c r="AO18" s="1363"/>
      <c r="AP18" s="1363"/>
      <c r="AQ18" s="1363"/>
    </row>
    <row r="19" spans="1:43" s="82" customFormat="1" ht="23.25" x14ac:dyDescent="0.35">
      <c r="A19" s="81"/>
      <c r="B19" s="104"/>
      <c r="C19" s="81"/>
      <c r="D19" s="81"/>
      <c r="E19" s="81"/>
      <c r="F19" s="81"/>
      <c r="G19" s="1364">
        <v>8157.41</v>
      </c>
      <c r="H19" s="1364"/>
      <c r="I19" s="1364"/>
      <c r="J19" s="81"/>
      <c r="K19" s="81"/>
      <c r="L19" s="1365" t="s">
        <v>34</v>
      </c>
      <c r="M19" s="1365"/>
      <c r="N19" s="105" t="s">
        <v>343</v>
      </c>
      <c r="O19" s="106" t="s">
        <v>13</v>
      </c>
      <c r="P19" s="81"/>
      <c r="Q19" s="1365" t="s">
        <v>34</v>
      </c>
      <c r="R19" s="1365"/>
      <c r="S19" s="1365"/>
      <c r="T19" s="105" t="s">
        <v>343</v>
      </c>
      <c r="U19" s="106" t="s">
        <v>13</v>
      </c>
      <c r="V19" s="1365" t="s">
        <v>344</v>
      </c>
      <c r="W19" s="1365"/>
      <c r="X19" s="1365"/>
      <c r="Y19" s="105" t="s">
        <v>343</v>
      </c>
      <c r="Z19" s="106" t="s">
        <v>13</v>
      </c>
      <c r="AA19" s="107" t="s">
        <v>598</v>
      </c>
      <c r="AB19" s="108"/>
      <c r="AC19" s="109"/>
      <c r="AD19" s="1365" t="s">
        <v>34</v>
      </c>
      <c r="AE19" s="1365"/>
      <c r="AF19" s="105" t="s">
        <v>343</v>
      </c>
      <c r="AG19" s="106" t="s">
        <v>13</v>
      </c>
      <c r="AH19" s="1365" t="s">
        <v>344</v>
      </c>
      <c r="AI19" s="1365"/>
      <c r="AJ19" s="1365"/>
      <c r="AK19" s="105" t="s">
        <v>343</v>
      </c>
      <c r="AL19" s="106" t="s">
        <v>13</v>
      </c>
      <c r="AM19" s="1365" t="s">
        <v>344</v>
      </c>
      <c r="AN19" s="1365"/>
      <c r="AO19" s="1365"/>
      <c r="AP19" s="105" t="s">
        <v>343</v>
      </c>
      <c r="AQ19" s="106" t="s">
        <v>13</v>
      </c>
    </row>
    <row r="20" spans="1:43" s="115" customFormat="1" ht="60" customHeight="1" x14ac:dyDescent="0.25">
      <c r="A20" s="1362" t="s">
        <v>461</v>
      </c>
      <c r="B20" s="1362" t="s">
        <v>462</v>
      </c>
      <c r="C20" s="110" t="s">
        <v>347</v>
      </c>
      <c r="D20" s="110" t="s">
        <v>463</v>
      </c>
      <c r="E20" s="110" t="s">
        <v>464</v>
      </c>
      <c r="F20" s="110" t="s">
        <v>465</v>
      </c>
      <c r="G20" s="110" t="s">
        <v>355</v>
      </c>
      <c r="H20" s="110" t="s">
        <v>466</v>
      </c>
      <c r="I20" s="111" t="s">
        <v>467</v>
      </c>
      <c r="J20" s="112" t="s">
        <v>468</v>
      </c>
      <c r="K20" s="113" t="s">
        <v>469</v>
      </c>
      <c r="L20" s="114" t="s">
        <v>470</v>
      </c>
      <c r="M20" s="110" t="s">
        <v>471</v>
      </c>
      <c r="N20" s="110" t="s">
        <v>472</v>
      </c>
      <c r="O20" s="110" t="s">
        <v>473</v>
      </c>
      <c r="P20" s="110" t="s">
        <v>474</v>
      </c>
      <c r="Q20" s="110" t="s">
        <v>475</v>
      </c>
      <c r="R20" s="110" t="s">
        <v>476</v>
      </c>
      <c r="S20" s="110" t="s">
        <v>477</v>
      </c>
      <c r="T20" s="110" t="s">
        <v>478</v>
      </c>
      <c r="U20" s="110" t="s">
        <v>479</v>
      </c>
      <c r="V20" s="110" t="s">
        <v>480</v>
      </c>
      <c r="W20" s="110" t="s">
        <v>481</v>
      </c>
      <c r="X20" s="110" t="s">
        <v>482</v>
      </c>
      <c r="Y20" s="110" t="s">
        <v>483</v>
      </c>
      <c r="Z20" s="110" t="s">
        <v>484</v>
      </c>
      <c r="AA20" s="110" t="s">
        <v>355</v>
      </c>
      <c r="AB20" s="110" t="s">
        <v>466</v>
      </c>
      <c r="AC20" s="111" t="s">
        <v>485</v>
      </c>
      <c r="AD20" s="114" t="s">
        <v>470</v>
      </c>
      <c r="AE20" s="110" t="s">
        <v>471</v>
      </c>
      <c r="AF20" s="110" t="s">
        <v>472</v>
      </c>
      <c r="AG20" s="110" t="s">
        <v>473</v>
      </c>
      <c r="AH20" s="110" t="s">
        <v>480</v>
      </c>
      <c r="AI20" s="110" t="s">
        <v>481</v>
      </c>
      <c r="AJ20" s="110" t="s">
        <v>482</v>
      </c>
      <c r="AK20" s="110" t="s">
        <v>483</v>
      </c>
      <c r="AL20" s="110" t="s">
        <v>484</v>
      </c>
      <c r="AM20" s="110" t="s">
        <v>480</v>
      </c>
      <c r="AN20" s="110" t="s">
        <v>481</v>
      </c>
      <c r="AO20" s="110" t="s">
        <v>482</v>
      </c>
      <c r="AP20" s="110" t="s">
        <v>483</v>
      </c>
      <c r="AQ20" s="110" t="s">
        <v>484</v>
      </c>
    </row>
    <row r="21" spans="1:43" s="115" customFormat="1" ht="28.35" customHeight="1" x14ac:dyDescent="0.25">
      <c r="A21" s="1362"/>
      <c r="B21" s="1362"/>
      <c r="C21" s="116"/>
      <c r="D21" s="116"/>
      <c r="E21" s="116"/>
      <c r="F21" s="116"/>
      <c r="G21" s="116" t="s">
        <v>371</v>
      </c>
      <c r="H21" s="116" t="s">
        <v>372</v>
      </c>
      <c r="I21" s="117" t="s">
        <v>373</v>
      </c>
      <c r="J21" s="118" t="s">
        <v>374</v>
      </c>
      <c r="K21" s="119" t="s">
        <v>375</v>
      </c>
      <c r="L21" s="120" t="s">
        <v>376</v>
      </c>
      <c r="M21" s="116" t="s">
        <v>377</v>
      </c>
      <c r="N21" s="116" t="s">
        <v>486</v>
      </c>
      <c r="O21" s="116" t="s">
        <v>487</v>
      </c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7"/>
      <c r="AD21" s="120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</row>
    <row r="22" spans="1:43" s="82" customFormat="1" ht="19.5" x14ac:dyDescent="0.2">
      <c r="A22" s="121" t="s">
        <v>141</v>
      </c>
      <c r="B22" s="122"/>
      <c r="C22" s="123"/>
      <c r="D22" s="123"/>
      <c r="E22" s="123"/>
      <c r="F22" s="123"/>
      <c r="G22" s="124"/>
      <c r="H22" s="125"/>
      <c r="I22" s="126"/>
      <c r="J22" s="127">
        <f t="shared" ref="J22:Z22" si="2">SUM(J23:J99)</f>
        <v>-8153</v>
      </c>
      <c r="K22" s="127">
        <f t="shared" si="2"/>
        <v>-2071</v>
      </c>
      <c r="L22" s="127">
        <f t="shared" si="2"/>
        <v>-6803760.47999998</v>
      </c>
      <c r="M22" s="127">
        <f t="shared" si="2"/>
        <v>382708.82544999989</v>
      </c>
      <c r="N22" s="127">
        <f t="shared" si="2"/>
        <v>-3165740.8299999982</v>
      </c>
      <c r="O22" s="127">
        <f t="shared" si="2"/>
        <v>-9586792.4845499955</v>
      </c>
      <c r="P22" s="127">
        <f t="shared" si="2"/>
        <v>924</v>
      </c>
      <c r="Q22" s="127">
        <f t="shared" si="2"/>
        <v>-7559733.8666666951</v>
      </c>
      <c r="R22" s="127">
        <f t="shared" si="2"/>
        <v>414601.22757083329</v>
      </c>
      <c r="S22" s="127">
        <f t="shared" si="2"/>
        <v>-7145132.6390958596</v>
      </c>
      <c r="T22" s="127">
        <f t="shared" si="2"/>
        <v>-3429552.5658333455</v>
      </c>
      <c r="U22" s="127">
        <f t="shared" si="2"/>
        <v>-10574685.204929156</v>
      </c>
      <c r="V22" s="127">
        <f t="shared" si="2"/>
        <v>-90716806.399999753</v>
      </c>
      <c r="W22" s="127">
        <f t="shared" si="2"/>
        <v>4975214.730849999</v>
      </c>
      <c r="X22" s="127">
        <f t="shared" si="2"/>
        <v>-85741591.669149786</v>
      </c>
      <c r="Y22" s="127">
        <f t="shared" si="2"/>
        <v>-41154630.789999969</v>
      </c>
      <c r="Z22" s="127">
        <f t="shared" si="2"/>
        <v>-126896222.45915025</v>
      </c>
      <c r="AA22" s="127"/>
      <c r="AB22" s="127"/>
      <c r="AC22" s="127"/>
      <c r="AD22" s="127">
        <f t="shared" ref="AD22:AP22" si="3">SUM(AD23:AD99)</f>
        <v>1355535.250000004</v>
      </c>
      <c r="AE22" s="127">
        <f t="shared" si="3"/>
        <v>431804.52624999994</v>
      </c>
      <c r="AF22" s="127">
        <f t="shared" si="3"/>
        <v>-1042865.0399999971</v>
      </c>
      <c r="AG22" s="127">
        <f t="shared" si="3"/>
        <v>744474.73624998587</v>
      </c>
      <c r="AH22" s="127">
        <f t="shared" si="3"/>
        <v>-6408602.3075000159</v>
      </c>
      <c r="AI22" s="127">
        <f t="shared" si="3"/>
        <v>5466171.7388499994</v>
      </c>
      <c r="AJ22" s="127">
        <f t="shared" si="3"/>
        <v>-942430.56865005195</v>
      </c>
      <c r="AK22" s="127">
        <f t="shared" si="3"/>
        <v>-19925872.889999859</v>
      </c>
      <c r="AL22" s="127">
        <f t="shared" si="3"/>
        <v>-20868303.458649911</v>
      </c>
      <c r="AM22" s="127">
        <f t="shared" si="3"/>
        <v>-21516610.97679776</v>
      </c>
      <c r="AN22" s="127">
        <f t="shared" si="3"/>
        <v>20798428.766462505</v>
      </c>
      <c r="AO22" s="127">
        <f t="shared" si="3"/>
        <v>-718182.21033483744</v>
      </c>
      <c r="AP22" s="127">
        <f t="shared" si="3"/>
        <v>-76601229.067021564</v>
      </c>
      <c r="AQ22" s="127">
        <f>SUBTOTAL(9,(AQ23:AQ24))</f>
        <v>-9426780.3592999876</v>
      </c>
    </row>
    <row r="23" spans="1:43" s="82" customFormat="1" ht="55.5" customHeight="1" x14ac:dyDescent="0.2">
      <c r="A23" s="128" t="s">
        <v>599</v>
      </c>
      <c r="B23" s="128" t="s">
        <v>600</v>
      </c>
      <c r="C23" s="128"/>
      <c r="D23" s="128"/>
      <c r="E23" s="128" t="s">
        <v>601</v>
      </c>
      <c r="F23" s="128" t="s">
        <v>602</v>
      </c>
      <c r="G23" s="129">
        <f t="shared" ref="G23:G30" si="4">$G$19</f>
        <v>8157.41</v>
      </c>
      <c r="H23" s="130">
        <f t="shared" ref="H23:H30" si="5">I23-G23</f>
        <v>8255.9399999999987</v>
      </c>
      <c r="I23" s="131">
        <v>16413.349999999999</v>
      </c>
      <c r="J23" s="132">
        <v>256</v>
      </c>
      <c r="K23" s="133">
        <v>256</v>
      </c>
      <c r="L23" s="134">
        <f t="shared" ref="L23:L30" si="6">I23*K23</f>
        <v>4201817.5999999996</v>
      </c>
      <c r="M23" s="135">
        <f t="shared" ref="M23:M30" si="7">IF(H23&gt;0,(H23*K23)*0.085,0)</f>
        <v>179649.25439999998</v>
      </c>
      <c r="N23" s="136">
        <f t="shared" ref="N23:N30" si="8">IF(I23&lt;G23,I23*0.28*K23,G23*0.28*K23)</f>
        <v>584723.14880000008</v>
      </c>
      <c r="O23" s="137">
        <f>SUM(L23:N23)</f>
        <v>4966190.0032000002</v>
      </c>
      <c r="P23" s="138">
        <v>12</v>
      </c>
      <c r="Q23" s="134">
        <f t="shared" ref="Q23:Q30" si="9">IF(P23&lt;&gt;0,(L23*(12-P23+1))+(L23*((12-P23+1)/12))+((L23*((12-P23+1)/12))/3),0)</f>
        <v>4668686.222222222</v>
      </c>
      <c r="R23" s="135">
        <f t="shared" ref="R23:R30" si="10">IF(P23&lt;&gt;0,M23*(12-P23+1)+(M23*((12-P23+1)/12)),0)</f>
        <v>194620.02559999996</v>
      </c>
      <c r="S23" s="136">
        <f>SUBTOTAL(9,Q23:R23)</f>
        <v>4863306.2478222223</v>
      </c>
      <c r="T23" s="135">
        <f t="shared" ref="T23:T30" si="11">IF(P23&lt;&gt;0,N23*(12-P23+1)+(N23*((12-P23+1)/12)),0)</f>
        <v>633450.07786666672</v>
      </c>
      <c r="U23" s="137">
        <f>SUBTOTAL(9,Q23:T23)</f>
        <v>5496756.3256888893</v>
      </c>
      <c r="V23" s="135">
        <f t="shared" ref="V23:V30" si="12">IF(P23&lt;&gt;0,L23*(13+(1/3)),0)</f>
        <v>56024234.666666664</v>
      </c>
      <c r="W23" s="136">
        <f t="shared" ref="W23:W30" si="13">IF(Q23&lt;&gt;0,M23*13,0)</f>
        <v>2335440.3071999997</v>
      </c>
      <c r="X23" s="137">
        <f>SUBTOTAL(9,V23:W23)</f>
        <v>58359674.973866664</v>
      </c>
      <c r="Y23" s="134">
        <f t="shared" ref="Y23:Y30" si="14">IF(T23&lt;&gt;0,N23*(13),0)</f>
        <v>7601400.9344000015</v>
      </c>
      <c r="Z23" s="137">
        <f>SUBTOTAL(9,V23:Y23)</f>
        <v>65961075.908266664</v>
      </c>
      <c r="AA23" s="139">
        <v>8574.25</v>
      </c>
      <c r="AB23" s="130">
        <f t="shared" ref="AB23:AB30" si="15">AC23-AA23</f>
        <v>9152.1699999999983</v>
      </c>
      <c r="AC23" s="131">
        <v>17726.419999999998</v>
      </c>
      <c r="AD23" s="134">
        <f t="shared" ref="AD23:AD30" si="16">AC23*K23</f>
        <v>4537963.5199999996</v>
      </c>
      <c r="AE23" s="135">
        <f t="shared" ref="AE23:AE30" si="17">IF(AB23&gt;0,(AB23*K23)*0.085,0)</f>
        <v>199151.21919999996</v>
      </c>
      <c r="AF23" s="136">
        <f t="shared" ref="AF23:AF30" si="18">IF(AC23&lt;AA23,AC23*0.28*K23,AA23*0.28*K23)</f>
        <v>614602.24000000011</v>
      </c>
      <c r="AG23" s="137">
        <f>SUM(AD23:AF23)</f>
        <v>5351716.9791999999</v>
      </c>
      <c r="AH23" s="135">
        <f t="shared" ref="AH23:AH30" si="19">SUM(L23*3,AD23*10.33)</f>
        <v>59482615.961599991</v>
      </c>
      <c r="AI23" s="135">
        <f t="shared" ref="AI23:AI30" si="20">SUM(M23*3,AE23*10)</f>
        <v>2530459.9551999997</v>
      </c>
      <c r="AJ23" s="137">
        <f>SUBTOTAL(9,AH23:AI23)</f>
        <v>62013075.916799992</v>
      </c>
      <c r="AK23" s="134">
        <f t="shared" ref="AK23:AK30" si="21">SUM(N23*3,AF23*10)</f>
        <v>7900191.846400002</v>
      </c>
      <c r="AL23" s="137">
        <f>SUBTOTAL(9,AH23:AK23)</f>
        <v>69913267.7632</v>
      </c>
      <c r="AM23" s="136">
        <f>AD23*13.33</f>
        <v>60491053.721599996</v>
      </c>
      <c r="AN23" s="136">
        <f>AE23*13</f>
        <v>2588965.8495999994</v>
      </c>
      <c r="AO23" s="137">
        <f>AM23+AN23</f>
        <v>63080019.571199998</v>
      </c>
      <c r="AP23" s="136">
        <f>AF23*13</f>
        <v>7989829.120000001</v>
      </c>
      <c r="AQ23" s="137">
        <f>AO23+AP23</f>
        <v>71069848.691200003</v>
      </c>
    </row>
    <row r="24" spans="1:43" s="82" customFormat="1" ht="55.5" customHeight="1" x14ac:dyDescent="0.2">
      <c r="A24" s="128" t="s">
        <v>603</v>
      </c>
      <c r="B24" s="128" t="s">
        <v>604</v>
      </c>
      <c r="C24" s="128"/>
      <c r="D24" s="128"/>
      <c r="E24" s="128" t="s">
        <v>601</v>
      </c>
      <c r="F24" s="128" t="s">
        <v>605</v>
      </c>
      <c r="G24" s="129">
        <f t="shared" si="4"/>
        <v>8157.41</v>
      </c>
      <c r="H24" s="130">
        <f t="shared" si="5"/>
        <v>-2810.7200000000003</v>
      </c>
      <c r="I24" s="131">
        <v>5346.69</v>
      </c>
      <c r="J24" s="132">
        <v>-845</v>
      </c>
      <c r="K24" s="133">
        <v>-845</v>
      </c>
      <c r="L24" s="134">
        <f t="shared" si="6"/>
        <v>-4517953.05</v>
      </c>
      <c r="M24" s="135">
        <f t="shared" si="7"/>
        <v>0</v>
      </c>
      <c r="N24" s="136">
        <f t="shared" si="8"/>
        <v>-1265026.8540000001</v>
      </c>
      <c r="O24" s="137">
        <f>SUM(L24:N24)</f>
        <v>-5782979.9040000001</v>
      </c>
      <c r="P24" s="138">
        <v>12</v>
      </c>
      <c r="Q24" s="134">
        <f t="shared" si="9"/>
        <v>-5019947.833333334</v>
      </c>
      <c r="R24" s="135">
        <f t="shared" si="10"/>
        <v>0</v>
      </c>
      <c r="S24" s="136">
        <f>SUBTOTAL(9,Q24:R24)</f>
        <v>-5019947.833333334</v>
      </c>
      <c r="T24" s="135">
        <f t="shared" si="11"/>
        <v>-1370445.7585</v>
      </c>
      <c r="U24" s="137">
        <f>SUBTOTAL(9,Q24:T24)</f>
        <v>-6390393.5918333344</v>
      </c>
      <c r="V24" s="135">
        <f t="shared" si="12"/>
        <v>-60239374</v>
      </c>
      <c r="W24" s="136">
        <f t="shared" si="13"/>
        <v>0</v>
      </c>
      <c r="X24" s="137">
        <f>SUBTOTAL(9,V24:W24)</f>
        <v>-60239374</v>
      </c>
      <c r="Y24" s="134">
        <f t="shared" si="14"/>
        <v>-16445349.102</v>
      </c>
      <c r="Z24" s="137">
        <f>SUBTOTAL(9,V24:Y24)</f>
        <v>-76684723.101999998</v>
      </c>
      <c r="AA24" s="139">
        <v>8574.25</v>
      </c>
      <c r="AB24" s="130">
        <f t="shared" si="15"/>
        <v>-2960.6800000000003</v>
      </c>
      <c r="AC24" s="131">
        <v>5613.57</v>
      </c>
      <c r="AD24" s="134">
        <f t="shared" si="16"/>
        <v>-4743466.6499999994</v>
      </c>
      <c r="AE24" s="135">
        <f t="shared" si="17"/>
        <v>0</v>
      </c>
      <c r="AF24" s="136">
        <f t="shared" si="18"/>
        <v>-1328170.662</v>
      </c>
      <c r="AG24" s="137">
        <f>SUM(AD24:AF24)</f>
        <v>-6071637.311999999</v>
      </c>
      <c r="AH24" s="135">
        <f t="shared" si="19"/>
        <v>-62553869.644499995</v>
      </c>
      <c r="AI24" s="135">
        <f t="shared" si="20"/>
        <v>0</v>
      </c>
      <c r="AJ24" s="137">
        <f>SUBTOTAL(9,AH24:AI24)</f>
        <v>-62553869.644499995</v>
      </c>
      <c r="AK24" s="134">
        <f t="shared" si="21"/>
        <v>-17076787.182</v>
      </c>
      <c r="AL24" s="137">
        <f>SUBTOTAL(9,AH24:AK24)</f>
        <v>-79630656.826499999</v>
      </c>
      <c r="AM24" s="136">
        <f>AD24*13.33</f>
        <v>-63230410.444499992</v>
      </c>
      <c r="AN24" s="136">
        <f>AE24*13</f>
        <v>0</v>
      </c>
      <c r="AO24" s="137">
        <f>AM24+AN24</f>
        <v>-63230410.444499992</v>
      </c>
      <c r="AP24" s="136">
        <f>AF24*13</f>
        <v>-17266218.605999999</v>
      </c>
      <c r="AQ24" s="137">
        <f>AO24+AP24</f>
        <v>-80496629.050499991</v>
      </c>
    </row>
    <row r="25" spans="1:43" s="82" customFormat="1" ht="55.5" customHeight="1" x14ac:dyDescent="0.2">
      <c r="A25" s="128" t="s">
        <v>606</v>
      </c>
      <c r="B25" s="128" t="s">
        <v>607</v>
      </c>
      <c r="C25" s="128"/>
      <c r="D25" s="128"/>
      <c r="E25" s="128" t="s">
        <v>601</v>
      </c>
      <c r="F25" s="128" t="s">
        <v>608</v>
      </c>
      <c r="G25" s="129">
        <f t="shared" si="4"/>
        <v>8157.41</v>
      </c>
      <c r="H25" s="130">
        <f t="shared" si="5"/>
        <v>8255.9399999999987</v>
      </c>
      <c r="I25" s="131">
        <v>16413.349999999999</v>
      </c>
      <c r="J25" s="132">
        <v>172</v>
      </c>
      <c r="K25" s="133">
        <v>172</v>
      </c>
      <c r="L25" s="134">
        <f t="shared" si="6"/>
        <v>2823096.1999999997</v>
      </c>
      <c r="M25" s="135">
        <f t="shared" si="7"/>
        <v>120701.84279999998</v>
      </c>
      <c r="N25" s="136">
        <f t="shared" si="8"/>
        <v>392860.86560000008</v>
      </c>
      <c r="O25" s="137">
        <f>SUM(L25:N25)</f>
        <v>3336658.9084000001</v>
      </c>
      <c r="P25" s="138">
        <v>12</v>
      </c>
      <c r="Q25" s="134">
        <f t="shared" si="9"/>
        <v>3136773.555555555</v>
      </c>
      <c r="R25" s="135">
        <f t="shared" si="10"/>
        <v>130760.32969999999</v>
      </c>
      <c r="S25" s="136">
        <f>SUBTOTAL(9,Q25:R25)</f>
        <v>3267533.8852555552</v>
      </c>
      <c r="T25" s="135">
        <f t="shared" si="11"/>
        <v>425599.27106666676</v>
      </c>
      <c r="U25" s="137">
        <f>SUBTOTAL(9,Q25:T25)</f>
        <v>3693133.1563222217</v>
      </c>
      <c r="V25" s="135">
        <f t="shared" si="12"/>
        <v>37641282.666666664</v>
      </c>
      <c r="W25" s="136">
        <f t="shared" si="13"/>
        <v>1569123.9563999998</v>
      </c>
      <c r="X25" s="137">
        <f>SUBTOTAL(9,V25:W25)</f>
        <v>39210406.623066664</v>
      </c>
      <c r="Y25" s="134">
        <f t="shared" si="14"/>
        <v>5107191.2528000008</v>
      </c>
      <c r="Z25" s="137">
        <f>SUBTOTAL(9,V25:Y25)</f>
        <v>44317597.875866666</v>
      </c>
      <c r="AA25" s="139">
        <v>8574.25</v>
      </c>
      <c r="AB25" s="130">
        <f t="shared" si="15"/>
        <v>9152.1699999999983</v>
      </c>
      <c r="AC25" s="131">
        <v>17726.419999999998</v>
      </c>
      <c r="AD25" s="134">
        <f t="shared" si="16"/>
        <v>3048944.2399999998</v>
      </c>
      <c r="AE25" s="135">
        <f t="shared" si="17"/>
        <v>133804.7254</v>
      </c>
      <c r="AF25" s="136">
        <f t="shared" si="18"/>
        <v>412935.88000000006</v>
      </c>
      <c r="AG25" s="137">
        <f>SUM(AD25:AF25)</f>
        <v>3595684.8453999995</v>
      </c>
      <c r="AH25" s="135">
        <f t="shared" si="19"/>
        <v>39964882.599199995</v>
      </c>
      <c r="AI25" s="135">
        <f t="shared" si="20"/>
        <v>1700152.7823999999</v>
      </c>
      <c r="AJ25" s="137">
        <f>SUBTOTAL(9,AH25:AI25)</f>
        <v>41665035.381599993</v>
      </c>
      <c r="AK25" s="134">
        <f t="shared" si="21"/>
        <v>5307941.3968000012</v>
      </c>
      <c r="AL25" s="137">
        <f>SUBTOTAL(9,AH25:AK25)</f>
        <v>46972976.778399996</v>
      </c>
      <c r="AM25" s="136">
        <f>AD25*13.33</f>
        <v>40642426.7192</v>
      </c>
      <c r="AN25" s="136">
        <f>AE25*13</f>
        <v>1739461.4301999998</v>
      </c>
      <c r="AO25" s="137">
        <f>AM25+AN25</f>
        <v>42381888.149400003</v>
      </c>
      <c r="AP25" s="136">
        <f>AF25*13</f>
        <v>5368166.4400000004</v>
      </c>
      <c r="AQ25" s="137">
        <f>AO25+AP25</f>
        <v>47750054.589400001</v>
      </c>
    </row>
    <row r="26" spans="1:43" s="82" customFormat="1" ht="55.5" customHeight="1" x14ac:dyDescent="0.2">
      <c r="A26" s="128" t="s">
        <v>603</v>
      </c>
      <c r="B26" s="128" t="s">
        <v>604</v>
      </c>
      <c r="C26" s="128"/>
      <c r="D26" s="128"/>
      <c r="E26" s="128" t="s">
        <v>601</v>
      </c>
      <c r="F26" s="128" t="s">
        <v>605</v>
      </c>
      <c r="G26" s="129">
        <f t="shared" si="4"/>
        <v>8157.41</v>
      </c>
      <c r="H26" s="130">
        <f t="shared" si="5"/>
        <v>-2810.7200000000003</v>
      </c>
      <c r="I26" s="131">
        <v>5346.69</v>
      </c>
      <c r="J26" s="132">
        <v>-502</v>
      </c>
      <c r="K26" s="132">
        <v>-502</v>
      </c>
      <c r="L26" s="134">
        <f t="shared" si="6"/>
        <v>-2684038.38</v>
      </c>
      <c r="M26" s="135">
        <f t="shared" si="7"/>
        <v>0</v>
      </c>
      <c r="N26" s="136">
        <f t="shared" si="8"/>
        <v>-751530.74640000006</v>
      </c>
      <c r="O26" s="137">
        <f>SUM(L26:N26)</f>
        <v>-3435569.1264</v>
      </c>
      <c r="P26" s="138">
        <v>12</v>
      </c>
      <c r="Q26" s="134">
        <f t="shared" si="9"/>
        <v>-2982264.8666666667</v>
      </c>
      <c r="R26" s="135">
        <f t="shared" si="10"/>
        <v>0</v>
      </c>
      <c r="S26" s="136">
        <f>SUBTOTAL(9,Q26:R26)</f>
        <v>-2982264.8666666667</v>
      </c>
      <c r="T26" s="135">
        <f t="shared" si="11"/>
        <v>-814158.30860000011</v>
      </c>
      <c r="U26" s="137">
        <f>SUBTOTAL(9,Q26:T26)</f>
        <v>-3796423.1752666668</v>
      </c>
      <c r="V26" s="135">
        <f t="shared" si="12"/>
        <v>-35787178.399999999</v>
      </c>
      <c r="W26" s="136">
        <f t="shared" si="13"/>
        <v>0</v>
      </c>
      <c r="X26" s="137">
        <f>SUBTOTAL(9,V26:W26)</f>
        <v>-35787178.399999999</v>
      </c>
      <c r="Y26" s="134">
        <f t="shared" si="14"/>
        <v>-9769899.7032000013</v>
      </c>
      <c r="Z26" s="137">
        <f>SUBTOTAL(9,V26:Y26)</f>
        <v>-45557078.103200004</v>
      </c>
      <c r="AA26" s="139">
        <v>8574.25</v>
      </c>
      <c r="AB26" s="130">
        <f t="shared" si="15"/>
        <v>-2960.6800000000003</v>
      </c>
      <c r="AC26" s="131">
        <v>5613.57</v>
      </c>
      <c r="AD26" s="134">
        <f t="shared" si="16"/>
        <v>-2818012.1399999997</v>
      </c>
      <c r="AE26" s="135">
        <f t="shared" si="17"/>
        <v>0</v>
      </c>
      <c r="AF26" s="136">
        <f t="shared" si="18"/>
        <v>-789043.39919999999</v>
      </c>
      <c r="AG26" s="137">
        <f>SUM(AD26:AF26)</f>
        <v>-3607055.5391999995</v>
      </c>
      <c r="AH26" s="135">
        <f t="shared" si="19"/>
        <v>-37162180.546199992</v>
      </c>
      <c r="AI26" s="135">
        <f t="shared" si="20"/>
        <v>0</v>
      </c>
      <c r="AJ26" s="137">
        <f>SUBTOTAL(9,AH26:AI26)</f>
        <v>-37162180.546199992</v>
      </c>
      <c r="AK26" s="134">
        <f t="shared" si="21"/>
        <v>-10145026.2312</v>
      </c>
      <c r="AL26" s="137">
        <f>SUBTOTAL(9,AH26:AK26)</f>
        <v>-47307206.777399994</v>
      </c>
      <c r="AM26" s="136">
        <f>AD26*13.33</f>
        <v>-37564101.826199993</v>
      </c>
      <c r="AN26" s="136">
        <f>AE26*13</f>
        <v>0</v>
      </c>
      <c r="AO26" s="137">
        <f>AM26+AN26</f>
        <v>-37564101.826199993</v>
      </c>
      <c r="AP26" s="136">
        <f>AF26*13</f>
        <v>-10257564.1896</v>
      </c>
      <c r="AQ26" s="137">
        <f>AO26+AP26</f>
        <v>-47821666.015799992</v>
      </c>
    </row>
    <row r="27" spans="1:43" s="82" customFormat="1" ht="55.5" customHeight="1" x14ac:dyDescent="0.2">
      <c r="A27" s="128" t="s">
        <v>606</v>
      </c>
      <c r="B27" s="128" t="s">
        <v>609</v>
      </c>
      <c r="C27" s="128"/>
      <c r="D27" s="128"/>
      <c r="E27" s="128" t="s">
        <v>601</v>
      </c>
      <c r="F27" s="128" t="s">
        <v>610</v>
      </c>
      <c r="G27" s="129">
        <f t="shared" si="4"/>
        <v>8157.41</v>
      </c>
      <c r="H27" s="130">
        <f t="shared" si="5"/>
        <v>-509.23999999999978</v>
      </c>
      <c r="I27" s="131">
        <v>7648.17</v>
      </c>
      <c r="J27" s="132">
        <v>-45</v>
      </c>
      <c r="K27" s="132">
        <v>-45</v>
      </c>
      <c r="L27" s="134">
        <f t="shared" si="6"/>
        <v>-344167.65</v>
      </c>
      <c r="M27" s="135">
        <f t="shared" si="7"/>
        <v>0</v>
      </c>
      <c r="N27" s="136">
        <f t="shared" si="8"/>
        <v>-96366.94200000001</v>
      </c>
      <c r="O27" s="137">
        <f>SUM(L27:N27)</f>
        <v>-440534.59200000006</v>
      </c>
      <c r="P27" s="138">
        <v>12</v>
      </c>
      <c r="Q27" s="134">
        <f t="shared" si="9"/>
        <v>-382408.50000000006</v>
      </c>
      <c r="R27" s="135">
        <f t="shared" si="10"/>
        <v>0</v>
      </c>
      <c r="S27" s="136">
        <f>SUBTOTAL(9,Q27:R27)</f>
        <v>-382408.50000000006</v>
      </c>
      <c r="T27" s="135">
        <f t="shared" si="11"/>
        <v>-104397.52050000001</v>
      </c>
      <c r="U27" s="137">
        <f>SUBTOTAL(9,Q27:T27)</f>
        <v>-486806.0205000001</v>
      </c>
      <c r="V27" s="135">
        <f t="shared" si="12"/>
        <v>-4588902.0000000009</v>
      </c>
      <c r="W27" s="136">
        <f t="shared" si="13"/>
        <v>0</v>
      </c>
      <c r="X27" s="137">
        <f>SUBTOTAL(9,V27:W27)</f>
        <v>-4588902.0000000009</v>
      </c>
      <c r="Y27" s="134">
        <f t="shared" si="14"/>
        <v>-1252770.246</v>
      </c>
      <c r="Z27" s="137">
        <f>SUBTOTAL(9,V27:Y27)</f>
        <v>-5841672.2460000012</v>
      </c>
      <c r="AA27" s="139">
        <v>8574.25</v>
      </c>
      <c r="AB27" s="130">
        <f t="shared" si="15"/>
        <v>-314.22999999999956</v>
      </c>
      <c r="AC27" s="131">
        <v>8260.02</v>
      </c>
      <c r="AD27" s="134">
        <f t="shared" si="16"/>
        <v>-371700.9</v>
      </c>
      <c r="AE27" s="135">
        <f t="shared" si="17"/>
        <v>0</v>
      </c>
      <c r="AF27" s="136">
        <f t="shared" si="18"/>
        <v>-104076.25200000001</v>
      </c>
      <c r="AG27" s="137">
        <f>SUM(AD27:AF27)</f>
        <v>-475777.152</v>
      </c>
      <c r="AH27" s="135">
        <f t="shared" si="19"/>
        <v>-4872173.2470000004</v>
      </c>
      <c r="AI27" s="135">
        <f t="shared" si="20"/>
        <v>0</v>
      </c>
      <c r="AJ27" s="137">
        <f>SUBTOTAL(9,AH27:AI27)</f>
        <v>-4872173.2470000004</v>
      </c>
      <c r="AK27" s="134">
        <f t="shared" si="21"/>
        <v>-1329863.3459999999</v>
      </c>
      <c r="AL27" s="137">
        <f>SUBTOTAL(9,AH27:AK27)</f>
        <v>-6202036.5930000003</v>
      </c>
      <c r="AM27" s="136">
        <f>AD27*13.33</f>
        <v>-4954772.9970000004</v>
      </c>
      <c r="AN27" s="136">
        <f>AE27*13</f>
        <v>0</v>
      </c>
      <c r="AO27" s="137">
        <f>AM27+AN27</f>
        <v>-4954772.9970000004</v>
      </c>
      <c r="AP27" s="136">
        <f>AF27*13</f>
        <v>-1352991.2760000001</v>
      </c>
      <c r="AQ27" s="137">
        <f>AO27+AP27</f>
        <v>-6307764.273</v>
      </c>
    </row>
    <row r="28" spans="1:43" s="82" customFormat="1" ht="24.95" customHeight="1" x14ac:dyDescent="0.2">
      <c r="A28" s="128" t="s">
        <v>611</v>
      </c>
      <c r="B28" s="128" t="s">
        <v>612</v>
      </c>
      <c r="C28" s="128"/>
      <c r="D28" s="128"/>
      <c r="E28" s="128" t="s">
        <v>601</v>
      </c>
      <c r="F28" s="128" t="s">
        <v>613</v>
      </c>
      <c r="G28" s="139">
        <f t="shared" si="4"/>
        <v>8157.41</v>
      </c>
      <c r="H28" s="140">
        <f t="shared" si="5"/>
        <v>-1294.04</v>
      </c>
      <c r="I28" s="141">
        <v>6863.37</v>
      </c>
      <c r="J28" s="142">
        <v>-27</v>
      </c>
      <c r="K28" s="142">
        <v>-27</v>
      </c>
      <c r="L28" s="134">
        <f t="shared" si="6"/>
        <v>-185310.99</v>
      </c>
      <c r="M28" s="135">
        <f t="shared" si="7"/>
        <v>0</v>
      </c>
      <c r="N28" s="136">
        <f t="shared" si="8"/>
        <v>-51887.077200000007</v>
      </c>
      <c r="O28" s="137">
        <f>N28+M28+L28</f>
        <v>-237198.06719999999</v>
      </c>
      <c r="P28" s="138">
        <v>12</v>
      </c>
      <c r="Q28" s="134">
        <f t="shared" si="9"/>
        <v>-205901.09999999998</v>
      </c>
      <c r="R28" s="135">
        <f t="shared" si="10"/>
        <v>0</v>
      </c>
      <c r="S28" s="136">
        <f>R28+Q28</f>
        <v>-205901.09999999998</v>
      </c>
      <c r="T28" s="135">
        <f t="shared" si="11"/>
        <v>-56211.000300000007</v>
      </c>
      <c r="U28" s="137">
        <f>S28+T28</f>
        <v>-262112.10029999999</v>
      </c>
      <c r="V28" s="135">
        <f t="shared" si="12"/>
        <v>-2470813.2000000002</v>
      </c>
      <c r="W28" s="136">
        <f t="shared" si="13"/>
        <v>0</v>
      </c>
      <c r="X28" s="137">
        <f>V28+W28</f>
        <v>-2470813.2000000002</v>
      </c>
      <c r="Y28" s="134">
        <f t="shared" si="14"/>
        <v>-674532.00360000005</v>
      </c>
      <c r="Z28" s="137">
        <f>Y28+X28</f>
        <v>-3145345.2036000001</v>
      </c>
      <c r="AA28" s="139">
        <v>8574.25</v>
      </c>
      <c r="AB28" s="140">
        <f t="shared" si="15"/>
        <v>-1368.1599999999999</v>
      </c>
      <c r="AC28" s="141">
        <f t="shared" ref="AC28:AC36" si="22">2997.09+4209</f>
        <v>7206.09</v>
      </c>
      <c r="AD28" s="134">
        <f t="shared" si="16"/>
        <v>-194564.43</v>
      </c>
      <c r="AE28" s="135">
        <f t="shared" si="17"/>
        <v>0</v>
      </c>
      <c r="AF28" s="136">
        <f t="shared" si="18"/>
        <v>-54478.040400000013</v>
      </c>
      <c r="AG28" s="137">
        <f>+AE28+AD28+AF28</f>
        <v>-249042.47039999999</v>
      </c>
      <c r="AH28" s="135">
        <f t="shared" si="19"/>
        <v>-2565783.5318999998</v>
      </c>
      <c r="AI28" s="135">
        <f t="shared" si="20"/>
        <v>0</v>
      </c>
      <c r="AJ28" s="137">
        <f>AI28+AH28</f>
        <v>-2565783.5318999998</v>
      </c>
      <c r="AK28" s="134">
        <f t="shared" si="21"/>
        <v>-700441.63560000015</v>
      </c>
      <c r="AL28" s="137">
        <f>AJ28+AK28</f>
        <v>-3266225.1675</v>
      </c>
      <c r="AM28" s="143">
        <f>13.33*AH28</f>
        <v>-34201894.480227001</v>
      </c>
      <c r="AN28" s="143">
        <f>13.33*AI28</f>
        <v>0</v>
      </c>
      <c r="AO28" s="143">
        <f>AN28+AM28</f>
        <v>-34201894.480227001</v>
      </c>
      <c r="AP28" s="143">
        <f>13.33*AK28</f>
        <v>-9336887.0025480017</v>
      </c>
      <c r="AQ28" s="144">
        <f>AP28+AO28</f>
        <v>-43538781.482775003</v>
      </c>
    </row>
    <row r="29" spans="1:43" s="82" customFormat="1" ht="24.95" customHeight="1" x14ac:dyDescent="0.2">
      <c r="A29" s="128" t="s">
        <v>611</v>
      </c>
      <c r="B29" s="128" t="s">
        <v>612</v>
      </c>
      <c r="C29" s="128"/>
      <c r="D29" s="128"/>
      <c r="E29" s="128" t="s">
        <v>601</v>
      </c>
      <c r="F29" s="128" t="s">
        <v>614</v>
      </c>
      <c r="G29" s="139">
        <f t="shared" si="4"/>
        <v>8157.41</v>
      </c>
      <c r="H29" s="140">
        <f t="shared" si="5"/>
        <v>-1294.04</v>
      </c>
      <c r="I29" s="141">
        <v>6863.37</v>
      </c>
      <c r="J29" s="142">
        <v>-9</v>
      </c>
      <c r="K29" s="142">
        <v>-9</v>
      </c>
      <c r="L29" s="134">
        <f t="shared" si="6"/>
        <v>-61770.33</v>
      </c>
      <c r="M29" s="135">
        <f t="shared" si="7"/>
        <v>0</v>
      </c>
      <c r="N29" s="136">
        <f t="shared" si="8"/>
        <v>-17295.692400000004</v>
      </c>
      <c r="O29" s="137">
        <f t="shared" ref="O29:O89" si="23">N29+M29+L29</f>
        <v>-79066.022400000002</v>
      </c>
      <c r="P29" s="138">
        <v>12</v>
      </c>
      <c r="Q29" s="134">
        <f t="shared" si="9"/>
        <v>-68633.7</v>
      </c>
      <c r="R29" s="135">
        <f t="shared" si="10"/>
        <v>0</v>
      </c>
      <c r="S29" s="136">
        <f t="shared" ref="S29:S89" si="24">R29+Q29</f>
        <v>-68633.7</v>
      </c>
      <c r="T29" s="135">
        <f t="shared" si="11"/>
        <v>-18737.000100000005</v>
      </c>
      <c r="U29" s="137">
        <f t="shared" ref="U29:U89" si="25">S29+T29</f>
        <v>-87370.700100000002</v>
      </c>
      <c r="V29" s="135">
        <f t="shared" si="12"/>
        <v>-823604.4</v>
      </c>
      <c r="W29" s="136">
        <f t="shared" si="13"/>
        <v>0</v>
      </c>
      <c r="X29" s="137">
        <f t="shared" ref="X29:X89" si="26">V29+W29</f>
        <v>-823604.4</v>
      </c>
      <c r="Y29" s="134">
        <f t="shared" si="14"/>
        <v>-224844.00120000006</v>
      </c>
      <c r="Z29" s="137">
        <f t="shared" ref="Z29:Z89" si="27">Y29+X29</f>
        <v>-1048448.4012000001</v>
      </c>
      <c r="AA29" s="139">
        <v>8574.25</v>
      </c>
      <c r="AB29" s="140">
        <f t="shared" si="15"/>
        <v>-1368.1599999999999</v>
      </c>
      <c r="AC29" s="141">
        <f t="shared" si="22"/>
        <v>7206.09</v>
      </c>
      <c r="AD29" s="134">
        <f t="shared" si="16"/>
        <v>-64854.81</v>
      </c>
      <c r="AE29" s="135">
        <f t="shared" si="17"/>
        <v>0</v>
      </c>
      <c r="AF29" s="136">
        <f t="shared" si="18"/>
        <v>-18159.346800000003</v>
      </c>
      <c r="AG29" s="137">
        <f t="shared" ref="AG29:AG89" si="28">+AE29+AD29+AF29</f>
        <v>-83014.156799999997</v>
      </c>
      <c r="AH29" s="135">
        <f t="shared" si="19"/>
        <v>-855261.17729999998</v>
      </c>
      <c r="AI29" s="135">
        <f t="shared" si="20"/>
        <v>0</v>
      </c>
      <c r="AJ29" s="137">
        <f t="shared" ref="AJ29:AJ89" si="29">AI29+AH29</f>
        <v>-855261.17729999998</v>
      </c>
      <c r="AK29" s="134">
        <f t="shared" si="21"/>
        <v>-233480.54520000005</v>
      </c>
      <c r="AL29" s="137">
        <f t="shared" ref="AL29:AL89" si="30">AJ29+AK29</f>
        <v>-1088741.7225000001</v>
      </c>
      <c r="AM29" s="143">
        <f t="shared" ref="AM29:AN89" si="31">13.33*AH29</f>
        <v>-11400631.493409</v>
      </c>
      <c r="AN29" s="143">
        <f t="shared" si="31"/>
        <v>0</v>
      </c>
      <c r="AO29" s="143">
        <f t="shared" ref="AO29:AO89" si="32">AN29+AM29</f>
        <v>-11400631.493409</v>
      </c>
      <c r="AP29" s="143">
        <f t="shared" ref="AP29:AP89" si="33">13.33*AK29</f>
        <v>-3112295.6675160006</v>
      </c>
      <c r="AQ29" s="144">
        <f t="shared" ref="AQ29:AQ89" si="34">AP29+AO29</f>
        <v>-14512927.160925001</v>
      </c>
    </row>
    <row r="30" spans="1:43" s="82" customFormat="1" ht="24.95" customHeight="1" x14ac:dyDescent="0.2">
      <c r="A30" s="128" t="s">
        <v>611</v>
      </c>
      <c r="B30" s="128" t="s">
        <v>612</v>
      </c>
      <c r="C30" s="128"/>
      <c r="D30" s="128"/>
      <c r="E30" s="128" t="s">
        <v>601</v>
      </c>
      <c r="F30" s="128" t="s">
        <v>615</v>
      </c>
      <c r="G30" s="139">
        <f t="shared" si="4"/>
        <v>8157.41</v>
      </c>
      <c r="H30" s="140">
        <f t="shared" si="5"/>
        <v>-1294.04</v>
      </c>
      <c r="I30" s="141">
        <v>6863.37</v>
      </c>
      <c r="J30" s="142">
        <v>-1</v>
      </c>
      <c r="K30" s="142">
        <v>-1</v>
      </c>
      <c r="L30" s="134">
        <f t="shared" si="6"/>
        <v>-6863.37</v>
      </c>
      <c r="M30" s="135">
        <f t="shared" si="7"/>
        <v>0</v>
      </c>
      <c r="N30" s="136">
        <f t="shared" si="8"/>
        <v>-1921.7436000000002</v>
      </c>
      <c r="O30" s="137">
        <f t="shared" si="23"/>
        <v>-8785.1136000000006</v>
      </c>
      <c r="P30" s="138">
        <v>12</v>
      </c>
      <c r="Q30" s="134">
        <f t="shared" si="9"/>
        <v>-7625.9666666666672</v>
      </c>
      <c r="R30" s="135">
        <f t="shared" si="10"/>
        <v>0</v>
      </c>
      <c r="S30" s="136">
        <f t="shared" si="24"/>
        <v>-7625.9666666666672</v>
      </c>
      <c r="T30" s="135">
        <f t="shared" si="11"/>
        <v>-2081.8889000000004</v>
      </c>
      <c r="U30" s="137">
        <f t="shared" si="25"/>
        <v>-9707.8555666666671</v>
      </c>
      <c r="V30" s="135">
        <f t="shared" si="12"/>
        <v>-91511.6</v>
      </c>
      <c r="W30" s="136">
        <f t="shared" si="13"/>
        <v>0</v>
      </c>
      <c r="X30" s="137">
        <f t="shared" si="26"/>
        <v>-91511.6</v>
      </c>
      <c r="Y30" s="134">
        <f t="shared" si="14"/>
        <v>-24982.666800000003</v>
      </c>
      <c r="Z30" s="137">
        <f t="shared" si="27"/>
        <v>-116494.26680000001</v>
      </c>
      <c r="AA30" s="139">
        <v>8574.25</v>
      </c>
      <c r="AB30" s="140">
        <f t="shared" si="15"/>
        <v>-1368.1599999999999</v>
      </c>
      <c r="AC30" s="141">
        <f t="shared" si="22"/>
        <v>7206.09</v>
      </c>
      <c r="AD30" s="134">
        <f t="shared" si="16"/>
        <v>-7206.09</v>
      </c>
      <c r="AE30" s="135">
        <f t="shared" si="17"/>
        <v>0</v>
      </c>
      <c r="AF30" s="136">
        <f t="shared" si="18"/>
        <v>-2017.7052000000003</v>
      </c>
      <c r="AG30" s="137">
        <f t="shared" si="28"/>
        <v>-9223.7952000000005</v>
      </c>
      <c r="AH30" s="135">
        <f t="shared" si="19"/>
        <v>-95029.019700000004</v>
      </c>
      <c r="AI30" s="135">
        <f t="shared" si="20"/>
        <v>0</v>
      </c>
      <c r="AJ30" s="137">
        <f t="shared" si="29"/>
        <v>-95029.019700000004</v>
      </c>
      <c r="AK30" s="134">
        <f t="shared" si="21"/>
        <v>-25942.282800000004</v>
      </c>
      <c r="AL30" s="137">
        <f t="shared" si="30"/>
        <v>-120971.30250000001</v>
      </c>
      <c r="AM30" s="143">
        <f t="shared" si="31"/>
        <v>-1266736.8326010001</v>
      </c>
      <c r="AN30" s="143">
        <f t="shared" si="31"/>
        <v>0</v>
      </c>
      <c r="AO30" s="143">
        <f t="shared" si="32"/>
        <v>-1266736.8326010001</v>
      </c>
      <c r="AP30" s="143">
        <f t="shared" si="33"/>
        <v>-345810.62972400006</v>
      </c>
      <c r="AQ30" s="144">
        <f t="shared" si="34"/>
        <v>-1612547.4623250002</v>
      </c>
    </row>
    <row r="31" spans="1:43" ht="24.95" customHeight="1" x14ac:dyDescent="0.25">
      <c r="A31" s="128" t="s">
        <v>611</v>
      </c>
      <c r="B31" s="128" t="s">
        <v>612</v>
      </c>
      <c r="C31" s="128"/>
      <c r="D31" s="128"/>
      <c r="E31" s="128" t="s">
        <v>601</v>
      </c>
      <c r="F31" s="128" t="s">
        <v>616</v>
      </c>
      <c r="G31" s="139">
        <f t="shared" ref="G31:G89" si="35">$G$19</f>
        <v>8157.41</v>
      </c>
      <c r="H31" s="140">
        <f t="shared" ref="H31:H89" si="36">I31-G31</f>
        <v>-1294.04</v>
      </c>
      <c r="I31" s="141">
        <v>6863.37</v>
      </c>
      <c r="J31" s="142">
        <v>-9</v>
      </c>
      <c r="K31" s="142">
        <v>-9</v>
      </c>
      <c r="L31" s="134">
        <f t="shared" ref="L31:L89" si="37">I31*K31</f>
        <v>-61770.33</v>
      </c>
      <c r="M31" s="135">
        <f t="shared" ref="M31:M89" si="38">IF(H31&gt;0,(H31*K31)*0.085,0)</f>
        <v>0</v>
      </c>
      <c r="N31" s="136">
        <f t="shared" ref="N31:N89" si="39">IF(I31&lt;G31,I31*0.28*K31,G31*0.28*K31)</f>
        <v>-17295.692400000004</v>
      </c>
      <c r="O31" s="137">
        <f t="shared" si="23"/>
        <v>-79066.022400000002</v>
      </c>
      <c r="P31" s="138">
        <v>12</v>
      </c>
      <c r="Q31" s="134">
        <f t="shared" ref="Q31:Q89" si="40">IF(P31&lt;&gt;0,(L31*(12-P31+1))+(L31*((12-P31+1)/12))+((L31*((12-P31+1)/12))/3),0)</f>
        <v>-68633.7</v>
      </c>
      <c r="R31" s="135">
        <f t="shared" ref="R31:R89" si="41">IF(P31&lt;&gt;0,M31*(12-P31+1)+(M31*((12-P31+1)/12)),0)</f>
        <v>0</v>
      </c>
      <c r="S31" s="136">
        <f t="shared" si="24"/>
        <v>-68633.7</v>
      </c>
      <c r="T31" s="135">
        <f t="shared" ref="T31:T89" si="42">IF(P31&lt;&gt;0,N31*(12-P31+1)+(N31*((12-P31+1)/12)),0)</f>
        <v>-18737.000100000005</v>
      </c>
      <c r="U31" s="137">
        <f t="shared" si="25"/>
        <v>-87370.700100000002</v>
      </c>
      <c r="V31" s="135">
        <f t="shared" ref="V31:V89" si="43">IF(P31&lt;&gt;0,L31*(13+(1/3)),0)</f>
        <v>-823604.4</v>
      </c>
      <c r="W31" s="136">
        <f t="shared" ref="W31:W89" si="44">IF(Q31&lt;&gt;0,M31*13,0)</f>
        <v>0</v>
      </c>
      <c r="X31" s="137">
        <f t="shared" si="26"/>
        <v>-823604.4</v>
      </c>
      <c r="Y31" s="134">
        <f t="shared" ref="Y31:Y89" si="45">IF(T31&lt;&gt;0,N31*(13),0)</f>
        <v>-224844.00120000006</v>
      </c>
      <c r="Z31" s="137">
        <f t="shared" si="27"/>
        <v>-1048448.4012000001</v>
      </c>
      <c r="AA31" s="139">
        <v>8574.25</v>
      </c>
      <c r="AB31" s="140">
        <f t="shared" ref="AB31:AB89" si="46">AC31-AA31</f>
        <v>-1368.1599999999999</v>
      </c>
      <c r="AC31" s="141">
        <f t="shared" si="22"/>
        <v>7206.09</v>
      </c>
      <c r="AD31" s="134">
        <f t="shared" ref="AD31:AD89" si="47">AC31*K31</f>
        <v>-64854.81</v>
      </c>
      <c r="AE31" s="135">
        <f t="shared" ref="AE31:AE89" si="48">IF(AB31&gt;0,(AB31*K31)*0.085,0)</f>
        <v>0</v>
      </c>
      <c r="AF31" s="136">
        <f t="shared" ref="AF31:AF89" si="49">IF(AC31&lt;AA31,AC31*0.28*K31,AA31*0.28*K31)</f>
        <v>-18159.346800000003</v>
      </c>
      <c r="AG31" s="137">
        <f t="shared" si="28"/>
        <v>-83014.156799999997</v>
      </c>
      <c r="AH31" s="135">
        <f t="shared" ref="AH31:AH89" si="50">SUM(L31*3,AD31*10.33)</f>
        <v>-855261.17729999998</v>
      </c>
      <c r="AI31" s="135">
        <f t="shared" ref="AI31:AI89" si="51">SUM(M31*3,AE31*10)</f>
        <v>0</v>
      </c>
      <c r="AJ31" s="137">
        <f t="shared" si="29"/>
        <v>-855261.17729999998</v>
      </c>
      <c r="AK31" s="134">
        <f t="shared" ref="AK31:AK89" si="52">SUM(N31*3,AF31*10)</f>
        <v>-233480.54520000005</v>
      </c>
      <c r="AL31" s="137">
        <f t="shared" si="30"/>
        <v>-1088741.7225000001</v>
      </c>
      <c r="AM31" s="143">
        <f t="shared" si="31"/>
        <v>-11400631.493409</v>
      </c>
      <c r="AN31" s="143">
        <f t="shared" si="31"/>
        <v>0</v>
      </c>
      <c r="AO31" s="143">
        <f t="shared" si="32"/>
        <v>-11400631.493409</v>
      </c>
      <c r="AP31" s="143">
        <f t="shared" si="33"/>
        <v>-3112295.6675160006</v>
      </c>
      <c r="AQ31" s="144">
        <f t="shared" si="34"/>
        <v>-14512927.160925001</v>
      </c>
    </row>
    <row r="32" spans="1:43" ht="24.95" customHeight="1" x14ac:dyDescent="0.25">
      <c r="A32" s="128" t="s">
        <v>611</v>
      </c>
      <c r="B32" s="128" t="s">
        <v>612</v>
      </c>
      <c r="C32" s="128"/>
      <c r="D32" s="128"/>
      <c r="E32" s="128" t="s">
        <v>601</v>
      </c>
      <c r="F32" s="128" t="s">
        <v>617</v>
      </c>
      <c r="G32" s="139">
        <f t="shared" si="35"/>
        <v>8157.41</v>
      </c>
      <c r="H32" s="140">
        <f t="shared" si="36"/>
        <v>-1294.04</v>
      </c>
      <c r="I32" s="141">
        <v>6863.37</v>
      </c>
      <c r="J32" s="142">
        <v>-14</v>
      </c>
      <c r="K32" s="142">
        <v>-14</v>
      </c>
      <c r="L32" s="134">
        <f t="shared" si="37"/>
        <v>-96087.18</v>
      </c>
      <c r="M32" s="135">
        <f t="shared" si="38"/>
        <v>0</v>
      </c>
      <c r="N32" s="136">
        <f t="shared" si="39"/>
        <v>-26904.410400000004</v>
      </c>
      <c r="O32" s="137">
        <f t="shared" si="23"/>
        <v>-122991.5904</v>
      </c>
      <c r="P32" s="138">
        <v>12</v>
      </c>
      <c r="Q32" s="134">
        <f t="shared" si="40"/>
        <v>-106763.53333333333</v>
      </c>
      <c r="R32" s="135">
        <f t="shared" si="41"/>
        <v>0</v>
      </c>
      <c r="S32" s="136">
        <f t="shared" si="24"/>
        <v>-106763.53333333333</v>
      </c>
      <c r="T32" s="135">
        <f t="shared" si="42"/>
        <v>-29146.444600000003</v>
      </c>
      <c r="U32" s="137">
        <f t="shared" si="25"/>
        <v>-135909.97793333331</v>
      </c>
      <c r="V32" s="135">
        <f t="shared" si="43"/>
        <v>-1281162.3999999999</v>
      </c>
      <c r="W32" s="136">
        <f t="shared" si="44"/>
        <v>0</v>
      </c>
      <c r="X32" s="137">
        <f t="shared" si="26"/>
        <v>-1281162.3999999999</v>
      </c>
      <c r="Y32" s="134">
        <f t="shared" si="45"/>
        <v>-349757.33520000003</v>
      </c>
      <c r="Z32" s="137">
        <f t="shared" si="27"/>
        <v>-1630919.7352</v>
      </c>
      <c r="AA32" s="139">
        <v>8574.25</v>
      </c>
      <c r="AB32" s="140">
        <f t="shared" si="46"/>
        <v>-1368.1599999999999</v>
      </c>
      <c r="AC32" s="141">
        <f t="shared" si="22"/>
        <v>7206.09</v>
      </c>
      <c r="AD32" s="134">
        <f t="shared" si="47"/>
        <v>-100885.26000000001</v>
      </c>
      <c r="AE32" s="135">
        <f t="shared" si="48"/>
        <v>0</v>
      </c>
      <c r="AF32" s="136">
        <f t="shared" si="49"/>
        <v>-28247.872800000005</v>
      </c>
      <c r="AG32" s="137">
        <f t="shared" si="28"/>
        <v>-129133.13280000002</v>
      </c>
      <c r="AH32" s="135">
        <f t="shared" si="50"/>
        <v>-1330406.2758000002</v>
      </c>
      <c r="AI32" s="135">
        <f t="shared" si="51"/>
        <v>0</v>
      </c>
      <c r="AJ32" s="137">
        <f t="shared" si="29"/>
        <v>-1330406.2758000002</v>
      </c>
      <c r="AK32" s="134">
        <f t="shared" si="52"/>
        <v>-363191.95920000004</v>
      </c>
      <c r="AL32" s="137">
        <f t="shared" si="30"/>
        <v>-1693598.2350000003</v>
      </c>
      <c r="AM32" s="143">
        <f t="shared" si="31"/>
        <v>-17734315.656414002</v>
      </c>
      <c r="AN32" s="143">
        <f t="shared" si="31"/>
        <v>0</v>
      </c>
      <c r="AO32" s="143">
        <f t="shared" si="32"/>
        <v>-17734315.656414002</v>
      </c>
      <c r="AP32" s="143">
        <f t="shared" si="33"/>
        <v>-4841348.8161360007</v>
      </c>
      <c r="AQ32" s="144">
        <f t="shared" si="34"/>
        <v>-22575664.472550005</v>
      </c>
    </row>
    <row r="33" spans="1:43" ht="24.95" customHeight="1" x14ac:dyDescent="0.25">
      <c r="A33" s="128" t="s">
        <v>611</v>
      </c>
      <c r="B33" s="128" t="s">
        <v>612</v>
      </c>
      <c r="C33" s="128"/>
      <c r="D33" s="128"/>
      <c r="E33" s="128" t="s">
        <v>601</v>
      </c>
      <c r="F33" s="128" t="s">
        <v>618</v>
      </c>
      <c r="G33" s="139">
        <f t="shared" si="35"/>
        <v>8157.41</v>
      </c>
      <c r="H33" s="140">
        <f t="shared" si="36"/>
        <v>-1294.04</v>
      </c>
      <c r="I33" s="141">
        <v>6863.37</v>
      </c>
      <c r="J33" s="142">
        <v>-3</v>
      </c>
      <c r="K33" s="142">
        <v>-3</v>
      </c>
      <c r="L33" s="134">
        <f t="shared" si="37"/>
        <v>-20590.11</v>
      </c>
      <c r="M33" s="135">
        <f t="shared" si="38"/>
        <v>0</v>
      </c>
      <c r="N33" s="136">
        <f t="shared" si="39"/>
        <v>-5765.2308000000012</v>
      </c>
      <c r="O33" s="137">
        <f t="shared" si="23"/>
        <v>-26355.340800000002</v>
      </c>
      <c r="P33" s="138">
        <v>12</v>
      </c>
      <c r="Q33" s="134">
        <f t="shared" si="40"/>
        <v>-22877.899999999998</v>
      </c>
      <c r="R33" s="135">
        <f t="shared" si="41"/>
        <v>0</v>
      </c>
      <c r="S33" s="136">
        <f t="shared" si="24"/>
        <v>-22877.899999999998</v>
      </c>
      <c r="T33" s="135">
        <f t="shared" si="42"/>
        <v>-6245.6667000000016</v>
      </c>
      <c r="U33" s="137">
        <f t="shared" si="25"/>
        <v>-29123.566699999999</v>
      </c>
      <c r="V33" s="135">
        <f t="shared" si="43"/>
        <v>-274534.80000000005</v>
      </c>
      <c r="W33" s="136">
        <f t="shared" si="44"/>
        <v>0</v>
      </c>
      <c r="X33" s="137">
        <f t="shared" si="26"/>
        <v>-274534.80000000005</v>
      </c>
      <c r="Y33" s="134">
        <f t="shared" si="45"/>
        <v>-74948.000400000019</v>
      </c>
      <c r="Z33" s="137">
        <f t="shared" si="27"/>
        <v>-349482.80040000007</v>
      </c>
      <c r="AA33" s="139">
        <v>8574.25</v>
      </c>
      <c r="AB33" s="140">
        <f t="shared" si="46"/>
        <v>-1368.1599999999999</v>
      </c>
      <c r="AC33" s="141">
        <f t="shared" si="22"/>
        <v>7206.09</v>
      </c>
      <c r="AD33" s="134">
        <f t="shared" si="47"/>
        <v>-21618.27</v>
      </c>
      <c r="AE33" s="135">
        <f t="shared" si="48"/>
        <v>0</v>
      </c>
      <c r="AF33" s="136">
        <f t="shared" si="49"/>
        <v>-6053.115600000001</v>
      </c>
      <c r="AG33" s="137">
        <f t="shared" si="28"/>
        <v>-27671.385600000001</v>
      </c>
      <c r="AH33" s="135">
        <f t="shared" si="50"/>
        <v>-285087.05910000001</v>
      </c>
      <c r="AI33" s="135">
        <f t="shared" si="51"/>
        <v>0</v>
      </c>
      <c r="AJ33" s="137">
        <f t="shared" si="29"/>
        <v>-285087.05910000001</v>
      </c>
      <c r="AK33" s="134">
        <f t="shared" si="52"/>
        <v>-77826.848400000017</v>
      </c>
      <c r="AL33" s="137">
        <f t="shared" si="30"/>
        <v>-362913.90750000003</v>
      </c>
      <c r="AM33" s="143">
        <f t="shared" si="31"/>
        <v>-3800210.4978030003</v>
      </c>
      <c r="AN33" s="143">
        <f t="shared" si="31"/>
        <v>0</v>
      </c>
      <c r="AO33" s="143">
        <f t="shared" si="32"/>
        <v>-3800210.4978030003</v>
      </c>
      <c r="AP33" s="143">
        <f t="shared" si="33"/>
        <v>-1037431.8891720002</v>
      </c>
      <c r="AQ33" s="144">
        <f t="shared" si="34"/>
        <v>-4837642.3869750006</v>
      </c>
    </row>
    <row r="34" spans="1:43" ht="24.95" customHeight="1" x14ac:dyDescent="0.25">
      <c r="A34" s="128" t="s">
        <v>611</v>
      </c>
      <c r="B34" s="128" t="s">
        <v>619</v>
      </c>
      <c r="C34" s="128"/>
      <c r="D34" s="128"/>
      <c r="E34" s="128" t="s">
        <v>601</v>
      </c>
      <c r="F34" s="128" t="s">
        <v>613</v>
      </c>
      <c r="G34" s="139">
        <f t="shared" si="35"/>
        <v>8157.41</v>
      </c>
      <c r="H34" s="140">
        <f t="shared" si="36"/>
        <v>-1294.04</v>
      </c>
      <c r="I34" s="141">
        <v>6863.37</v>
      </c>
      <c r="J34" s="142">
        <v>-6</v>
      </c>
      <c r="K34" s="142">
        <v>-6</v>
      </c>
      <c r="L34" s="134">
        <f t="shared" si="37"/>
        <v>-41180.22</v>
      </c>
      <c r="M34" s="135">
        <f t="shared" si="38"/>
        <v>0</v>
      </c>
      <c r="N34" s="136">
        <f t="shared" si="39"/>
        <v>-11530.461600000002</v>
      </c>
      <c r="O34" s="137">
        <f t="shared" si="23"/>
        <v>-52710.681600000004</v>
      </c>
      <c r="P34" s="138">
        <v>12</v>
      </c>
      <c r="Q34" s="134">
        <f t="shared" si="40"/>
        <v>-45755.799999999996</v>
      </c>
      <c r="R34" s="135">
        <f t="shared" si="41"/>
        <v>0</v>
      </c>
      <c r="S34" s="136">
        <f t="shared" si="24"/>
        <v>-45755.799999999996</v>
      </c>
      <c r="T34" s="135">
        <f t="shared" si="42"/>
        <v>-12491.333400000003</v>
      </c>
      <c r="U34" s="137">
        <f t="shared" si="25"/>
        <v>-58247.133399999999</v>
      </c>
      <c r="V34" s="135">
        <f t="shared" si="43"/>
        <v>-549069.60000000009</v>
      </c>
      <c r="W34" s="136">
        <f t="shared" si="44"/>
        <v>0</v>
      </c>
      <c r="X34" s="137">
        <f t="shared" si="26"/>
        <v>-549069.60000000009</v>
      </c>
      <c r="Y34" s="134">
        <f t="shared" si="45"/>
        <v>-149896.00080000004</v>
      </c>
      <c r="Z34" s="137">
        <f t="shared" si="27"/>
        <v>-698965.60080000013</v>
      </c>
      <c r="AA34" s="139">
        <v>8574.25</v>
      </c>
      <c r="AB34" s="140">
        <f t="shared" si="46"/>
        <v>-1368.1599999999999</v>
      </c>
      <c r="AC34" s="141">
        <f t="shared" si="22"/>
        <v>7206.09</v>
      </c>
      <c r="AD34" s="134">
        <f t="shared" si="47"/>
        <v>-43236.54</v>
      </c>
      <c r="AE34" s="135">
        <f t="shared" si="48"/>
        <v>0</v>
      </c>
      <c r="AF34" s="136">
        <f t="shared" si="49"/>
        <v>-12106.231200000002</v>
      </c>
      <c r="AG34" s="137">
        <f t="shared" si="28"/>
        <v>-55342.771200000003</v>
      </c>
      <c r="AH34" s="135">
        <f t="shared" si="50"/>
        <v>-570174.11820000003</v>
      </c>
      <c r="AI34" s="135">
        <f t="shared" si="51"/>
        <v>0</v>
      </c>
      <c r="AJ34" s="137">
        <f t="shared" si="29"/>
        <v>-570174.11820000003</v>
      </c>
      <c r="AK34" s="134">
        <f t="shared" si="52"/>
        <v>-155653.69680000003</v>
      </c>
      <c r="AL34" s="137">
        <f t="shared" si="30"/>
        <v>-725827.81500000006</v>
      </c>
      <c r="AM34" s="143">
        <f t="shared" si="31"/>
        <v>-7600420.9956060005</v>
      </c>
      <c r="AN34" s="143">
        <f t="shared" si="31"/>
        <v>0</v>
      </c>
      <c r="AO34" s="143">
        <f t="shared" si="32"/>
        <v>-7600420.9956060005</v>
      </c>
      <c r="AP34" s="143">
        <f t="shared" si="33"/>
        <v>-2074863.7783440005</v>
      </c>
      <c r="AQ34" s="144">
        <f t="shared" si="34"/>
        <v>-9675284.7739500012</v>
      </c>
    </row>
    <row r="35" spans="1:43" ht="24.95" customHeight="1" x14ac:dyDescent="0.25">
      <c r="A35" s="128" t="s">
        <v>611</v>
      </c>
      <c r="B35" s="128" t="s">
        <v>619</v>
      </c>
      <c r="C35" s="128"/>
      <c r="D35" s="128"/>
      <c r="E35" s="128" t="s">
        <v>601</v>
      </c>
      <c r="F35" s="128" t="s">
        <v>617</v>
      </c>
      <c r="G35" s="139">
        <f t="shared" si="35"/>
        <v>8157.41</v>
      </c>
      <c r="H35" s="140">
        <f t="shared" si="36"/>
        <v>-1294.04</v>
      </c>
      <c r="I35" s="141">
        <v>6863.37</v>
      </c>
      <c r="J35" s="142">
        <v>-11</v>
      </c>
      <c r="K35" s="142">
        <v>-11</v>
      </c>
      <c r="L35" s="134">
        <f t="shared" si="37"/>
        <v>-75497.069999999992</v>
      </c>
      <c r="M35" s="135">
        <f t="shared" si="38"/>
        <v>0</v>
      </c>
      <c r="N35" s="136">
        <f t="shared" si="39"/>
        <v>-21139.179600000003</v>
      </c>
      <c r="O35" s="137">
        <f t="shared" si="23"/>
        <v>-96636.249599999996</v>
      </c>
      <c r="P35" s="138">
        <v>12</v>
      </c>
      <c r="Q35" s="134">
        <f t="shared" si="40"/>
        <v>-83885.633333333331</v>
      </c>
      <c r="R35" s="135">
        <f t="shared" si="41"/>
        <v>0</v>
      </c>
      <c r="S35" s="136">
        <f t="shared" si="24"/>
        <v>-83885.633333333331</v>
      </c>
      <c r="T35" s="135">
        <f t="shared" si="42"/>
        <v>-22900.777900000005</v>
      </c>
      <c r="U35" s="137">
        <f t="shared" si="25"/>
        <v>-106786.41123333333</v>
      </c>
      <c r="V35" s="135">
        <f t="shared" si="43"/>
        <v>-1006627.6</v>
      </c>
      <c r="W35" s="136">
        <f t="shared" si="44"/>
        <v>0</v>
      </c>
      <c r="X35" s="137">
        <f t="shared" si="26"/>
        <v>-1006627.6</v>
      </c>
      <c r="Y35" s="134">
        <f t="shared" si="45"/>
        <v>-274809.33480000007</v>
      </c>
      <c r="Z35" s="137">
        <f t="shared" si="27"/>
        <v>-1281436.9347999999</v>
      </c>
      <c r="AA35" s="139">
        <v>8574.25</v>
      </c>
      <c r="AB35" s="140">
        <f t="shared" si="46"/>
        <v>-1368.1599999999999</v>
      </c>
      <c r="AC35" s="141">
        <f t="shared" si="22"/>
        <v>7206.09</v>
      </c>
      <c r="AD35" s="134">
        <f t="shared" si="47"/>
        <v>-79266.990000000005</v>
      </c>
      <c r="AE35" s="135">
        <f t="shared" si="48"/>
        <v>0</v>
      </c>
      <c r="AF35" s="136">
        <f t="shared" si="49"/>
        <v>-22194.757200000004</v>
      </c>
      <c r="AG35" s="137">
        <f t="shared" si="28"/>
        <v>-101461.74720000001</v>
      </c>
      <c r="AH35" s="135">
        <f t="shared" si="50"/>
        <v>-1045319.2167</v>
      </c>
      <c r="AI35" s="135">
        <f t="shared" si="51"/>
        <v>0</v>
      </c>
      <c r="AJ35" s="137">
        <f t="shared" si="29"/>
        <v>-1045319.2167</v>
      </c>
      <c r="AK35" s="134">
        <f t="shared" si="52"/>
        <v>-285365.11080000002</v>
      </c>
      <c r="AL35" s="137">
        <f t="shared" si="30"/>
        <v>-1330684.3275000001</v>
      </c>
      <c r="AM35" s="143">
        <f t="shared" si="31"/>
        <v>-13934105.158611</v>
      </c>
      <c r="AN35" s="143">
        <f t="shared" si="31"/>
        <v>0</v>
      </c>
      <c r="AO35" s="143">
        <f t="shared" si="32"/>
        <v>-13934105.158611</v>
      </c>
      <c r="AP35" s="143">
        <f t="shared" si="33"/>
        <v>-3803916.9269640003</v>
      </c>
      <c r="AQ35" s="144">
        <f t="shared" si="34"/>
        <v>-17738022.085574999</v>
      </c>
    </row>
    <row r="36" spans="1:43" ht="24.95" customHeight="1" x14ac:dyDescent="0.25">
      <c r="A36" s="128" t="s">
        <v>611</v>
      </c>
      <c r="B36" s="128" t="s">
        <v>619</v>
      </c>
      <c r="C36" s="128"/>
      <c r="D36" s="128"/>
      <c r="E36" s="128" t="s">
        <v>601</v>
      </c>
      <c r="F36" s="128" t="s">
        <v>618</v>
      </c>
      <c r="G36" s="139">
        <f t="shared" si="35"/>
        <v>8157.41</v>
      </c>
      <c r="H36" s="140">
        <f t="shared" si="36"/>
        <v>-1294.04</v>
      </c>
      <c r="I36" s="141">
        <v>6863.37</v>
      </c>
      <c r="J36" s="142">
        <v>-1</v>
      </c>
      <c r="K36" s="142">
        <v>-1</v>
      </c>
      <c r="L36" s="134">
        <f t="shared" si="37"/>
        <v>-6863.37</v>
      </c>
      <c r="M36" s="135">
        <f t="shared" si="38"/>
        <v>0</v>
      </c>
      <c r="N36" s="136">
        <f t="shared" si="39"/>
        <v>-1921.7436000000002</v>
      </c>
      <c r="O36" s="137">
        <f t="shared" si="23"/>
        <v>-8785.1136000000006</v>
      </c>
      <c r="P36" s="138">
        <v>12</v>
      </c>
      <c r="Q36" s="134">
        <f t="shared" si="40"/>
        <v>-7625.9666666666672</v>
      </c>
      <c r="R36" s="135">
        <f t="shared" si="41"/>
        <v>0</v>
      </c>
      <c r="S36" s="136">
        <f t="shared" si="24"/>
        <v>-7625.9666666666672</v>
      </c>
      <c r="T36" s="135">
        <f t="shared" si="42"/>
        <v>-2081.8889000000004</v>
      </c>
      <c r="U36" s="137">
        <f t="shared" si="25"/>
        <v>-9707.8555666666671</v>
      </c>
      <c r="V36" s="135">
        <f t="shared" si="43"/>
        <v>-91511.6</v>
      </c>
      <c r="W36" s="136">
        <f t="shared" si="44"/>
        <v>0</v>
      </c>
      <c r="X36" s="137">
        <f t="shared" si="26"/>
        <v>-91511.6</v>
      </c>
      <c r="Y36" s="134">
        <f t="shared" si="45"/>
        <v>-24982.666800000003</v>
      </c>
      <c r="Z36" s="137">
        <f t="shared" si="27"/>
        <v>-116494.26680000001</v>
      </c>
      <c r="AA36" s="139">
        <v>8574.25</v>
      </c>
      <c r="AB36" s="140">
        <f t="shared" si="46"/>
        <v>-1368.1599999999999</v>
      </c>
      <c r="AC36" s="141">
        <f t="shared" si="22"/>
        <v>7206.09</v>
      </c>
      <c r="AD36" s="134">
        <f t="shared" si="47"/>
        <v>-7206.09</v>
      </c>
      <c r="AE36" s="135">
        <f t="shared" si="48"/>
        <v>0</v>
      </c>
      <c r="AF36" s="136">
        <f t="shared" si="49"/>
        <v>-2017.7052000000003</v>
      </c>
      <c r="AG36" s="137">
        <f t="shared" si="28"/>
        <v>-9223.7952000000005</v>
      </c>
      <c r="AH36" s="135">
        <f t="shared" si="50"/>
        <v>-95029.019700000004</v>
      </c>
      <c r="AI36" s="135">
        <f t="shared" si="51"/>
        <v>0</v>
      </c>
      <c r="AJ36" s="137">
        <f t="shared" si="29"/>
        <v>-95029.019700000004</v>
      </c>
      <c r="AK36" s="134">
        <f t="shared" si="52"/>
        <v>-25942.282800000004</v>
      </c>
      <c r="AL36" s="137">
        <f t="shared" si="30"/>
        <v>-120971.30250000001</v>
      </c>
      <c r="AM36" s="143">
        <f t="shared" si="31"/>
        <v>-1266736.8326010001</v>
      </c>
      <c r="AN36" s="143">
        <f t="shared" si="31"/>
        <v>0</v>
      </c>
      <c r="AO36" s="143">
        <f t="shared" si="32"/>
        <v>-1266736.8326010001</v>
      </c>
      <c r="AP36" s="143">
        <f t="shared" si="33"/>
        <v>-345810.62972400006</v>
      </c>
      <c r="AQ36" s="144">
        <f t="shared" si="34"/>
        <v>-1612547.4623250002</v>
      </c>
    </row>
    <row r="37" spans="1:43" ht="24.95" customHeight="1" x14ac:dyDescent="0.25">
      <c r="A37" s="128" t="s">
        <v>611</v>
      </c>
      <c r="B37" s="128" t="s">
        <v>620</v>
      </c>
      <c r="C37" s="128"/>
      <c r="D37" s="128"/>
      <c r="E37" s="128" t="s">
        <v>601</v>
      </c>
      <c r="F37" s="128" t="s">
        <v>617</v>
      </c>
      <c r="G37" s="139">
        <f t="shared" si="35"/>
        <v>8157.41</v>
      </c>
      <c r="H37" s="140">
        <f t="shared" si="36"/>
        <v>-1300.8099999999995</v>
      </c>
      <c r="I37" s="141">
        <v>6856.6</v>
      </c>
      <c r="J37" s="142">
        <v>-5</v>
      </c>
      <c r="K37" s="142">
        <v>-5</v>
      </c>
      <c r="L37" s="134">
        <f t="shared" si="37"/>
        <v>-34283</v>
      </c>
      <c r="M37" s="135">
        <f t="shared" si="38"/>
        <v>0</v>
      </c>
      <c r="N37" s="136">
        <f t="shared" si="39"/>
        <v>-9599.2400000000016</v>
      </c>
      <c r="O37" s="137">
        <f t="shared" si="23"/>
        <v>-43882.240000000005</v>
      </c>
      <c r="P37" s="138">
        <v>12</v>
      </c>
      <c r="Q37" s="134">
        <f t="shared" si="40"/>
        <v>-38092.222222222219</v>
      </c>
      <c r="R37" s="135">
        <f t="shared" si="41"/>
        <v>0</v>
      </c>
      <c r="S37" s="136">
        <f t="shared" si="24"/>
        <v>-38092.222222222219</v>
      </c>
      <c r="T37" s="135">
        <f t="shared" si="42"/>
        <v>-10399.176666666668</v>
      </c>
      <c r="U37" s="137">
        <f t="shared" si="25"/>
        <v>-48491.398888888885</v>
      </c>
      <c r="V37" s="135">
        <f t="shared" si="43"/>
        <v>-457106.66666666669</v>
      </c>
      <c r="W37" s="136">
        <f t="shared" si="44"/>
        <v>0</v>
      </c>
      <c r="X37" s="137">
        <f t="shared" si="26"/>
        <v>-457106.66666666669</v>
      </c>
      <c r="Y37" s="134">
        <f t="shared" si="45"/>
        <v>-124790.12000000002</v>
      </c>
      <c r="Z37" s="137">
        <f t="shared" si="27"/>
        <v>-581896.78666666674</v>
      </c>
      <c r="AA37" s="139">
        <v>8574.25</v>
      </c>
      <c r="AB37" s="140">
        <f t="shared" si="46"/>
        <v>-1374.3199999999997</v>
      </c>
      <c r="AC37" s="141">
        <f>1728.93+5471</f>
        <v>7199.93</v>
      </c>
      <c r="AD37" s="134">
        <f t="shared" si="47"/>
        <v>-35999.65</v>
      </c>
      <c r="AE37" s="135">
        <f t="shared" si="48"/>
        <v>0</v>
      </c>
      <c r="AF37" s="136">
        <f t="shared" si="49"/>
        <v>-10079.902000000002</v>
      </c>
      <c r="AG37" s="137">
        <f t="shared" si="28"/>
        <v>-46079.552000000003</v>
      </c>
      <c r="AH37" s="135">
        <f t="shared" si="50"/>
        <v>-474725.38450000004</v>
      </c>
      <c r="AI37" s="135">
        <f t="shared" si="51"/>
        <v>0</v>
      </c>
      <c r="AJ37" s="137">
        <f t="shared" si="29"/>
        <v>-474725.38450000004</v>
      </c>
      <c r="AK37" s="134">
        <f t="shared" si="52"/>
        <v>-129596.74000000002</v>
      </c>
      <c r="AL37" s="137">
        <f t="shared" si="30"/>
        <v>-604322.12450000003</v>
      </c>
      <c r="AM37" s="143">
        <f t="shared" si="31"/>
        <v>-6328089.3753850004</v>
      </c>
      <c r="AN37" s="143">
        <f t="shared" si="31"/>
        <v>0</v>
      </c>
      <c r="AO37" s="143">
        <f t="shared" si="32"/>
        <v>-6328089.3753850004</v>
      </c>
      <c r="AP37" s="143">
        <f t="shared" si="33"/>
        <v>-1727524.5442000004</v>
      </c>
      <c r="AQ37" s="144">
        <f t="shared" si="34"/>
        <v>-8055613.9195850007</v>
      </c>
    </row>
    <row r="38" spans="1:43" ht="24.95" customHeight="1" x14ac:dyDescent="0.25">
      <c r="A38" s="128" t="s">
        <v>611</v>
      </c>
      <c r="B38" s="128" t="s">
        <v>620</v>
      </c>
      <c r="C38" s="128"/>
      <c r="D38" s="128"/>
      <c r="E38" s="128" t="s">
        <v>601</v>
      </c>
      <c r="F38" s="128" t="s">
        <v>618</v>
      </c>
      <c r="G38" s="139">
        <f t="shared" si="35"/>
        <v>8157.41</v>
      </c>
      <c r="H38" s="140">
        <f t="shared" si="36"/>
        <v>-1300.8099999999995</v>
      </c>
      <c r="I38" s="141">
        <v>6856.6</v>
      </c>
      <c r="J38" s="142">
        <v>-1</v>
      </c>
      <c r="K38" s="142">
        <v>-1</v>
      </c>
      <c r="L38" s="134">
        <f t="shared" si="37"/>
        <v>-6856.6</v>
      </c>
      <c r="M38" s="135">
        <f t="shared" si="38"/>
        <v>0</v>
      </c>
      <c r="N38" s="136">
        <f t="shared" si="39"/>
        <v>-1919.8480000000002</v>
      </c>
      <c r="O38" s="137">
        <f t="shared" si="23"/>
        <v>-8776.4480000000003</v>
      </c>
      <c r="P38" s="138">
        <v>12</v>
      </c>
      <c r="Q38" s="134">
        <f t="shared" si="40"/>
        <v>-7618.4444444444443</v>
      </c>
      <c r="R38" s="135">
        <f t="shared" si="41"/>
        <v>0</v>
      </c>
      <c r="S38" s="136">
        <f t="shared" si="24"/>
        <v>-7618.4444444444443</v>
      </c>
      <c r="T38" s="135">
        <f t="shared" si="42"/>
        <v>-2079.8353333333334</v>
      </c>
      <c r="U38" s="137">
        <f t="shared" si="25"/>
        <v>-9698.2797777777778</v>
      </c>
      <c r="V38" s="135">
        <f t="shared" si="43"/>
        <v>-91421.333333333343</v>
      </c>
      <c r="W38" s="136">
        <f t="shared" si="44"/>
        <v>0</v>
      </c>
      <c r="X38" s="137">
        <f t="shared" si="26"/>
        <v>-91421.333333333343</v>
      </c>
      <c r="Y38" s="134">
        <f t="shared" si="45"/>
        <v>-24958.024000000001</v>
      </c>
      <c r="Z38" s="137">
        <f t="shared" si="27"/>
        <v>-116379.35733333335</v>
      </c>
      <c r="AA38" s="139">
        <v>8574.25</v>
      </c>
      <c r="AB38" s="140">
        <f t="shared" si="46"/>
        <v>-1374.3199999999997</v>
      </c>
      <c r="AC38" s="141">
        <f>1728.93+5471</f>
        <v>7199.93</v>
      </c>
      <c r="AD38" s="134">
        <f t="shared" si="47"/>
        <v>-7199.93</v>
      </c>
      <c r="AE38" s="135">
        <f t="shared" si="48"/>
        <v>0</v>
      </c>
      <c r="AF38" s="136">
        <f t="shared" si="49"/>
        <v>-2015.9804000000004</v>
      </c>
      <c r="AG38" s="137">
        <f t="shared" si="28"/>
        <v>-9215.9104000000007</v>
      </c>
      <c r="AH38" s="135">
        <f t="shared" si="50"/>
        <v>-94945.0769</v>
      </c>
      <c r="AI38" s="135">
        <f t="shared" si="51"/>
        <v>0</v>
      </c>
      <c r="AJ38" s="137">
        <f t="shared" si="29"/>
        <v>-94945.0769</v>
      </c>
      <c r="AK38" s="134">
        <f t="shared" si="52"/>
        <v>-25919.348000000005</v>
      </c>
      <c r="AL38" s="137">
        <f t="shared" si="30"/>
        <v>-120864.42490000001</v>
      </c>
      <c r="AM38" s="143">
        <f t="shared" si="31"/>
        <v>-1265617.8750770001</v>
      </c>
      <c r="AN38" s="143">
        <f t="shared" si="31"/>
        <v>0</v>
      </c>
      <c r="AO38" s="143">
        <f t="shared" si="32"/>
        <v>-1265617.8750770001</v>
      </c>
      <c r="AP38" s="143">
        <f t="shared" si="33"/>
        <v>-345504.90884000005</v>
      </c>
      <c r="AQ38" s="144">
        <f t="shared" si="34"/>
        <v>-1611122.7839170001</v>
      </c>
    </row>
    <row r="39" spans="1:43" ht="24.95" customHeight="1" x14ac:dyDescent="0.25">
      <c r="A39" s="128" t="s">
        <v>611</v>
      </c>
      <c r="B39" s="128" t="s">
        <v>621</v>
      </c>
      <c r="C39" s="128"/>
      <c r="D39" s="128"/>
      <c r="E39" s="128" t="s">
        <v>601</v>
      </c>
      <c r="F39" s="128" t="s">
        <v>622</v>
      </c>
      <c r="G39" s="139">
        <f t="shared" si="35"/>
        <v>8157.41</v>
      </c>
      <c r="H39" s="140">
        <f t="shared" si="36"/>
        <v>-322.59999999999945</v>
      </c>
      <c r="I39" s="141">
        <f t="shared" ref="I39:I45" si="53">2637.69+4181+1016.12</f>
        <v>7834.81</v>
      </c>
      <c r="J39" s="142">
        <v>-99</v>
      </c>
      <c r="K39" s="142">
        <v>-99</v>
      </c>
      <c r="L39" s="134">
        <f t="shared" si="37"/>
        <v>-775646.19000000006</v>
      </c>
      <c r="M39" s="135">
        <f t="shared" si="38"/>
        <v>0</v>
      </c>
      <c r="N39" s="136">
        <f t="shared" si="39"/>
        <v>-217180.93320000003</v>
      </c>
      <c r="O39" s="137">
        <f t="shared" si="23"/>
        <v>-992827.12320000003</v>
      </c>
      <c r="P39" s="138">
        <v>12</v>
      </c>
      <c r="Q39" s="134">
        <f t="shared" si="40"/>
        <v>-861829.10000000009</v>
      </c>
      <c r="R39" s="135">
        <f t="shared" si="41"/>
        <v>0</v>
      </c>
      <c r="S39" s="136">
        <f t="shared" si="24"/>
        <v>-861829.10000000009</v>
      </c>
      <c r="T39" s="135">
        <f t="shared" si="42"/>
        <v>-235279.34430000003</v>
      </c>
      <c r="U39" s="137">
        <f t="shared" si="25"/>
        <v>-1097108.4443000001</v>
      </c>
      <c r="V39" s="135">
        <f t="shared" si="43"/>
        <v>-10341949.200000001</v>
      </c>
      <c r="W39" s="136">
        <f t="shared" si="44"/>
        <v>0</v>
      </c>
      <c r="X39" s="137">
        <f t="shared" si="26"/>
        <v>-10341949.200000001</v>
      </c>
      <c r="Y39" s="134">
        <f t="shared" si="45"/>
        <v>-2823352.1316000004</v>
      </c>
      <c r="Z39" s="137">
        <f t="shared" si="27"/>
        <v>-13165301.331600001</v>
      </c>
      <c r="AA39" s="139">
        <v>8574.25</v>
      </c>
      <c r="AB39" s="140">
        <f t="shared" si="46"/>
        <v>-347.75</v>
      </c>
      <c r="AC39" s="141">
        <f t="shared" ref="AC39:AC45" si="54">2769.57+4390+1066.93</f>
        <v>8226.5</v>
      </c>
      <c r="AD39" s="134">
        <f t="shared" si="47"/>
        <v>-814423.5</v>
      </c>
      <c r="AE39" s="135">
        <f t="shared" si="48"/>
        <v>0</v>
      </c>
      <c r="AF39" s="136">
        <f t="shared" si="49"/>
        <v>-228038.58000000002</v>
      </c>
      <c r="AG39" s="137">
        <f t="shared" si="28"/>
        <v>-1042462.0800000001</v>
      </c>
      <c r="AH39" s="135">
        <f t="shared" si="50"/>
        <v>-10739933.325000001</v>
      </c>
      <c r="AI39" s="135">
        <f t="shared" si="51"/>
        <v>0</v>
      </c>
      <c r="AJ39" s="137">
        <f t="shared" si="29"/>
        <v>-10739933.325000001</v>
      </c>
      <c r="AK39" s="134">
        <f t="shared" si="52"/>
        <v>-2931928.5996000003</v>
      </c>
      <c r="AL39" s="137">
        <f t="shared" si="30"/>
        <v>-13671861.924600001</v>
      </c>
      <c r="AM39" s="143">
        <f t="shared" si="31"/>
        <v>-143163311.22225001</v>
      </c>
      <c r="AN39" s="143">
        <f t="shared" si="31"/>
        <v>0</v>
      </c>
      <c r="AO39" s="143">
        <f t="shared" si="32"/>
        <v>-143163311.22225001</v>
      </c>
      <c r="AP39" s="143">
        <f t="shared" si="33"/>
        <v>-39082608.232668005</v>
      </c>
      <c r="AQ39" s="144">
        <f t="shared" si="34"/>
        <v>-182245919.45491803</v>
      </c>
    </row>
    <row r="40" spans="1:43" ht="24.95" customHeight="1" x14ac:dyDescent="0.25">
      <c r="A40" s="128" t="s">
        <v>611</v>
      </c>
      <c r="B40" s="128" t="s">
        <v>621</v>
      </c>
      <c r="C40" s="128"/>
      <c r="D40" s="128"/>
      <c r="E40" s="128" t="s">
        <v>601</v>
      </c>
      <c r="F40" s="128" t="s">
        <v>623</v>
      </c>
      <c r="G40" s="139">
        <f t="shared" si="35"/>
        <v>8157.41</v>
      </c>
      <c r="H40" s="140">
        <f t="shared" si="36"/>
        <v>-322.59999999999945</v>
      </c>
      <c r="I40" s="141">
        <f t="shared" si="53"/>
        <v>7834.81</v>
      </c>
      <c r="J40" s="142">
        <v>-34</v>
      </c>
      <c r="K40" s="142">
        <v>-34</v>
      </c>
      <c r="L40" s="134">
        <f t="shared" si="37"/>
        <v>-266383.54000000004</v>
      </c>
      <c r="M40" s="135">
        <f t="shared" si="38"/>
        <v>0</v>
      </c>
      <c r="N40" s="136">
        <f t="shared" si="39"/>
        <v>-74587.391200000013</v>
      </c>
      <c r="O40" s="137">
        <f t="shared" si="23"/>
        <v>-340970.93120000005</v>
      </c>
      <c r="P40" s="138">
        <v>12</v>
      </c>
      <c r="Q40" s="134">
        <f t="shared" si="40"/>
        <v>-295981.71111111116</v>
      </c>
      <c r="R40" s="135">
        <f t="shared" si="41"/>
        <v>0</v>
      </c>
      <c r="S40" s="136">
        <f t="shared" si="24"/>
        <v>-295981.71111111116</v>
      </c>
      <c r="T40" s="135">
        <f t="shared" si="42"/>
        <v>-80803.007133333347</v>
      </c>
      <c r="U40" s="137">
        <f t="shared" si="25"/>
        <v>-376784.71824444452</v>
      </c>
      <c r="V40" s="135">
        <f t="shared" si="43"/>
        <v>-3551780.5333333341</v>
      </c>
      <c r="W40" s="136">
        <f t="shared" si="44"/>
        <v>0</v>
      </c>
      <c r="X40" s="137">
        <f t="shared" si="26"/>
        <v>-3551780.5333333341</v>
      </c>
      <c r="Y40" s="134">
        <f t="shared" si="45"/>
        <v>-969636.08560000011</v>
      </c>
      <c r="Z40" s="137">
        <f t="shared" si="27"/>
        <v>-4521416.618933334</v>
      </c>
      <c r="AA40" s="139">
        <v>8574.25</v>
      </c>
      <c r="AB40" s="140">
        <f t="shared" si="46"/>
        <v>-347.75</v>
      </c>
      <c r="AC40" s="141">
        <f t="shared" si="54"/>
        <v>8226.5</v>
      </c>
      <c r="AD40" s="134">
        <f t="shared" si="47"/>
        <v>-279701</v>
      </c>
      <c r="AE40" s="135">
        <f t="shared" si="48"/>
        <v>0</v>
      </c>
      <c r="AF40" s="136">
        <f t="shared" si="49"/>
        <v>-78316.28</v>
      </c>
      <c r="AG40" s="137">
        <f t="shared" si="28"/>
        <v>-358017.28000000003</v>
      </c>
      <c r="AH40" s="135">
        <f t="shared" si="50"/>
        <v>-3688461.95</v>
      </c>
      <c r="AI40" s="135">
        <f t="shared" si="51"/>
        <v>0</v>
      </c>
      <c r="AJ40" s="137">
        <f t="shared" si="29"/>
        <v>-3688461.95</v>
      </c>
      <c r="AK40" s="134">
        <f t="shared" si="52"/>
        <v>-1006924.9736000001</v>
      </c>
      <c r="AL40" s="137">
        <f t="shared" si="30"/>
        <v>-4695386.9236000003</v>
      </c>
      <c r="AM40" s="143">
        <f t="shared" si="31"/>
        <v>-49167197.793500006</v>
      </c>
      <c r="AN40" s="143">
        <f t="shared" si="31"/>
        <v>0</v>
      </c>
      <c r="AO40" s="143">
        <f t="shared" si="32"/>
        <v>-49167197.793500006</v>
      </c>
      <c r="AP40" s="143">
        <f t="shared" si="33"/>
        <v>-13422309.898088003</v>
      </c>
      <c r="AQ40" s="144">
        <f t="shared" si="34"/>
        <v>-62589507.691588007</v>
      </c>
    </row>
    <row r="41" spans="1:43" ht="24.95" customHeight="1" x14ac:dyDescent="0.25">
      <c r="A41" s="128" t="s">
        <v>611</v>
      </c>
      <c r="B41" s="128" t="s">
        <v>621</v>
      </c>
      <c r="C41" s="128"/>
      <c r="D41" s="128"/>
      <c r="E41" s="128" t="s">
        <v>601</v>
      </c>
      <c r="F41" s="128" t="s">
        <v>624</v>
      </c>
      <c r="G41" s="139">
        <f t="shared" si="35"/>
        <v>8157.41</v>
      </c>
      <c r="H41" s="140">
        <f t="shared" si="36"/>
        <v>-322.59999999999945</v>
      </c>
      <c r="I41" s="141">
        <f t="shared" si="53"/>
        <v>7834.81</v>
      </c>
      <c r="J41" s="142">
        <v>-3</v>
      </c>
      <c r="K41" s="142">
        <v>-3</v>
      </c>
      <c r="L41" s="134">
        <f t="shared" si="37"/>
        <v>-23504.43</v>
      </c>
      <c r="M41" s="135">
        <f t="shared" si="38"/>
        <v>0</v>
      </c>
      <c r="N41" s="136">
        <f t="shared" si="39"/>
        <v>-6581.2404000000006</v>
      </c>
      <c r="O41" s="137">
        <f t="shared" si="23"/>
        <v>-30085.670400000003</v>
      </c>
      <c r="P41" s="138">
        <v>12</v>
      </c>
      <c r="Q41" s="134">
        <f t="shared" si="40"/>
        <v>-26116.033333333333</v>
      </c>
      <c r="R41" s="135">
        <f t="shared" si="41"/>
        <v>0</v>
      </c>
      <c r="S41" s="136">
        <f t="shared" si="24"/>
        <v>-26116.033333333333</v>
      </c>
      <c r="T41" s="135">
        <f t="shared" si="42"/>
        <v>-7129.6771000000008</v>
      </c>
      <c r="U41" s="137">
        <f t="shared" si="25"/>
        <v>-33245.710433333334</v>
      </c>
      <c r="V41" s="135">
        <f t="shared" si="43"/>
        <v>-313392.40000000002</v>
      </c>
      <c r="W41" s="136">
        <f t="shared" si="44"/>
        <v>0</v>
      </c>
      <c r="X41" s="137">
        <f t="shared" si="26"/>
        <v>-313392.40000000002</v>
      </c>
      <c r="Y41" s="134">
        <f t="shared" si="45"/>
        <v>-85556.125200000009</v>
      </c>
      <c r="Z41" s="137">
        <f t="shared" si="27"/>
        <v>-398948.52520000003</v>
      </c>
      <c r="AA41" s="139">
        <v>8574.25</v>
      </c>
      <c r="AB41" s="140">
        <f t="shared" si="46"/>
        <v>-347.75</v>
      </c>
      <c r="AC41" s="141">
        <f t="shared" si="54"/>
        <v>8226.5</v>
      </c>
      <c r="AD41" s="134">
        <f t="shared" si="47"/>
        <v>-24679.5</v>
      </c>
      <c r="AE41" s="135">
        <f t="shared" si="48"/>
        <v>0</v>
      </c>
      <c r="AF41" s="136">
        <f t="shared" si="49"/>
        <v>-6910.26</v>
      </c>
      <c r="AG41" s="137">
        <f t="shared" si="28"/>
        <v>-31589.760000000002</v>
      </c>
      <c r="AH41" s="135">
        <f t="shared" si="50"/>
        <v>-325452.52500000002</v>
      </c>
      <c r="AI41" s="135">
        <f t="shared" si="51"/>
        <v>0</v>
      </c>
      <c r="AJ41" s="137">
        <f t="shared" si="29"/>
        <v>-325452.52500000002</v>
      </c>
      <c r="AK41" s="134">
        <f t="shared" si="52"/>
        <v>-88846.321200000006</v>
      </c>
      <c r="AL41" s="137">
        <f t="shared" si="30"/>
        <v>-414298.84620000003</v>
      </c>
      <c r="AM41" s="143">
        <f t="shared" si="31"/>
        <v>-4338282.1582500003</v>
      </c>
      <c r="AN41" s="143">
        <f t="shared" si="31"/>
        <v>0</v>
      </c>
      <c r="AO41" s="143">
        <f t="shared" si="32"/>
        <v>-4338282.1582500003</v>
      </c>
      <c r="AP41" s="143">
        <f t="shared" si="33"/>
        <v>-1184321.461596</v>
      </c>
      <c r="AQ41" s="144">
        <f t="shared" si="34"/>
        <v>-5522603.6198460003</v>
      </c>
    </row>
    <row r="42" spans="1:43" ht="24.95" customHeight="1" x14ac:dyDescent="0.25">
      <c r="A42" s="128" t="s">
        <v>611</v>
      </c>
      <c r="B42" s="128" t="s">
        <v>621</v>
      </c>
      <c r="C42" s="128"/>
      <c r="D42" s="128"/>
      <c r="E42" s="128" t="s">
        <v>601</v>
      </c>
      <c r="F42" s="128" t="s">
        <v>625</v>
      </c>
      <c r="G42" s="139">
        <f t="shared" si="35"/>
        <v>8157.41</v>
      </c>
      <c r="H42" s="140">
        <f t="shared" si="36"/>
        <v>-322.59999999999945</v>
      </c>
      <c r="I42" s="141">
        <f t="shared" si="53"/>
        <v>7834.81</v>
      </c>
      <c r="J42" s="142">
        <v>-5</v>
      </c>
      <c r="K42" s="142">
        <v>-5</v>
      </c>
      <c r="L42" s="134">
        <f t="shared" si="37"/>
        <v>-39174.050000000003</v>
      </c>
      <c r="M42" s="135">
        <f t="shared" si="38"/>
        <v>0</v>
      </c>
      <c r="N42" s="136">
        <f t="shared" si="39"/>
        <v>-10968.734000000002</v>
      </c>
      <c r="O42" s="137">
        <f t="shared" si="23"/>
        <v>-50142.784000000007</v>
      </c>
      <c r="P42" s="138">
        <v>12</v>
      </c>
      <c r="Q42" s="134">
        <f t="shared" si="40"/>
        <v>-43526.722222222226</v>
      </c>
      <c r="R42" s="135">
        <f t="shared" si="41"/>
        <v>0</v>
      </c>
      <c r="S42" s="136">
        <f t="shared" si="24"/>
        <v>-43526.722222222226</v>
      </c>
      <c r="T42" s="135">
        <f t="shared" si="42"/>
        <v>-11882.795166666669</v>
      </c>
      <c r="U42" s="137">
        <f t="shared" si="25"/>
        <v>-55409.517388888897</v>
      </c>
      <c r="V42" s="135">
        <f t="shared" si="43"/>
        <v>-522320.66666666674</v>
      </c>
      <c r="W42" s="136">
        <f t="shared" si="44"/>
        <v>0</v>
      </c>
      <c r="X42" s="137">
        <f t="shared" si="26"/>
        <v>-522320.66666666674</v>
      </c>
      <c r="Y42" s="134">
        <f t="shared" si="45"/>
        <v>-142593.54200000002</v>
      </c>
      <c r="Z42" s="137">
        <f t="shared" si="27"/>
        <v>-664914.20866666676</v>
      </c>
      <c r="AA42" s="139">
        <v>8574.25</v>
      </c>
      <c r="AB42" s="140">
        <f t="shared" si="46"/>
        <v>-347.75</v>
      </c>
      <c r="AC42" s="141">
        <f t="shared" si="54"/>
        <v>8226.5</v>
      </c>
      <c r="AD42" s="134">
        <f t="shared" si="47"/>
        <v>-41132.5</v>
      </c>
      <c r="AE42" s="135">
        <f t="shared" si="48"/>
        <v>0</v>
      </c>
      <c r="AF42" s="136">
        <f t="shared" si="49"/>
        <v>-11517.1</v>
      </c>
      <c r="AG42" s="137">
        <f t="shared" si="28"/>
        <v>-52649.599999999999</v>
      </c>
      <c r="AH42" s="135">
        <f t="shared" si="50"/>
        <v>-542420.875</v>
      </c>
      <c r="AI42" s="135">
        <f t="shared" si="51"/>
        <v>0</v>
      </c>
      <c r="AJ42" s="137">
        <f t="shared" si="29"/>
        <v>-542420.875</v>
      </c>
      <c r="AK42" s="134">
        <f t="shared" si="52"/>
        <v>-148077.20199999999</v>
      </c>
      <c r="AL42" s="137">
        <f t="shared" si="30"/>
        <v>-690498.07700000005</v>
      </c>
      <c r="AM42" s="143">
        <f t="shared" si="31"/>
        <v>-7230470.2637499999</v>
      </c>
      <c r="AN42" s="143">
        <f t="shared" si="31"/>
        <v>0</v>
      </c>
      <c r="AO42" s="143">
        <f t="shared" si="32"/>
        <v>-7230470.2637499999</v>
      </c>
      <c r="AP42" s="143">
        <f t="shared" si="33"/>
        <v>-1973869.1026599999</v>
      </c>
      <c r="AQ42" s="144">
        <f t="shared" si="34"/>
        <v>-9204339.3664100002</v>
      </c>
    </row>
    <row r="43" spans="1:43" ht="24.95" customHeight="1" x14ac:dyDescent="0.25">
      <c r="A43" s="128" t="s">
        <v>611</v>
      </c>
      <c r="B43" s="128" t="s">
        <v>621</v>
      </c>
      <c r="C43" s="128"/>
      <c r="D43" s="128"/>
      <c r="E43" s="128" t="s">
        <v>601</v>
      </c>
      <c r="F43" s="128" t="s">
        <v>626</v>
      </c>
      <c r="G43" s="139">
        <f t="shared" si="35"/>
        <v>8157.41</v>
      </c>
      <c r="H43" s="140">
        <f t="shared" si="36"/>
        <v>-322.59999999999945</v>
      </c>
      <c r="I43" s="141">
        <f t="shared" si="53"/>
        <v>7834.81</v>
      </c>
      <c r="J43" s="142">
        <v>-35</v>
      </c>
      <c r="K43" s="142">
        <v>-35</v>
      </c>
      <c r="L43" s="134">
        <f t="shared" si="37"/>
        <v>-274218.35000000003</v>
      </c>
      <c r="M43" s="135">
        <f t="shared" si="38"/>
        <v>0</v>
      </c>
      <c r="N43" s="136">
        <f t="shared" si="39"/>
        <v>-76781.138000000006</v>
      </c>
      <c r="O43" s="137">
        <f t="shared" si="23"/>
        <v>-350999.48800000001</v>
      </c>
      <c r="P43" s="138">
        <v>12</v>
      </c>
      <c r="Q43" s="134">
        <f t="shared" si="40"/>
        <v>-304687.05555555562</v>
      </c>
      <c r="R43" s="135">
        <f t="shared" si="41"/>
        <v>0</v>
      </c>
      <c r="S43" s="136">
        <f t="shared" si="24"/>
        <v>-304687.05555555562</v>
      </c>
      <c r="T43" s="135">
        <f t="shared" si="42"/>
        <v>-83179.566166666671</v>
      </c>
      <c r="U43" s="137">
        <f t="shared" si="25"/>
        <v>-387866.62172222231</v>
      </c>
      <c r="V43" s="135">
        <f t="shared" si="43"/>
        <v>-3656244.6666666674</v>
      </c>
      <c r="W43" s="136">
        <f t="shared" si="44"/>
        <v>0</v>
      </c>
      <c r="X43" s="137">
        <f t="shared" si="26"/>
        <v>-3656244.6666666674</v>
      </c>
      <c r="Y43" s="134">
        <f t="shared" si="45"/>
        <v>-998154.79400000011</v>
      </c>
      <c r="Z43" s="137">
        <f t="shared" si="27"/>
        <v>-4654399.4606666677</v>
      </c>
      <c r="AA43" s="139">
        <v>8574.25</v>
      </c>
      <c r="AB43" s="140">
        <f t="shared" si="46"/>
        <v>-347.75</v>
      </c>
      <c r="AC43" s="141">
        <f t="shared" si="54"/>
        <v>8226.5</v>
      </c>
      <c r="AD43" s="134">
        <f t="shared" si="47"/>
        <v>-287927.5</v>
      </c>
      <c r="AE43" s="135">
        <f t="shared" si="48"/>
        <v>0</v>
      </c>
      <c r="AF43" s="136">
        <f t="shared" si="49"/>
        <v>-80619.7</v>
      </c>
      <c r="AG43" s="137">
        <f t="shared" si="28"/>
        <v>-368547.2</v>
      </c>
      <c r="AH43" s="135">
        <f t="shared" si="50"/>
        <v>-3796946.125</v>
      </c>
      <c r="AI43" s="135">
        <f t="shared" si="51"/>
        <v>0</v>
      </c>
      <c r="AJ43" s="137">
        <f t="shared" si="29"/>
        <v>-3796946.125</v>
      </c>
      <c r="AK43" s="134">
        <f t="shared" si="52"/>
        <v>-1036540.414</v>
      </c>
      <c r="AL43" s="137">
        <f t="shared" si="30"/>
        <v>-4833486.5389999999</v>
      </c>
      <c r="AM43" s="143">
        <f t="shared" si="31"/>
        <v>-50613291.846249998</v>
      </c>
      <c r="AN43" s="143">
        <f t="shared" si="31"/>
        <v>0</v>
      </c>
      <c r="AO43" s="143">
        <f t="shared" si="32"/>
        <v>-50613291.846249998</v>
      </c>
      <c r="AP43" s="143">
        <f t="shared" si="33"/>
        <v>-13817083.71862</v>
      </c>
      <c r="AQ43" s="144">
        <f t="shared" si="34"/>
        <v>-64430375.56487</v>
      </c>
    </row>
    <row r="44" spans="1:43" ht="24.95" customHeight="1" x14ac:dyDescent="0.25">
      <c r="A44" s="128" t="s">
        <v>611</v>
      </c>
      <c r="B44" s="128" t="s">
        <v>621</v>
      </c>
      <c r="C44" s="128"/>
      <c r="D44" s="128"/>
      <c r="E44" s="128" t="s">
        <v>601</v>
      </c>
      <c r="F44" s="128" t="s">
        <v>627</v>
      </c>
      <c r="G44" s="139">
        <f t="shared" si="35"/>
        <v>8157.41</v>
      </c>
      <c r="H44" s="140">
        <f t="shared" si="36"/>
        <v>-322.59999999999945</v>
      </c>
      <c r="I44" s="141">
        <f t="shared" si="53"/>
        <v>7834.81</v>
      </c>
      <c r="J44" s="142">
        <v>-16</v>
      </c>
      <c r="K44" s="142">
        <v>-16</v>
      </c>
      <c r="L44" s="134">
        <f t="shared" si="37"/>
        <v>-125356.96</v>
      </c>
      <c r="M44" s="135">
        <f t="shared" si="38"/>
        <v>0</v>
      </c>
      <c r="N44" s="136">
        <f t="shared" si="39"/>
        <v>-35099.948800000006</v>
      </c>
      <c r="O44" s="137">
        <f t="shared" si="23"/>
        <v>-160456.9088</v>
      </c>
      <c r="P44" s="138">
        <v>12</v>
      </c>
      <c r="Q44" s="134">
        <f t="shared" si="40"/>
        <v>-139285.51111111112</v>
      </c>
      <c r="R44" s="135">
        <f t="shared" si="41"/>
        <v>0</v>
      </c>
      <c r="S44" s="136">
        <f t="shared" si="24"/>
        <v>-139285.51111111112</v>
      </c>
      <c r="T44" s="135">
        <f t="shared" si="42"/>
        <v>-38024.944533333342</v>
      </c>
      <c r="U44" s="137">
        <f t="shared" si="25"/>
        <v>-177310.45564444445</v>
      </c>
      <c r="V44" s="135">
        <f t="shared" si="43"/>
        <v>-1671426.1333333335</v>
      </c>
      <c r="W44" s="136">
        <f t="shared" si="44"/>
        <v>0</v>
      </c>
      <c r="X44" s="137">
        <f t="shared" si="26"/>
        <v>-1671426.1333333335</v>
      </c>
      <c r="Y44" s="134">
        <f t="shared" si="45"/>
        <v>-456299.33440000005</v>
      </c>
      <c r="Z44" s="137">
        <f t="shared" si="27"/>
        <v>-2127725.4677333338</v>
      </c>
      <c r="AA44" s="139">
        <v>8574.25</v>
      </c>
      <c r="AB44" s="140">
        <f t="shared" si="46"/>
        <v>-347.75</v>
      </c>
      <c r="AC44" s="141">
        <f t="shared" si="54"/>
        <v>8226.5</v>
      </c>
      <c r="AD44" s="134">
        <f t="shared" si="47"/>
        <v>-131624</v>
      </c>
      <c r="AE44" s="135">
        <f t="shared" si="48"/>
        <v>0</v>
      </c>
      <c r="AF44" s="136">
        <f t="shared" si="49"/>
        <v>-36854.720000000001</v>
      </c>
      <c r="AG44" s="137">
        <f t="shared" si="28"/>
        <v>-168478.72</v>
      </c>
      <c r="AH44" s="135">
        <f t="shared" si="50"/>
        <v>-1735746.7999999998</v>
      </c>
      <c r="AI44" s="135">
        <f t="shared" si="51"/>
        <v>0</v>
      </c>
      <c r="AJ44" s="137">
        <f t="shared" si="29"/>
        <v>-1735746.7999999998</v>
      </c>
      <c r="AK44" s="134">
        <f t="shared" si="52"/>
        <v>-473847.04639999999</v>
      </c>
      <c r="AL44" s="137">
        <f t="shared" si="30"/>
        <v>-2209593.8463999997</v>
      </c>
      <c r="AM44" s="143">
        <f t="shared" si="31"/>
        <v>-23137504.843999997</v>
      </c>
      <c r="AN44" s="143">
        <f t="shared" si="31"/>
        <v>0</v>
      </c>
      <c r="AO44" s="143">
        <f t="shared" si="32"/>
        <v>-23137504.843999997</v>
      </c>
      <c r="AP44" s="143">
        <f t="shared" si="33"/>
        <v>-6316381.1285119997</v>
      </c>
      <c r="AQ44" s="144">
        <f t="shared" si="34"/>
        <v>-29453885.972511996</v>
      </c>
    </row>
    <row r="45" spans="1:43" ht="24.95" customHeight="1" x14ac:dyDescent="0.25">
      <c r="A45" s="128" t="s">
        <v>611</v>
      </c>
      <c r="B45" s="128" t="s">
        <v>621</v>
      </c>
      <c r="C45" s="128"/>
      <c r="D45" s="128"/>
      <c r="E45" s="128" t="s">
        <v>601</v>
      </c>
      <c r="F45" s="128" t="s">
        <v>628</v>
      </c>
      <c r="G45" s="139">
        <f t="shared" si="35"/>
        <v>8157.41</v>
      </c>
      <c r="H45" s="140">
        <f t="shared" si="36"/>
        <v>-322.59999999999945</v>
      </c>
      <c r="I45" s="141">
        <f t="shared" si="53"/>
        <v>7834.81</v>
      </c>
      <c r="J45" s="142">
        <v>-3</v>
      </c>
      <c r="K45" s="142">
        <v>-3</v>
      </c>
      <c r="L45" s="134">
        <f t="shared" si="37"/>
        <v>-23504.43</v>
      </c>
      <c r="M45" s="135">
        <f t="shared" si="38"/>
        <v>0</v>
      </c>
      <c r="N45" s="136">
        <f t="shared" si="39"/>
        <v>-6581.2404000000006</v>
      </c>
      <c r="O45" s="137">
        <f t="shared" si="23"/>
        <v>-30085.670400000003</v>
      </c>
      <c r="P45" s="138">
        <v>12</v>
      </c>
      <c r="Q45" s="134">
        <f t="shared" si="40"/>
        <v>-26116.033333333333</v>
      </c>
      <c r="R45" s="135">
        <f t="shared" si="41"/>
        <v>0</v>
      </c>
      <c r="S45" s="136">
        <f t="shared" si="24"/>
        <v>-26116.033333333333</v>
      </c>
      <c r="T45" s="135">
        <f t="shared" si="42"/>
        <v>-7129.6771000000008</v>
      </c>
      <c r="U45" s="137">
        <f t="shared" si="25"/>
        <v>-33245.710433333334</v>
      </c>
      <c r="V45" s="135">
        <f t="shared" si="43"/>
        <v>-313392.40000000002</v>
      </c>
      <c r="W45" s="136">
        <f t="shared" si="44"/>
        <v>0</v>
      </c>
      <c r="X45" s="137">
        <f t="shared" si="26"/>
        <v>-313392.40000000002</v>
      </c>
      <c r="Y45" s="134">
        <f t="shared" si="45"/>
        <v>-85556.125200000009</v>
      </c>
      <c r="Z45" s="137">
        <f t="shared" si="27"/>
        <v>-398948.52520000003</v>
      </c>
      <c r="AA45" s="139">
        <v>8574.25</v>
      </c>
      <c r="AB45" s="140">
        <f t="shared" si="46"/>
        <v>-347.75</v>
      </c>
      <c r="AC45" s="141">
        <f t="shared" si="54"/>
        <v>8226.5</v>
      </c>
      <c r="AD45" s="134">
        <f t="shared" si="47"/>
        <v>-24679.5</v>
      </c>
      <c r="AE45" s="135">
        <f t="shared" si="48"/>
        <v>0</v>
      </c>
      <c r="AF45" s="136">
        <f t="shared" si="49"/>
        <v>-6910.26</v>
      </c>
      <c r="AG45" s="137">
        <f t="shared" si="28"/>
        <v>-31589.760000000002</v>
      </c>
      <c r="AH45" s="135">
        <f t="shared" si="50"/>
        <v>-325452.52500000002</v>
      </c>
      <c r="AI45" s="135">
        <f t="shared" si="51"/>
        <v>0</v>
      </c>
      <c r="AJ45" s="137">
        <f t="shared" si="29"/>
        <v>-325452.52500000002</v>
      </c>
      <c r="AK45" s="134">
        <f t="shared" si="52"/>
        <v>-88846.321200000006</v>
      </c>
      <c r="AL45" s="137">
        <f t="shared" si="30"/>
        <v>-414298.84620000003</v>
      </c>
      <c r="AM45" s="143">
        <f t="shared" si="31"/>
        <v>-4338282.1582500003</v>
      </c>
      <c r="AN45" s="143">
        <f t="shared" si="31"/>
        <v>0</v>
      </c>
      <c r="AO45" s="143">
        <f t="shared" si="32"/>
        <v>-4338282.1582500003</v>
      </c>
      <c r="AP45" s="143">
        <f t="shared" si="33"/>
        <v>-1184321.461596</v>
      </c>
      <c r="AQ45" s="144">
        <f t="shared" si="34"/>
        <v>-5522603.6198460003</v>
      </c>
    </row>
    <row r="46" spans="1:43" ht="24.95" customHeight="1" x14ac:dyDescent="0.25">
      <c r="A46" s="128" t="s">
        <v>611</v>
      </c>
      <c r="B46" s="128" t="s">
        <v>621</v>
      </c>
      <c r="C46" s="128"/>
      <c r="D46" s="128"/>
      <c r="E46" s="128" t="s">
        <v>601</v>
      </c>
      <c r="F46" s="128" t="s">
        <v>613</v>
      </c>
      <c r="G46" s="139">
        <f t="shared" si="35"/>
        <v>8157.41</v>
      </c>
      <c r="H46" s="140">
        <f t="shared" si="36"/>
        <v>-1338.7199999999993</v>
      </c>
      <c r="I46" s="141">
        <f t="shared" ref="I46:I53" si="55">2637.69+4181</f>
        <v>6818.6900000000005</v>
      </c>
      <c r="J46" s="142">
        <v>-467</v>
      </c>
      <c r="K46" s="142">
        <v>-467</v>
      </c>
      <c r="L46" s="134">
        <f t="shared" si="37"/>
        <v>-3184328.2300000004</v>
      </c>
      <c r="M46" s="135">
        <f t="shared" si="38"/>
        <v>0</v>
      </c>
      <c r="N46" s="136">
        <f t="shared" si="39"/>
        <v>-891611.90440000012</v>
      </c>
      <c r="O46" s="137">
        <f t="shared" si="23"/>
        <v>-4075940.1344000008</v>
      </c>
      <c r="P46" s="138">
        <v>12</v>
      </c>
      <c r="Q46" s="134">
        <f t="shared" si="40"/>
        <v>-3538142.4777777786</v>
      </c>
      <c r="R46" s="135">
        <f t="shared" si="41"/>
        <v>0</v>
      </c>
      <c r="S46" s="136">
        <f t="shared" si="24"/>
        <v>-3538142.4777777786</v>
      </c>
      <c r="T46" s="135">
        <f t="shared" si="42"/>
        <v>-965912.8964333334</v>
      </c>
      <c r="U46" s="137">
        <f t="shared" si="25"/>
        <v>-4504055.374211112</v>
      </c>
      <c r="V46" s="135">
        <f t="shared" si="43"/>
        <v>-42457709.733333342</v>
      </c>
      <c r="W46" s="136">
        <f t="shared" si="44"/>
        <v>0</v>
      </c>
      <c r="X46" s="137">
        <f t="shared" si="26"/>
        <v>-42457709.733333342</v>
      </c>
      <c r="Y46" s="134">
        <f t="shared" si="45"/>
        <v>-11590954.757200001</v>
      </c>
      <c r="Z46" s="137">
        <f t="shared" si="27"/>
        <v>-54048664.490533344</v>
      </c>
      <c r="AA46" s="139">
        <v>8574.25</v>
      </c>
      <c r="AB46" s="140">
        <f t="shared" si="46"/>
        <v>-1414.6800000000003</v>
      </c>
      <c r="AC46" s="141">
        <f t="shared" ref="AC46:AC53" si="56">2769.57+4390</f>
        <v>7159.57</v>
      </c>
      <c r="AD46" s="134">
        <f t="shared" si="47"/>
        <v>-3343519.19</v>
      </c>
      <c r="AE46" s="135">
        <f t="shared" si="48"/>
        <v>0</v>
      </c>
      <c r="AF46" s="136">
        <f t="shared" si="49"/>
        <v>-936185.37320000003</v>
      </c>
      <c r="AG46" s="137">
        <f t="shared" si="28"/>
        <v>-4279704.5631999997</v>
      </c>
      <c r="AH46" s="135">
        <f t="shared" si="50"/>
        <v>-44091537.922700003</v>
      </c>
      <c r="AI46" s="135">
        <f t="shared" si="51"/>
        <v>0</v>
      </c>
      <c r="AJ46" s="137">
        <f t="shared" si="29"/>
        <v>-44091537.922700003</v>
      </c>
      <c r="AK46" s="134">
        <f t="shared" si="52"/>
        <v>-12036689.4452</v>
      </c>
      <c r="AL46" s="137">
        <f t="shared" si="30"/>
        <v>-56128227.367899999</v>
      </c>
      <c r="AM46" s="143">
        <f t="shared" si="31"/>
        <v>-587740200.50959098</v>
      </c>
      <c r="AN46" s="143">
        <f t="shared" si="31"/>
        <v>0</v>
      </c>
      <c r="AO46" s="143">
        <f t="shared" si="32"/>
        <v>-587740200.50959098</v>
      </c>
      <c r="AP46" s="143">
        <f t="shared" si="33"/>
        <v>-160449070.30451599</v>
      </c>
      <c r="AQ46" s="144">
        <f t="shared" si="34"/>
        <v>-748189270.81410694</v>
      </c>
    </row>
    <row r="47" spans="1:43" ht="24.95" customHeight="1" x14ac:dyDescent="0.25">
      <c r="A47" s="128" t="s">
        <v>611</v>
      </c>
      <c r="B47" s="128" t="s">
        <v>621</v>
      </c>
      <c r="C47" s="128"/>
      <c r="D47" s="128"/>
      <c r="E47" s="128" t="s">
        <v>601</v>
      </c>
      <c r="F47" s="128" t="s">
        <v>629</v>
      </c>
      <c r="G47" s="139">
        <f t="shared" si="35"/>
        <v>8157.41</v>
      </c>
      <c r="H47" s="140">
        <f t="shared" si="36"/>
        <v>-1338.7199999999993</v>
      </c>
      <c r="I47" s="141">
        <f t="shared" si="55"/>
        <v>6818.6900000000005</v>
      </c>
      <c r="J47" s="142">
        <v>-3122</v>
      </c>
      <c r="K47" s="142">
        <v>-3122</v>
      </c>
      <c r="L47" s="134">
        <f t="shared" si="37"/>
        <v>-21287950.180000003</v>
      </c>
      <c r="M47" s="135">
        <f t="shared" si="38"/>
        <v>0</v>
      </c>
      <c r="N47" s="136">
        <f t="shared" si="39"/>
        <v>-5960626.050400001</v>
      </c>
      <c r="O47" s="137">
        <f t="shared" si="23"/>
        <v>-27248576.230400003</v>
      </c>
      <c r="P47" s="138">
        <v>12</v>
      </c>
      <c r="Q47" s="134">
        <f t="shared" si="40"/>
        <v>-23653277.977777779</v>
      </c>
      <c r="R47" s="135">
        <f t="shared" si="41"/>
        <v>0</v>
      </c>
      <c r="S47" s="136">
        <f t="shared" si="24"/>
        <v>-23653277.977777779</v>
      </c>
      <c r="T47" s="135">
        <f t="shared" si="42"/>
        <v>-6457344.8879333343</v>
      </c>
      <c r="U47" s="137">
        <f t="shared" si="25"/>
        <v>-30110622.865711115</v>
      </c>
      <c r="V47" s="135">
        <f t="shared" si="43"/>
        <v>-283839335.73333341</v>
      </c>
      <c r="W47" s="136">
        <f t="shared" si="44"/>
        <v>0</v>
      </c>
      <c r="X47" s="137">
        <f t="shared" si="26"/>
        <v>-283839335.73333341</v>
      </c>
      <c r="Y47" s="134">
        <f t="shared" si="45"/>
        <v>-77488138.655200019</v>
      </c>
      <c r="Z47" s="137">
        <f t="shared" si="27"/>
        <v>-361327474.38853341</v>
      </c>
      <c r="AA47" s="139">
        <v>8574.25</v>
      </c>
      <c r="AB47" s="140">
        <f t="shared" si="46"/>
        <v>-1414.6800000000003</v>
      </c>
      <c r="AC47" s="141">
        <f t="shared" si="56"/>
        <v>7159.57</v>
      </c>
      <c r="AD47" s="134">
        <f t="shared" si="47"/>
        <v>-22352177.539999999</v>
      </c>
      <c r="AE47" s="135">
        <f t="shared" si="48"/>
        <v>0</v>
      </c>
      <c r="AF47" s="136">
        <f t="shared" si="49"/>
        <v>-6258609.7112000007</v>
      </c>
      <c r="AG47" s="137">
        <f t="shared" si="28"/>
        <v>-28610787.251199998</v>
      </c>
      <c r="AH47" s="135">
        <f t="shared" si="50"/>
        <v>-294761844.52819997</v>
      </c>
      <c r="AI47" s="135">
        <f t="shared" si="51"/>
        <v>0</v>
      </c>
      <c r="AJ47" s="137">
        <f t="shared" si="29"/>
        <v>-294761844.52819997</v>
      </c>
      <c r="AK47" s="134">
        <f t="shared" si="52"/>
        <v>-80467975.263200015</v>
      </c>
      <c r="AL47" s="137">
        <f t="shared" si="30"/>
        <v>-375229819.79139996</v>
      </c>
      <c r="AM47" s="143">
        <f t="shared" si="31"/>
        <v>-3929175387.5609055</v>
      </c>
      <c r="AN47" s="143">
        <f t="shared" si="31"/>
        <v>0</v>
      </c>
      <c r="AO47" s="143">
        <f t="shared" si="32"/>
        <v>-3929175387.5609055</v>
      </c>
      <c r="AP47" s="143">
        <f t="shared" si="33"/>
        <v>-1072638110.2584562</v>
      </c>
      <c r="AQ47" s="144">
        <f t="shared" si="34"/>
        <v>-5001813497.8193617</v>
      </c>
    </row>
    <row r="48" spans="1:43" ht="24.95" customHeight="1" x14ac:dyDescent="0.25">
      <c r="A48" s="128" t="s">
        <v>611</v>
      </c>
      <c r="B48" s="128" t="s">
        <v>621</v>
      </c>
      <c r="C48" s="128"/>
      <c r="D48" s="128"/>
      <c r="E48" s="128" t="s">
        <v>601</v>
      </c>
      <c r="F48" s="128" t="s">
        <v>614</v>
      </c>
      <c r="G48" s="139">
        <f t="shared" si="35"/>
        <v>8157.41</v>
      </c>
      <c r="H48" s="140">
        <f t="shared" si="36"/>
        <v>-1338.7199999999993</v>
      </c>
      <c r="I48" s="141">
        <f t="shared" si="55"/>
        <v>6818.6900000000005</v>
      </c>
      <c r="J48" s="142">
        <v>-260</v>
      </c>
      <c r="K48" s="142">
        <v>-260</v>
      </c>
      <c r="L48" s="134">
        <f t="shared" si="37"/>
        <v>-1772859.4000000001</v>
      </c>
      <c r="M48" s="135">
        <f t="shared" si="38"/>
        <v>0</v>
      </c>
      <c r="N48" s="136">
        <f t="shared" si="39"/>
        <v>-496400.6320000001</v>
      </c>
      <c r="O48" s="137">
        <f t="shared" si="23"/>
        <v>-2269260.0320000001</v>
      </c>
      <c r="P48" s="138">
        <v>12</v>
      </c>
      <c r="Q48" s="134">
        <f t="shared" si="40"/>
        <v>-1969843.777777778</v>
      </c>
      <c r="R48" s="135">
        <f t="shared" si="41"/>
        <v>0</v>
      </c>
      <c r="S48" s="136">
        <f t="shared" si="24"/>
        <v>-1969843.777777778</v>
      </c>
      <c r="T48" s="135">
        <f t="shared" si="42"/>
        <v>-537767.35133333341</v>
      </c>
      <c r="U48" s="137">
        <f t="shared" si="25"/>
        <v>-2507611.1291111112</v>
      </c>
      <c r="V48" s="135">
        <f t="shared" si="43"/>
        <v>-23638125.333333336</v>
      </c>
      <c r="W48" s="136">
        <f t="shared" si="44"/>
        <v>0</v>
      </c>
      <c r="X48" s="137">
        <f t="shared" si="26"/>
        <v>-23638125.333333336</v>
      </c>
      <c r="Y48" s="134">
        <f t="shared" si="45"/>
        <v>-6453208.2160000009</v>
      </c>
      <c r="Z48" s="137">
        <f t="shared" si="27"/>
        <v>-30091333.549333338</v>
      </c>
      <c r="AA48" s="139">
        <v>8574.25</v>
      </c>
      <c r="AB48" s="140">
        <f t="shared" si="46"/>
        <v>-1414.6800000000003</v>
      </c>
      <c r="AC48" s="141">
        <f t="shared" si="56"/>
        <v>7159.57</v>
      </c>
      <c r="AD48" s="134">
        <f t="shared" si="47"/>
        <v>-1861488.2</v>
      </c>
      <c r="AE48" s="135">
        <f t="shared" si="48"/>
        <v>0</v>
      </c>
      <c r="AF48" s="136">
        <f t="shared" si="49"/>
        <v>-521216.69600000005</v>
      </c>
      <c r="AG48" s="137">
        <f t="shared" si="28"/>
        <v>-2382704.8960000002</v>
      </c>
      <c r="AH48" s="135">
        <f t="shared" si="50"/>
        <v>-24547751.305999998</v>
      </c>
      <c r="AI48" s="135">
        <f t="shared" si="51"/>
        <v>0</v>
      </c>
      <c r="AJ48" s="137">
        <f t="shared" si="29"/>
        <v>-24547751.305999998</v>
      </c>
      <c r="AK48" s="134">
        <f t="shared" si="52"/>
        <v>-6701368.8560000006</v>
      </c>
      <c r="AL48" s="137">
        <f t="shared" si="30"/>
        <v>-31249120.162</v>
      </c>
      <c r="AM48" s="143">
        <f t="shared" si="31"/>
        <v>-327221524.90897995</v>
      </c>
      <c r="AN48" s="143">
        <f t="shared" si="31"/>
        <v>0</v>
      </c>
      <c r="AO48" s="143">
        <f t="shared" si="32"/>
        <v>-327221524.90897995</v>
      </c>
      <c r="AP48" s="143">
        <f t="shared" si="33"/>
        <v>-89329246.850480005</v>
      </c>
      <c r="AQ48" s="144">
        <f t="shared" si="34"/>
        <v>-416550771.75945997</v>
      </c>
    </row>
    <row r="49" spans="1:43" ht="24.95" customHeight="1" x14ac:dyDescent="0.25">
      <c r="A49" s="128" t="s">
        <v>611</v>
      </c>
      <c r="B49" s="128" t="s">
        <v>621</v>
      </c>
      <c r="C49" s="128"/>
      <c r="D49" s="128"/>
      <c r="E49" s="128" t="s">
        <v>601</v>
      </c>
      <c r="F49" s="128" t="s">
        <v>615</v>
      </c>
      <c r="G49" s="139">
        <f t="shared" si="35"/>
        <v>8157.41</v>
      </c>
      <c r="H49" s="140">
        <f t="shared" si="36"/>
        <v>-1338.7199999999993</v>
      </c>
      <c r="I49" s="141">
        <f t="shared" si="55"/>
        <v>6818.6900000000005</v>
      </c>
      <c r="J49" s="142">
        <v>-140</v>
      </c>
      <c r="K49" s="142">
        <v>-140</v>
      </c>
      <c r="L49" s="134">
        <f t="shared" si="37"/>
        <v>-954616.60000000009</v>
      </c>
      <c r="M49" s="135">
        <f t="shared" si="38"/>
        <v>0</v>
      </c>
      <c r="N49" s="136">
        <f t="shared" si="39"/>
        <v>-267292.64800000004</v>
      </c>
      <c r="O49" s="137">
        <f t="shared" si="23"/>
        <v>-1221909.2480000001</v>
      </c>
      <c r="P49" s="138">
        <v>12</v>
      </c>
      <c r="Q49" s="134">
        <f t="shared" si="40"/>
        <v>-1060685.1111111112</v>
      </c>
      <c r="R49" s="135">
        <f t="shared" si="41"/>
        <v>0</v>
      </c>
      <c r="S49" s="136">
        <f t="shared" si="24"/>
        <v>-1060685.1111111112</v>
      </c>
      <c r="T49" s="135">
        <f t="shared" si="42"/>
        <v>-289567.03533333336</v>
      </c>
      <c r="U49" s="137">
        <f t="shared" si="25"/>
        <v>-1350252.1464444445</v>
      </c>
      <c r="V49" s="135">
        <f t="shared" si="43"/>
        <v>-12728221.333333336</v>
      </c>
      <c r="W49" s="136">
        <f t="shared" si="44"/>
        <v>0</v>
      </c>
      <c r="X49" s="137">
        <f t="shared" si="26"/>
        <v>-12728221.333333336</v>
      </c>
      <c r="Y49" s="134">
        <f t="shared" si="45"/>
        <v>-3474804.4240000006</v>
      </c>
      <c r="Z49" s="137">
        <f t="shared" si="27"/>
        <v>-16203025.757333336</v>
      </c>
      <c r="AA49" s="139">
        <v>8574.25</v>
      </c>
      <c r="AB49" s="140">
        <f t="shared" si="46"/>
        <v>-1414.6800000000003</v>
      </c>
      <c r="AC49" s="141">
        <f t="shared" si="56"/>
        <v>7159.57</v>
      </c>
      <c r="AD49" s="134">
        <f t="shared" si="47"/>
        <v>-1002339.7999999999</v>
      </c>
      <c r="AE49" s="135">
        <f t="shared" si="48"/>
        <v>0</v>
      </c>
      <c r="AF49" s="136">
        <f t="shared" si="49"/>
        <v>-280655.14400000003</v>
      </c>
      <c r="AG49" s="137">
        <f t="shared" si="28"/>
        <v>-1282994.9439999999</v>
      </c>
      <c r="AH49" s="135">
        <f t="shared" si="50"/>
        <v>-13218019.934</v>
      </c>
      <c r="AI49" s="135">
        <f t="shared" si="51"/>
        <v>0</v>
      </c>
      <c r="AJ49" s="137">
        <f t="shared" si="29"/>
        <v>-13218019.934</v>
      </c>
      <c r="AK49" s="134">
        <f t="shared" si="52"/>
        <v>-3608429.3840000005</v>
      </c>
      <c r="AL49" s="137">
        <f t="shared" si="30"/>
        <v>-16826449.318</v>
      </c>
      <c r="AM49" s="143">
        <f t="shared" si="31"/>
        <v>-176196205.72022</v>
      </c>
      <c r="AN49" s="143">
        <f t="shared" si="31"/>
        <v>0</v>
      </c>
      <c r="AO49" s="143">
        <f t="shared" si="32"/>
        <v>-176196205.72022</v>
      </c>
      <c r="AP49" s="143">
        <f t="shared" si="33"/>
        <v>-48100363.68872001</v>
      </c>
      <c r="AQ49" s="144">
        <f t="shared" si="34"/>
        <v>-224296569.40894002</v>
      </c>
    </row>
    <row r="50" spans="1:43" ht="24.95" customHeight="1" x14ac:dyDescent="0.25">
      <c r="A50" s="128" t="s">
        <v>611</v>
      </c>
      <c r="B50" s="128" t="s">
        <v>621</v>
      </c>
      <c r="C50" s="128"/>
      <c r="D50" s="128"/>
      <c r="E50" s="128" t="s">
        <v>601</v>
      </c>
      <c r="F50" s="128" t="s">
        <v>616</v>
      </c>
      <c r="G50" s="139">
        <f t="shared" si="35"/>
        <v>8157.41</v>
      </c>
      <c r="H50" s="140">
        <f t="shared" si="36"/>
        <v>-1338.7199999999993</v>
      </c>
      <c r="I50" s="141">
        <f t="shared" si="55"/>
        <v>6818.6900000000005</v>
      </c>
      <c r="J50" s="142">
        <v>-193</v>
      </c>
      <c r="K50" s="142">
        <v>-193</v>
      </c>
      <c r="L50" s="134">
        <f t="shared" si="37"/>
        <v>-1316007.1700000002</v>
      </c>
      <c r="M50" s="135">
        <f t="shared" si="38"/>
        <v>0</v>
      </c>
      <c r="N50" s="136">
        <f t="shared" si="39"/>
        <v>-368482.00760000007</v>
      </c>
      <c r="O50" s="137">
        <f t="shared" si="23"/>
        <v>-1684489.1776000003</v>
      </c>
      <c r="P50" s="138">
        <v>12</v>
      </c>
      <c r="Q50" s="134">
        <f t="shared" si="40"/>
        <v>-1462230.188888889</v>
      </c>
      <c r="R50" s="135">
        <f t="shared" si="41"/>
        <v>0</v>
      </c>
      <c r="S50" s="136">
        <f t="shared" si="24"/>
        <v>-1462230.188888889</v>
      </c>
      <c r="T50" s="135">
        <f t="shared" si="42"/>
        <v>-399188.84156666673</v>
      </c>
      <c r="U50" s="137">
        <f t="shared" si="25"/>
        <v>-1861419.0304555558</v>
      </c>
      <c r="V50" s="135">
        <f t="shared" si="43"/>
        <v>-17546762.266666669</v>
      </c>
      <c r="W50" s="136">
        <f t="shared" si="44"/>
        <v>0</v>
      </c>
      <c r="X50" s="137">
        <f t="shared" si="26"/>
        <v>-17546762.266666669</v>
      </c>
      <c r="Y50" s="134">
        <f t="shared" si="45"/>
        <v>-4790266.0988000007</v>
      </c>
      <c r="Z50" s="137">
        <f t="shared" si="27"/>
        <v>-22337028.365466669</v>
      </c>
      <c r="AA50" s="139">
        <v>8574.25</v>
      </c>
      <c r="AB50" s="140">
        <f t="shared" si="46"/>
        <v>-1414.6800000000003</v>
      </c>
      <c r="AC50" s="141">
        <f t="shared" si="56"/>
        <v>7159.57</v>
      </c>
      <c r="AD50" s="134">
        <f t="shared" si="47"/>
        <v>-1381797.01</v>
      </c>
      <c r="AE50" s="135">
        <f t="shared" si="48"/>
        <v>0</v>
      </c>
      <c r="AF50" s="136">
        <f t="shared" si="49"/>
        <v>-386903.16280000005</v>
      </c>
      <c r="AG50" s="137">
        <f t="shared" si="28"/>
        <v>-1768700.1728000001</v>
      </c>
      <c r="AH50" s="135">
        <f t="shared" si="50"/>
        <v>-18221984.623300001</v>
      </c>
      <c r="AI50" s="135">
        <f t="shared" si="51"/>
        <v>0</v>
      </c>
      <c r="AJ50" s="137">
        <f t="shared" si="29"/>
        <v>-18221984.623300001</v>
      </c>
      <c r="AK50" s="134">
        <f t="shared" si="52"/>
        <v>-4974477.6508000009</v>
      </c>
      <c r="AL50" s="137">
        <f t="shared" si="30"/>
        <v>-23196462.274100002</v>
      </c>
      <c r="AM50" s="143">
        <f t="shared" si="31"/>
        <v>-242899055.02858901</v>
      </c>
      <c r="AN50" s="143">
        <f t="shared" si="31"/>
        <v>0</v>
      </c>
      <c r="AO50" s="143">
        <f t="shared" si="32"/>
        <v>-242899055.02858901</v>
      </c>
      <c r="AP50" s="143">
        <f t="shared" si="33"/>
        <v>-66309787.085164011</v>
      </c>
      <c r="AQ50" s="144">
        <f t="shared" si="34"/>
        <v>-309208842.11375302</v>
      </c>
    </row>
    <row r="51" spans="1:43" ht="24.95" customHeight="1" x14ac:dyDescent="0.25">
      <c r="A51" s="128" t="s">
        <v>611</v>
      </c>
      <c r="B51" s="128" t="s">
        <v>621</v>
      </c>
      <c r="C51" s="128"/>
      <c r="D51" s="128"/>
      <c r="E51" s="128" t="s">
        <v>601</v>
      </c>
      <c r="F51" s="128" t="s">
        <v>630</v>
      </c>
      <c r="G51" s="139">
        <f t="shared" si="35"/>
        <v>8157.41</v>
      </c>
      <c r="H51" s="140">
        <f t="shared" si="36"/>
        <v>-1338.7199999999993</v>
      </c>
      <c r="I51" s="141">
        <f t="shared" si="55"/>
        <v>6818.6900000000005</v>
      </c>
      <c r="J51" s="142">
        <v>-1</v>
      </c>
      <c r="K51" s="142">
        <v>-1</v>
      </c>
      <c r="L51" s="134">
        <f t="shared" si="37"/>
        <v>-6818.6900000000005</v>
      </c>
      <c r="M51" s="135">
        <f t="shared" si="38"/>
        <v>0</v>
      </c>
      <c r="N51" s="136">
        <f t="shared" si="39"/>
        <v>-1909.2332000000004</v>
      </c>
      <c r="O51" s="137">
        <f t="shared" si="23"/>
        <v>-8727.9232000000011</v>
      </c>
      <c r="P51" s="138">
        <v>12</v>
      </c>
      <c r="Q51" s="134">
        <f t="shared" si="40"/>
        <v>-7576.322222222223</v>
      </c>
      <c r="R51" s="135">
        <f t="shared" si="41"/>
        <v>0</v>
      </c>
      <c r="S51" s="136">
        <f t="shared" si="24"/>
        <v>-7576.322222222223</v>
      </c>
      <c r="T51" s="135">
        <f t="shared" si="42"/>
        <v>-2068.335966666667</v>
      </c>
      <c r="U51" s="137">
        <f t="shared" si="25"/>
        <v>-9644.6581888888904</v>
      </c>
      <c r="V51" s="135">
        <f t="shared" si="43"/>
        <v>-90915.866666666683</v>
      </c>
      <c r="W51" s="136">
        <f t="shared" si="44"/>
        <v>0</v>
      </c>
      <c r="X51" s="137">
        <f t="shared" si="26"/>
        <v>-90915.866666666683</v>
      </c>
      <c r="Y51" s="134">
        <f t="shared" si="45"/>
        <v>-24820.031600000006</v>
      </c>
      <c r="Z51" s="137">
        <f t="shared" si="27"/>
        <v>-115735.89826666669</v>
      </c>
      <c r="AA51" s="139">
        <v>8574.25</v>
      </c>
      <c r="AB51" s="140">
        <f t="shared" si="46"/>
        <v>-1414.6800000000003</v>
      </c>
      <c r="AC51" s="141">
        <f t="shared" si="56"/>
        <v>7159.57</v>
      </c>
      <c r="AD51" s="134">
        <f t="shared" si="47"/>
        <v>-7159.57</v>
      </c>
      <c r="AE51" s="135">
        <f t="shared" si="48"/>
        <v>0</v>
      </c>
      <c r="AF51" s="136">
        <f t="shared" si="49"/>
        <v>-2004.6796000000002</v>
      </c>
      <c r="AG51" s="137">
        <f t="shared" si="28"/>
        <v>-9164.2495999999992</v>
      </c>
      <c r="AH51" s="135">
        <f t="shared" si="50"/>
        <v>-94414.42809999999</v>
      </c>
      <c r="AI51" s="135">
        <f t="shared" si="51"/>
        <v>0</v>
      </c>
      <c r="AJ51" s="137">
        <f t="shared" si="29"/>
        <v>-94414.42809999999</v>
      </c>
      <c r="AK51" s="134">
        <f t="shared" si="52"/>
        <v>-25774.495600000002</v>
      </c>
      <c r="AL51" s="137">
        <f t="shared" si="30"/>
        <v>-120188.92369999998</v>
      </c>
      <c r="AM51" s="143">
        <f t="shared" si="31"/>
        <v>-1258544.3265729998</v>
      </c>
      <c r="AN51" s="143">
        <f t="shared" si="31"/>
        <v>0</v>
      </c>
      <c r="AO51" s="143">
        <f t="shared" si="32"/>
        <v>-1258544.3265729998</v>
      </c>
      <c r="AP51" s="143">
        <f t="shared" si="33"/>
        <v>-343574.02634800004</v>
      </c>
      <c r="AQ51" s="144">
        <f t="shared" si="34"/>
        <v>-1602118.3529209998</v>
      </c>
    </row>
    <row r="52" spans="1:43" ht="24.95" customHeight="1" x14ac:dyDescent="0.25">
      <c r="A52" s="128" t="s">
        <v>611</v>
      </c>
      <c r="B52" s="128" t="s">
        <v>621</v>
      </c>
      <c r="C52" s="128"/>
      <c r="D52" s="128"/>
      <c r="E52" s="128" t="s">
        <v>601</v>
      </c>
      <c r="F52" s="128" t="s">
        <v>617</v>
      </c>
      <c r="G52" s="139">
        <f t="shared" si="35"/>
        <v>8157.41</v>
      </c>
      <c r="H52" s="140">
        <f t="shared" si="36"/>
        <v>-1338.7199999999993</v>
      </c>
      <c r="I52" s="141">
        <f t="shared" si="55"/>
        <v>6818.6900000000005</v>
      </c>
      <c r="J52" s="142">
        <v>-217</v>
      </c>
      <c r="K52" s="142">
        <v>-217</v>
      </c>
      <c r="L52" s="134">
        <f t="shared" si="37"/>
        <v>-1479655.7300000002</v>
      </c>
      <c r="M52" s="135">
        <f t="shared" si="38"/>
        <v>0</v>
      </c>
      <c r="N52" s="136">
        <f t="shared" si="39"/>
        <v>-414303.60440000007</v>
      </c>
      <c r="O52" s="137">
        <f t="shared" si="23"/>
        <v>-1893959.3344000003</v>
      </c>
      <c r="P52" s="138">
        <v>12</v>
      </c>
      <c r="Q52" s="134">
        <f t="shared" si="40"/>
        <v>-1644061.9222222227</v>
      </c>
      <c r="R52" s="135">
        <f t="shared" si="41"/>
        <v>0</v>
      </c>
      <c r="S52" s="136">
        <f t="shared" si="24"/>
        <v>-1644061.9222222227</v>
      </c>
      <c r="T52" s="135">
        <f t="shared" si="42"/>
        <v>-448828.90476666676</v>
      </c>
      <c r="U52" s="137">
        <f t="shared" si="25"/>
        <v>-2092890.8269888894</v>
      </c>
      <c r="V52" s="135">
        <f t="shared" si="43"/>
        <v>-19728743.06666667</v>
      </c>
      <c r="W52" s="136">
        <f t="shared" si="44"/>
        <v>0</v>
      </c>
      <c r="X52" s="137">
        <f t="shared" si="26"/>
        <v>-19728743.06666667</v>
      </c>
      <c r="Y52" s="134">
        <f t="shared" si="45"/>
        <v>-5385946.8572000004</v>
      </c>
      <c r="Z52" s="137">
        <f t="shared" si="27"/>
        <v>-25114689.923866671</v>
      </c>
      <c r="AA52" s="139">
        <v>8574.25</v>
      </c>
      <c r="AB52" s="140">
        <f t="shared" si="46"/>
        <v>-1414.6800000000003</v>
      </c>
      <c r="AC52" s="141">
        <f t="shared" si="56"/>
        <v>7159.57</v>
      </c>
      <c r="AD52" s="134">
        <f t="shared" si="47"/>
        <v>-1553626.69</v>
      </c>
      <c r="AE52" s="135">
        <f t="shared" si="48"/>
        <v>0</v>
      </c>
      <c r="AF52" s="136">
        <f t="shared" si="49"/>
        <v>-435015.47320000001</v>
      </c>
      <c r="AG52" s="137">
        <f t="shared" si="28"/>
        <v>-1988642.1631999998</v>
      </c>
      <c r="AH52" s="135">
        <f t="shared" si="50"/>
        <v>-20487930.897700001</v>
      </c>
      <c r="AI52" s="135">
        <f t="shared" si="51"/>
        <v>0</v>
      </c>
      <c r="AJ52" s="137">
        <f t="shared" si="29"/>
        <v>-20487930.897700001</v>
      </c>
      <c r="AK52" s="134">
        <f t="shared" si="52"/>
        <v>-5593065.5451999996</v>
      </c>
      <c r="AL52" s="137">
        <f t="shared" si="30"/>
        <v>-26080996.442900002</v>
      </c>
      <c r="AM52" s="143">
        <f t="shared" si="31"/>
        <v>-273104118.86634099</v>
      </c>
      <c r="AN52" s="143">
        <f t="shared" si="31"/>
        <v>0</v>
      </c>
      <c r="AO52" s="143">
        <f t="shared" si="32"/>
        <v>-273104118.86634099</v>
      </c>
      <c r="AP52" s="143">
        <f t="shared" si="33"/>
        <v>-74555563.71751599</v>
      </c>
      <c r="AQ52" s="144">
        <f t="shared" si="34"/>
        <v>-347659682.583857</v>
      </c>
    </row>
    <row r="53" spans="1:43" ht="24.95" customHeight="1" x14ac:dyDescent="0.25">
      <c r="A53" s="128" t="s">
        <v>611</v>
      </c>
      <c r="B53" s="128" t="s">
        <v>621</v>
      </c>
      <c r="C53" s="128"/>
      <c r="D53" s="128"/>
      <c r="E53" s="128" t="s">
        <v>601</v>
      </c>
      <c r="F53" s="128" t="s">
        <v>618</v>
      </c>
      <c r="G53" s="139">
        <f t="shared" si="35"/>
        <v>8157.41</v>
      </c>
      <c r="H53" s="140">
        <f t="shared" si="36"/>
        <v>-1338.7199999999993</v>
      </c>
      <c r="I53" s="141">
        <f t="shared" si="55"/>
        <v>6818.6900000000005</v>
      </c>
      <c r="J53" s="142">
        <v>-180</v>
      </c>
      <c r="K53" s="142">
        <v>-180</v>
      </c>
      <c r="L53" s="134">
        <f t="shared" si="37"/>
        <v>-1227364.2000000002</v>
      </c>
      <c r="M53" s="135">
        <f t="shared" si="38"/>
        <v>0</v>
      </c>
      <c r="N53" s="136">
        <f t="shared" si="39"/>
        <v>-343661.97600000008</v>
      </c>
      <c r="O53" s="137">
        <f t="shared" si="23"/>
        <v>-1571026.1760000002</v>
      </c>
      <c r="P53" s="138">
        <v>12</v>
      </c>
      <c r="Q53" s="134">
        <f t="shared" si="40"/>
        <v>-1363738.0000000002</v>
      </c>
      <c r="R53" s="135">
        <f t="shared" si="41"/>
        <v>0</v>
      </c>
      <c r="S53" s="136">
        <f t="shared" si="24"/>
        <v>-1363738.0000000002</v>
      </c>
      <c r="T53" s="135">
        <f t="shared" si="42"/>
        <v>-372300.4740000001</v>
      </c>
      <c r="U53" s="137">
        <f t="shared" si="25"/>
        <v>-1736038.4740000004</v>
      </c>
      <c r="V53" s="135">
        <f t="shared" si="43"/>
        <v>-16364856.000000004</v>
      </c>
      <c r="W53" s="136">
        <f t="shared" si="44"/>
        <v>0</v>
      </c>
      <c r="X53" s="137">
        <f t="shared" si="26"/>
        <v>-16364856.000000004</v>
      </c>
      <c r="Y53" s="134">
        <f t="shared" si="45"/>
        <v>-4467605.688000001</v>
      </c>
      <c r="Z53" s="137">
        <f t="shared" si="27"/>
        <v>-20832461.688000005</v>
      </c>
      <c r="AA53" s="139">
        <v>8574.25</v>
      </c>
      <c r="AB53" s="140">
        <f t="shared" si="46"/>
        <v>-1414.6800000000003</v>
      </c>
      <c r="AC53" s="141">
        <f t="shared" si="56"/>
        <v>7159.57</v>
      </c>
      <c r="AD53" s="134">
        <f t="shared" si="47"/>
        <v>-1288722.5999999999</v>
      </c>
      <c r="AE53" s="135">
        <f t="shared" si="48"/>
        <v>0</v>
      </c>
      <c r="AF53" s="136">
        <f t="shared" si="49"/>
        <v>-360842.32800000004</v>
      </c>
      <c r="AG53" s="137">
        <f t="shared" si="28"/>
        <v>-1649564.9279999998</v>
      </c>
      <c r="AH53" s="135">
        <f t="shared" si="50"/>
        <v>-16994597.057999998</v>
      </c>
      <c r="AI53" s="135">
        <f t="shared" si="51"/>
        <v>0</v>
      </c>
      <c r="AJ53" s="137">
        <f t="shared" si="29"/>
        <v>-16994597.057999998</v>
      </c>
      <c r="AK53" s="134">
        <f t="shared" si="52"/>
        <v>-4639409.2080000006</v>
      </c>
      <c r="AL53" s="137">
        <f t="shared" si="30"/>
        <v>-21634006.265999999</v>
      </c>
      <c r="AM53" s="143">
        <f t="shared" si="31"/>
        <v>-226537978.78313997</v>
      </c>
      <c r="AN53" s="143">
        <f t="shared" si="31"/>
        <v>0</v>
      </c>
      <c r="AO53" s="143">
        <f t="shared" si="32"/>
        <v>-226537978.78313997</v>
      </c>
      <c r="AP53" s="143">
        <f t="shared" si="33"/>
        <v>-61843324.742640011</v>
      </c>
      <c r="AQ53" s="144">
        <f t="shared" si="34"/>
        <v>-288381303.52577996</v>
      </c>
    </row>
    <row r="54" spans="1:43" ht="24.95" customHeight="1" x14ac:dyDescent="0.25">
      <c r="A54" s="128" t="s">
        <v>611</v>
      </c>
      <c r="B54" s="128" t="s">
        <v>631</v>
      </c>
      <c r="C54" s="128"/>
      <c r="D54" s="128"/>
      <c r="E54" s="128" t="s">
        <v>601</v>
      </c>
      <c r="F54" s="128" t="s">
        <v>632</v>
      </c>
      <c r="G54" s="139">
        <f t="shared" si="35"/>
        <v>8157.41</v>
      </c>
      <c r="H54" s="140">
        <f t="shared" si="36"/>
        <v>-322.59999999999945</v>
      </c>
      <c r="I54" s="141">
        <f>2637.69+4181+1016.12</f>
        <v>7834.81</v>
      </c>
      <c r="J54" s="142">
        <v>-1</v>
      </c>
      <c r="K54" s="142">
        <v>-1</v>
      </c>
      <c r="L54" s="134">
        <f t="shared" si="37"/>
        <v>-7834.81</v>
      </c>
      <c r="M54" s="135">
        <f t="shared" si="38"/>
        <v>0</v>
      </c>
      <c r="N54" s="136">
        <f t="shared" si="39"/>
        <v>-2193.7468000000003</v>
      </c>
      <c r="O54" s="137">
        <f t="shared" si="23"/>
        <v>-10028.5568</v>
      </c>
      <c r="P54" s="138">
        <v>12</v>
      </c>
      <c r="Q54" s="134">
        <f t="shared" si="40"/>
        <v>-8705.3444444444449</v>
      </c>
      <c r="R54" s="135">
        <f t="shared" si="41"/>
        <v>0</v>
      </c>
      <c r="S54" s="136">
        <f t="shared" si="24"/>
        <v>-8705.3444444444449</v>
      </c>
      <c r="T54" s="135">
        <f t="shared" si="42"/>
        <v>-2376.5590333333339</v>
      </c>
      <c r="U54" s="137">
        <f t="shared" si="25"/>
        <v>-11081.903477777778</v>
      </c>
      <c r="V54" s="135">
        <f t="shared" si="43"/>
        <v>-104464.13333333335</v>
      </c>
      <c r="W54" s="136">
        <f t="shared" si="44"/>
        <v>0</v>
      </c>
      <c r="X54" s="137">
        <f t="shared" si="26"/>
        <v>-104464.13333333335</v>
      </c>
      <c r="Y54" s="134">
        <f t="shared" si="45"/>
        <v>-28518.708400000003</v>
      </c>
      <c r="Z54" s="137">
        <f t="shared" si="27"/>
        <v>-132982.84173333336</v>
      </c>
      <c r="AA54" s="139">
        <v>8574.25</v>
      </c>
      <c r="AB54" s="140">
        <f t="shared" si="46"/>
        <v>-347.75</v>
      </c>
      <c r="AC54" s="141">
        <f>2769.57+4390+1066.93</f>
        <v>8226.5</v>
      </c>
      <c r="AD54" s="134">
        <f t="shared" si="47"/>
        <v>-8226.5</v>
      </c>
      <c r="AE54" s="135">
        <f t="shared" si="48"/>
        <v>0</v>
      </c>
      <c r="AF54" s="136">
        <f t="shared" si="49"/>
        <v>-2303.42</v>
      </c>
      <c r="AG54" s="137">
        <f t="shared" si="28"/>
        <v>-10529.92</v>
      </c>
      <c r="AH54" s="135">
        <f t="shared" si="50"/>
        <v>-108484.17499999999</v>
      </c>
      <c r="AI54" s="135">
        <f t="shared" si="51"/>
        <v>0</v>
      </c>
      <c r="AJ54" s="137">
        <f t="shared" si="29"/>
        <v>-108484.17499999999</v>
      </c>
      <c r="AK54" s="134">
        <f t="shared" si="52"/>
        <v>-29615.440399999999</v>
      </c>
      <c r="AL54" s="137">
        <f t="shared" si="30"/>
        <v>-138099.61539999998</v>
      </c>
      <c r="AM54" s="143">
        <f t="shared" si="31"/>
        <v>-1446094.0527499998</v>
      </c>
      <c r="AN54" s="143">
        <f t="shared" si="31"/>
        <v>0</v>
      </c>
      <c r="AO54" s="143">
        <f t="shared" si="32"/>
        <v>-1446094.0527499998</v>
      </c>
      <c r="AP54" s="143">
        <f t="shared" si="33"/>
        <v>-394773.82053199998</v>
      </c>
      <c r="AQ54" s="144">
        <f t="shared" si="34"/>
        <v>-1840867.8732819997</v>
      </c>
    </row>
    <row r="55" spans="1:43" ht="24.95" customHeight="1" x14ac:dyDescent="0.25">
      <c r="A55" s="128" t="s">
        <v>611</v>
      </c>
      <c r="B55" s="128" t="s">
        <v>631</v>
      </c>
      <c r="C55" s="128"/>
      <c r="D55" s="128"/>
      <c r="E55" s="128" t="s">
        <v>601</v>
      </c>
      <c r="F55" s="128" t="s">
        <v>633</v>
      </c>
      <c r="G55" s="139">
        <f t="shared" si="35"/>
        <v>8157.41</v>
      </c>
      <c r="H55" s="140">
        <f t="shared" si="36"/>
        <v>-1338.7199999999993</v>
      </c>
      <c r="I55" s="141">
        <f t="shared" ref="I55:I66" si="57">2637.69+4181</f>
        <v>6818.6900000000005</v>
      </c>
      <c r="J55" s="146">
        <v>-3</v>
      </c>
      <c r="K55" s="146">
        <v>-3</v>
      </c>
      <c r="L55" s="134">
        <f t="shared" si="37"/>
        <v>-20456.07</v>
      </c>
      <c r="M55" s="135">
        <f t="shared" si="38"/>
        <v>0</v>
      </c>
      <c r="N55" s="136">
        <f t="shared" si="39"/>
        <v>-5727.6996000000008</v>
      </c>
      <c r="O55" s="137">
        <f t="shared" si="23"/>
        <v>-26183.7696</v>
      </c>
      <c r="P55" s="138">
        <v>12</v>
      </c>
      <c r="Q55" s="134">
        <f t="shared" si="40"/>
        <v>-22728.966666666667</v>
      </c>
      <c r="R55" s="135">
        <f t="shared" si="41"/>
        <v>0</v>
      </c>
      <c r="S55" s="136">
        <f t="shared" si="24"/>
        <v>-22728.966666666667</v>
      </c>
      <c r="T55" s="135">
        <f t="shared" si="42"/>
        <v>-6205.0079000000005</v>
      </c>
      <c r="U55" s="137">
        <f t="shared" si="25"/>
        <v>-28933.974566666668</v>
      </c>
      <c r="V55" s="135">
        <f t="shared" si="43"/>
        <v>-272747.60000000003</v>
      </c>
      <c r="W55" s="136">
        <f t="shared" si="44"/>
        <v>0</v>
      </c>
      <c r="X55" s="137">
        <f t="shared" si="26"/>
        <v>-272747.60000000003</v>
      </c>
      <c r="Y55" s="134">
        <f t="shared" si="45"/>
        <v>-74460.094800000006</v>
      </c>
      <c r="Z55" s="137">
        <f t="shared" si="27"/>
        <v>-347207.69480000006</v>
      </c>
      <c r="AA55" s="139">
        <v>8574.25</v>
      </c>
      <c r="AB55" s="140">
        <f t="shared" si="46"/>
        <v>-1414.6800000000003</v>
      </c>
      <c r="AC55" s="141">
        <f t="shared" ref="AC55:AC66" si="58">2769.57+4390</f>
        <v>7159.57</v>
      </c>
      <c r="AD55" s="134">
        <f t="shared" si="47"/>
        <v>-21478.71</v>
      </c>
      <c r="AE55" s="135">
        <f t="shared" si="48"/>
        <v>0</v>
      </c>
      <c r="AF55" s="136">
        <f t="shared" si="49"/>
        <v>-6014.0388000000003</v>
      </c>
      <c r="AG55" s="137">
        <f t="shared" si="28"/>
        <v>-27492.748800000001</v>
      </c>
      <c r="AH55" s="135">
        <f t="shared" si="50"/>
        <v>-283243.2843</v>
      </c>
      <c r="AI55" s="135">
        <f t="shared" si="51"/>
        <v>0</v>
      </c>
      <c r="AJ55" s="137">
        <f t="shared" si="29"/>
        <v>-283243.2843</v>
      </c>
      <c r="AK55" s="134">
        <f t="shared" si="52"/>
        <v>-77323.486800000013</v>
      </c>
      <c r="AL55" s="137">
        <f t="shared" si="30"/>
        <v>-360566.77110000001</v>
      </c>
      <c r="AM55" s="143">
        <f t="shared" si="31"/>
        <v>-3775632.9797189999</v>
      </c>
      <c r="AN55" s="143">
        <f t="shared" si="31"/>
        <v>0</v>
      </c>
      <c r="AO55" s="143">
        <f t="shared" si="32"/>
        <v>-3775632.9797189999</v>
      </c>
      <c r="AP55" s="143">
        <f t="shared" si="33"/>
        <v>-1030722.0790440001</v>
      </c>
      <c r="AQ55" s="144">
        <f t="shared" si="34"/>
        <v>-4806355.0587630002</v>
      </c>
    </row>
    <row r="56" spans="1:43" ht="24.95" customHeight="1" x14ac:dyDescent="0.25">
      <c r="A56" s="128" t="s">
        <v>611</v>
      </c>
      <c r="B56" s="128" t="s">
        <v>631</v>
      </c>
      <c r="C56" s="128"/>
      <c r="D56" s="128"/>
      <c r="E56" s="128" t="s">
        <v>601</v>
      </c>
      <c r="F56" s="128" t="s">
        <v>613</v>
      </c>
      <c r="G56" s="139">
        <f t="shared" si="35"/>
        <v>8157.41</v>
      </c>
      <c r="H56" s="140">
        <f t="shared" si="36"/>
        <v>-1338.7199999999993</v>
      </c>
      <c r="I56" s="141">
        <f t="shared" si="57"/>
        <v>6818.6900000000005</v>
      </c>
      <c r="J56" s="146">
        <v>-7</v>
      </c>
      <c r="K56" s="146">
        <v>-7</v>
      </c>
      <c r="L56" s="134">
        <f t="shared" si="37"/>
        <v>-47730.83</v>
      </c>
      <c r="M56" s="135">
        <f t="shared" si="38"/>
        <v>0</v>
      </c>
      <c r="N56" s="136">
        <f t="shared" si="39"/>
        <v>-13364.632400000002</v>
      </c>
      <c r="O56" s="137">
        <f t="shared" si="23"/>
        <v>-61095.462400000004</v>
      </c>
      <c r="P56" s="138">
        <v>12</v>
      </c>
      <c r="Q56" s="134">
        <f t="shared" si="40"/>
        <v>-53034.255555555559</v>
      </c>
      <c r="R56" s="135">
        <f t="shared" si="41"/>
        <v>0</v>
      </c>
      <c r="S56" s="136">
        <f t="shared" si="24"/>
        <v>-53034.255555555559</v>
      </c>
      <c r="T56" s="135">
        <f t="shared" si="42"/>
        <v>-14478.351766666668</v>
      </c>
      <c r="U56" s="137">
        <f t="shared" si="25"/>
        <v>-67512.607322222233</v>
      </c>
      <c r="V56" s="135">
        <f t="shared" si="43"/>
        <v>-636411.06666666677</v>
      </c>
      <c r="W56" s="136">
        <f t="shared" si="44"/>
        <v>0</v>
      </c>
      <c r="X56" s="137">
        <f t="shared" si="26"/>
        <v>-636411.06666666677</v>
      </c>
      <c r="Y56" s="134">
        <f t="shared" si="45"/>
        <v>-173740.22120000003</v>
      </c>
      <c r="Z56" s="137">
        <f t="shared" si="27"/>
        <v>-810151.2878666668</v>
      </c>
      <c r="AA56" s="139">
        <v>8574.25</v>
      </c>
      <c r="AB56" s="140">
        <f t="shared" si="46"/>
        <v>-1414.6800000000003</v>
      </c>
      <c r="AC56" s="141">
        <f t="shared" si="58"/>
        <v>7159.57</v>
      </c>
      <c r="AD56" s="134">
        <f t="shared" si="47"/>
        <v>-50116.99</v>
      </c>
      <c r="AE56" s="135">
        <f t="shared" si="48"/>
        <v>0</v>
      </c>
      <c r="AF56" s="136">
        <f t="shared" si="49"/>
        <v>-14032.757200000002</v>
      </c>
      <c r="AG56" s="137">
        <f t="shared" si="28"/>
        <v>-64149.747199999998</v>
      </c>
      <c r="AH56" s="135">
        <f t="shared" si="50"/>
        <v>-660900.99670000002</v>
      </c>
      <c r="AI56" s="135">
        <f t="shared" si="51"/>
        <v>0</v>
      </c>
      <c r="AJ56" s="137">
        <f t="shared" si="29"/>
        <v>-660900.99670000002</v>
      </c>
      <c r="AK56" s="134">
        <f t="shared" si="52"/>
        <v>-180421.46920000002</v>
      </c>
      <c r="AL56" s="137">
        <f t="shared" si="30"/>
        <v>-841322.46590000007</v>
      </c>
      <c r="AM56" s="143">
        <f t="shared" si="31"/>
        <v>-8809810.2860110011</v>
      </c>
      <c r="AN56" s="143">
        <f t="shared" si="31"/>
        <v>0</v>
      </c>
      <c r="AO56" s="143">
        <f t="shared" si="32"/>
        <v>-8809810.2860110011</v>
      </c>
      <c r="AP56" s="143">
        <f t="shared" si="33"/>
        <v>-2405018.1844360004</v>
      </c>
      <c r="AQ56" s="144">
        <f t="shared" si="34"/>
        <v>-11214828.470447002</v>
      </c>
    </row>
    <row r="57" spans="1:43" ht="24.95" customHeight="1" x14ac:dyDescent="0.25">
      <c r="A57" s="128" t="s">
        <v>611</v>
      </c>
      <c r="B57" s="128" t="s">
        <v>631</v>
      </c>
      <c r="C57" s="128"/>
      <c r="D57" s="128"/>
      <c r="E57" s="128" t="s">
        <v>601</v>
      </c>
      <c r="F57" s="128" t="s">
        <v>634</v>
      </c>
      <c r="G57" s="139">
        <f t="shared" si="35"/>
        <v>8157.41</v>
      </c>
      <c r="H57" s="140">
        <f t="shared" si="36"/>
        <v>-1338.7199999999993</v>
      </c>
      <c r="I57" s="141">
        <f t="shared" si="57"/>
        <v>6818.6900000000005</v>
      </c>
      <c r="J57" s="146">
        <v>-1</v>
      </c>
      <c r="K57" s="146">
        <v>-1</v>
      </c>
      <c r="L57" s="134">
        <f t="shared" si="37"/>
        <v>-6818.6900000000005</v>
      </c>
      <c r="M57" s="135">
        <f t="shared" si="38"/>
        <v>0</v>
      </c>
      <c r="N57" s="136">
        <f t="shared" si="39"/>
        <v>-1909.2332000000004</v>
      </c>
      <c r="O57" s="137">
        <f t="shared" si="23"/>
        <v>-8727.9232000000011</v>
      </c>
      <c r="P57" s="138">
        <v>12</v>
      </c>
      <c r="Q57" s="134">
        <f t="shared" si="40"/>
        <v>-7576.322222222223</v>
      </c>
      <c r="R57" s="135">
        <f t="shared" si="41"/>
        <v>0</v>
      </c>
      <c r="S57" s="136">
        <f t="shared" si="24"/>
        <v>-7576.322222222223</v>
      </c>
      <c r="T57" s="135">
        <f t="shared" si="42"/>
        <v>-2068.335966666667</v>
      </c>
      <c r="U57" s="137">
        <f t="shared" si="25"/>
        <v>-9644.6581888888904</v>
      </c>
      <c r="V57" s="135">
        <f t="shared" si="43"/>
        <v>-90915.866666666683</v>
      </c>
      <c r="W57" s="136">
        <f t="shared" si="44"/>
        <v>0</v>
      </c>
      <c r="X57" s="137">
        <f t="shared" si="26"/>
        <v>-90915.866666666683</v>
      </c>
      <c r="Y57" s="134">
        <f t="shared" si="45"/>
        <v>-24820.031600000006</v>
      </c>
      <c r="Z57" s="137">
        <f t="shared" si="27"/>
        <v>-115735.89826666669</v>
      </c>
      <c r="AA57" s="139">
        <v>8574.25</v>
      </c>
      <c r="AB57" s="140">
        <f t="shared" si="46"/>
        <v>-1414.6800000000003</v>
      </c>
      <c r="AC57" s="141">
        <f t="shared" si="58"/>
        <v>7159.57</v>
      </c>
      <c r="AD57" s="134">
        <f t="shared" si="47"/>
        <v>-7159.57</v>
      </c>
      <c r="AE57" s="135">
        <f t="shared" si="48"/>
        <v>0</v>
      </c>
      <c r="AF57" s="136">
        <f t="shared" si="49"/>
        <v>-2004.6796000000002</v>
      </c>
      <c r="AG57" s="137">
        <f t="shared" si="28"/>
        <v>-9164.2495999999992</v>
      </c>
      <c r="AH57" s="135">
        <f t="shared" si="50"/>
        <v>-94414.42809999999</v>
      </c>
      <c r="AI57" s="135">
        <f t="shared" si="51"/>
        <v>0</v>
      </c>
      <c r="AJ57" s="137">
        <f t="shared" si="29"/>
        <v>-94414.42809999999</v>
      </c>
      <c r="AK57" s="134">
        <f t="shared" si="52"/>
        <v>-25774.495600000002</v>
      </c>
      <c r="AL57" s="137">
        <f t="shared" si="30"/>
        <v>-120188.92369999998</v>
      </c>
      <c r="AM57" s="143">
        <f t="shared" si="31"/>
        <v>-1258544.3265729998</v>
      </c>
      <c r="AN57" s="143">
        <f t="shared" si="31"/>
        <v>0</v>
      </c>
      <c r="AO57" s="143">
        <f t="shared" si="32"/>
        <v>-1258544.3265729998</v>
      </c>
      <c r="AP57" s="143">
        <f t="shared" si="33"/>
        <v>-343574.02634800004</v>
      </c>
      <c r="AQ57" s="144">
        <f t="shared" si="34"/>
        <v>-1602118.3529209998</v>
      </c>
    </row>
    <row r="58" spans="1:43" ht="24.95" customHeight="1" x14ac:dyDescent="0.25">
      <c r="A58" s="128" t="s">
        <v>611</v>
      </c>
      <c r="B58" s="128" t="s">
        <v>631</v>
      </c>
      <c r="C58" s="128"/>
      <c r="D58" s="128"/>
      <c r="E58" s="128" t="s">
        <v>601</v>
      </c>
      <c r="F58" s="128" t="s">
        <v>635</v>
      </c>
      <c r="G58" s="139">
        <f t="shared" si="35"/>
        <v>8157.41</v>
      </c>
      <c r="H58" s="140">
        <f t="shared" si="36"/>
        <v>-1338.7199999999993</v>
      </c>
      <c r="I58" s="141">
        <f t="shared" si="57"/>
        <v>6818.6900000000005</v>
      </c>
      <c r="J58" s="146">
        <v>-1</v>
      </c>
      <c r="K58" s="146">
        <v>-1</v>
      </c>
      <c r="L58" s="134">
        <f t="shared" si="37"/>
        <v>-6818.6900000000005</v>
      </c>
      <c r="M58" s="135">
        <f t="shared" si="38"/>
        <v>0</v>
      </c>
      <c r="N58" s="136">
        <f t="shared" si="39"/>
        <v>-1909.2332000000004</v>
      </c>
      <c r="O58" s="137">
        <f t="shared" si="23"/>
        <v>-8727.9232000000011</v>
      </c>
      <c r="P58" s="138">
        <v>12</v>
      </c>
      <c r="Q58" s="134">
        <f t="shared" si="40"/>
        <v>-7576.322222222223</v>
      </c>
      <c r="R58" s="135">
        <f t="shared" si="41"/>
        <v>0</v>
      </c>
      <c r="S58" s="136">
        <f t="shared" si="24"/>
        <v>-7576.322222222223</v>
      </c>
      <c r="T58" s="135">
        <f t="shared" si="42"/>
        <v>-2068.335966666667</v>
      </c>
      <c r="U58" s="137">
        <f t="shared" si="25"/>
        <v>-9644.6581888888904</v>
      </c>
      <c r="V58" s="135">
        <f t="shared" si="43"/>
        <v>-90915.866666666683</v>
      </c>
      <c r="W58" s="136">
        <f t="shared" si="44"/>
        <v>0</v>
      </c>
      <c r="X58" s="137">
        <f t="shared" si="26"/>
        <v>-90915.866666666683</v>
      </c>
      <c r="Y58" s="134">
        <f t="shared" si="45"/>
        <v>-24820.031600000006</v>
      </c>
      <c r="Z58" s="137">
        <f t="shared" si="27"/>
        <v>-115735.89826666669</v>
      </c>
      <c r="AA58" s="139">
        <v>8574.25</v>
      </c>
      <c r="AB58" s="140">
        <f t="shared" si="46"/>
        <v>-1414.6800000000003</v>
      </c>
      <c r="AC58" s="141">
        <f t="shared" si="58"/>
        <v>7159.57</v>
      </c>
      <c r="AD58" s="134">
        <f t="shared" si="47"/>
        <v>-7159.57</v>
      </c>
      <c r="AE58" s="135">
        <f t="shared" si="48"/>
        <v>0</v>
      </c>
      <c r="AF58" s="136">
        <f t="shared" si="49"/>
        <v>-2004.6796000000002</v>
      </c>
      <c r="AG58" s="137">
        <f t="shared" si="28"/>
        <v>-9164.2495999999992</v>
      </c>
      <c r="AH58" s="135">
        <f t="shared" si="50"/>
        <v>-94414.42809999999</v>
      </c>
      <c r="AI58" s="135">
        <f t="shared" si="51"/>
        <v>0</v>
      </c>
      <c r="AJ58" s="137">
        <f t="shared" si="29"/>
        <v>-94414.42809999999</v>
      </c>
      <c r="AK58" s="134">
        <f t="shared" si="52"/>
        <v>-25774.495600000002</v>
      </c>
      <c r="AL58" s="137">
        <f t="shared" si="30"/>
        <v>-120188.92369999998</v>
      </c>
      <c r="AM58" s="143">
        <f t="shared" si="31"/>
        <v>-1258544.3265729998</v>
      </c>
      <c r="AN58" s="143">
        <f t="shared" si="31"/>
        <v>0</v>
      </c>
      <c r="AO58" s="143">
        <f t="shared" si="32"/>
        <v>-1258544.3265729998</v>
      </c>
      <c r="AP58" s="143">
        <f t="shared" si="33"/>
        <v>-343574.02634800004</v>
      </c>
      <c r="AQ58" s="144">
        <f t="shared" si="34"/>
        <v>-1602118.3529209998</v>
      </c>
    </row>
    <row r="59" spans="1:43" ht="24.95" customHeight="1" x14ac:dyDescent="0.25">
      <c r="A59" s="128" t="s">
        <v>611</v>
      </c>
      <c r="B59" s="128" t="s">
        <v>631</v>
      </c>
      <c r="C59" s="128"/>
      <c r="D59" s="128"/>
      <c r="E59" s="128" t="s">
        <v>601</v>
      </c>
      <c r="F59" s="128" t="s">
        <v>636</v>
      </c>
      <c r="G59" s="139">
        <f t="shared" si="35"/>
        <v>8157.41</v>
      </c>
      <c r="H59" s="140">
        <f t="shared" si="36"/>
        <v>-1338.7199999999993</v>
      </c>
      <c r="I59" s="141">
        <f t="shared" si="57"/>
        <v>6818.6900000000005</v>
      </c>
      <c r="J59" s="146">
        <v>-1</v>
      </c>
      <c r="K59" s="146">
        <v>-1</v>
      </c>
      <c r="L59" s="134">
        <f t="shared" si="37"/>
        <v>-6818.6900000000005</v>
      </c>
      <c r="M59" s="135">
        <f t="shared" si="38"/>
        <v>0</v>
      </c>
      <c r="N59" s="136">
        <f t="shared" si="39"/>
        <v>-1909.2332000000004</v>
      </c>
      <c r="O59" s="137">
        <f t="shared" si="23"/>
        <v>-8727.9232000000011</v>
      </c>
      <c r="P59" s="138">
        <v>12</v>
      </c>
      <c r="Q59" s="134">
        <f t="shared" si="40"/>
        <v>-7576.322222222223</v>
      </c>
      <c r="R59" s="135">
        <f t="shared" si="41"/>
        <v>0</v>
      </c>
      <c r="S59" s="136">
        <f t="shared" si="24"/>
        <v>-7576.322222222223</v>
      </c>
      <c r="T59" s="135">
        <f t="shared" si="42"/>
        <v>-2068.335966666667</v>
      </c>
      <c r="U59" s="137">
        <f t="shared" si="25"/>
        <v>-9644.6581888888904</v>
      </c>
      <c r="V59" s="135">
        <f t="shared" si="43"/>
        <v>-90915.866666666683</v>
      </c>
      <c r="W59" s="136">
        <f t="shared" si="44"/>
        <v>0</v>
      </c>
      <c r="X59" s="137">
        <f t="shared" si="26"/>
        <v>-90915.866666666683</v>
      </c>
      <c r="Y59" s="134">
        <f t="shared" si="45"/>
        <v>-24820.031600000006</v>
      </c>
      <c r="Z59" s="137">
        <f t="shared" si="27"/>
        <v>-115735.89826666669</v>
      </c>
      <c r="AA59" s="139">
        <v>8574.25</v>
      </c>
      <c r="AB59" s="140">
        <f t="shared" si="46"/>
        <v>-1414.6800000000003</v>
      </c>
      <c r="AC59" s="141">
        <f t="shared" si="58"/>
        <v>7159.57</v>
      </c>
      <c r="AD59" s="134">
        <f t="shared" si="47"/>
        <v>-7159.57</v>
      </c>
      <c r="AE59" s="135">
        <f t="shared" si="48"/>
        <v>0</v>
      </c>
      <c r="AF59" s="136">
        <f t="shared" si="49"/>
        <v>-2004.6796000000002</v>
      </c>
      <c r="AG59" s="137">
        <f t="shared" si="28"/>
        <v>-9164.2495999999992</v>
      </c>
      <c r="AH59" s="135">
        <f t="shared" si="50"/>
        <v>-94414.42809999999</v>
      </c>
      <c r="AI59" s="135">
        <f t="shared" si="51"/>
        <v>0</v>
      </c>
      <c r="AJ59" s="137">
        <f t="shared" si="29"/>
        <v>-94414.42809999999</v>
      </c>
      <c r="AK59" s="134">
        <f t="shared" si="52"/>
        <v>-25774.495600000002</v>
      </c>
      <c r="AL59" s="137">
        <f t="shared" si="30"/>
        <v>-120188.92369999998</v>
      </c>
      <c r="AM59" s="143">
        <f t="shared" si="31"/>
        <v>-1258544.3265729998</v>
      </c>
      <c r="AN59" s="143">
        <f t="shared" si="31"/>
        <v>0</v>
      </c>
      <c r="AO59" s="143">
        <f t="shared" si="32"/>
        <v>-1258544.3265729998</v>
      </c>
      <c r="AP59" s="143">
        <f t="shared" si="33"/>
        <v>-343574.02634800004</v>
      </c>
      <c r="AQ59" s="144">
        <f t="shared" si="34"/>
        <v>-1602118.3529209998</v>
      </c>
    </row>
    <row r="60" spans="1:43" ht="24.95" customHeight="1" x14ac:dyDescent="0.25">
      <c r="A60" s="128" t="s">
        <v>611</v>
      </c>
      <c r="B60" s="128" t="s">
        <v>631</v>
      </c>
      <c r="C60" s="128"/>
      <c r="D60" s="128"/>
      <c r="E60" s="128" t="s">
        <v>601</v>
      </c>
      <c r="F60" s="128" t="s">
        <v>629</v>
      </c>
      <c r="G60" s="139">
        <f t="shared" si="35"/>
        <v>8157.41</v>
      </c>
      <c r="H60" s="140">
        <f t="shared" si="36"/>
        <v>-1338.7199999999993</v>
      </c>
      <c r="I60" s="141">
        <f t="shared" si="57"/>
        <v>6818.6900000000005</v>
      </c>
      <c r="J60" s="146">
        <v>-13</v>
      </c>
      <c r="K60" s="146">
        <v>-13</v>
      </c>
      <c r="L60" s="134">
        <f t="shared" si="37"/>
        <v>-88642.97</v>
      </c>
      <c r="M60" s="135">
        <f t="shared" si="38"/>
        <v>0</v>
      </c>
      <c r="N60" s="136">
        <f t="shared" si="39"/>
        <v>-24820.031600000006</v>
      </c>
      <c r="O60" s="137">
        <f t="shared" si="23"/>
        <v>-113463.0016</v>
      </c>
      <c r="P60" s="138">
        <v>12</v>
      </c>
      <c r="Q60" s="134">
        <f t="shared" si="40"/>
        <v>-98492.188888888893</v>
      </c>
      <c r="R60" s="135">
        <f t="shared" si="41"/>
        <v>0</v>
      </c>
      <c r="S60" s="136">
        <f t="shared" si="24"/>
        <v>-98492.188888888893</v>
      </c>
      <c r="T60" s="135">
        <f t="shared" si="42"/>
        <v>-26888.367566666671</v>
      </c>
      <c r="U60" s="137">
        <f t="shared" si="25"/>
        <v>-125380.55645555556</v>
      </c>
      <c r="V60" s="135">
        <f t="shared" si="43"/>
        <v>-1181906.2666666668</v>
      </c>
      <c r="W60" s="136">
        <f t="shared" si="44"/>
        <v>0</v>
      </c>
      <c r="X60" s="137">
        <f t="shared" si="26"/>
        <v>-1181906.2666666668</v>
      </c>
      <c r="Y60" s="134">
        <f t="shared" si="45"/>
        <v>-322660.41080000007</v>
      </c>
      <c r="Z60" s="137">
        <f t="shared" si="27"/>
        <v>-1504566.6774666668</v>
      </c>
      <c r="AA60" s="139">
        <v>8574.25</v>
      </c>
      <c r="AB60" s="140">
        <f t="shared" si="46"/>
        <v>-1414.6800000000003</v>
      </c>
      <c r="AC60" s="141">
        <f t="shared" si="58"/>
        <v>7159.57</v>
      </c>
      <c r="AD60" s="134">
        <f t="shared" si="47"/>
        <v>-93074.41</v>
      </c>
      <c r="AE60" s="135">
        <f t="shared" si="48"/>
        <v>0</v>
      </c>
      <c r="AF60" s="136">
        <f t="shared" si="49"/>
        <v>-26060.834800000001</v>
      </c>
      <c r="AG60" s="137">
        <f t="shared" si="28"/>
        <v>-119135.2448</v>
      </c>
      <c r="AH60" s="135">
        <f t="shared" si="50"/>
        <v>-1227387.5653000001</v>
      </c>
      <c r="AI60" s="135">
        <f t="shared" si="51"/>
        <v>0</v>
      </c>
      <c r="AJ60" s="137">
        <f t="shared" si="29"/>
        <v>-1227387.5653000001</v>
      </c>
      <c r="AK60" s="134">
        <f t="shared" si="52"/>
        <v>-335068.44280000002</v>
      </c>
      <c r="AL60" s="137">
        <f t="shared" si="30"/>
        <v>-1562456.0081000002</v>
      </c>
      <c r="AM60" s="143">
        <f t="shared" si="31"/>
        <v>-16361076.245449001</v>
      </c>
      <c r="AN60" s="143">
        <f t="shared" si="31"/>
        <v>0</v>
      </c>
      <c r="AO60" s="143">
        <f t="shared" si="32"/>
        <v>-16361076.245449001</v>
      </c>
      <c r="AP60" s="143">
        <f t="shared" si="33"/>
        <v>-4466462.3425240004</v>
      </c>
      <c r="AQ60" s="144">
        <f t="shared" si="34"/>
        <v>-20827538.587973002</v>
      </c>
    </row>
    <row r="61" spans="1:43" ht="24.95" customHeight="1" x14ac:dyDescent="0.25">
      <c r="A61" s="128" t="s">
        <v>611</v>
      </c>
      <c r="B61" s="128" t="s">
        <v>631</v>
      </c>
      <c r="C61" s="128"/>
      <c r="D61" s="128"/>
      <c r="E61" s="128" t="s">
        <v>601</v>
      </c>
      <c r="F61" s="128" t="s">
        <v>614</v>
      </c>
      <c r="G61" s="139">
        <f t="shared" si="35"/>
        <v>8157.41</v>
      </c>
      <c r="H61" s="140">
        <f t="shared" si="36"/>
        <v>-1338.7199999999993</v>
      </c>
      <c r="I61" s="141">
        <f t="shared" si="57"/>
        <v>6818.6900000000005</v>
      </c>
      <c r="J61" s="146">
        <v>-9</v>
      </c>
      <c r="K61" s="146">
        <v>-9</v>
      </c>
      <c r="L61" s="134">
        <f t="shared" si="37"/>
        <v>-61368.210000000006</v>
      </c>
      <c r="M61" s="135">
        <f t="shared" si="38"/>
        <v>0</v>
      </c>
      <c r="N61" s="136">
        <f t="shared" si="39"/>
        <v>-17183.098800000003</v>
      </c>
      <c r="O61" s="137">
        <f t="shared" si="23"/>
        <v>-78551.308800000013</v>
      </c>
      <c r="P61" s="138">
        <v>12</v>
      </c>
      <c r="Q61" s="134">
        <f t="shared" si="40"/>
        <v>-68186.900000000009</v>
      </c>
      <c r="R61" s="135">
        <f t="shared" si="41"/>
        <v>0</v>
      </c>
      <c r="S61" s="136">
        <f t="shared" si="24"/>
        <v>-68186.900000000009</v>
      </c>
      <c r="T61" s="135">
        <f t="shared" si="42"/>
        <v>-18615.023700000005</v>
      </c>
      <c r="U61" s="137">
        <f t="shared" si="25"/>
        <v>-86801.923700000014</v>
      </c>
      <c r="V61" s="135">
        <f t="shared" si="43"/>
        <v>-818242.80000000016</v>
      </c>
      <c r="W61" s="136">
        <f t="shared" si="44"/>
        <v>0</v>
      </c>
      <c r="X61" s="137">
        <f t="shared" si="26"/>
        <v>-818242.80000000016</v>
      </c>
      <c r="Y61" s="134">
        <f t="shared" si="45"/>
        <v>-223380.28440000003</v>
      </c>
      <c r="Z61" s="137">
        <f t="shared" si="27"/>
        <v>-1041623.0844000002</v>
      </c>
      <c r="AA61" s="139">
        <v>8574.25</v>
      </c>
      <c r="AB61" s="140">
        <f t="shared" si="46"/>
        <v>-1414.6800000000003</v>
      </c>
      <c r="AC61" s="141">
        <f t="shared" si="58"/>
        <v>7159.57</v>
      </c>
      <c r="AD61" s="134">
        <f t="shared" si="47"/>
        <v>-64436.13</v>
      </c>
      <c r="AE61" s="135">
        <f t="shared" si="48"/>
        <v>0</v>
      </c>
      <c r="AF61" s="136">
        <f t="shared" si="49"/>
        <v>-18042.116400000003</v>
      </c>
      <c r="AG61" s="137">
        <f t="shared" si="28"/>
        <v>-82478.246400000004</v>
      </c>
      <c r="AH61" s="135">
        <f t="shared" si="50"/>
        <v>-849729.85289999994</v>
      </c>
      <c r="AI61" s="135">
        <f t="shared" si="51"/>
        <v>0</v>
      </c>
      <c r="AJ61" s="137">
        <f t="shared" si="29"/>
        <v>-849729.85289999994</v>
      </c>
      <c r="AK61" s="134">
        <f t="shared" si="52"/>
        <v>-231970.46040000004</v>
      </c>
      <c r="AL61" s="137">
        <f t="shared" si="30"/>
        <v>-1081700.3133</v>
      </c>
      <c r="AM61" s="143">
        <f t="shared" si="31"/>
        <v>-11326898.939157</v>
      </c>
      <c r="AN61" s="143">
        <f t="shared" si="31"/>
        <v>0</v>
      </c>
      <c r="AO61" s="143">
        <f t="shared" si="32"/>
        <v>-11326898.939157</v>
      </c>
      <c r="AP61" s="143">
        <f t="shared" si="33"/>
        <v>-3092166.2371320007</v>
      </c>
      <c r="AQ61" s="144">
        <f t="shared" si="34"/>
        <v>-14419065.176289</v>
      </c>
    </row>
    <row r="62" spans="1:43" ht="24.95" customHeight="1" x14ac:dyDescent="0.25">
      <c r="A62" s="128" t="s">
        <v>611</v>
      </c>
      <c r="B62" s="128" t="s">
        <v>631</v>
      </c>
      <c r="C62" s="128"/>
      <c r="D62" s="128"/>
      <c r="E62" s="128" t="s">
        <v>601</v>
      </c>
      <c r="F62" s="128" t="s">
        <v>615</v>
      </c>
      <c r="G62" s="139">
        <f t="shared" si="35"/>
        <v>8157.41</v>
      </c>
      <c r="H62" s="140">
        <f t="shared" si="36"/>
        <v>-1338.7199999999993</v>
      </c>
      <c r="I62" s="141">
        <f t="shared" si="57"/>
        <v>6818.6900000000005</v>
      </c>
      <c r="J62" s="146">
        <v>-13</v>
      </c>
      <c r="K62" s="146">
        <v>-13</v>
      </c>
      <c r="L62" s="134">
        <f t="shared" si="37"/>
        <v>-88642.97</v>
      </c>
      <c r="M62" s="135">
        <f t="shared" si="38"/>
        <v>0</v>
      </c>
      <c r="N62" s="136">
        <f t="shared" si="39"/>
        <v>-24820.031600000006</v>
      </c>
      <c r="O62" s="137">
        <f t="shared" si="23"/>
        <v>-113463.0016</v>
      </c>
      <c r="P62" s="138">
        <v>12</v>
      </c>
      <c r="Q62" s="134">
        <f t="shared" si="40"/>
        <v>-98492.188888888893</v>
      </c>
      <c r="R62" s="135">
        <f t="shared" si="41"/>
        <v>0</v>
      </c>
      <c r="S62" s="136">
        <f t="shared" si="24"/>
        <v>-98492.188888888893</v>
      </c>
      <c r="T62" s="135">
        <f t="shared" si="42"/>
        <v>-26888.367566666671</v>
      </c>
      <c r="U62" s="137">
        <f t="shared" si="25"/>
        <v>-125380.55645555556</v>
      </c>
      <c r="V62" s="135">
        <f t="shared" si="43"/>
        <v>-1181906.2666666668</v>
      </c>
      <c r="W62" s="136">
        <f t="shared" si="44"/>
        <v>0</v>
      </c>
      <c r="X62" s="137">
        <f t="shared" si="26"/>
        <v>-1181906.2666666668</v>
      </c>
      <c r="Y62" s="134">
        <f t="shared" si="45"/>
        <v>-322660.41080000007</v>
      </c>
      <c r="Z62" s="137">
        <f t="shared" si="27"/>
        <v>-1504566.6774666668</v>
      </c>
      <c r="AA62" s="139">
        <v>8574.25</v>
      </c>
      <c r="AB62" s="140">
        <f t="shared" si="46"/>
        <v>-1414.6800000000003</v>
      </c>
      <c r="AC62" s="141">
        <f t="shared" si="58"/>
        <v>7159.57</v>
      </c>
      <c r="AD62" s="134">
        <f t="shared" si="47"/>
        <v>-93074.41</v>
      </c>
      <c r="AE62" s="135">
        <f t="shared" si="48"/>
        <v>0</v>
      </c>
      <c r="AF62" s="136">
        <f t="shared" si="49"/>
        <v>-26060.834800000001</v>
      </c>
      <c r="AG62" s="137">
        <f t="shared" si="28"/>
        <v>-119135.2448</v>
      </c>
      <c r="AH62" s="135">
        <f t="shared" si="50"/>
        <v>-1227387.5653000001</v>
      </c>
      <c r="AI62" s="135">
        <f t="shared" si="51"/>
        <v>0</v>
      </c>
      <c r="AJ62" s="137">
        <f t="shared" si="29"/>
        <v>-1227387.5653000001</v>
      </c>
      <c r="AK62" s="134">
        <f t="shared" si="52"/>
        <v>-335068.44280000002</v>
      </c>
      <c r="AL62" s="137">
        <f t="shared" si="30"/>
        <v>-1562456.0081000002</v>
      </c>
      <c r="AM62" s="143">
        <f t="shared" si="31"/>
        <v>-16361076.245449001</v>
      </c>
      <c r="AN62" s="143">
        <f t="shared" si="31"/>
        <v>0</v>
      </c>
      <c r="AO62" s="143">
        <f t="shared" si="32"/>
        <v>-16361076.245449001</v>
      </c>
      <c r="AP62" s="143">
        <f t="shared" si="33"/>
        <v>-4466462.3425240004</v>
      </c>
      <c r="AQ62" s="144">
        <f t="shared" si="34"/>
        <v>-20827538.587973002</v>
      </c>
    </row>
    <row r="63" spans="1:43" ht="24.95" customHeight="1" x14ac:dyDescent="0.25">
      <c r="A63" s="128" t="s">
        <v>611</v>
      </c>
      <c r="B63" s="128" t="s">
        <v>631</v>
      </c>
      <c r="C63" s="128"/>
      <c r="D63" s="128"/>
      <c r="E63" s="128" t="s">
        <v>601</v>
      </c>
      <c r="F63" s="128" t="s">
        <v>616</v>
      </c>
      <c r="G63" s="139">
        <f t="shared" si="35"/>
        <v>8157.41</v>
      </c>
      <c r="H63" s="140">
        <f t="shared" si="36"/>
        <v>-1338.7199999999993</v>
      </c>
      <c r="I63" s="141">
        <f t="shared" si="57"/>
        <v>6818.6900000000005</v>
      </c>
      <c r="J63" s="146">
        <v>-4</v>
      </c>
      <c r="K63" s="146">
        <v>-4</v>
      </c>
      <c r="L63" s="134">
        <f t="shared" si="37"/>
        <v>-27274.760000000002</v>
      </c>
      <c r="M63" s="135">
        <f t="shared" si="38"/>
        <v>0</v>
      </c>
      <c r="N63" s="136">
        <f t="shared" si="39"/>
        <v>-7636.9328000000014</v>
      </c>
      <c r="O63" s="137">
        <f t="shared" si="23"/>
        <v>-34911.692800000004</v>
      </c>
      <c r="P63" s="138">
        <v>12</v>
      </c>
      <c r="Q63" s="134">
        <f t="shared" si="40"/>
        <v>-30305.288888888892</v>
      </c>
      <c r="R63" s="135">
        <f t="shared" si="41"/>
        <v>0</v>
      </c>
      <c r="S63" s="136">
        <f t="shared" si="24"/>
        <v>-30305.288888888892</v>
      </c>
      <c r="T63" s="135">
        <f t="shared" si="42"/>
        <v>-8273.343866666668</v>
      </c>
      <c r="U63" s="137">
        <f t="shared" si="25"/>
        <v>-38578.632755555562</v>
      </c>
      <c r="V63" s="135">
        <f t="shared" si="43"/>
        <v>-363663.46666666673</v>
      </c>
      <c r="W63" s="136">
        <f t="shared" si="44"/>
        <v>0</v>
      </c>
      <c r="X63" s="137">
        <f t="shared" si="26"/>
        <v>-363663.46666666673</v>
      </c>
      <c r="Y63" s="134">
        <f t="shared" si="45"/>
        <v>-99280.126400000023</v>
      </c>
      <c r="Z63" s="137">
        <f t="shared" si="27"/>
        <v>-462943.59306666674</v>
      </c>
      <c r="AA63" s="139">
        <v>8574.25</v>
      </c>
      <c r="AB63" s="140">
        <f t="shared" si="46"/>
        <v>-1414.6800000000003</v>
      </c>
      <c r="AC63" s="141">
        <f t="shared" si="58"/>
        <v>7159.57</v>
      </c>
      <c r="AD63" s="134">
        <f t="shared" si="47"/>
        <v>-28638.28</v>
      </c>
      <c r="AE63" s="135">
        <f t="shared" si="48"/>
        <v>0</v>
      </c>
      <c r="AF63" s="136">
        <f t="shared" si="49"/>
        <v>-8018.7184000000007</v>
      </c>
      <c r="AG63" s="137">
        <f t="shared" si="28"/>
        <v>-36656.998399999997</v>
      </c>
      <c r="AH63" s="135">
        <f t="shared" si="50"/>
        <v>-377657.71239999996</v>
      </c>
      <c r="AI63" s="135">
        <f t="shared" si="51"/>
        <v>0</v>
      </c>
      <c r="AJ63" s="137">
        <f t="shared" si="29"/>
        <v>-377657.71239999996</v>
      </c>
      <c r="AK63" s="134">
        <f t="shared" si="52"/>
        <v>-103097.98240000001</v>
      </c>
      <c r="AL63" s="137">
        <f t="shared" si="30"/>
        <v>-480755.69479999994</v>
      </c>
      <c r="AM63" s="143">
        <f t="shared" si="31"/>
        <v>-5034177.3062919993</v>
      </c>
      <c r="AN63" s="143">
        <f t="shared" si="31"/>
        <v>0</v>
      </c>
      <c r="AO63" s="143">
        <f t="shared" si="32"/>
        <v>-5034177.3062919993</v>
      </c>
      <c r="AP63" s="143">
        <f t="shared" si="33"/>
        <v>-1374296.1053920002</v>
      </c>
      <c r="AQ63" s="144">
        <f t="shared" si="34"/>
        <v>-6408473.411683999</v>
      </c>
    </row>
    <row r="64" spans="1:43" ht="24.95" customHeight="1" x14ac:dyDescent="0.25">
      <c r="A64" s="128" t="s">
        <v>611</v>
      </c>
      <c r="B64" s="128" t="s">
        <v>631</v>
      </c>
      <c r="C64" s="128"/>
      <c r="D64" s="128"/>
      <c r="E64" s="128" t="s">
        <v>601</v>
      </c>
      <c r="F64" s="128" t="s">
        <v>637</v>
      </c>
      <c r="G64" s="139">
        <f t="shared" si="35"/>
        <v>8157.41</v>
      </c>
      <c r="H64" s="140">
        <f t="shared" si="36"/>
        <v>-1338.7199999999993</v>
      </c>
      <c r="I64" s="141">
        <f t="shared" si="57"/>
        <v>6818.6900000000005</v>
      </c>
      <c r="J64" s="146">
        <v>-38</v>
      </c>
      <c r="K64" s="146">
        <v>-38</v>
      </c>
      <c r="L64" s="134">
        <f t="shared" si="37"/>
        <v>-259110.22000000003</v>
      </c>
      <c r="M64" s="135">
        <f t="shared" si="38"/>
        <v>0</v>
      </c>
      <c r="N64" s="136">
        <f t="shared" si="39"/>
        <v>-72550.861600000018</v>
      </c>
      <c r="O64" s="137">
        <f t="shared" si="23"/>
        <v>-331661.08160000003</v>
      </c>
      <c r="P64" s="138">
        <v>12</v>
      </c>
      <c r="Q64" s="134">
        <f t="shared" si="40"/>
        <v>-287900.24444444443</v>
      </c>
      <c r="R64" s="135">
        <f t="shared" si="41"/>
        <v>0</v>
      </c>
      <c r="S64" s="136">
        <f t="shared" si="24"/>
        <v>-287900.24444444443</v>
      </c>
      <c r="T64" s="135">
        <f t="shared" si="42"/>
        <v>-78596.766733333352</v>
      </c>
      <c r="U64" s="137">
        <f t="shared" si="25"/>
        <v>-366497.01117777778</v>
      </c>
      <c r="V64" s="135">
        <f t="shared" si="43"/>
        <v>-3454802.933333334</v>
      </c>
      <c r="W64" s="136">
        <f t="shared" si="44"/>
        <v>0</v>
      </c>
      <c r="X64" s="137">
        <f t="shared" si="26"/>
        <v>-3454802.933333334</v>
      </c>
      <c r="Y64" s="134">
        <f t="shared" si="45"/>
        <v>-943161.20080000022</v>
      </c>
      <c r="Z64" s="137">
        <f t="shared" si="27"/>
        <v>-4397964.1341333343</v>
      </c>
      <c r="AA64" s="139">
        <v>8574.25</v>
      </c>
      <c r="AB64" s="140">
        <f t="shared" si="46"/>
        <v>-1414.6800000000003</v>
      </c>
      <c r="AC64" s="141">
        <f t="shared" si="58"/>
        <v>7159.57</v>
      </c>
      <c r="AD64" s="134">
        <f t="shared" si="47"/>
        <v>-272063.65999999997</v>
      </c>
      <c r="AE64" s="135">
        <f t="shared" si="48"/>
        <v>0</v>
      </c>
      <c r="AF64" s="136">
        <f t="shared" si="49"/>
        <v>-76177.824800000002</v>
      </c>
      <c r="AG64" s="137">
        <f t="shared" si="28"/>
        <v>-348241.48479999998</v>
      </c>
      <c r="AH64" s="135">
        <f t="shared" si="50"/>
        <v>-3587748.2678</v>
      </c>
      <c r="AI64" s="135">
        <f t="shared" si="51"/>
        <v>0</v>
      </c>
      <c r="AJ64" s="137">
        <f t="shared" si="29"/>
        <v>-3587748.2678</v>
      </c>
      <c r="AK64" s="134">
        <f t="shared" si="52"/>
        <v>-979430.83280000009</v>
      </c>
      <c r="AL64" s="137">
        <f t="shared" si="30"/>
        <v>-4567179.1006000005</v>
      </c>
      <c r="AM64" s="143">
        <f t="shared" si="31"/>
        <v>-47824684.409773998</v>
      </c>
      <c r="AN64" s="143">
        <f t="shared" si="31"/>
        <v>0</v>
      </c>
      <c r="AO64" s="143">
        <f t="shared" si="32"/>
        <v>-47824684.409773998</v>
      </c>
      <c r="AP64" s="143">
        <f t="shared" si="33"/>
        <v>-13055813.001224002</v>
      </c>
      <c r="AQ64" s="144">
        <f t="shared" si="34"/>
        <v>-60880497.410998002</v>
      </c>
    </row>
    <row r="65" spans="1:43" ht="24.95" customHeight="1" x14ac:dyDescent="0.25">
      <c r="A65" s="128" t="s">
        <v>611</v>
      </c>
      <c r="B65" s="128" t="s">
        <v>631</v>
      </c>
      <c r="C65" s="128"/>
      <c r="D65" s="128"/>
      <c r="E65" s="128" t="s">
        <v>601</v>
      </c>
      <c r="F65" s="128" t="s">
        <v>638</v>
      </c>
      <c r="G65" s="139">
        <f t="shared" si="35"/>
        <v>8157.41</v>
      </c>
      <c r="H65" s="140">
        <f t="shared" si="36"/>
        <v>-1338.7199999999993</v>
      </c>
      <c r="I65" s="141">
        <f t="shared" si="57"/>
        <v>6818.6900000000005</v>
      </c>
      <c r="J65" s="146">
        <v>-8</v>
      </c>
      <c r="K65" s="146">
        <v>-8</v>
      </c>
      <c r="L65" s="134">
        <f t="shared" si="37"/>
        <v>-54549.520000000004</v>
      </c>
      <c r="M65" s="135">
        <f t="shared" si="38"/>
        <v>0</v>
      </c>
      <c r="N65" s="136">
        <f t="shared" si="39"/>
        <v>-15273.865600000003</v>
      </c>
      <c r="O65" s="137">
        <f t="shared" si="23"/>
        <v>-69823.385600000009</v>
      </c>
      <c r="P65" s="138">
        <v>12</v>
      </c>
      <c r="Q65" s="134">
        <f t="shared" si="40"/>
        <v>-60610.577777777784</v>
      </c>
      <c r="R65" s="135">
        <f t="shared" si="41"/>
        <v>0</v>
      </c>
      <c r="S65" s="136">
        <f t="shared" si="24"/>
        <v>-60610.577777777784</v>
      </c>
      <c r="T65" s="135">
        <f t="shared" si="42"/>
        <v>-16546.687733333336</v>
      </c>
      <c r="U65" s="137">
        <f t="shared" si="25"/>
        <v>-77157.265511111123</v>
      </c>
      <c r="V65" s="135">
        <f t="shared" si="43"/>
        <v>-727326.93333333347</v>
      </c>
      <c r="W65" s="136">
        <f t="shared" si="44"/>
        <v>0</v>
      </c>
      <c r="X65" s="137">
        <f t="shared" si="26"/>
        <v>-727326.93333333347</v>
      </c>
      <c r="Y65" s="134">
        <f t="shared" si="45"/>
        <v>-198560.25280000005</v>
      </c>
      <c r="Z65" s="137">
        <f t="shared" si="27"/>
        <v>-925887.18613333348</v>
      </c>
      <c r="AA65" s="139">
        <v>8574.25</v>
      </c>
      <c r="AB65" s="140">
        <f t="shared" si="46"/>
        <v>-1414.6800000000003</v>
      </c>
      <c r="AC65" s="141">
        <f t="shared" si="58"/>
        <v>7159.57</v>
      </c>
      <c r="AD65" s="134">
        <f t="shared" si="47"/>
        <v>-57276.56</v>
      </c>
      <c r="AE65" s="135">
        <f t="shared" si="48"/>
        <v>0</v>
      </c>
      <c r="AF65" s="136">
        <f t="shared" si="49"/>
        <v>-16037.436800000001</v>
      </c>
      <c r="AG65" s="137">
        <f t="shared" si="28"/>
        <v>-73313.996799999994</v>
      </c>
      <c r="AH65" s="135">
        <f t="shared" si="50"/>
        <v>-755315.42479999992</v>
      </c>
      <c r="AI65" s="135">
        <f t="shared" si="51"/>
        <v>0</v>
      </c>
      <c r="AJ65" s="137">
        <f t="shared" si="29"/>
        <v>-755315.42479999992</v>
      </c>
      <c r="AK65" s="134">
        <f t="shared" si="52"/>
        <v>-206195.96480000002</v>
      </c>
      <c r="AL65" s="137">
        <f t="shared" si="30"/>
        <v>-961511.38959999988</v>
      </c>
      <c r="AM65" s="143">
        <f t="shared" si="31"/>
        <v>-10068354.612583999</v>
      </c>
      <c r="AN65" s="143">
        <f t="shared" si="31"/>
        <v>0</v>
      </c>
      <c r="AO65" s="143">
        <f t="shared" si="32"/>
        <v>-10068354.612583999</v>
      </c>
      <c r="AP65" s="143">
        <f t="shared" si="33"/>
        <v>-2748592.2107840003</v>
      </c>
      <c r="AQ65" s="144">
        <f t="shared" si="34"/>
        <v>-12816946.823367998</v>
      </c>
    </row>
    <row r="66" spans="1:43" ht="24.95" customHeight="1" x14ac:dyDescent="0.25">
      <c r="A66" s="128" t="s">
        <v>611</v>
      </c>
      <c r="B66" s="128" t="s">
        <v>631</v>
      </c>
      <c r="C66" s="128"/>
      <c r="D66" s="128"/>
      <c r="E66" s="128" t="s">
        <v>601</v>
      </c>
      <c r="F66" s="128" t="s">
        <v>639</v>
      </c>
      <c r="G66" s="139">
        <f t="shared" si="35"/>
        <v>8157.41</v>
      </c>
      <c r="H66" s="140">
        <f t="shared" si="36"/>
        <v>-1338.7199999999993</v>
      </c>
      <c r="I66" s="141">
        <f t="shared" si="57"/>
        <v>6818.6900000000005</v>
      </c>
      <c r="J66" s="146">
        <v>-4</v>
      </c>
      <c r="K66" s="146">
        <v>-4</v>
      </c>
      <c r="L66" s="134">
        <f t="shared" si="37"/>
        <v>-27274.760000000002</v>
      </c>
      <c r="M66" s="135">
        <f t="shared" si="38"/>
        <v>0</v>
      </c>
      <c r="N66" s="136">
        <f t="shared" si="39"/>
        <v>-7636.9328000000014</v>
      </c>
      <c r="O66" s="137">
        <f t="shared" si="23"/>
        <v>-34911.692800000004</v>
      </c>
      <c r="P66" s="138">
        <v>12</v>
      </c>
      <c r="Q66" s="134">
        <f t="shared" si="40"/>
        <v>-30305.288888888892</v>
      </c>
      <c r="R66" s="135">
        <f t="shared" si="41"/>
        <v>0</v>
      </c>
      <c r="S66" s="136">
        <f t="shared" si="24"/>
        <v>-30305.288888888892</v>
      </c>
      <c r="T66" s="135">
        <f t="shared" si="42"/>
        <v>-8273.343866666668</v>
      </c>
      <c r="U66" s="137">
        <f t="shared" si="25"/>
        <v>-38578.632755555562</v>
      </c>
      <c r="V66" s="135">
        <f t="shared" si="43"/>
        <v>-363663.46666666673</v>
      </c>
      <c r="W66" s="136">
        <f t="shared" si="44"/>
        <v>0</v>
      </c>
      <c r="X66" s="137">
        <f t="shared" si="26"/>
        <v>-363663.46666666673</v>
      </c>
      <c r="Y66" s="134">
        <f t="shared" si="45"/>
        <v>-99280.126400000023</v>
      </c>
      <c r="Z66" s="137">
        <f t="shared" si="27"/>
        <v>-462943.59306666674</v>
      </c>
      <c r="AA66" s="139">
        <v>8574.25</v>
      </c>
      <c r="AB66" s="140">
        <f t="shared" si="46"/>
        <v>-1414.6800000000003</v>
      </c>
      <c r="AC66" s="141">
        <f t="shared" si="58"/>
        <v>7159.57</v>
      </c>
      <c r="AD66" s="134">
        <f t="shared" si="47"/>
        <v>-28638.28</v>
      </c>
      <c r="AE66" s="135">
        <f t="shared" si="48"/>
        <v>0</v>
      </c>
      <c r="AF66" s="136">
        <f t="shared" si="49"/>
        <v>-8018.7184000000007</v>
      </c>
      <c r="AG66" s="137">
        <f t="shared" si="28"/>
        <v>-36656.998399999997</v>
      </c>
      <c r="AH66" s="135">
        <f t="shared" si="50"/>
        <v>-377657.71239999996</v>
      </c>
      <c r="AI66" s="135">
        <f t="shared" si="51"/>
        <v>0</v>
      </c>
      <c r="AJ66" s="137">
        <f t="shared" si="29"/>
        <v>-377657.71239999996</v>
      </c>
      <c r="AK66" s="134">
        <f t="shared" si="52"/>
        <v>-103097.98240000001</v>
      </c>
      <c r="AL66" s="137">
        <f t="shared" si="30"/>
        <v>-480755.69479999994</v>
      </c>
      <c r="AM66" s="143">
        <f t="shared" si="31"/>
        <v>-5034177.3062919993</v>
      </c>
      <c r="AN66" s="143">
        <f t="shared" si="31"/>
        <v>0</v>
      </c>
      <c r="AO66" s="143">
        <f t="shared" si="32"/>
        <v>-5034177.3062919993</v>
      </c>
      <c r="AP66" s="143">
        <f t="shared" si="33"/>
        <v>-1374296.1053920002</v>
      </c>
      <c r="AQ66" s="144">
        <f t="shared" si="34"/>
        <v>-6408473.411683999</v>
      </c>
    </row>
    <row r="67" spans="1:43" ht="24.95" customHeight="1" x14ac:dyDescent="0.25">
      <c r="A67" s="128" t="s">
        <v>611</v>
      </c>
      <c r="B67" s="128" t="s">
        <v>640</v>
      </c>
      <c r="C67" s="128"/>
      <c r="D67" s="128"/>
      <c r="E67" s="128" t="s">
        <v>601</v>
      </c>
      <c r="F67" s="128" t="s">
        <v>622</v>
      </c>
      <c r="G67" s="139">
        <f t="shared" si="35"/>
        <v>8157.41</v>
      </c>
      <c r="H67" s="140">
        <f t="shared" si="36"/>
        <v>-322.59999999999945</v>
      </c>
      <c r="I67" s="141">
        <f>2637.69+4181+1016.12</f>
        <v>7834.81</v>
      </c>
      <c r="J67" s="146">
        <v>-5</v>
      </c>
      <c r="K67" s="146">
        <v>-5</v>
      </c>
      <c r="L67" s="134">
        <f t="shared" si="37"/>
        <v>-39174.050000000003</v>
      </c>
      <c r="M67" s="135">
        <f t="shared" si="38"/>
        <v>0</v>
      </c>
      <c r="N67" s="136">
        <f t="shared" si="39"/>
        <v>-10968.734000000002</v>
      </c>
      <c r="O67" s="137">
        <f t="shared" si="23"/>
        <v>-50142.784000000007</v>
      </c>
      <c r="P67" s="138">
        <v>12</v>
      </c>
      <c r="Q67" s="134">
        <f t="shared" si="40"/>
        <v>-43526.722222222226</v>
      </c>
      <c r="R67" s="135">
        <f t="shared" si="41"/>
        <v>0</v>
      </c>
      <c r="S67" s="136">
        <f t="shared" si="24"/>
        <v>-43526.722222222226</v>
      </c>
      <c r="T67" s="135">
        <f t="shared" si="42"/>
        <v>-11882.795166666669</v>
      </c>
      <c r="U67" s="137">
        <f t="shared" si="25"/>
        <v>-55409.517388888897</v>
      </c>
      <c r="V67" s="135">
        <f t="shared" si="43"/>
        <v>-522320.66666666674</v>
      </c>
      <c r="W67" s="136">
        <f t="shared" si="44"/>
        <v>0</v>
      </c>
      <c r="X67" s="137">
        <f t="shared" si="26"/>
        <v>-522320.66666666674</v>
      </c>
      <c r="Y67" s="134">
        <f t="shared" si="45"/>
        <v>-142593.54200000002</v>
      </c>
      <c r="Z67" s="137">
        <f t="shared" si="27"/>
        <v>-664914.20866666676</v>
      </c>
      <c r="AA67" s="139">
        <v>8574.25</v>
      </c>
      <c r="AB67" s="140">
        <f t="shared" si="46"/>
        <v>-347.75</v>
      </c>
      <c r="AC67" s="141">
        <f>2769.57+4390+1066.93</f>
        <v>8226.5</v>
      </c>
      <c r="AD67" s="134">
        <f t="shared" si="47"/>
        <v>-41132.5</v>
      </c>
      <c r="AE67" s="135">
        <f t="shared" si="48"/>
        <v>0</v>
      </c>
      <c r="AF67" s="136">
        <f t="shared" si="49"/>
        <v>-11517.1</v>
      </c>
      <c r="AG67" s="137">
        <f t="shared" si="28"/>
        <v>-52649.599999999999</v>
      </c>
      <c r="AH67" s="135">
        <f t="shared" si="50"/>
        <v>-542420.875</v>
      </c>
      <c r="AI67" s="135">
        <f t="shared" si="51"/>
        <v>0</v>
      </c>
      <c r="AJ67" s="137">
        <f t="shared" si="29"/>
        <v>-542420.875</v>
      </c>
      <c r="AK67" s="134">
        <f t="shared" si="52"/>
        <v>-148077.20199999999</v>
      </c>
      <c r="AL67" s="137">
        <f t="shared" si="30"/>
        <v>-690498.07700000005</v>
      </c>
      <c r="AM67" s="143">
        <f t="shared" si="31"/>
        <v>-7230470.2637499999</v>
      </c>
      <c r="AN67" s="143">
        <f t="shared" si="31"/>
        <v>0</v>
      </c>
      <c r="AO67" s="143">
        <f t="shared" si="32"/>
        <v>-7230470.2637499999</v>
      </c>
      <c r="AP67" s="143">
        <f t="shared" si="33"/>
        <v>-1973869.1026599999</v>
      </c>
      <c r="AQ67" s="144">
        <f t="shared" si="34"/>
        <v>-9204339.3664100002</v>
      </c>
    </row>
    <row r="68" spans="1:43" ht="24.95" customHeight="1" x14ac:dyDescent="0.25">
      <c r="A68" s="128" t="s">
        <v>611</v>
      </c>
      <c r="B68" s="128" t="s">
        <v>640</v>
      </c>
      <c r="C68" s="128"/>
      <c r="D68" s="128"/>
      <c r="E68" s="128" t="s">
        <v>601</v>
      </c>
      <c r="F68" s="128" t="s">
        <v>624</v>
      </c>
      <c r="G68" s="139">
        <f t="shared" si="35"/>
        <v>8157.41</v>
      </c>
      <c r="H68" s="140">
        <f t="shared" si="36"/>
        <v>-322.59999999999945</v>
      </c>
      <c r="I68" s="141">
        <f>2637.69+4181+1016.12</f>
        <v>7834.81</v>
      </c>
      <c r="J68" s="146">
        <v>-1</v>
      </c>
      <c r="K68" s="146">
        <v>-1</v>
      </c>
      <c r="L68" s="134">
        <f t="shared" si="37"/>
        <v>-7834.81</v>
      </c>
      <c r="M68" s="135">
        <f t="shared" si="38"/>
        <v>0</v>
      </c>
      <c r="N68" s="136">
        <f t="shared" si="39"/>
        <v>-2193.7468000000003</v>
      </c>
      <c r="O68" s="137">
        <f t="shared" si="23"/>
        <v>-10028.5568</v>
      </c>
      <c r="P68" s="138">
        <v>12</v>
      </c>
      <c r="Q68" s="134">
        <f t="shared" si="40"/>
        <v>-8705.3444444444449</v>
      </c>
      <c r="R68" s="135">
        <f t="shared" si="41"/>
        <v>0</v>
      </c>
      <c r="S68" s="136">
        <f t="shared" si="24"/>
        <v>-8705.3444444444449</v>
      </c>
      <c r="T68" s="135">
        <f t="shared" si="42"/>
        <v>-2376.5590333333339</v>
      </c>
      <c r="U68" s="137">
        <f t="shared" si="25"/>
        <v>-11081.903477777778</v>
      </c>
      <c r="V68" s="135">
        <f t="shared" si="43"/>
        <v>-104464.13333333335</v>
      </c>
      <c r="W68" s="136">
        <f t="shared" si="44"/>
        <v>0</v>
      </c>
      <c r="X68" s="137">
        <f t="shared" si="26"/>
        <v>-104464.13333333335</v>
      </c>
      <c r="Y68" s="134">
        <f t="shared" si="45"/>
        <v>-28518.708400000003</v>
      </c>
      <c r="Z68" s="137">
        <f t="shared" si="27"/>
        <v>-132982.84173333336</v>
      </c>
      <c r="AA68" s="139">
        <v>8574.25</v>
      </c>
      <c r="AB68" s="140">
        <f t="shared" si="46"/>
        <v>-347.75</v>
      </c>
      <c r="AC68" s="141">
        <f>2769.57+4390+1066.93</f>
        <v>8226.5</v>
      </c>
      <c r="AD68" s="134">
        <f t="shared" si="47"/>
        <v>-8226.5</v>
      </c>
      <c r="AE68" s="135">
        <f t="shared" si="48"/>
        <v>0</v>
      </c>
      <c r="AF68" s="136">
        <f t="shared" si="49"/>
        <v>-2303.42</v>
      </c>
      <c r="AG68" s="137">
        <f t="shared" si="28"/>
        <v>-10529.92</v>
      </c>
      <c r="AH68" s="135">
        <f t="shared" si="50"/>
        <v>-108484.17499999999</v>
      </c>
      <c r="AI68" s="135">
        <f t="shared" si="51"/>
        <v>0</v>
      </c>
      <c r="AJ68" s="137">
        <f t="shared" si="29"/>
        <v>-108484.17499999999</v>
      </c>
      <c r="AK68" s="134">
        <f t="shared" si="52"/>
        <v>-29615.440399999999</v>
      </c>
      <c r="AL68" s="137">
        <f t="shared" si="30"/>
        <v>-138099.61539999998</v>
      </c>
      <c r="AM68" s="143">
        <f t="shared" si="31"/>
        <v>-1446094.0527499998</v>
      </c>
      <c r="AN68" s="143">
        <f t="shared" si="31"/>
        <v>0</v>
      </c>
      <c r="AO68" s="143">
        <f t="shared" si="32"/>
        <v>-1446094.0527499998</v>
      </c>
      <c r="AP68" s="143">
        <f t="shared" si="33"/>
        <v>-394773.82053199998</v>
      </c>
      <c r="AQ68" s="144">
        <f t="shared" si="34"/>
        <v>-1840867.8732819997</v>
      </c>
    </row>
    <row r="69" spans="1:43" ht="24.95" customHeight="1" x14ac:dyDescent="0.25">
      <c r="A69" s="128" t="s">
        <v>611</v>
      </c>
      <c r="B69" s="128" t="s">
        <v>640</v>
      </c>
      <c r="C69" s="128"/>
      <c r="D69" s="128"/>
      <c r="E69" s="128" t="s">
        <v>601</v>
      </c>
      <c r="F69" s="128" t="s">
        <v>625</v>
      </c>
      <c r="G69" s="139">
        <f t="shared" si="35"/>
        <v>8157.41</v>
      </c>
      <c r="H69" s="140">
        <f t="shared" si="36"/>
        <v>-322.59999999999945</v>
      </c>
      <c r="I69" s="141">
        <f>2637.69+4181+1016.12</f>
        <v>7834.81</v>
      </c>
      <c r="J69" s="146">
        <v>-2</v>
      </c>
      <c r="K69" s="146">
        <v>-2</v>
      </c>
      <c r="L69" s="134">
        <f t="shared" si="37"/>
        <v>-15669.62</v>
      </c>
      <c r="M69" s="135">
        <f t="shared" si="38"/>
        <v>0</v>
      </c>
      <c r="N69" s="136">
        <f t="shared" si="39"/>
        <v>-4387.4936000000007</v>
      </c>
      <c r="O69" s="137">
        <f t="shared" si="23"/>
        <v>-20057.113600000001</v>
      </c>
      <c r="P69" s="138">
        <v>12</v>
      </c>
      <c r="Q69" s="134">
        <f t="shared" si="40"/>
        <v>-17410.68888888889</v>
      </c>
      <c r="R69" s="135">
        <f t="shared" si="41"/>
        <v>0</v>
      </c>
      <c r="S69" s="136">
        <f t="shared" si="24"/>
        <v>-17410.68888888889</v>
      </c>
      <c r="T69" s="135">
        <f t="shared" si="42"/>
        <v>-4753.1180666666678</v>
      </c>
      <c r="U69" s="137">
        <f t="shared" si="25"/>
        <v>-22163.806955555556</v>
      </c>
      <c r="V69" s="135">
        <f t="shared" si="43"/>
        <v>-208928.26666666669</v>
      </c>
      <c r="W69" s="136">
        <f t="shared" si="44"/>
        <v>0</v>
      </c>
      <c r="X69" s="137">
        <f t="shared" si="26"/>
        <v>-208928.26666666669</v>
      </c>
      <c r="Y69" s="134">
        <f t="shared" si="45"/>
        <v>-57037.416800000006</v>
      </c>
      <c r="Z69" s="137">
        <f t="shared" si="27"/>
        <v>-265965.68346666673</v>
      </c>
      <c r="AA69" s="139">
        <v>8574.25</v>
      </c>
      <c r="AB69" s="140">
        <f t="shared" si="46"/>
        <v>-347.75</v>
      </c>
      <c r="AC69" s="141">
        <f>2769.57+4390+1066.93</f>
        <v>8226.5</v>
      </c>
      <c r="AD69" s="134">
        <f t="shared" si="47"/>
        <v>-16453</v>
      </c>
      <c r="AE69" s="135">
        <f t="shared" si="48"/>
        <v>0</v>
      </c>
      <c r="AF69" s="136">
        <f t="shared" si="49"/>
        <v>-4606.84</v>
      </c>
      <c r="AG69" s="137">
        <f t="shared" si="28"/>
        <v>-21059.84</v>
      </c>
      <c r="AH69" s="135">
        <f t="shared" si="50"/>
        <v>-216968.34999999998</v>
      </c>
      <c r="AI69" s="135">
        <f t="shared" si="51"/>
        <v>0</v>
      </c>
      <c r="AJ69" s="137">
        <f t="shared" si="29"/>
        <v>-216968.34999999998</v>
      </c>
      <c r="AK69" s="134">
        <f t="shared" si="52"/>
        <v>-59230.880799999999</v>
      </c>
      <c r="AL69" s="137">
        <f t="shared" si="30"/>
        <v>-276199.23079999996</v>
      </c>
      <c r="AM69" s="143">
        <f t="shared" si="31"/>
        <v>-2892188.1054999996</v>
      </c>
      <c r="AN69" s="143">
        <f t="shared" si="31"/>
        <v>0</v>
      </c>
      <c r="AO69" s="143">
        <f t="shared" si="32"/>
        <v>-2892188.1054999996</v>
      </c>
      <c r="AP69" s="143">
        <f t="shared" si="33"/>
        <v>-789547.64106399997</v>
      </c>
      <c r="AQ69" s="144">
        <f t="shared" si="34"/>
        <v>-3681735.7465639994</v>
      </c>
    </row>
    <row r="70" spans="1:43" ht="24.95" customHeight="1" x14ac:dyDescent="0.25">
      <c r="A70" s="128" t="s">
        <v>611</v>
      </c>
      <c r="B70" s="128" t="s">
        <v>640</v>
      </c>
      <c r="C70" s="128"/>
      <c r="D70" s="128"/>
      <c r="E70" s="128" t="s">
        <v>601</v>
      </c>
      <c r="F70" s="128" t="s">
        <v>626</v>
      </c>
      <c r="G70" s="139">
        <f t="shared" si="35"/>
        <v>8157.41</v>
      </c>
      <c r="H70" s="140">
        <f t="shared" si="36"/>
        <v>-322.59999999999945</v>
      </c>
      <c r="I70" s="141">
        <f>2637.69+4181+1016.12</f>
        <v>7834.81</v>
      </c>
      <c r="J70" s="146">
        <v>-2</v>
      </c>
      <c r="K70" s="146">
        <v>-2</v>
      </c>
      <c r="L70" s="134">
        <f t="shared" si="37"/>
        <v>-15669.62</v>
      </c>
      <c r="M70" s="135">
        <f t="shared" si="38"/>
        <v>0</v>
      </c>
      <c r="N70" s="136">
        <f t="shared" si="39"/>
        <v>-4387.4936000000007</v>
      </c>
      <c r="O70" s="137">
        <f t="shared" si="23"/>
        <v>-20057.113600000001</v>
      </c>
      <c r="P70" s="138">
        <v>12</v>
      </c>
      <c r="Q70" s="134">
        <f t="shared" si="40"/>
        <v>-17410.68888888889</v>
      </c>
      <c r="R70" s="135">
        <f t="shared" si="41"/>
        <v>0</v>
      </c>
      <c r="S70" s="136">
        <f t="shared" si="24"/>
        <v>-17410.68888888889</v>
      </c>
      <c r="T70" s="135">
        <f t="shared" si="42"/>
        <v>-4753.1180666666678</v>
      </c>
      <c r="U70" s="137">
        <f t="shared" si="25"/>
        <v>-22163.806955555556</v>
      </c>
      <c r="V70" s="135">
        <f t="shared" si="43"/>
        <v>-208928.26666666669</v>
      </c>
      <c r="W70" s="136">
        <f t="shared" si="44"/>
        <v>0</v>
      </c>
      <c r="X70" s="137">
        <f t="shared" si="26"/>
        <v>-208928.26666666669</v>
      </c>
      <c r="Y70" s="134">
        <f t="shared" si="45"/>
        <v>-57037.416800000006</v>
      </c>
      <c r="Z70" s="137">
        <f t="shared" si="27"/>
        <v>-265965.68346666673</v>
      </c>
      <c r="AA70" s="139">
        <v>8574.25</v>
      </c>
      <c r="AB70" s="140">
        <f t="shared" si="46"/>
        <v>-347.75</v>
      </c>
      <c r="AC70" s="141">
        <f>2769.57+4390+1066.93</f>
        <v>8226.5</v>
      </c>
      <c r="AD70" s="134">
        <f t="shared" si="47"/>
        <v>-16453</v>
      </c>
      <c r="AE70" s="135">
        <f t="shared" si="48"/>
        <v>0</v>
      </c>
      <c r="AF70" s="136">
        <f t="shared" si="49"/>
        <v>-4606.84</v>
      </c>
      <c r="AG70" s="137">
        <f t="shared" si="28"/>
        <v>-21059.84</v>
      </c>
      <c r="AH70" s="135">
        <f t="shared" si="50"/>
        <v>-216968.34999999998</v>
      </c>
      <c r="AI70" s="135">
        <f t="shared" si="51"/>
        <v>0</v>
      </c>
      <c r="AJ70" s="137">
        <f t="shared" si="29"/>
        <v>-216968.34999999998</v>
      </c>
      <c r="AK70" s="134">
        <f t="shared" si="52"/>
        <v>-59230.880799999999</v>
      </c>
      <c r="AL70" s="137">
        <f t="shared" si="30"/>
        <v>-276199.23079999996</v>
      </c>
      <c r="AM70" s="143">
        <f t="shared" si="31"/>
        <v>-2892188.1054999996</v>
      </c>
      <c r="AN70" s="143">
        <f t="shared" si="31"/>
        <v>0</v>
      </c>
      <c r="AO70" s="143">
        <f t="shared" si="32"/>
        <v>-2892188.1054999996</v>
      </c>
      <c r="AP70" s="143">
        <f t="shared" si="33"/>
        <v>-789547.64106399997</v>
      </c>
      <c r="AQ70" s="144">
        <f t="shared" si="34"/>
        <v>-3681735.7465639994</v>
      </c>
    </row>
    <row r="71" spans="1:43" ht="24.95" customHeight="1" x14ac:dyDescent="0.25">
      <c r="A71" s="128" t="s">
        <v>611</v>
      </c>
      <c r="B71" s="128" t="s">
        <v>640</v>
      </c>
      <c r="C71" s="128"/>
      <c r="D71" s="128"/>
      <c r="E71" s="128" t="s">
        <v>601</v>
      </c>
      <c r="F71" s="128" t="s">
        <v>641</v>
      </c>
      <c r="G71" s="139">
        <f t="shared" si="35"/>
        <v>8157.41</v>
      </c>
      <c r="H71" s="140">
        <f t="shared" si="36"/>
        <v>-322.59999999999945</v>
      </c>
      <c r="I71" s="141">
        <f>2637.69+4181+1016.12</f>
        <v>7834.81</v>
      </c>
      <c r="J71" s="146">
        <v>-1</v>
      </c>
      <c r="K71" s="146">
        <v>-1</v>
      </c>
      <c r="L71" s="134">
        <f t="shared" si="37"/>
        <v>-7834.81</v>
      </c>
      <c r="M71" s="135">
        <f t="shared" si="38"/>
        <v>0</v>
      </c>
      <c r="N71" s="136">
        <f t="shared" si="39"/>
        <v>-2193.7468000000003</v>
      </c>
      <c r="O71" s="137">
        <f t="shared" si="23"/>
        <v>-10028.5568</v>
      </c>
      <c r="P71" s="138">
        <v>12</v>
      </c>
      <c r="Q71" s="134">
        <f t="shared" si="40"/>
        <v>-8705.3444444444449</v>
      </c>
      <c r="R71" s="135">
        <f t="shared" si="41"/>
        <v>0</v>
      </c>
      <c r="S71" s="136">
        <f t="shared" si="24"/>
        <v>-8705.3444444444449</v>
      </c>
      <c r="T71" s="135">
        <f t="shared" si="42"/>
        <v>-2376.5590333333339</v>
      </c>
      <c r="U71" s="137">
        <f t="shared" si="25"/>
        <v>-11081.903477777778</v>
      </c>
      <c r="V71" s="135">
        <f t="shared" si="43"/>
        <v>-104464.13333333335</v>
      </c>
      <c r="W71" s="136">
        <f t="shared" si="44"/>
        <v>0</v>
      </c>
      <c r="X71" s="137">
        <f t="shared" si="26"/>
        <v>-104464.13333333335</v>
      </c>
      <c r="Y71" s="134">
        <f t="shared" si="45"/>
        <v>-28518.708400000003</v>
      </c>
      <c r="Z71" s="137">
        <f t="shared" si="27"/>
        <v>-132982.84173333336</v>
      </c>
      <c r="AA71" s="139">
        <v>8574.25</v>
      </c>
      <c r="AB71" s="140">
        <f t="shared" si="46"/>
        <v>-347.75</v>
      </c>
      <c r="AC71" s="141">
        <f>2769.57+4390+1066.93</f>
        <v>8226.5</v>
      </c>
      <c r="AD71" s="134">
        <f t="shared" si="47"/>
        <v>-8226.5</v>
      </c>
      <c r="AE71" s="135">
        <f t="shared" si="48"/>
        <v>0</v>
      </c>
      <c r="AF71" s="136">
        <f t="shared" si="49"/>
        <v>-2303.42</v>
      </c>
      <c r="AG71" s="137">
        <f t="shared" si="28"/>
        <v>-10529.92</v>
      </c>
      <c r="AH71" s="135">
        <f t="shared" si="50"/>
        <v>-108484.17499999999</v>
      </c>
      <c r="AI71" s="135">
        <f t="shared" si="51"/>
        <v>0</v>
      </c>
      <c r="AJ71" s="137">
        <f t="shared" si="29"/>
        <v>-108484.17499999999</v>
      </c>
      <c r="AK71" s="134">
        <f t="shared" si="52"/>
        <v>-29615.440399999999</v>
      </c>
      <c r="AL71" s="137">
        <f t="shared" si="30"/>
        <v>-138099.61539999998</v>
      </c>
      <c r="AM71" s="143">
        <f t="shared" si="31"/>
        <v>-1446094.0527499998</v>
      </c>
      <c r="AN71" s="143">
        <f t="shared" si="31"/>
        <v>0</v>
      </c>
      <c r="AO71" s="143">
        <f t="shared" si="32"/>
        <v>-1446094.0527499998</v>
      </c>
      <c r="AP71" s="143">
        <f t="shared" si="33"/>
        <v>-394773.82053199998</v>
      </c>
      <c r="AQ71" s="144">
        <f t="shared" si="34"/>
        <v>-1840867.8732819997</v>
      </c>
    </row>
    <row r="72" spans="1:43" ht="24.95" customHeight="1" x14ac:dyDescent="0.25">
      <c r="A72" s="128" t="s">
        <v>611</v>
      </c>
      <c r="B72" s="128" t="s">
        <v>640</v>
      </c>
      <c r="C72" s="128"/>
      <c r="D72" s="128"/>
      <c r="E72" s="128" t="s">
        <v>601</v>
      </c>
      <c r="F72" s="128" t="s">
        <v>613</v>
      </c>
      <c r="G72" s="139">
        <f t="shared" si="35"/>
        <v>8157.41</v>
      </c>
      <c r="H72" s="140">
        <f t="shared" si="36"/>
        <v>-1338.7199999999993</v>
      </c>
      <c r="I72" s="141">
        <f t="shared" ref="I72:I78" si="59">2637.69+4181</f>
        <v>6818.6900000000005</v>
      </c>
      <c r="J72" s="146">
        <v>-181</v>
      </c>
      <c r="K72" s="146">
        <v>-181</v>
      </c>
      <c r="L72" s="134">
        <f t="shared" si="37"/>
        <v>-1234182.8900000001</v>
      </c>
      <c r="M72" s="135">
        <f t="shared" si="38"/>
        <v>0</v>
      </c>
      <c r="N72" s="136">
        <f t="shared" si="39"/>
        <v>-345571.20920000004</v>
      </c>
      <c r="O72" s="137">
        <f t="shared" si="23"/>
        <v>-1579754.0992000001</v>
      </c>
      <c r="P72" s="138">
        <v>12</v>
      </c>
      <c r="Q72" s="134">
        <f t="shared" si="40"/>
        <v>-1371314.3222222223</v>
      </c>
      <c r="R72" s="135">
        <f t="shared" si="41"/>
        <v>0</v>
      </c>
      <c r="S72" s="136">
        <f t="shared" si="24"/>
        <v>-1371314.3222222223</v>
      </c>
      <c r="T72" s="135">
        <f t="shared" si="42"/>
        <v>-374368.80996666674</v>
      </c>
      <c r="U72" s="137">
        <f t="shared" si="25"/>
        <v>-1745683.1321888892</v>
      </c>
      <c r="V72" s="135">
        <f t="shared" si="43"/>
        <v>-16455771.866666669</v>
      </c>
      <c r="W72" s="136">
        <f t="shared" si="44"/>
        <v>0</v>
      </c>
      <c r="X72" s="137">
        <f t="shared" si="26"/>
        <v>-16455771.866666669</v>
      </c>
      <c r="Y72" s="134">
        <f t="shared" si="45"/>
        <v>-4492425.7196000004</v>
      </c>
      <c r="Z72" s="137">
        <f t="shared" si="27"/>
        <v>-20948197.58626667</v>
      </c>
      <c r="AA72" s="139">
        <v>8574.25</v>
      </c>
      <c r="AB72" s="140">
        <f t="shared" si="46"/>
        <v>-1414.6800000000003</v>
      </c>
      <c r="AC72" s="141">
        <f t="shared" ref="AC72:AC78" si="60">2769.57+4390</f>
        <v>7159.57</v>
      </c>
      <c r="AD72" s="134">
        <f t="shared" si="47"/>
        <v>-1295882.17</v>
      </c>
      <c r="AE72" s="135">
        <f t="shared" si="48"/>
        <v>0</v>
      </c>
      <c r="AF72" s="136">
        <f t="shared" si="49"/>
        <v>-362847.00760000001</v>
      </c>
      <c r="AG72" s="137">
        <f t="shared" si="28"/>
        <v>-1658729.1776000001</v>
      </c>
      <c r="AH72" s="135">
        <f t="shared" si="50"/>
        <v>-17089011.486099999</v>
      </c>
      <c r="AI72" s="135">
        <f t="shared" si="51"/>
        <v>0</v>
      </c>
      <c r="AJ72" s="137">
        <f t="shared" si="29"/>
        <v>-17089011.486099999</v>
      </c>
      <c r="AK72" s="134">
        <f t="shared" si="52"/>
        <v>-4665183.7036000006</v>
      </c>
      <c r="AL72" s="137">
        <f t="shared" si="30"/>
        <v>-21754195.1897</v>
      </c>
      <c r="AM72" s="143">
        <f t="shared" si="31"/>
        <v>-227796523.10971299</v>
      </c>
      <c r="AN72" s="143">
        <f t="shared" si="31"/>
        <v>0</v>
      </c>
      <c r="AO72" s="143">
        <f t="shared" si="32"/>
        <v>-227796523.10971299</v>
      </c>
      <c r="AP72" s="143">
        <f t="shared" si="33"/>
        <v>-62186898.768988006</v>
      </c>
      <c r="AQ72" s="144">
        <f t="shared" si="34"/>
        <v>-289983421.87870097</v>
      </c>
    </row>
    <row r="73" spans="1:43" ht="24.95" customHeight="1" x14ac:dyDescent="0.25">
      <c r="A73" s="128" t="s">
        <v>611</v>
      </c>
      <c r="B73" s="128" t="s">
        <v>640</v>
      </c>
      <c r="C73" s="128"/>
      <c r="D73" s="128"/>
      <c r="E73" s="128" t="s">
        <v>601</v>
      </c>
      <c r="F73" s="128" t="s">
        <v>642</v>
      </c>
      <c r="G73" s="139">
        <f t="shared" si="35"/>
        <v>8157.41</v>
      </c>
      <c r="H73" s="140">
        <f t="shared" si="36"/>
        <v>-1338.7199999999993</v>
      </c>
      <c r="I73" s="141">
        <f t="shared" si="59"/>
        <v>6818.6900000000005</v>
      </c>
      <c r="J73" s="146">
        <v>-531</v>
      </c>
      <c r="K73" s="146">
        <v>-531</v>
      </c>
      <c r="L73" s="134">
        <f t="shared" si="37"/>
        <v>-3620724.39</v>
      </c>
      <c r="M73" s="135">
        <f t="shared" si="38"/>
        <v>0</v>
      </c>
      <c r="N73" s="136">
        <f t="shared" si="39"/>
        <v>-1013802.8292000002</v>
      </c>
      <c r="O73" s="137">
        <f t="shared" si="23"/>
        <v>-4634527.2192000002</v>
      </c>
      <c r="P73" s="138">
        <v>12</v>
      </c>
      <c r="Q73" s="134">
        <f t="shared" si="40"/>
        <v>-4023027.1000000006</v>
      </c>
      <c r="R73" s="135">
        <f t="shared" si="41"/>
        <v>0</v>
      </c>
      <c r="S73" s="136">
        <f t="shared" si="24"/>
        <v>-4023027.1000000006</v>
      </c>
      <c r="T73" s="135">
        <f t="shared" si="42"/>
        <v>-1098286.3983000002</v>
      </c>
      <c r="U73" s="137">
        <f t="shared" si="25"/>
        <v>-5121313.498300001</v>
      </c>
      <c r="V73" s="135">
        <f t="shared" si="43"/>
        <v>-48276325.200000003</v>
      </c>
      <c r="W73" s="136">
        <f t="shared" si="44"/>
        <v>0</v>
      </c>
      <c r="X73" s="137">
        <f t="shared" si="26"/>
        <v>-48276325.200000003</v>
      </c>
      <c r="Y73" s="134">
        <f t="shared" si="45"/>
        <v>-13179436.779600002</v>
      </c>
      <c r="Z73" s="137">
        <f t="shared" si="27"/>
        <v>-61455761.979600005</v>
      </c>
      <c r="AA73" s="139">
        <v>8574.25</v>
      </c>
      <c r="AB73" s="140">
        <f t="shared" si="46"/>
        <v>-1414.6800000000003</v>
      </c>
      <c r="AC73" s="141">
        <f t="shared" si="60"/>
        <v>7159.57</v>
      </c>
      <c r="AD73" s="134">
        <f t="shared" si="47"/>
        <v>-3801731.67</v>
      </c>
      <c r="AE73" s="135">
        <f t="shared" si="48"/>
        <v>0</v>
      </c>
      <c r="AF73" s="136">
        <f t="shared" si="49"/>
        <v>-1064484.8676</v>
      </c>
      <c r="AG73" s="137">
        <f t="shared" si="28"/>
        <v>-4866216.5375999995</v>
      </c>
      <c r="AH73" s="135">
        <f t="shared" si="50"/>
        <v>-50134061.321100004</v>
      </c>
      <c r="AI73" s="135">
        <f t="shared" si="51"/>
        <v>0</v>
      </c>
      <c r="AJ73" s="137">
        <f t="shared" si="29"/>
        <v>-50134061.321100004</v>
      </c>
      <c r="AK73" s="134">
        <f t="shared" si="52"/>
        <v>-13686257.1636</v>
      </c>
      <c r="AL73" s="137">
        <f t="shared" si="30"/>
        <v>-63820318.484700002</v>
      </c>
      <c r="AM73" s="143">
        <f t="shared" si="31"/>
        <v>-668287037.41026306</v>
      </c>
      <c r="AN73" s="143">
        <f t="shared" si="31"/>
        <v>0</v>
      </c>
      <c r="AO73" s="143">
        <f t="shared" si="32"/>
        <v>-668287037.41026306</v>
      </c>
      <c r="AP73" s="143">
        <f t="shared" si="33"/>
        <v>-182437807.99078798</v>
      </c>
      <c r="AQ73" s="144">
        <f t="shared" si="34"/>
        <v>-850724845.40105104</v>
      </c>
    </row>
    <row r="74" spans="1:43" ht="24.95" customHeight="1" x14ac:dyDescent="0.25">
      <c r="A74" s="128" t="s">
        <v>611</v>
      </c>
      <c r="B74" s="128" t="s">
        <v>640</v>
      </c>
      <c r="C74" s="128"/>
      <c r="D74" s="128"/>
      <c r="E74" s="128" t="s">
        <v>601</v>
      </c>
      <c r="F74" s="128" t="s">
        <v>614</v>
      </c>
      <c r="G74" s="139">
        <f t="shared" si="35"/>
        <v>8157.41</v>
      </c>
      <c r="H74" s="140">
        <f t="shared" si="36"/>
        <v>-1338.7199999999993</v>
      </c>
      <c r="I74" s="141">
        <f t="shared" si="59"/>
        <v>6818.6900000000005</v>
      </c>
      <c r="J74" s="146">
        <v>-40</v>
      </c>
      <c r="K74" s="146">
        <v>-40</v>
      </c>
      <c r="L74" s="134">
        <f t="shared" si="37"/>
        <v>-272747.60000000003</v>
      </c>
      <c r="M74" s="135">
        <f t="shared" si="38"/>
        <v>0</v>
      </c>
      <c r="N74" s="136">
        <f t="shared" si="39"/>
        <v>-76369.328000000009</v>
      </c>
      <c r="O74" s="137">
        <f t="shared" si="23"/>
        <v>-349116.92800000007</v>
      </c>
      <c r="P74" s="138">
        <v>12</v>
      </c>
      <c r="Q74" s="134">
        <f t="shared" si="40"/>
        <v>-303052.88888888893</v>
      </c>
      <c r="R74" s="135">
        <f t="shared" si="41"/>
        <v>0</v>
      </c>
      <c r="S74" s="136">
        <f t="shared" si="24"/>
        <v>-303052.88888888893</v>
      </c>
      <c r="T74" s="135">
        <f t="shared" si="42"/>
        <v>-82733.438666666683</v>
      </c>
      <c r="U74" s="137">
        <f t="shared" si="25"/>
        <v>-385786.32755555562</v>
      </c>
      <c r="V74" s="135">
        <f t="shared" si="43"/>
        <v>-3636634.6666666674</v>
      </c>
      <c r="W74" s="136">
        <f t="shared" si="44"/>
        <v>0</v>
      </c>
      <c r="X74" s="137">
        <f t="shared" si="26"/>
        <v>-3636634.6666666674</v>
      </c>
      <c r="Y74" s="134">
        <f t="shared" si="45"/>
        <v>-992801.26400000008</v>
      </c>
      <c r="Z74" s="137">
        <f t="shared" si="27"/>
        <v>-4629435.9306666674</v>
      </c>
      <c r="AA74" s="139">
        <v>8574.25</v>
      </c>
      <c r="AB74" s="140">
        <f t="shared" si="46"/>
        <v>-1414.6800000000003</v>
      </c>
      <c r="AC74" s="141">
        <f t="shared" si="60"/>
        <v>7159.57</v>
      </c>
      <c r="AD74" s="134">
        <f t="shared" si="47"/>
        <v>-286382.8</v>
      </c>
      <c r="AE74" s="135">
        <f t="shared" si="48"/>
        <v>0</v>
      </c>
      <c r="AF74" s="136">
        <f t="shared" si="49"/>
        <v>-80187.184000000008</v>
      </c>
      <c r="AG74" s="137">
        <f t="shared" si="28"/>
        <v>-366569.984</v>
      </c>
      <c r="AH74" s="135">
        <f t="shared" si="50"/>
        <v>-3776577.1239999998</v>
      </c>
      <c r="AI74" s="135">
        <f t="shared" si="51"/>
        <v>0</v>
      </c>
      <c r="AJ74" s="137">
        <f t="shared" si="29"/>
        <v>-3776577.1239999998</v>
      </c>
      <c r="AK74" s="134">
        <f t="shared" si="52"/>
        <v>-1030979.8240000001</v>
      </c>
      <c r="AL74" s="137">
        <f t="shared" si="30"/>
        <v>-4807556.9479999999</v>
      </c>
      <c r="AM74" s="143">
        <f t="shared" si="31"/>
        <v>-50341773.062919997</v>
      </c>
      <c r="AN74" s="143">
        <f t="shared" si="31"/>
        <v>0</v>
      </c>
      <c r="AO74" s="143">
        <f t="shared" si="32"/>
        <v>-50341773.062919997</v>
      </c>
      <c r="AP74" s="143">
        <f t="shared" si="33"/>
        <v>-13742961.053920003</v>
      </c>
      <c r="AQ74" s="144">
        <f t="shared" si="34"/>
        <v>-64084734.116839997</v>
      </c>
    </row>
    <row r="75" spans="1:43" ht="24.95" customHeight="1" x14ac:dyDescent="0.25">
      <c r="A75" s="128" t="s">
        <v>611</v>
      </c>
      <c r="B75" s="128" t="s">
        <v>640</v>
      </c>
      <c r="C75" s="128"/>
      <c r="D75" s="128"/>
      <c r="E75" s="128" t="s">
        <v>601</v>
      </c>
      <c r="F75" s="128" t="s">
        <v>615</v>
      </c>
      <c r="G75" s="139">
        <f t="shared" si="35"/>
        <v>8157.41</v>
      </c>
      <c r="H75" s="140">
        <f t="shared" si="36"/>
        <v>-1338.7199999999993</v>
      </c>
      <c r="I75" s="141">
        <f t="shared" si="59"/>
        <v>6818.6900000000005</v>
      </c>
      <c r="J75" s="146">
        <v>-23</v>
      </c>
      <c r="K75" s="146">
        <v>-23</v>
      </c>
      <c r="L75" s="134">
        <f t="shared" si="37"/>
        <v>-156829.87000000002</v>
      </c>
      <c r="M75" s="135">
        <f t="shared" si="38"/>
        <v>0</v>
      </c>
      <c r="N75" s="136">
        <f t="shared" si="39"/>
        <v>-43912.363600000012</v>
      </c>
      <c r="O75" s="137">
        <f t="shared" si="23"/>
        <v>-200742.23360000004</v>
      </c>
      <c r="P75" s="138">
        <v>12</v>
      </c>
      <c r="Q75" s="134">
        <f t="shared" si="40"/>
        <v>-174255.41111111111</v>
      </c>
      <c r="R75" s="135">
        <f t="shared" si="41"/>
        <v>0</v>
      </c>
      <c r="S75" s="136">
        <f t="shared" si="24"/>
        <v>-174255.41111111111</v>
      </c>
      <c r="T75" s="135">
        <f t="shared" si="42"/>
        <v>-47571.727233333346</v>
      </c>
      <c r="U75" s="137">
        <f t="shared" si="25"/>
        <v>-221827.13834444445</v>
      </c>
      <c r="V75" s="135">
        <f t="shared" si="43"/>
        <v>-2091064.9333333338</v>
      </c>
      <c r="W75" s="136">
        <f t="shared" si="44"/>
        <v>0</v>
      </c>
      <c r="X75" s="137">
        <f t="shared" si="26"/>
        <v>-2091064.9333333338</v>
      </c>
      <c r="Y75" s="134">
        <f t="shared" si="45"/>
        <v>-570860.72680000018</v>
      </c>
      <c r="Z75" s="137">
        <f t="shared" si="27"/>
        <v>-2661925.6601333339</v>
      </c>
      <c r="AA75" s="139">
        <v>8574.25</v>
      </c>
      <c r="AB75" s="140">
        <f t="shared" si="46"/>
        <v>-1414.6800000000003</v>
      </c>
      <c r="AC75" s="141">
        <f t="shared" si="60"/>
        <v>7159.57</v>
      </c>
      <c r="AD75" s="134">
        <f t="shared" si="47"/>
        <v>-164670.10999999999</v>
      </c>
      <c r="AE75" s="135">
        <f t="shared" si="48"/>
        <v>0</v>
      </c>
      <c r="AF75" s="136">
        <f t="shared" si="49"/>
        <v>-46107.630800000006</v>
      </c>
      <c r="AG75" s="137">
        <f t="shared" si="28"/>
        <v>-210777.7408</v>
      </c>
      <c r="AH75" s="135">
        <f t="shared" si="50"/>
        <v>-2171531.8462999999</v>
      </c>
      <c r="AI75" s="135">
        <f t="shared" si="51"/>
        <v>0</v>
      </c>
      <c r="AJ75" s="137">
        <f t="shared" si="29"/>
        <v>-2171531.8462999999</v>
      </c>
      <c r="AK75" s="134">
        <f t="shared" si="52"/>
        <v>-592813.39880000008</v>
      </c>
      <c r="AL75" s="137">
        <f t="shared" si="30"/>
        <v>-2764345.2450999999</v>
      </c>
      <c r="AM75" s="143">
        <f t="shared" si="31"/>
        <v>-28946519.511179</v>
      </c>
      <c r="AN75" s="143">
        <f t="shared" si="31"/>
        <v>0</v>
      </c>
      <c r="AO75" s="143">
        <f t="shared" si="32"/>
        <v>-28946519.511179</v>
      </c>
      <c r="AP75" s="143">
        <f t="shared" si="33"/>
        <v>-7902202.6060040016</v>
      </c>
      <c r="AQ75" s="144">
        <f t="shared" si="34"/>
        <v>-36848722.117183</v>
      </c>
    </row>
    <row r="76" spans="1:43" ht="24.95" customHeight="1" x14ac:dyDescent="0.25">
      <c r="A76" s="128" t="s">
        <v>611</v>
      </c>
      <c r="B76" s="128" t="s">
        <v>640</v>
      </c>
      <c r="C76" s="128"/>
      <c r="D76" s="128"/>
      <c r="E76" s="128" t="s">
        <v>601</v>
      </c>
      <c r="F76" s="128" t="s">
        <v>616</v>
      </c>
      <c r="G76" s="139">
        <f t="shared" si="35"/>
        <v>8157.41</v>
      </c>
      <c r="H76" s="140">
        <f t="shared" si="36"/>
        <v>-1338.7199999999993</v>
      </c>
      <c r="I76" s="141">
        <f t="shared" si="59"/>
        <v>6818.6900000000005</v>
      </c>
      <c r="J76" s="146">
        <v>-92</v>
      </c>
      <c r="K76" s="146">
        <v>-92</v>
      </c>
      <c r="L76" s="134">
        <f t="shared" si="37"/>
        <v>-627319.4800000001</v>
      </c>
      <c r="M76" s="135">
        <f t="shared" si="38"/>
        <v>0</v>
      </c>
      <c r="N76" s="136">
        <f t="shared" si="39"/>
        <v>-175649.45440000005</v>
      </c>
      <c r="O76" s="137">
        <f t="shared" si="23"/>
        <v>-802968.93440000014</v>
      </c>
      <c r="P76" s="138">
        <v>12</v>
      </c>
      <c r="Q76" s="134">
        <f t="shared" si="40"/>
        <v>-697021.64444444445</v>
      </c>
      <c r="R76" s="135">
        <f t="shared" si="41"/>
        <v>0</v>
      </c>
      <c r="S76" s="136">
        <f t="shared" si="24"/>
        <v>-697021.64444444445</v>
      </c>
      <c r="T76" s="135">
        <f t="shared" si="42"/>
        <v>-190286.90893333338</v>
      </c>
      <c r="U76" s="137">
        <f t="shared" si="25"/>
        <v>-887308.5533777778</v>
      </c>
      <c r="V76" s="135">
        <f t="shared" si="43"/>
        <v>-8364259.7333333353</v>
      </c>
      <c r="W76" s="136">
        <f t="shared" si="44"/>
        <v>0</v>
      </c>
      <c r="X76" s="137">
        <f t="shared" si="26"/>
        <v>-8364259.7333333353</v>
      </c>
      <c r="Y76" s="134">
        <f t="shared" si="45"/>
        <v>-2283442.9072000007</v>
      </c>
      <c r="Z76" s="137">
        <f t="shared" si="27"/>
        <v>-10647702.640533336</v>
      </c>
      <c r="AA76" s="139">
        <v>8574.25</v>
      </c>
      <c r="AB76" s="140">
        <f t="shared" si="46"/>
        <v>-1414.6800000000003</v>
      </c>
      <c r="AC76" s="141">
        <f t="shared" si="60"/>
        <v>7159.57</v>
      </c>
      <c r="AD76" s="134">
        <f t="shared" si="47"/>
        <v>-658680.43999999994</v>
      </c>
      <c r="AE76" s="135">
        <f t="shared" si="48"/>
        <v>0</v>
      </c>
      <c r="AF76" s="136">
        <f t="shared" si="49"/>
        <v>-184430.52320000003</v>
      </c>
      <c r="AG76" s="137">
        <f t="shared" si="28"/>
        <v>-843110.9632</v>
      </c>
      <c r="AH76" s="135">
        <f t="shared" si="50"/>
        <v>-8686127.3851999994</v>
      </c>
      <c r="AI76" s="135">
        <f t="shared" si="51"/>
        <v>0</v>
      </c>
      <c r="AJ76" s="137">
        <f t="shared" si="29"/>
        <v>-8686127.3851999994</v>
      </c>
      <c r="AK76" s="134">
        <f t="shared" si="52"/>
        <v>-2371253.5952000003</v>
      </c>
      <c r="AL76" s="137">
        <f t="shared" si="30"/>
        <v>-11057380.9804</v>
      </c>
      <c r="AM76" s="143">
        <f t="shared" si="31"/>
        <v>-115786078.044716</v>
      </c>
      <c r="AN76" s="143">
        <f t="shared" si="31"/>
        <v>0</v>
      </c>
      <c r="AO76" s="143">
        <f t="shared" si="32"/>
        <v>-115786078.044716</v>
      </c>
      <c r="AP76" s="143">
        <f t="shared" si="33"/>
        <v>-31608810.424016006</v>
      </c>
      <c r="AQ76" s="144">
        <f t="shared" si="34"/>
        <v>-147394888.468732</v>
      </c>
    </row>
    <row r="77" spans="1:43" ht="24.95" customHeight="1" x14ac:dyDescent="0.25">
      <c r="A77" s="128" t="s">
        <v>611</v>
      </c>
      <c r="B77" s="128" t="s">
        <v>640</v>
      </c>
      <c r="C77" s="128"/>
      <c r="D77" s="128"/>
      <c r="E77" s="128" t="s">
        <v>601</v>
      </c>
      <c r="F77" s="128" t="s">
        <v>643</v>
      </c>
      <c r="G77" s="139">
        <f t="shared" si="35"/>
        <v>8157.41</v>
      </c>
      <c r="H77" s="140">
        <f t="shared" si="36"/>
        <v>-1338.7199999999993</v>
      </c>
      <c r="I77" s="141">
        <f t="shared" si="59"/>
        <v>6818.6900000000005</v>
      </c>
      <c r="J77" s="146">
        <v>-46</v>
      </c>
      <c r="K77" s="146">
        <v>-46</v>
      </c>
      <c r="L77" s="134">
        <f t="shared" si="37"/>
        <v>-313659.74000000005</v>
      </c>
      <c r="M77" s="135">
        <f t="shared" si="38"/>
        <v>0</v>
      </c>
      <c r="N77" s="136">
        <f t="shared" si="39"/>
        <v>-87824.727200000023</v>
      </c>
      <c r="O77" s="137">
        <f t="shared" si="23"/>
        <v>-401484.46720000007</v>
      </c>
      <c r="P77" s="138">
        <v>12</v>
      </c>
      <c r="Q77" s="134">
        <f t="shared" si="40"/>
        <v>-348510.82222222222</v>
      </c>
      <c r="R77" s="135">
        <f t="shared" si="41"/>
        <v>0</v>
      </c>
      <c r="S77" s="136">
        <f t="shared" si="24"/>
        <v>-348510.82222222222</v>
      </c>
      <c r="T77" s="135">
        <f t="shared" si="42"/>
        <v>-95143.454466666692</v>
      </c>
      <c r="U77" s="137">
        <f t="shared" si="25"/>
        <v>-443654.2766888889</v>
      </c>
      <c r="V77" s="135">
        <f t="shared" si="43"/>
        <v>-4182129.8666666676</v>
      </c>
      <c r="W77" s="136">
        <f t="shared" si="44"/>
        <v>0</v>
      </c>
      <c r="X77" s="137">
        <f t="shared" si="26"/>
        <v>-4182129.8666666676</v>
      </c>
      <c r="Y77" s="134">
        <f t="shared" si="45"/>
        <v>-1141721.4536000004</v>
      </c>
      <c r="Z77" s="137">
        <f t="shared" si="27"/>
        <v>-5323851.3202666678</v>
      </c>
      <c r="AA77" s="139">
        <v>8574.25</v>
      </c>
      <c r="AB77" s="140">
        <f t="shared" si="46"/>
        <v>-1414.6800000000003</v>
      </c>
      <c r="AC77" s="141">
        <f t="shared" si="60"/>
        <v>7159.57</v>
      </c>
      <c r="AD77" s="134">
        <f t="shared" si="47"/>
        <v>-329340.21999999997</v>
      </c>
      <c r="AE77" s="135">
        <f t="shared" si="48"/>
        <v>0</v>
      </c>
      <c r="AF77" s="136">
        <f t="shared" si="49"/>
        <v>-92215.261600000013</v>
      </c>
      <c r="AG77" s="137">
        <f t="shared" si="28"/>
        <v>-421555.4816</v>
      </c>
      <c r="AH77" s="135">
        <f t="shared" si="50"/>
        <v>-4343063.6925999997</v>
      </c>
      <c r="AI77" s="135">
        <f t="shared" si="51"/>
        <v>0</v>
      </c>
      <c r="AJ77" s="137">
        <f t="shared" si="29"/>
        <v>-4343063.6925999997</v>
      </c>
      <c r="AK77" s="134">
        <f t="shared" si="52"/>
        <v>-1185626.7976000002</v>
      </c>
      <c r="AL77" s="137">
        <f t="shared" si="30"/>
        <v>-5528690.4901999999</v>
      </c>
      <c r="AM77" s="143">
        <f t="shared" si="31"/>
        <v>-57893039.022358</v>
      </c>
      <c r="AN77" s="143">
        <f t="shared" si="31"/>
        <v>0</v>
      </c>
      <c r="AO77" s="143">
        <f t="shared" si="32"/>
        <v>-57893039.022358</v>
      </c>
      <c r="AP77" s="143">
        <f t="shared" si="33"/>
        <v>-15804405.212008003</v>
      </c>
      <c r="AQ77" s="144">
        <f t="shared" si="34"/>
        <v>-73697444.234366</v>
      </c>
    </row>
    <row r="78" spans="1:43" ht="24.95" customHeight="1" x14ac:dyDescent="0.25">
      <c r="A78" s="128" t="s">
        <v>611</v>
      </c>
      <c r="B78" s="128" t="s">
        <v>640</v>
      </c>
      <c r="C78" s="128"/>
      <c r="D78" s="128"/>
      <c r="E78" s="128" t="s">
        <v>601</v>
      </c>
      <c r="F78" s="128" t="s">
        <v>618</v>
      </c>
      <c r="G78" s="139">
        <f t="shared" si="35"/>
        <v>8157.41</v>
      </c>
      <c r="H78" s="140">
        <f t="shared" si="36"/>
        <v>-1338.7199999999993</v>
      </c>
      <c r="I78" s="141">
        <f t="shared" si="59"/>
        <v>6818.6900000000005</v>
      </c>
      <c r="J78" s="146">
        <v>-32</v>
      </c>
      <c r="K78" s="146">
        <v>-32</v>
      </c>
      <c r="L78" s="134">
        <f t="shared" si="37"/>
        <v>-218198.08000000002</v>
      </c>
      <c r="M78" s="135">
        <f t="shared" si="38"/>
        <v>0</v>
      </c>
      <c r="N78" s="136">
        <f t="shared" si="39"/>
        <v>-61095.462400000011</v>
      </c>
      <c r="O78" s="137">
        <f t="shared" si="23"/>
        <v>-279293.54240000003</v>
      </c>
      <c r="P78" s="138">
        <v>12</v>
      </c>
      <c r="Q78" s="134">
        <f t="shared" si="40"/>
        <v>-242442.31111111114</v>
      </c>
      <c r="R78" s="135">
        <f t="shared" si="41"/>
        <v>0</v>
      </c>
      <c r="S78" s="136">
        <f t="shared" si="24"/>
        <v>-242442.31111111114</v>
      </c>
      <c r="T78" s="135">
        <f t="shared" si="42"/>
        <v>-66186.750933333344</v>
      </c>
      <c r="U78" s="137">
        <f t="shared" si="25"/>
        <v>-308629.06204444449</v>
      </c>
      <c r="V78" s="135">
        <f t="shared" si="43"/>
        <v>-2909307.7333333339</v>
      </c>
      <c r="W78" s="136">
        <f t="shared" si="44"/>
        <v>0</v>
      </c>
      <c r="X78" s="137">
        <f t="shared" si="26"/>
        <v>-2909307.7333333339</v>
      </c>
      <c r="Y78" s="134">
        <f t="shared" si="45"/>
        <v>-794241.01120000018</v>
      </c>
      <c r="Z78" s="137">
        <f t="shared" si="27"/>
        <v>-3703548.7445333339</v>
      </c>
      <c r="AA78" s="139">
        <v>8574.25</v>
      </c>
      <c r="AB78" s="140">
        <f t="shared" si="46"/>
        <v>-1414.6800000000003</v>
      </c>
      <c r="AC78" s="141">
        <f t="shared" si="60"/>
        <v>7159.57</v>
      </c>
      <c r="AD78" s="134">
        <f t="shared" si="47"/>
        <v>-229106.24</v>
      </c>
      <c r="AE78" s="135">
        <f t="shared" si="48"/>
        <v>0</v>
      </c>
      <c r="AF78" s="136">
        <f t="shared" si="49"/>
        <v>-64149.747200000005</v>
      </c>
      <c r="AG78" s="137">
        <f t="shared" si="28"/>
        <v>-293255.98719999997</v>
      </c>
      <c r="AH78" s="135">
        <f t="shared" si="50"/>
        <v>-3021261.6991999997</v>
      </c>
      <c r="AI78" s="135">
        <f t="shared" si="51"/>
        <v>0</v>
      </c>
      <c r="AJ78" s="137">
        <f t="shared" si="29"/>
        <v>-3021261.6991999997</v>
      </c>
      <c r="AK78" s="134">
        <f t="shared" si="52"/>
        <v>-824783.85920000006</v>
      </c>
      <c r="AL78" s="137">
        <f t="shared" si="30"/>
        <v>-3846045.5583999995</v>
      </c>
      <c r="AM78" s="143">
        <f t="shared" si="31"/>
        <v>-40273418.450335994</v>
      </c>
      <c r="AN78" s="143">
        <f t="shared" si="31"/>
        <v>0</v>
      </c>
      <c r="AO78" s="143">
        <f t="shared" si="32"/>
        <v>-40273418.450335994</v>
      </c>
      <c r="AP78" s="143">
        <f t="shared" si="33"/>
        <v>-10994368.843136001</v>
      </c>
      <c r="AQ78" s="144">
        <f t="shared" si="34"/>
        <v>-51267787.293471992</v>
      </c>
    </row>
    <row r="79" spans="1:43" ht="24.95" customHeight="1" x14ac:dyDescent="0.25">
      <c r="A79" s="128" t="s">
        <v>611</v>
      </c>
      <c r="B79" s="128" t="s">
        <v>644</v>
      </c>
      <c r="C79" s="128"/>
      <c r="D79" s="128"/>
      <c r="E79" s="128" t="s">
        <v>601</v>
      </c>
      <c r="F79" s="128" t="s">
        <v>622</v>
      </c>
      <c r="G79" s="139">
        <f t="shared" si="35"/>
        <v>8157.41</v>
      </c>
      <c r="H79" s="140">
        <f t="shared" si="36"/>
        <v>-322.59999999999945</v>
      </c>
      <c r="I79" s="141">
        <f>2637.69+4181+1016.12</f>
        <v>7834.81</v>
      </c>
      <c r="J79" s="142">
        <v>-4</v>
      </c>
      <c r="K79" s="142">
        <v>-4</v>
      </c>
      <c r="L79" s="134">
        <f t="shared" si="37"/>
        <v>-31339.24</v>
      </c>
      <c r="M79" s="135">
        <f t="shared" si="38"/>
        <v>0</v>
      </c>
      <c r="N79" s="136">
        <f t="shared" si="39"/>
        <v>-8774.9872000000014</v>
      </c>
      <c r="O79" s="137">
        <f t="shared" si="23"/>
        <v>-40114.227200000001</v>
      </c>
      <c r="P79" s="138">
        <v>12</v>
      </c>
      <c r="Q79" s="134">
        <f t="shared" si="40"/>
        <v>-34821.37777777778</v>
      </c>
      <c r="R79" s="135">
        <f t="shared" si="41"/>
        <v>0</v>
      </c>
      <c r="S79" s="136">
        <f t="shared" si="24"/>
        <v>-34821.37777777778</v>
      </c>
      <c r="T79" s="135">
        <f t="shared" si="42"/>
        <v>-9506.2361333333356</v>
      </c>
      <c r="U79" s="137">
        <f t="shared" si="25"/>
        <v>-44327.613911111112</v>
      </c>
      <c r="V79" s="135">
        <f t="shared" si="43"/>
        <v>-417856.53333333338</v>
      </c>
      <c r="W79" s="136">
        <f t="shared" si="44"/>
        <v>0</v>
      </c>
      <c r="X79" s="137">
        <f t="shared" si="26"/>
        <v>-417856.53333333338</v>
      </c>
      <c r="Y79" s="134">
        <f t="shared" si="45"/>
        <v>-114074.83360000001</v>
      </c>
      <c r="Z79" s="137">
        <f t="shared" si="27"/>
        <v>-531931.36693333345</v>
      </c>
      <c r="AA79" s="139">
        <v>8574.25</v>
      </c>
      <c r="AB79" s="140">
        <f t="shared" si="46"/>
        <v>-347.75</v>
      </c>
      <c r="AC79" s="141">
        <f>2769.57+4390+1066.93</f>
        <v>8226.5</v>
      </c>
      <c r="AD79" s="134">
        <f t="shared" si="47"/>
        <v>-32906</v>
      </c>
      <c r="AE79" s="135">
        <f t="shared" si="48"/>
        <v>0</v>
      </c>
      <c r="AF79" s="136">
        <f t="shared" si="49"/>
        <v>-9213.68</v>
      </c>
      <c r="AG79" s="137">
        <f t="shared" si="28"/>
        <v>-42119.68</v>
      </c>
      <c r="AH79" s="135">
        <f t="shared" si="50"/>
        <v>-433936.69999999995</v>
      </c>
      <c r="AI79" s="135">
        <f t="shared" si="51"/>
        <v>0</v>
      </c>
      <c r="AJ79" s="137">
        <f t="shared" si="29"/>
        <v>-433936.69999999995</v>
      </c>
      <c r="AK79" s="134">
        <f t="shared" si="52"/>
        <v>-118461.7616</v>
      </c>
      <c r="AL79" s="137">
        <f t="shared" si="30"/>
        <v>-552398.46159999992</v>
      </c>
      <c r="AM79" s="143">
        <f t="shared" si="31"/>
        <v>-5784376.2109999992</v>
      </c>
      <c r="AN79" s="143">
        <f t="shared" si="31"/>
        <v>0</v>
      </c>
      <c r="AO79" s="143">
        <f t="shared" si="32"/>
        <v>-5784376.2109999992</v>
      </c>
      <c r="AP79" s="143">
        <f t="shared" si="33"/>
        <v>-1579095.2821279999</v>
      </c>
      <c r="AQ79" s="144">
        <f t="shared" si="34"/>
        <v>-7363471.4931279989</v>
      </c>
    </row>
    <row r="80" spans="1:43" ht="24.95" customHeight="1" x14ac:dyDescent="0.25">
      <c r="A80" s="128" t="s">
        <v>611</v>
      </c>
      <c r="B80" s="128" t="s">
        <v>644</v>
      </c>
      <c r="C80" s="128"/>
      <c r="D80" s="128"/>
      <c r="E80" s="128" t="s">
        <v>601</v>
      </c>
      <c r="F80" s="128" t="s">
        <v>625</v>
      </c>
      <c r="G80" s="139">
        <f t="shared" si="35"/>
        <v>8157.41</v>
      </c>
      <c r="H80" s="140">
        <f t="shared" si="36"/>
        <v>-322.59999999999945</v>
      </c>
      <c r="I80" s="141">
        <f>2637.69+4181+1016.12</f>
        <v>7834.81</v>
      </c>
      <c r="J80" s="142">
        <v>-1</v>
      </c>
      <c r="K80" s="142">
        <v>-1</v>
      </c>
      <c r="L80" s="134">
        <f t="shared" si="37"/>
        <v>-7834.81</v>
      </c>
      <c r="M80" s="135">
        <f t="shared" si="38"/>
        <v>0</v>
      </c>
      <c r="N80" s="136">
        <f t="shared" si="39"/>
        <v>-2193.7468000000003</v>
      </c>
      <c r="O80" s="137">
        <f t="shared" si="23"/>
        <v>-10028.5568</v>
      </c>
      <c r="P80" s="138">
        <v>12</v>
      </c>
      <c r="Q80" s="134">
        <f t="shared" si="40"/>
        <v>-8705.3444444444449</v>
      </c>
      <c r="R80" s="135">
        <f t="shared" si="41"/>
        <v>0</v>
      </c>
      <c r="S80" s="136">
        <f t="shared" si="24"/>
        <v>-8705.3444444444449</v>
      </c>
      <c r="T80" s="135">
        <f t="shared" si="42"/>
        <v>-2376.5590333333339</v>
      </c>
      <c r="U80" s="137">
        <f t="shared" si="25"/>
        <v>-11081.903477777778</v>
      </c>
      <c r="V80" s="135">
        <f t="shared" si="43"/>
        <v>-104464.13333333335</v>
      </c>
      <c r="W80" s="136">
        <f t="shared" si="44"/>
        <v>0</v>
      </c>
      <c r="X80" s="137">
        <f t="shared" si="26"/>
        <v>-104464.13333333335</v>
      </c>
      <c r="Y80" s="134">
        <f t="shared" si="45"/>
        <v>-28518.708400000003</v>
      </c>
      <c r="Z80" s="137">
        <f t="shared" si="27"/>
        <v>-132982.84173333336</v>
      </c>
      <c r="AA80" s="139">
        <v>8574.25</v>
      </c>
      <c r="AB80" s="140">
        <f t="shared" si="46"/>
        <v>-347.75</v>
      </c>
      <c r="AC80" s="141">
        <f>2769.57+4390+1066.93</f>
        <v>8226.5</v>
      </c>
      <c r="AD80" s="134">
        <f t="shared" si="47"/>
        <v>-8226.5</v>
      </c>
      <c r="AE80" s="135">
        <f t="shared" si="48"/>
        <v>0</v>
      </c>
      <c r="AF80" s="136">
        <f t="shared" si="49"/>
        <v>-2303.42</v>
      </c>
      <c r="AG80" s="137">
        <f t="shared" si="28"/>
        <v>-10529.92</v>
      </c>
      <c r="AH80" s="135">
        <f t="shared" si="50"/>
        <v>-108484.17499999999</v>
      </c>
      <c r="AI80" s="135">
        <f t="shared" si="51"/>
        <v>0</v>
      </c>
      <c r="AJ80" s="137">
        <f t="shared" si="29"/>
        <v>-108484.17499999999</v>
      </c>
      <c r="AK80" s="134">
        <f t="shared" si="52"/>
        <v>-29615.440399999999</v>
      </c>
      <c r="AL80" s="137">
        <f t="shared" si="30"/>
        <v>-138099.61539999998</v>
      </c>
      <c r="AM80" s="143">
        <f t="shared" si="31"/>
        <v>-1446094.0527499998</v>
      </c>
      <c r="AN80" s="143">
        <f t="shared" si="31"/>
        <v>0</v>
      </c>
      <c r="AO80" s="143">
        <f t="shared" si="32"/>
        <v>-1446094.0527499998</v>
      </c>
      <c r="AP80" s="143">
        <f t="shared" si="33"/>
        <v>-394773.82053199998</v>
      </c>
      <c r="AQ80" s="144">
        <f t="shared" si="34"/>
        <v>-1840867.8732819997</v>
      </c>
    </row>
    <row r="81" spans="1:43" ht="24.95" customHeight="1" x14ac:dyDescent="0.25">
      <c r="A81" s="128" t="s">
        <v>611</v>
      </c>
      <c r="B81" s="128" t="s">
        <v>644</v>
      </c>
      <c r="C81" s="128"/>
      <c r="D81" s="128"/>
      <c r="E81" s="128" t="s">
        <v>601</v>
      </c>
      <c r="F81" s="128" t="s">
        <v>613</v>
      </c>
      <c r="G81" s="139">
        <f t="shared" si="35"/>
        <v>8157.41</v>
      </c>
      <c r="H81" s="140">
        <f t="shared" si="36"/>
        <v>-1338.7199999999993</v>
      </c>
      <c r="I81" s="141">
        <f t="shared" ref="I81:I86" si="61">2637.69+4181</f>
        <v>6818.6900000000005</v>
      </c>
      <c r="J81" s="142">
        <v>-400</v>
      </c>
      <c r="K81" s="142">
        <v>-400</v>
      </c>
      <c r="L81" s="134">
        <f t="shared" si="37"/>
        <v>-2727476</v>
      </c>
      <c r="M81" s="135">
        <f t="shared" si="38"/>
        <v>0</v>
      </c>
      <c r="N81" s="136">
        <f t="shared" si="39"/>
        <v>-763693.28000000014</v>
      </c>
      <c r="O81" s="137">
        <f t="shared" si="23"/>
        <v>-3491169.2800000003</v>
      </c>
      <c r="P81" s="138">
        <v>12</v>
      </c>
      <c r="Q81" s="134">
        <f t="shared" si="40"/>
        <v>-3030528.8888888885</v>
      </c>
      <c r="R81" s="135">
        <f t="shared" si="41"/>
        <v>0</v>
      </c>
      <c r="S81" s="136">
        <f t="shared" si="24"/>
        <v>-3030528.8888888885</v>
      </c>
      <c r="T81" s="135">
        <f t="shared" si="42"/>
        <v>-827334.38666666683</v>
      </c>
      <c r="U81" s="137">
        <f t="shared" si="25"/>
        <v>-3857863.2755555552</v>
      </c>
      <c r="V81" s="135">
        <f t="shared" si="43"/>
        <v>-36366346.666666672</v>
      </c>
      <c r="W81" s="136">
        <f t="shared" si="44"/>
        <v>0</v>
      </c>
      <c r="X81" s="137">
        <f t="shared" si="26"/>
        <v>-36366346.666666672</v>
      </c>
      <c r="Y81" s="134">
        <f t="shared" si="45"/>
        <v>-9928012.6400000025</v>
      </c>
      <c r="Z81" s="137">
        <f t="shared" si="27"/>
        <v>-46294359.306666672</v>
      </c>
      <c r="AA81" s="139">
        <v>8574.25</v>
      </c>
      <c r="AB81" s="140">
        <f t="shared" si="46"/>
        <v>-1414.6800000000003</v>
      </c>
      <c r="AC81" s="141">
        <f t="shared" ref="AC81:AC86" si="62">2769.57+4390</f>
        <v>7159.57</v>
      </c>
      <c r="AD81" s="134">
        <f t="shared" si="47"/>
        <v>-2863828</v>
      </c>
      <c r="AE81" s="135">
        <f t="shared" si="48"/>
        <v>0</v>
      </c>
      <c r="AF81" s="136">
        <f t="shared" si="49"/>
        <v>-801871.84000000008</v>
      </c>
      <c r="AG81" s="137">
        <f t="shared" si="28"/>
        <v>-3665699.84</v>
      </c>
      <c r="AH81" s="135">
        <f t="shared" si="50"/>
        <v>-37765771.239999995</v>
      </c>
      <c r="AI81" s="135">
        <f t="shared" si="51"/>
        <v>0</v>
      </c>
      <c r="AJ81" s="137">
        <f t="shared" si="29"/>
        <v>-37765771.239999995</v>
      </c>
      <c r="AK81" s="134">
        <f t="shared" si="52"/>
        <v>-10309798.24</v>
      </c>
      <c r="AL81" s="137">
        <f t="shared" si="30"/>
        <v>-48075569.479999997</v>
      </c>
      <c r="AM81" s="143">
        <f t="shared" si="31"/>
        <v>-503417730.62919992</v>
      </c>
      <c r="AN81" s="143">
        <f t="shared" si="31"/>
        <v>0</v>
      </c>
      <c r="AO81" s="143">
        <f t="shared" si="32"/>
        <v>-503417730.62919992</v>
      </c>
      <c r="AP81" s="143">
        <f t="shared" si="33"/>
        <v>-137429610.53920001</v>
      </c>
      <c r="AQ81" s="144">
        <f t="shared" si="34"/>
        <v>-640847341.16839993</v>
      </c>
    </row>
    <row r="82" spans="1:43" ht="24.95" customHeight="1" x14ac:dyDescent="0.25">
      <c r="A82" s="128" t="s">
        <v>611</v>
      </c>
      <c r="B82" s="128" t="s">
        <v>644</v>
      </c>
      <c r="C82" s="128"/>
      <c r="D82" s="128"/>
      <c r="E82" s="128" t="s">
        <v>601</v>
      </c>
      <c r="F82" s="128" t="s">
        <v>614</v>
      </c>
      <c r="G82" s="139">
        <f t="shared" si="35"/>
        <v>8157.41</v>
      </c>
      <c r="H82" s="140">
        <f t="shared" si="36"/>
        <v>-1338.7199999999993</v>
      </c>
      <c r="I82" s="141">
        <f t="shared" si="61"/>
        <v>6818.6900000000005</v>
      </c>
      <c r="J82" s="142">
        <v>-85</v>
      </c>
      <c r="K82" s="142">
        <v>-85</v>
      </c>
      <c r="L82" s="134">
        <f t="shared" si="37"/>
        <v>-579588.65</v>
      </c>
      <c r="M82" s="135">
        <f t="shared" si="38"/>
        <v>0</v>
      </c>
      <c r="N82" s="136">
        <f t="shared" si="39"/>
        <v>-162284.82200000004</v>
      </c>
      <c r="O82" s="137">
        <f t="shared" si="23"/>
        <v>-741873.47200000007</v>
      </c>
      <c r="P82" s="138">
        <v>12</v>
      </c>
      <c r="Q82" s="134">
        <f t="shared" si="40"/>
        <v>-643987.38888888899</v>
      </c>
      <c r="R82" s="135">
        <f t="shared" si="41"/>
        <v>0</v>
      </c>
      <c r="S82" s="136">
        <f t="shared" si="24"/>
        <v>-643987.38888888899</v>
      </c>
      <c r="T82" s="135">
        <f t="shared" si="42"/>
        <v>-175808.55716666672</v>
      </c>
      <c r="U82" s="137">
        <f t="shared" si="25"/>
        <v>-819795.94605555572</v>
      </c>
      <c r="V82" s="135">
        <f t="shared" si="43"/>
        <v>-7727848.666666667</v>
      </c>
      <c r="W82" s="136">
        <f t="shared" si="44"/>
        <v>0</v>
      </c>
      <c r="X82" s="137">
        <f t="shared" si="26"/>
        <v>-7727848.666666667</v>
      </c>
      <c r="Y82" s="134">
        <f t="shared" si="45"/>
        <v>-2109702.6860000007</v>
      </c>
      <c r="Z82" s="137">
        <f t="shared" si="27"/>
        <v>-9837551.3526666686</v>
      </c>
      <c r="AA82" s="139">
        <v>8574.25</v>
      </c>
      <c r="AB82" s="140">
        <f t="shared" si="46"/>
        <v>-1414.6800000000003</v>
      </c>
      <c r="AC82" s="141">
        <f t="shared" si="62"/>
        <v>7159.57</v>
      </c>
      <c r="AD82" s="134">
        <f t="shared" si="47"/>
        <v>-608563.44999999995</v>
      </c>
      <c r="AE82" s="135">
        <f t="shared" si="48"/>
        <v>0</v>
      </c>
      <c r="AF82" s="136">
        <f t="shared" si="49"/>
        <v>-170397.766</v>
      </c>
      <c r="AG82" s="137">
        <f t="shared" si="28"/>
        <v>-778961.21600000001</v>
      </c>
      <c r="AH82" s="135">
        <f t="shared" si="50"/>
        <v>-8025226.3884999994</v>
      </c>
      <c r="AI82" s="135">
        <f t="shared" si="51"/>
        <v>0</v>
      </c>
      <c r="AJ82" s="137">
        <f t="shared" si="29"/>
        <v>-8025226.3884999994</v>
      </c>
      <c r="AK82" s="134">
        <f t="shared" si="52"/>
        <v>-2190832.1260000002</v>
      </c>
      <c r="AL82" s="137">
        <f t="shared" si="30"/>
        <v>-10216058.5145</v>
      </c>
      <c r="AM82" s="143">
        <f t="shared" si="31"/>
        <v>-106976267.75870499</v>
      </c>
      <c r="AN82" s="143">
        <f t="shared" si="31"/>
        <v>0</v>
      </c>
      <c r="AO82" s="143">
        <f t="shared" si="32"/>
        <v>-106976267.75870499</v>
      </c>
      <c r="AP82" s="143">
        <f t="shared" si="33"/>
        <v>-29203792.239580002</v>
      </c>
      <c r="AQ82" s="144">
        <f t="shared" si="34"/>
        <v>-136180059.998285</v>
      </c>
    </row>
    <row r="83" spans="1:43" ht="24.95" customHeight="1" x14ac:dyDescent="0.25">
      <c r="A83" s="128" t="s">
        <v>611</v>
      </c>
      <c r="B83" s="128" t="s">
        <v>644</v>
      </c>
      <c r="C83" s="128"/>
      <c r="D83" s="128"/>
      <c r="E83" s="128" t="s">
        <v>601</v>
      </c>
      <c r="F83" s="128" t="s">
        <v>615</v>
      </c>
      <c r="G83" s="139">
        <f t="shared" si="35"/>
        <v>8157.41</v>
      </c>
      <c r="H83" s="140">
        <f t="shared" si="36"/>
        <v>-1338.7199999999993</v>
      </c>
      <c r="I83" s="141">
        <f t="shared" si="61"/>
        <v>6818.6900000000005</v>
      </c>
      <c r="J83" s="142">
        <v>-41</v>
      </c>
      <c r="K83" s="142">
        <v>-41</v>
      </c>
      <c r="L83" s="134">
        <f t="shared" si="37"/>
        <v>-279566.29000000004</v>
      </c>
      <c r="M83" s="135">
        <f t="shared" si="38"/>
        <v>0</v>
      </c>
      <c r="N83" s="136">
        <f t="shared" si="39"/>
        <v>-78278.561200000011</v>
      </c>
      <c r="O83" s="137">
        <f t="shared" si="23"/>
        <v>-357844.85120000003</v>
      </c>
      <c r="P83" s="138">
        <v>12</v>
      </c>
      <c r="Q83" s="134">
        <f t="shared" si="40"/>
        <v>-310629.21111111116</v>
      </c>
      <c r="R83" s="135">
        <f t="shared" si="41"/>
        <v>0</v>
      </c>
      <c r="S83" s="136">
        <f t="shared" si="24"/>
        <v>-310629.21111111116</v>
      </c>
      <c r="T83" s="135">
        <f t="shared" si="42"/>
        <v>-84801.774633333349</v>
      </c>
      <c r="U83" s="137">
        <f t="shared" si="25"/>
        <v>-395430.98574444454</v>
      </c>
      <c r="V83" s="135">
        <f t="shared" si="43"/>
        <v>-3727550.5333333341</v>
      </c>
      <c r="W83" s="136">
        <f t="shared" si="44"/>
        <v>0</v>
      </c>
      <c r="X83" s="137">
        <f t="shared" si="26"/>
        <v>-3727550.5333333341</v>
      </c>
      <c r="Y83" s="134">
        <f t="shared" si="45"/>
        <v>-1017621.2956000002</v>
      </c>
      <c r="Z83" s="137">
        <f t="shared" si="27"/>
        <v>-4745171.828933334</v>
      </c>
      <c r="AA83" s="139">
        <v>8574.25</v>
      </c>
      <c r="AB83" s="140">
        <f t="shared" si="46"/>
        <v>-1414.6800000000003</v>
      </c>
      <c r="AC83" s="141">
        <f t="shared" si="62"/>
        <v>7159.57</v>
      </c>
      <c r="AD83" s="134">
        <f t="shared" si="47"/>
        <v>-293542.37</v>
      </c>
      <c r="AE83" s="135">
        <f t="shared" si="48"/>
        <v>0</v>
      </c>
      <c r="AF83" s="136">
        <f t="shared" si="49"/>
        <v>-82191.863600000012</v>
      </c>
      <c r="AG83" s="137">
        <f t="shared" si="28"/>
        <v>-375734.23360000004</v>
      </c>
      <c r="AH83" s="135">
        <f t="shared" si="50"/>
        <v>-3870991.5521</v>
      </c>
      <c r="AI83" s="135">
        <f t="shared" si="51"/>
        <v>0</v>
      </c>
      <c r="AJ83" s="137">
        <f t="shared" si="29"/>
        <v>-3870991.5521</v>
      </c>
      <c r="AK83" s="134">
        <f t="shared" si="52"/>
        <v>-1056754.3196000003</v>
      </c>
      <c r="AL83" s="137">
        <f t="shared" si="30"/>
        <v>-4927745.8717</v>
      </c>
      <c r="AM83" s="143">
        <f t="shared" si="31"/>
        <v>-51600317.389493003</v>
      </c>
      <c r="AN83" s="143">
        <f t="shared" si="31"/>
        <v>0</v>
      </c>
      <c r="AO83" s="143">
        <f t="shared" si="32"/>
        <v>-51600317.389493003</v>
      </c>
      <c r="AP83" s="143">
        <f t="shared" si="33"/>
        <v>-14086535.080268003</v>
      </c>
      <c r="AQ83" s="144">
        <f t="shared" si="34"/>
        <v>-65686852.469761007</v>
      </c>
    </row>
    <row r="84" spans="1:43" ht="24.95" customHeight="1" x14ac:dyDescent="0.25">
      <c r="A84" s="128" t="s">
        <v>611</v>
      </c>
      <c r="B84" s="128" t="s">
        <v>644</v>
      </c>
      <c r="C84" s="128"/>
      <c r="D84" s="128"/>
      <c r="E84" s="128" t="s">
        <v>601</v>
      </c>
      <c r="F84" s="128" t="s">
        <v>616</v>
      </c>
      <c r="G84" s="139">
        <f t="shared" si="35"/>
        <v>8157.41</v>
      </c>
      <c r="H84" s="140">
        <f t="shared" si="36"/>
        <v>-1338.7199999999993</v>
      </c>
      <c r="I84" s="141">
        <f t="shared" si="61"/>
        <v>6818.6900000000005</v>
      </c>
      <c r="J84" s="142">
        <v>-198</v>
      </c>
      <c r="K84" s="142">
        <v>-198</v>
      </c>
      <c r="L84" s="134">
        <f t="shared" si="37"/>
        <v>-1350100.62</v>
      </c>
      <c r="M84" s="135">
        <f t="shared" si="38"/>
        <v>0</v>
      </c>
      <c r="N84" s="136">
        <f t="shared" si="39"/>
        <v>-378028.1736000001</v>
      </c>
      <c r="O84" s="137">
        <f t="shared" si="23"/>
        <v>-1728128.7936000002</v>
      </c>
      <c r="P84" s="138">
        <v>12</v>
      </c>
      <c r="Q84" s="134">
        <f t="shared" si="40"/>
        <v>-1500111.8</v>
      </c>
      <c r="R84" s="135">
        <f t="shared" si="41"/>
        <v>0</v>
      </c>
      <c r="S84" s="136">
        <f t="shared" si="24"/>
        <v>-1500111.8</v>
      </c>
      <c r="T84" s="135">
        <f t="shared" si="42"/>
        <v>-409530.52140000009</v>
      </c>
      <c r="U84" s="137">
        <f t="shared" si="25"/>
        <v>-1909642.3214000002</v>
      </c>
      <c r="V84" s="135">
        <f t="shared" si="43"/>
        <v>-18001341.600000001</v>
      </c>
      <c r="W84" s="136">
        <f t="shared" si="44"/>
        <v>0</v>
      </c>
      <c r="X84" s="137">
        <f t="shared" si="26"/>
        <v>-18001341.600000001</v>
      </c>
      <c r="Y84" s="134">
        <f t="shared" si="45"/>
        <v>-4914366.2568000015</v>
      </c>
      <c r="Z84" s="137">
        <f t="shared" si="27"/>
        <v>-22915707.856800005</v>
      </c>
      <c r="AA84" s="139">
        <v>8574.25</v>
      </c>
      <c r="AB84" s="140">
        <f t="shared" si="46"/>
        <v>-1414.6800000000003</v>
      </c>
      <c r="AC84" s="141">
        <f t="shared" si="62"/>
        <v>7159.57</v>
      </c>
      <c r="AD84" s="134">
        <f t="shared" si="47"/>
        <v>-1417594.8599999999</v>
      </c>
      <c r="AE84" s="135">
        <f t="shared" si="48"/>
        <v>0</v>
      </c>
      <c r="AF84" s="136">
        <f t="shared" si="49"/>
        <v>-396926.56080000004</v>
      </c>
      <c r="AG84" s="137">
        <f t="shared" si="28"/>
        <v>-1814521.4208</v>
      </c>
      <c r="AH84" s="135">
        <f t="shared" si="50"/>
        <v>-18694056.763799999</v>
      </c>
      <c r="AI84" s="135">
        <f t="shared" si="51"/>
        <v>0</v>
      </c>
      <c r="AJ84" s="137">
        <f t="shared" si="29"/>
        <v>-18694056.763799999</v>
      </c>
      <c r="AK84" s="134">
        <f t="shared" si="52"/>
        <v>-5103350.128800001</v>
      </c>
      <c r="AL84" s="137">
        <f t="shared" si="30"/>
        <v>-23797406.8926</v>
      </c>
      <c r="AM84" s="143">
        <f t="shared" si="31"/>
        <v>-249191776.66145399</v>
      </c>
      <c r="AN84" s="143">
        <f t="shared" si="31"/>
        <v>0</v>
      </c>
      <c r="AO84" s="143">
        <f t="shared" si="32"/>
        <v>-249191776.66145399</v>
      </c>
      <c r="AP84" s="143">
        <f t="shared" si="33"/>
        <v>-68027657.216904014</v>
      </c>
      <c r="AQ84" s="144">
        <f t="shared" si="34"/>
        <v>-317219433.87835801</v>
      </c>
    </row>
    <row r="85" spans="1:43" ht="24.95" customHeight="1" x14ac:dyDescent="0.25">
      <c r="A85" s="128" t="s">
        <v>611</v>
      </c>
      <c r="B85" s="128" t="s">
        <v>644</v>
      </c>
      <c r="C85" s="128"/>
      <c r="D85" s="128"/>
      <c r="E85" s="128" t="s">
        <v>601</v>
      </c>
      <c r="F85" s="128" t="s">
        <v>617</v>
      </c>
      <c r="G85" s="139">
        <f t="shared" si="35"/>
        <v>8157.41</v>
      </c>
      <c r="H85" s="140">
        <f t="shared" si="36"/>
        <v>-1338.7199999999993</v>
      </c>
      <c r="I85" s="141">
        <f t="shared" si="61"/>
        <v>6818.6900000000005</v>
      </c>
      <c r="J85" s="142">
        <v>-222</v>
      </c>
      <c r="K85" s="142">
        <v>-222</v>
      </c>
      <c r="L85" s="134">
        <f t="shared" si="37"/>
        <v>-1513749.1800000002</v>
      </c>
      <c r="M85" s="135">
        <f t="shared" si="38"/>
        <v>0</v>
      </c>
      <c r="N85" s="136">
        <f t="shared" si="39"/>
        <v>-423849.7704000001</v>
      </c>
      <c r="O85" s="137">
        <f t="shared" si="23"/>
        <v>-1937598.9504000002</v>
      </c>
      <c r="P85" s="138">
        <v>12</v>
      </c>
      <c r="Q85" s="134">
        <f t="shared" si="40"/>
        <v>-1681943.5333333337</v>
      </c>
      <c r="R85" s="135">
        <f t="shared" si="41"/>
        <v>0</v>
      </c>
      <c r="S85" s="136">
        <f t="shared" si="24"/>
        <v>-1681943.5333333337</v>
      </c>
      <c r="T85" s="135">
        <f t="shared" si="42"/>
        <v>-459170.58460000012</v>
      </c>
      <c r="U85" s="137">
        <f t="shared" si="25"/>
        <v>-2141114.1179333339</v>
      </c>
      <c r="V85" s="135">
        <f t="shared" si="43"/>
        <v>-20183322.400000002</v>
      </c>
      <c r="W85" s="136">
        <f t="shared" si="44"/>
        <v>0</v>
      </c>
      <c r="X85" s="137">
        <f t="shared" si="26"/>
        <v>-20183322.400000002</v>
      </c>
      <c r="Y85" s="134">
        <f t="shared" si="45"/>
        <v>-5510047.0152000012</v>
      </c>
      <c r="Z85" s="137">
        <f t="shared" si="27"/>
        <v>-25693369.415200002</v>
      </c>
      <c r="AA85" s="139">
        <v>8574.25</v>
      </c>
      <c r="AB85" s="140">
        <f t="shared" si="46"/>
        <v>-1414.6800000000003</v>
      </c>
      <c r="AC85" s="141">
        <f t="shared" si="62"/>
        <v>7159.57</v>
      </c>
      <c r="AD85" s="134">
        <f t="shared" si="47"/>
        <v>-1589424.54</v>
      </c>
      <c r="AE85" s="135">
        <f t="shared" si="48"/>
        <v>0</v>
      </c>
      <c r="AF85" s="136">
        <f t="shared" si="49"/>
        <v>-445038.87120000005</v>
      </c>
      <c r="AG85" s="137">
        <f t="shared" si="28"/>
        <v>-2034463.4112</v>
      </c>
      <c r="AH85" s="135">
        <f t="shared" si="50"/>
        <v>-20960003.038200002</v>
      </c>
      <c r="AI85" s="135">
        <f t="shared" si="51"/>
        <v>0</v>
      </c>
      <c r="AJ85" s="137">
        <f t="shared" si="29"/>
        <v>-20960003.038200002</v>
      </c>
      <c r="AK85" s="134">
        <f t="shared" si="52"/>
        <v>-5721938.0232000006</v>
      </c>
      <c r="AL85" s="137">
        <f t="shared" si="30"/>
        <v>-26681941.061400004</v>
      </c>
      <c r="AM85" s="143">
        <f t="shared" si="31"/>
        <v>-279396840.49920601</v>
      </c>
      <c r="AN85" s="143">
        <f t="shared" si="31"/>
        <v>0</v>
      </c>
      <c r="AO85" s="143">
        <f t="shared" si="32"/>
        <v>-279396840.49920601</v>
      </c>
      <c r="AP85" s="143">
        <f t="shared" si="33"/>
        <v>-76273433.849256009</v>
      </c>
      <c r="AQ85" s="144">
        <f t="shared" si="34"/>
        <v>-355670274.34846199</v>
      </c>
    </row>
    <row r="86" spans="1:43" ht="24.95" customHeight="1" x14ac:dyDescent="0.25">
      <c r="A86" s="128" t="s">
        <v>611</v>
      </c>
      <c r="B86" s="128" t="s">
        <v>644</v>
      </c>
      <c r="C86" s="128"/>
      <c r="D86" s="128"/>
      <c r="E86" s="128" t="s">
        <v>601</v>
      </c>
      <c r="F86" s="128" t="s">
        <v>618</v>
      </c>
      <c r="G86" s="139">
        <f t="shared" si="35"/>
        <v>8157.41</v>
      </c>
      <c r="H86" s="140">
        <f t="shared" si="36"/>
        <v>-1338.7199999999993</v>
      </c>
      <c r="I86" s="141">
        <f t="shared" si="61"/>
        <v>6818.6900000000005</v>
      </c>
      <c r="J86" s="142">
        <v>-63</v>
      </c>
      <c r="K86" s="142">
        <v>-63</v>
      </c>
      <c r="L86" s="134">
        <f t="shared" si="37"/>
        <v>-429577.47000000003</v>
      </c>
      <c r="M86" s="135">
        <f t="shared" si="38"/>
        <v>0</v>
      </c>
      <c r="N86" s="136">
        <f t="shared" si="39"/>
        <v>-120281.69160000002</v>
      </c>
      <c r="O86" s="137">
        <f t="shared" si="23"/>
        <v>-549859.16159999999</v>
      </c>
      <c r="P86" s="138">
        <v>12</v>
      </c>
      <c r="Q86" s="134">
        <f t="shared" si="40"/>
        <v>-477308.30000000005</v>
      </c>
      <c r="R86" s="135">
        <f t="shared" si="41"/>
        <v>0</v>
      </c>
      <c r="S86" s="136">
        <f t="shared" si="24"/>
        <v>-477308.30000000005</v>
      </c>
      <c r="T86" s="135">
        <f t="shared" si="42"/>
        <v>-130305.16590000002</v>
      </c>
      <c r="U86" s="137">
        <f t="shared" si="25"/>
        <v>-607613.46590000007</v>
      </c>
      <c r="V86" s="135">
        <f t="shared" si="43"/>
        <v>-5727699.6000000006</v>
      </c>
      <c r="W86" s="136">
        <f t="shared" si="44"/>
        <v>0</v>
      </c>
      <c r="X86" s="137">
        <f t="shared" si="26"/>
        <v>-5727699.6000000006</v>
      </c>
      <c r="Y86" s="134">
        <f t="shared" si="45"/>
        <v>-1563661.9908000003</v>
      </c>
      <c r="Z86" s="137">
        <f t="shared" si="27"/>
        <v>-7291361.5908000004</v>
      </c>
      <c r="AA86" s="139">
        <v>8574.25</v>
      </c>
      <c r="AB86" s="140">
        <f t="shared" si="46"/>
        <v>-1414.6800000000003</v>
      </c>
      <c r="AC86" s="141">
        <f t="shared" si="62"/>
        <v>7159.57</v>
      </c>
      <c r="AD86" s="134">
        <f t="shared" si="47"/>
        <v>-451052.91</v>
      </c>
      <c r="AE86" s="135">
        <f t="shared" si="48"/>
        <v>0</v>
      </c>
      <c r="AF86" s="136">
        <f t="shared" si="49"/>
        <v>-126294.81480000001</v>
      </c>
      <c r="AG86" s="137">
        <f t="shared" si="28"/>
        <v>-577347.72479999997</v>
      </c>
      <c r="AH86" s="135">
        <f t="shared" si="50"/>
        <v>-5948108.9703000002</v>
      </c>
      <c r="AI86" s="135">
        <f t="shared" si="51"/>
        <v>0</v>
      </c>
      <c r="AJ86" s="137">
        <f t="shared" si="29"/>
        <v>-5948108.9703000002</v>
      </c>
      <c r="AK86" s="134">
        <f t="shared" si="52"/>
        <v>-1623793.2228000001</v>
      </c>
      <c r="AL86" s="137">
        <f t="shared" si="30"/>
        <v>-7571902.1930999998</v>
      </c>
      <c r="AM86" s="143">
        <f t="shared" si="31"/>
        <v>-79288292.574099004</v>
      </c>
      <c r="AN86" s="143">
        <f t="shared" si="31"/>
        <v>0</v>
      </c>
      <c r="AO86" s="143">
        <f t="shared" si="32"/>
        <v>-79288292.574099004</v>
      </c>
      <c r="AP86" s="143">
        <f t="shared" si="33"/>
        <v>-21645163.659924001</v>
      </c>
      <c r="AQ86" s="144">
        <f t="shared" si="34"/>
        <v>-100933456.234023</v>
      </c>
    </row>
    <row r="87" spans="1:43" ht="24.95" customHeight="1" x14ac:dyDescent="0.25">
      <c r="A87" s="128" t="s">
        <v>611</v>
      </c>
      <c r="B87" s="128" t="s">
        <v>645</v>
      </c>
      <c r="C87" s="128"/>
      <c r="D87" s="128"/>
      <c r="E87" s="128" t="s">
        <v>601</v>
      </c>
      <c r="F87" s="128" t="s">
        <v>616</v>
      </c>
      <c r="G87" s="139">
        <f t="shared" si="35"/>
        <v>8157.41</v>
      </c>
      <c r="H87" s="140">
        <f t="shared" si="36"/>
        <v>-1314.9399999999996</v>
      </c>
      <c r="I87" s="141">
        <f>1978.72+4619+244.75</f>
        <v>6842.47</v>
      </c>
      <c r="J87" s="142">
        <v>-1</v>
      </c>
      <c r="K87" s="142">
        <v>-1</v>
      </c>
      <c r="L87" s="134">
        <f t="shared" si="37"/>
        <v>-6842.47</v>
      </c>
      <c r="M87" s="135">
        <f t="shared" si="38"/>
        <v>0</v>
      </c>
      <c r="N87" s="136">
        <f t="shared" si="39"/>
        <v>-1915.8916000000002</v>
      </c>
      <c r="O87" s="137">
        <f t="shared" si="23"/>
        <v>-8758.3616000000002</v>
      </c>
      <c r="P87" s="138">
        <v>12</v>
      </c>
      <c r="Q87" s="134">
        <f t="shared" si="40"/>
        <v>-7602.7444444444445</v>
      </c>
      <c r="R87" s="135">
        <f t="shared" si="41"/>
        <v>0</v>
      </c>
      <c r="S87" s="136">
        <f t="shared" si="24"/>
        <v>-7602.7444444444445</v>
      </c>
      <c r="T87" s="135">
        <f t="shared" si="42"/>
        <v>-2075.5492333333336</v>
      </c>
      <c r="U87" s="137">
        <f t="shared" si="25"/>
        <v>-9678.2936777777777</v>
      </c>
      <c r="V87" s="135">
        <f t="shared" si="43"/>
        <v>-91232.933333333334</v>
      </c>
      <c r="W87" s="136">
        <f t="shared" si="44"/>
        <v>0</v>
      </c>
      <c r="X87" s="137">
        <f t="shared" si="26"/>
        <v>-91232.933333333334</v>
      </c>
      <c r="Y87" s="134">
        <f t="shared" si="45"/>
        <v>-24906.590800000002</v>
      </c>
      <c r="Z87" s="137">
        <f t="shared" si="27"/>
        <v>-116139.52413333334</v>
      </c>
      <c r="AA87" s="139">
        <v>8574.25</v>
      </c>
      <c r="AB87" s="140">
        <f t="shared" si="46"/>
        <v>-1389.6000000000004</v>
      </c>
      <c r="AC87" s="141">
        <f>2077.66+4850+256.99</f>
        <v>7184.65</v>
      </c>
      <c r="AD87" s="134">
        <f t="shared" si="47"/>
        <v>-7184.65</v>
      </c>
      <c r="AE87" s="135">
        <f t="shared" si="48"/>
        <v>0</v>
      </c>
      <c r="AF87" s="136">
        <f t="shared" si="49"/>
        <v>-2011.702</v>
      </c>
      <c r="AG87" s="137">
        <f t="shared" si="28"/>
        <v>-9196.351999999999</v>
      </c>
      <c r="AH87" s="135">
        <f t="shared" si="50"/>
        <v>-94744.844500000007</v>
      </c>
      <c r="AI87" s="135">
        <f t="shared" si="51"/>
        <v>0</v>
      </c>
      <c r="AJ87" s="137">
        <f t="shared" si="29"/>
        <v>-94744.844500000007</v>
      </c>
      <c r="AK87" s="134">
        <f t="shared" si="52"/>
        <v>-25864.694800000001</v>
      </c>
      <c r="AL87" s="137">
        <f t="shared" si="30"/>
        <v>-120609.5393</v>
      </c>
      <c r="AM87" s="143">
        <f t="shared" si="31"/>
        <v>-1262948.777185</v>
      </c>
      <c r="AN87" s="143">
        <f t="shared" si="31"/>
        <v>0</v>
      </c>
      <c r="AO87" s="143">
        <f t="shared" si="32"/>
        <v>-1262948.777185</v>
      </c>
      <c r="AP87" s="143">
        <f t="shared" si="33"/>
        <v>-344776.38168400002</v>
      </c>
      <c r="AQ87" s="144">
        <f t="shared" si="34"/>
        <v>-1607725.1588690002</v>
      </c>
    </row>
    <row r="88" spans="1:43" ht="24.95" customHeight="1" x14ac:dyDescent="0.25">
      <c r="A88" s="128" t="s">
        <v>611</v>
      </c>
      <c r="B88" s="128" t="s">
        <v>645</v>
      </c>
      <c r="C88" s="128"/>
      <c r="D88" s="128"/>
      <c r="E88" s="128" t="s">
        <v>601</v>
      </c>
      <c r="F88" s="128" t="s">
        <v>646</v>
      </c>
      <c r="G88" s="139">
        <f t="shared" si="35"/>
        <v>8157.41</v>
      </c>
      <c r="H88" s="140">
        <f t="shared" si="36"/>
        <v>-1314.9399999999996</v>
      </c>
      <c r="I88" s="141">
        <f>1978.72+4619+244.75</f>
        <v>6842.47</v>
      </c>
      <c r="J88" s="142">
        <v>-2</v>
      </c>
      <c r="K88" s="142">
        <v>-2</v>
      </c>
      <c r="L88" s="134">
        <f t="shared" si="37"/>
        <v>-13684.94</v>
      </c>
      <c r="M88" s="135">
        <f t="shared" si="38"/>
        <v>0</v>
      </c>
      <c r="N88" s="136">
        <f t="shared" si="39"/>
        <v>-3831.7832000000003</v>
      </c>
      <c r="O88" s="137">
        <f t="shared" si="23"/>
        <v>-17516.7232</v>
      </c>
      <c r="P88" s="138">
        <v>12</v>
      </c>
      <c r="Q88" s="134">
        <f t="shared" si="40"/>
        <v>-15205.488888888889</v>
      </c>
      <c r="R88" s="135">
        <f t="shared" si="41"/>
        <v>0</v>
      </c>
      <c r="S88" s="136">
        <f t="shared" si="24"/>
        <v>-15205.488888888889</v>
      </c>
      <c r="T88" s="135">
        <f t="shared" si="42"/>
        <v>-4151.0984666666673</v>
      </c>
      <c r="U88" s="137">
        <f t="shared" si="25"/>
        <v>-19356.587355555555</v>
      </c>
      <c r="V88" s="135">
        <f t="shared" si="43"/>
        <v>-182465.86666666667</v>
      </c>
      <c r="W88" s="136">
        <f t="shared" si="44"/>
        <v>0</v>
      </c>
      <c r="X88" s="137">
        <f t="shared" si="26"/>
        <v>-182465.86666666667</v>
      </c>
      <c r="Y88" s="134">
        <f t="shared" si="45"/>
        <v>-49813.181600000004</v>
      </c>
      <c r="Z88" s="137">
        <f t="shared" si="27"/>
        <v>-232279.04826666668</v>
      </c>
      <c r="AA88" s="139">
        <v>8574.25</v>
      </c>
      <c r="AB88" s="140">
        <f t="shared" si="46"/>
        <v>-1389.6000000000004</v>
      </c>
      <c r="AC88" s="141">
        <f>2077.66+4850+256.99</f>
        <v>7184.65</v>
      </c>
      <c r="AD88" s="134">
        <f t="shared" si="47"/>
        <v>-14369.3</v>
      </c>
      <c r="AE88" s="135">
        <f t="shared" si="48"/>
        <v>0</v>
      </c>
      <c r="AF88" s="136">
        <f t="shared" si="49"/>
        <v>-4023.404</v>
      </c>
      <c r="AG88" s="137">
        <f t="shared" si="28"/>
        <v>-18392.703999999998</v>
      </c>
      <c r="AH88" s="135">
        <f t="shared" si="50"/>
        <v>-189489.68900000001</v>
      </c>
      <c r="AI88" s="135">
        <f t="shared" si="51"/>
        <v>0</v>
      </c>
      <c r="AJ88" s="137">
        <f t="shared" si="29"/>
        <v>-189489.68900000001</v>
      </c>
      <c r="AK88" s="134">
        <f t="shared" si="52"/>
        <v>-51729.389600000002</v>
      </c>
      <c r="AL88" s="137">
        <f t="shared" si="30"/>
        <v>-241219.07860000001</v>
      </c>
      <c r="AM88" s="143">
        <f t="shared" si="31"/>
        <v>-2525897.55437</v>
      </c>
      <c r="AN88" s="143">
        <f t="shared" si="31"/>
        <v>0</v>
      </c>
      <c r="AO88" s="143">
        <f t="shared" si="32"/>
        <v>-2525897.55437</v>
      </c>
      <c r="AP88" s="143">
        <f t="shared" si="33"/>
        <v>-689552.76336800004</v>
      </c>
      <c r="AQ88" s="144">
        <f t="shared" si="34"/>
        <v>-3215450.3177380003</v>
      </c>
    </row>
    <row r="89" spans="1:43" ht="24.95" customHeight="1" x14ac:dyDescent="0.25">
      <c r="A89" s="128" t="s">
        <v>611</v>
      </c>
      <c r="B89" s="147" t="s">
        <v>647</v>
      </c>
      <c r="C89" s="128"/>
      <c r="D89" s="128"/>
      <c r="E89" s="128" t="s">
        <v>601</v>
      </c>
      <c r="F89" s="147" t="s">
        <v>648</v>
      </c>
      <c r="G89" s="139">
        <f t="shared" si="35"/>
        <v>8157.41</v>
      </c>
      <c r="H89" s="140">
        <f t="shared" si="36"/>
        <v>-1338.7199999999993</v>
      </c>
      <c r="I89" s="148">
        <f>4181+2637.69</f>
        <v>6818.6900000000005</v>
      </c>
      <c r="J89" s="132"/>
      <c r="K89" s="133">
        <v>6082</v>
      </c>
      <c r="L89" s="134">
        <f t="shared" si="37"/>
        <v>41471272.580000006</v>
      </c>
      <c r="M89" s="135">
        <f t="shared" si="38"/>
        <v>0</v>
      </c>
      <c r="N89" s="136">
        <f t="shared" si="39"/>
        <v>11611956.322400002</v>
      </c>
      <c r="O89" s="137">
        <f t="shared" si="23"/>
        <v>53083228.902400009</v>
      </c>
      <c r="P89" s="138">
        <v>12</v>
      </c>
      <c r="Q89" s="134">
        <f t="shared" si="40"/>
        <v>46079191.755555563</v>
      </c>
      <c r="R89" s="135">
        <f t="shared" si="41"/>
        <v>0</v>
      </c>
      <c r="S89" s="136">
        <f t="shared" si="24"/>
        <v>46079191.755555563</v>
      </c>
      <c r="T89" s="135">
        <f t="shared" si="42"/>
        <v>12579619.349266669</v>
      </c>
      <c r="U89" s="137">
        <f t="shared" si="25"/>
        <v>58658811.104822233</v>
      </c>
      <c r="V89" s="135">
        <f t="shared" si="43"/>
        <v>552950301.06666672</v>
      </c>
      <c r="W89" s="136">
        <f t="shared" si="44"/>
        <v>0</v>
      </c>
      <c r="X89" s="137">
        <f t="shared" si="26"/>
        <v>552950301.06666672</v>
      </c>
      <c r="Y89" s="134">
        <f t="shared" si="45"/>
        <v>150955432.19120002</v>
      </c>
      <c r="Z89" s="137">
        <f t="shared" si="27"/>
        <v>703905733.25786674</v>
      </c>
      <c r="AA89" s="139">
        <v>8574.25</v>
      </c>
      <c r="AB89" s="140">
        <f t="shared" si="46"/>
        <v>-74.25</v>
      </c>
      <c r="AC89" s="148">
        <f>6550+1950</f>
        <v>8500</v>
      </c>
      <c r="AD89" s="134">
        <f t="shared" si="47"/>
        <v>51697000</v>
      </c>
      <c r="AE89" s="135">
        <f t="shared" si="48"/>
        <v>0</v>
      </c>
      <c r="AF89" s="136">
        <f t="shared" si="49"/>
        <v>14475160</v>
      </c>
      <c r="AG89" s="137">
        <f t="shared" si="28"/>
        <v>66172160</v>
      </c>
      <c r="AH89" s="135">
        <f t="shared" si="50"/>
        <v>658443827.74000001</v>
      </c>
      <c r="AI89" s="135">
        <f t="shared" si="51"/>
        <v>0</v>
      </c>
      <c r="AJ89" s="137">
        <f t="shared" si="29"/>
        <v>658443827.74000001</v>
      </c>
      <c r="AK89" s="134">
        <f t="shared" si="52"/>
        <v>179587468.96720001</v>
      </c>
      <c r="AL89" s="137">
        <f t="shared" si="30"/>
        <v>838031296.70720005</v>
      </c>
      <c r="AM89" s="143">
        <f t="shared" si="31"/>
        <v>8777056223.7742004</v>
      </c>
      <c r="AN89" s="143">
        <f t="shared" si="31"/>
        <v>0</v>
      </c>
      <c r="AO89" s="143">
        <f t="shared" si="32"/>
        <v>8777056223.7742004</v>
      </c>
      <c r="AP89" s="143">
        <f t="shared" si="33"/>
        <v>2393900961.3327761</v>
      </c>
      <c r="AQ89" s="144">
        <f t="shared" si="34"/>
        <v>11170957185.106976</v>
      </c>
    </row>
    <row r="90" spans="1:43" s="82" customFormat="1" ht="24.95" customHeight="1" x14ac:dyDescent="0.2">
      <c r="A90" s="128" t="s">
        <v>649</v>
      </c>
      <c r="B90" s="128" t="s">
        <v>650</v>
      </c>
      <c r="C90" s="128"/>
      <c r="D90" s="128"/>
      <c r="E90" s="128" t="s">
        <v>601</v>
      </c>
      <c r="F90" s="128" t="s">
        <v>651</v>
      </c>
      <c r="G90" s="139">
        <f t="shared" ref="G90:G99" si="63">$G$19</f>
        <v>8157.41</v>
      </c>
      <c r="H90" s="140">
        <f t="shared" ref="H90:H99" si="64">I90-G90</f>
        <v>3765.8099999999995</v>
      </c>
      <c r="I90" s="141">
        <v>11923.22</v>
      </c>
      <c r="J90" s="142">
        <v>-6</v>
      </c>
      <c r="K90" s="142">
        <f t="shared" ref="K90:K99" si="65">J90</f>
        <v>-6</v>
      </c>
      <c r="L90" s="134">
        <f t="shared" ref="L90:L99" si="66">I90*K90</f>
        <v>-71539.319999999992</v>
      </c>
      <c r="M90" s="135">
        <f t="shared" ref="M90:M99" si="67">IF(H90&gt;0,(H90*K90)*0.085,0)</f>
        <v>-1920.5630999999998</v>
      </c>
      <c r="N90" s="136">
        <f t="shared" ref="N90:N99" si="68">IF(I90&lt;G90,I90*0.28*K90,G90*0.28*K90)</f>
        <v>-13704.448800000002</v>
      </c>
      <c r="O90" s="137">
        <f t="shared" ref="O90:O99" si="69">N90+M90+L90</f>
        <v>-87164.33189999999</v>
      </c>
      <c r="P90" s="138">
        <v>12</v>
      </c>
      <c r="Q90" s="134">
        <f t="shared" ref="Q90:Q99" si="70">IF(P90&lt;&gt;0,(L90*(12-P90+1))+(L90*((12-P90+1)/12))+((L90*((12-P90+1)/12))/3),0)</f>
        <v>-79488.133333333331</v>
      </c>
      <c r="R90" s="135">
        <f t="shared" ref="R90:R99" si="71">IF(P90&lt;&gt;0,M90*(12-P90+1)+(M90*((12-P90+1)/12)),0)</f>
        <v>-2080.610025</v>
      </c>
      <c r="S90" s="136">
        <f t="shared" ref="S90:S99" si="72">R90+Q90</f>
        <v>-81568.743358333333</v>
      </c>
      <c r="T90" s="135">
        <f t="shared" ref="T90:T99" si="73">IF(P90&lt;&gt;0,N90*(12-P90+1)+(N90*((12-P90+1)/12)),0)</f>
        <v>-14846.486200000003</v>
      </c>
      <c r="U90" s="137">
        <f t="shared" ref="U90:U99" si="74">S90+T90</f>
        <v>-96415.229558333333</v>
      </c>
      <c r="V90" s="135">
        <f t="shared" ref="V90:V99" si="75">IF(P90&lt;&gt;0,L90*(13+(1/3)),0)</f>
        <v>-953857.6</v>
      </c>
      <c r="W90" s="136">
        <f t="shared" ref="W90:W99" si="76">IF(Q90&lt;&gt;0,M90*13,0)</f>
        <v>-24967.320299999999</v>
      </c>
      <c r="X90" s="137">
        <f t="shared" ref="X90:X99" si="77">V90+W90</f>
        <v>-978824.9203</v>
      </c>
      <c r="Y90" s="134">
        <f t="shared" ref="Y90:Y99" si="78">IF(T90&lt;&gt;0,N90*(13),0)</f>
        <v>-178157.83440000002</v>
      </c>
      <c r="Z90" s="137">
        <f t="shared" ref="Z90:Z99" si="79">Y90+X90</f>
        <v>-1156982.7546999999</v>
      </c>
      <c r="AA90" s="139">
        <v>8574.25</v>
      </c>
      <c r="AB90" s="140">
        <f t="shared" ref="AB90:AB99" si="80">AC90-AA90</f>
        <v>3945.1299999999992</v>
      </c>
      <c r="AC90" s="141">
        <v>12519.38</v>
      </c>
      <c r="AD90" s="134">
        <f t="shared" ref="AD90:AD99" si="81">AC90*K90</f>
        <v>-75116.28</v>
      </c>
      <c r="AE90" s="135">
        <f t="shared" ref="AE90:AE99" si="82">IF(AB90&gt;0,(AB90*K90)*0.085,0)</f>
        <v>-2012.0162999999998</v>
      </c>
      <c r="AF90" s="136">
        <f t="shared" ref="AF90:AF99" si="83">IF(AC90&lt;AA90,AC90*0.28*K90,AA90*0.28*K90)</f>
        <v>-14404.740000000002</v>
      </c>
      <c r="AG90" s="137">
        <f t="shared" ref="AG90:AG99" si="84">+AE90+AD90+AF90</f>
        <v>-91533.036300000007</v>
      </c>
      <c r="AH90" s="135">
        <f t="shared" ref="AH90:AH99" si="85">SUM(L90*3,AD90*10.33)</f>
        <v>-990569.1324</v>
      </c>
      <c r="AI90" s="135">
        <f t="shared" ref="AI90:AI99" si="86">SUM(M90*3,AE90*10)</f>
        <v>-25881.852299999999</v>
      </c>
      <c r="AJ90" s="137">
        <f t="shared" ref="AJ90:AJ99" si="87">AI90+AH90</f>
        <v>-1016450.9847</v>
      </c>
      <c r="AK90" s="134">
        <f t="shared" ref="AK90:AK99" si="88">SUM(N90*3,AF90*10)</f>
        <v>-185160.74640000003</v>
      </c>
      <c r="AL90" s="137">
        <f t="shared" ref="AL90:AL99" si="89">AJ90+AK90</f>
        <v>-1201611.7311</v>
      </c>
      <c r="AM90" s="143">
        <f t="shared" ref="AM90:AN99" si="90">13.33*AH90</f>
        <v>-13204286.534892</v>
      </c>
      <c r="AN90" s="143">
        <f t="shared" si="90"/>
        <v>-345005.091159</v>
      </c>
      <c r="AO90" s="143">
        <f t="shared" ref="AO90:AO99" si="91">AN90+AM90</f>
        <v>-13549291.626050999</v>
      </c>
      <c r="AP90" s="143">
        <f t="shared" ref="AP90:AP99" si="92">13.33*AK90</f>
        <v>-2468192.7495120005</v>
      </c>
      <c r="AQ90" s="144">
        <f t="shared" ref="AQ90:AQ99" si="93">AP90+AO90</f>
        <v>-16017484.375562999</v>
      </c>
    </row>
    <row r="91" spans="1:43" s="82" customFormat="1" ht="24.95" customHeight="1" x14ac:dyDescent="0.2">
      <c r="A91" s="128" t="s">
        <v>649</v>
      </c>
      <c r="B91" s="128" t="s">
        <v>650</v>
      </c>
      <c r="C91" s="128"/>
      <c r="D91" s="128"/>
      <c r="E91" s="128" t="s">
        <v>601</v>
      </c>
      <c r="F91" s="128" t="s">
        <v>652</v>
      </c>
      <c r="G91" s="139">
        <f t="shared" si="63"/>
        <v>8157.41</v>
      </c>
      <c r="H91" s="140">
        <f t="shared" si="64"/>
        <v>3765.8099999999995</v>
      </c>
      <c r="I91" s="141">
        <v>11923.22</v>
      </c>
      <c r="J91" s="142">
        <v>-17</v>
      </c>
      <c r="K91" s="142">
        <f t="shared" si="65"/>
        <v>-17</v>
      </c>
      <c r="L91" s="134">
        <f t="shared" si="66"/>
        <v>-202694.74</v>
      </c>
      <c r="M91" s="135">
        <f t="shared" si="67"/>
        <v>-5441.5954499999998</v>
      </c>
      <c r="N91" s="136">
        <f t="shared" si="68"/>
        <v>-38829.271600000007</v>
      </c>
      <c r="O91" s="137">
        <f t="shared" si="69"/>
        <v>-246965.60704999999</v>
      </c>
      <c r="P91" s="138">
        <v>12</v>
      </c>
      <c r="Q91" s="134">
        <f t="shared" si="70"/>
        <v>-225216.37777777776</v>
      </c>
      <c r="R91" s="135">
        <f t="shared" si="71"/>
        <v>-5895.0617375000002</v>
      </c>
      <c r="S91" s="136">
        <f t="shared" si="72"/>
        <v>-231111.43951527774</v>
      </c>
      <c r="T91" s="135">
        <f t="shared" si="73"/>
        <v>-42065.044233333341</v>
      </c>
      <c r="U91" s="137">
        <f t="shared" si="74"/>
        <v>-273176.48374861106</v>
      </c>
      <c r="V91" s="135">
        <f t="shared" si="75"/>
        <v>-2702596.5333333332</v>
      </c>
      <c r="W91" s="136">
        <f t="shared" si="76"/>
        <v>-70740.740850000002</v>
      </c>
      <c r="X91" s="137">
        <f t="shared" si="77"/>
        <v>-2773337.2741833334</v>
      </c>
      <c r="Y91" s="134">
        <f t="shared" si="78"/>
        <v>-504780.53080000007</v>
      </c>
      <c r="Z91" s="137">
        <f t="shared" si="79"/>
        <v>-3278117.8049833337</v>
      </c>
      <c r="AA91" s="139">
        <v>8574.25</v>
      </c>
      <c r="AB91" s="140">
        <f t="shared" si="80"/>
        <v>3945.1299999999992</v>
      </c>
      <c r="AC91" s="141">
        <v>12519.38</v>
      </c>
      <c r="AD91" s="134">
        <f t="shared" si="81"/>
        <v>-212829.46</v>
      </c>
      <c r="AE91" s="135">
        <f t="shared" si="82"/>
        <v>-5700.7128499999999</v>
      </c>
      <c r="AF91" s="136">
        <f t="shared" si="83"/>
        <v>-40813.430000000008</v>
      </c>
      <c r="AG91" s="137">
        <f t="shared" si="84"/>
        <v>-259343.60285000002</v>
      </c>
      <c r="AH91" s="135">
        <f t="shared" si="85"/>
        <v>-2806612.5417999998</v>
      </c>
      <c r="AI91" s="135">
        <f t="shared" si="86"/>
        <v>-73331.914850000001</v>
      </c>
      <c r="AJ91" s="137">
        <f t="shared" si="87"/>
        <v>-2879944.4566499996</v>
      </c>
      <c r="AK91" s="134">
        <f t="shared" si="88"/>
        <v>-524622.1148000001</v>
      </c>
      <c r="AL91" s="137">
        <f t="shared" si="89"/>
        <v>-3404566.5714499997</v>
      </c>
      <c r="AM91" s="143">
        <f t="shared" si="90"/>
        <v>-37412145.182193995</v>
      </c>
      <c r="AN91" s="143">
        <f t="shared" si="90"/>
        <v>-977514.42495050002</v>
      </c>
      <c r="AO91" s="143">
        <f t="shared" si="91"/>
        <v>-38389659.607144497</v>
      </c>
      <c r="AP91" s="143">
        <f t="shared" si="92"/>
        <v>-6993212.7902840013</v>
      </c>
      <c r="AQ91" s="144">
        <f t="shared" si="93"/>
        <v>-45382872.397428498</v>
      </c>
    </row>
    <row r="92" spans="1:43" s="82" customFormat="1" ht="24.95" customHeight="1" x14ac:dyDescent="0.2">
      <c r="A92" s="128" t="s">
        <v>649</v>
      </c>
      <c r="B92" s="128" t="s">
        <v>650</v>
      </c>
      <c r="C92" s="128"/>
      <c r="D92" s="128"/>
      <c r="E92" s="128" t="s">
        <v>601</v>
      </c>
      <c r="F92" s="128" t="s">
        <v>653</v>
      </c>
      <c r="G92" s="139">
        <f t="shared" si="63"/>
        <v>8157.41</v>
      </c>
      <c r="H92" s="140">
        <f t="shared" si="64"/>
        <v>-2979.7699999999995</v>
      </c>
      <c r="I92" s="141">
        <v>5177.6400000000003</v>
      </c>
      <c r="J92" s="142">
        <v>-5</v>
      </c>
      <c r="K92" s="142">
        <f t="shared" si="65"/>
        <v>-5</v>
      </c>
      <c r="L92" s="134">
        <f t="shared" si="66"/>
        <v>-25888.2</v>
      </c>
      <c r="M92" s="135">
        <f t="shared" si="67"/>
        <v>0</v>
      </c>
      <c r="N92" s="136">
        <f t="shared" si="68"/>
        <v>-7248.6960000000008</v>
      </c>
      <c r="O92" s="137">
        <f t="shared" si="69"/>
        <v>-33136.896000000001</v>
      </c>
      <c r="P92" s="138">
        <v>12</v>
      </c>
      <c r="Q92" s="134">
        <f t="shared" si="70"/>
        <v>-28764.666666666664</v>
      </c>
      <c r="R92" s="135">
        <f t="shared" si="71"/>
        <v>0</v>
      </c>
      <c r="S92" s="136">
        <f t="shared" si="72"/>
        <v>-28764.666666666664</v>
      </c>
      <c r="T92" s="135">
        <f t="shared" si="73"/>
        <v>-7852.7540000000008</v>
      </c>
      <c r="U92" s="137">
        <f t="shared" si="74"/>
        <v>-36617.420666666665</v>
      </c>
      <c r="V92" s="135">
        <f t="shared" si="75"/>
        <v>-345176</v>
      </c>
      <c r="W92" s="136">
        <f t="shared" si="76"/>
        <v>0</v>
      </c>
      <c r="X92" s="137">
        <f t="shared" si="77"/>
        <v>-345176</v>
      </c>
      <c r="Y92" s="134">
        <f t="shared" si="78"/>
        <v>-94233.04800000001</v>
      </c>
      <c r="Z92" s="137">
        <f t="shared" si="79"/>
        <v>-439409.04800000001</v>
      </c>
      <c r="AA92" s="139">
        <v>8574.25</v>
      </c>
      <c r="AB92" s="140">
        <f t="shared" si="80"/>
        <v>-3137.7299999999996</v>
      </c>
      <c r="AC92" s="141">
        <v>5436.52</v>
      </c>
      <c r="AD92" s="134">
        <f t="shared" si="81"/>
        <v>-27182.600000000002</v>
      </c>
      <c r="AE92" s="135">
        <f t="shared" si="82"/>
        <v>0</v>
      </c>
      <c r="AF92" s="136">
        <f t="shared" si="83"/>
        <v>-7611.1280000000006</v>
      </c>
      <c r="AG92" s="137">
        <f t="shared" si="84"/>
        <v>-34793.728000000003</v>
      </c>
      <c r="AH92" s="135">
        <f t="shared" si="85"/>
        <v>-358460.85800000001</v>
      </c>
      <c r="AI92" s="135">
        <f t="shared" si="86"/>
        <v>0</v>
      </c>
      <c r="AJ92" s="137">
        <f t="shared" si="87"/>
        <v>-358460.85800000001</v>
      </c>
      <c r="AK92" s="134">
        <f t="shared" si="88"/>
        <v>-97857.368000000002</v>
      </c>
      <c r="AL92" s="137">
        <f t="shared" si="89"/>
        <v>-456318.22600000002</v>
      </c>
      <c r="AM92" s="143">
        <f t="shared" si="90"/>
        <v>-4778283.2371399999</v>
      </c>
      <c r="AN92" s="143">
        <f t="shared" si="90"/>
        <v>0</v>
      </c>
      <c r="AO92" s="143">
        <f t="shared" si="91"/>
        <v>-4778283.2371399999</v>
      </c>
      <c r="AP92" s="143">
        <f t="shared" si="92"/>
        <v>-1304438.7154399999</v>
      </c>
      <c r="AQ92" s="144">
        <f t="shared" si="93"/>
        <v>-6082721.9525799993</v>
      </c>
    </row>
    <row r="93" spans="1:43" ht="24.95" customHeight="1" x14ac:dyDescent="0.25">
      <c r="A93" s="128" t="s">
        <v>649</v>
      </c>
      <c r="B93" s="128" t="s">
        <v>650</v>
      </c>
      <c r="C93" s="128"/>
      <c r="D93" s="128"/>
      <c r="E93" s="128" t="s">
        <v>601</v>
      </c>
      <c r="F93" s="128" t="s">
        <v>654</v>
      </c>
      <c r="G93" s="139">
        <f t="shared" si="63"/>
        <v>8157.41</v>
      </c>
      <c r="H93" s="140">
        <f t="shared" si="64"/>
        <v>-2979.7699999999995</v>
      </c>
      <c r="I93" s="141">
        <v>5177.6400000000003</v>
      </c>
      <c r="J93" s="142">
        <v>-19</v>
      </c>
      <c r="K93" s="142">
        <f t="shared" si="65"/>
        <v>-19</v>
      </c>
      <c r="L93" s="134">
        <f t="shared" si="66"/>
        <v>-98375.16</v>
      </c>
      <c r="M93" s="135">
        <f t="shared" si="67"/>
        <v>0</v>
      </c>
      <c r="N93" s="136">
        <f t="shared" si="68"/>
        <v>-27545.044800000003</v>
      </c>
      <c r="O93" s="137">
        <f t="shared" si="69"/>
        <v>-125920.20480000001</v>
      </c>
      <c r="P93" s="138">
        <v>12</v>
      </c>
      <c r="Q93" s="134">
        <f t="shared" si="70"/>
        <v>-109305.73333333334</v>
      </c>
      <c r="R93" s="135">
        <f t="shared" si="71"/>
        <v>0</v>
      </c>
      <c r="S93" s="136">
        <f t="shared" si="72"/>
        <v>-109305.73333333334</v>
      </c>
      <c r="T93" s="135">
        <f t="shared" si="73"/>
        <v>-29840.465200000002</v>
      </c>
      <c r="U93" s="137">
        <f t="shared" si="74"/>
        <v>-139146.19853333334</v>
      </c>
      <c r="V93" s="135">
        <f t="shared" si="75"/>
        <v>-1311668.8</v>
      </c>
      <c r="W93" s="136">
        <f t="shared" si="76"/>
        <v>0</v>
      </c>
      <c r="X93" s="137">
        <f t="shared" si="77"/>
        <v>-1311668.8</v>
      </c>
      <c r="Y93" s="134">
        <f t="shared" si="78"/>
        <v>-358085.58240000007</v>
      </c>
      <c r="Z93" s="137">
        <f t="shared" si="79"/>
        <v>-1669754.3824</v>
      </c>
      <c r="AA93" s="139">
        <v>8574.25</v>
      </c>
      <c r="AB93" s="140">
        <f t="shared" si="80"/>
        <v>-3137.7299999999996</v>
      </c>
      <c r="AC93" s="141">
        <v>5436.52</v>
      </c>
      <c r="AD93" s="134">
        <f t="shared" si="81"/>
        <v>-103293.88</v>
      </c>
      <c r="AE93" s="135">
        <f t="shared" si="82"/>
        <v>0</v>
      </c>
      <c r="AF93" s="136">
        <f t="shared" si="83"/>
        <v>-28922.286400000005</v>
      </c>
      <c r="AG93" s="137">
        <f t="shared" si="84"/>
        <v>-132216.16640000002</v>
      </c>
      <c r="AH93" s="135">
        <f t="shared" si="85"/>
        <v>-1362151.2604</v>
      </c>
      <c r="AI93" s="135">
        <f t="shared" si="86"/>
        <v>0</v>
      </c>
      <c r="AJ93" s="137">
        <f t="shared" si="87"/>
        <v>-1362151.2604</v>
      </c>
      <c r="AK93" s="134">
        <f t="shared" si="88"/>
        <v>-371857.99840000004</v>
      </c>
      <c r="AL93" s="137">
        <f t="shared" si="89"/>
        <v>-1734009.2588</v>
      </c>
      <c r="AM93" s="143">
        <f t="shared" si="90"/>
        <v>-18157476.301132001</v>
      </c>
      <c r="AN93" s="143">
        <f t="shared" si="90"/>
        <v>0</v>
      </c>
      <c r="AO93" s="143">
        <f t="shared" si="91"/>
        <v>-18157476.301132001</v>
      </c>
      <c r="AP93" s="143">
        <f t="shared" si="92"/>
        <v>-4956867.1186720002</v>
      </c>
      <c r="AQ93" s="144">
        <f t="shared" si="93"/>
        <v>-23114343.419803999</v>
      </c>
    </row>
    <row r="94" spans="1:43" ht="24.95" customHeight="1" x14ac:dyDescent="0.25">
      <c r="A94" s="128" t="s">
        <v>649</v>
      </c>
      <c r="B94" s="128" t="s">
        <v>655</v>
      </c>
      <c r="C94" s="128"/>
      <c r="D94" s="128"/>
      <c r="E94" s="128" t="s">
        <v>601</v>
      </c>
      <c r="F94" s="128" t="s">
        <v>656</v>
      </c>
      <c r="G94" s="139">
        <f t="shared" si="63"/>
        <v>8157.41</v>
      </c>
      <c r="H94" s="140">
        <f t="shared" si="64"/>
        <v>9876.11</v>
      </c>
      <c r="I94" s="141">
        <v>18033.52</v>
      </c>
      <c r="J94" s="149">
        <v>20</v>
      </c>
      <c r="K94" s="149">
        <f t="shared" si="65"/>
        <v>20</v>
      </c>
      <c r="L94" s="134">
        <f t="shared" si="66"/>
        <v>360670.4</v>
      </c>
      <c r="M94" s="135">
        <f t="shared" si="67"/>
        <v>16789.387000000002</v>
      </c>
      <c r="N94" s="136">
        <f t="shared" si="68"/>
        <v>45681.496000000006</v>
      </c>
      <c r="O94" s="137">
        <f t="shared" si="69"/>
        <v>423141.28300000005</v>
      </c>
      <c r="P94" s="138">
        <v>12</v>
      </c>
      <c r="Q94" s="134">
        <f t="shared" si="70"/>
        <v>400744.88888888893</v>
      </c>
      <c r="R94" s="135">
        <f t="shared" si="71"/>
        <v>18188.502583333335</v>
      </c>
      <c r="S94" s="136">
        <f t="shared" si="72"/>
        <v>418933.39147222228</v>
      </c>
      <c r="T94" s="135">
        <f t="shared" si="73"/>
        <v>49488.287333333341</v>
      </c>
      <c r="U94" s="137">
        <f t="shared" si="74"/>
        <v>468421.67880555562</v>
      </c>
      <c r="V94" s="135">
        <f t="shared" si="75"/>
        <v>4808938.666666667</v>
      </c>
      <c r="W94" s="136">
        <f t="shared" si="76"/>
        <v>218262.03100000002</v>
      </c>
      <c r="X94" s="137">
        <f t="shared" si="77"/>
        <v>5027200.6976666674</v>
      </c>
      <c r="Y94" s="134">
        <f t="shared" si="78"/>
        <v>593859.44800000009</v>
      </c>
      <c r="Z94" s="137">
        <f t="shared" si="79"/>
        <v>5621060.1456666673</v>
      </c>
      <c r="AA94" s="139">
        <v>8574.25</v>
      </c>
      <c r="AB94" s="140">
        <f t="shared" si="80"/>
        <v>11425.75</v>
      </c>
      <c r="AC94" s="141">
        <v>20000</v>
      </c>
      <c r="AD94" s="134">
        <f t="shared" si="81"/>
        <v>400000</v>
      </c>
      <c r="AE94" s="135">
        <f t="shared" si="82"/>
        <v>19423.775000000001</v>
      </c>
      <c r="AF94" s="136">
        <f t="shared" si="83"/>
        <v>48015.80000000001</v>
      </c>
      <c r="AG94" s="137">
        <f t="shared" si="84"/>
        <v>467439.57500000001</v>
      </c>
      <c r="AH94" s="135">
        <f t="shared" si="85"/>
        <v>5214011.2</v>
      </c>
      <c r="AI94" s="135">
        <f t="shared" si="86"/>
        <v>244605.91100000002</v>
      </c>
      <c r="AJ94" s="137">
        <f t="shared" si="87"/>
        <v>5458617.1110000005</v>
      </c>
      <c r="AK94" s="134">
        <f t="shared" si="88"/>
        <v>617202.48800000013</v>
      </c>
      <c r="AL94" s="137">
        <f t="shared" si="89"/>
        <v>6075819.5990000004</v>
      </c>
      <c r="AM94" s="143">
        <f t="shared" si="90"/>
        <v>69502769.296000004</v>
      </c>
      <c r="AN94" s="143">
        <f t="shared" si="90"/>
        <v>3260596.7936300002</v>
      </c>
      <c r="AO94" s="143">
        <f t="shared" si="91"/>
        <v>72763366.089630008</v>
      </c>
      <c r="AP94" s="143">
        <f t="shared" si="92"/>
        <v>8227309.1650400022</v>
      </c>
      <c r="AQ94" s="144">
        <f t="shared" si="93"/>
        <v>80990675.254670009</v>
      </c>
    </row>
    <row r="95" spans="1:43" s="82" customFormat="1" ht="24.95" customHeight="1" x14ac:dyDescent="0.2">
      <c r="A95" s="128" t="s">
        <v>649</v>
      </c>
      <c r="B95" s="128" t="s">
        <v>650</v>
      </c>
      <c r="C95" s="128"/>
      <c r="D95" s="128"/>
      <c r="E95" s="128" t="s">
        <v>601</v>
      </c>
      <c r="F95" s="128" t="s">
        <v>651</v>
      </c>
      <c r="G95" s="139">
        <f t="shared" si="63"/>
        <v>8157.41</v>
      </c>
      <c r="H95" s="140">
        <f t="shared" si="64"/>
        <v>3765.8099999999995</v>
      </c>
      <c r="I95" s="141">
        <v>11923.22</v>
      </c>
      <c r="J95" s="142">
        <v>-43</v>
      </c>
      <c r="K95" s="142">
        <f t="shared" si="65"/>
        <v>-43</v>
      </c>
      <c r="L95" s="134">
        <f t="shared" si="66"/>
        <v>-512698.45999999996</v>
      </c>
      <c r="M95" s="135">
        <f t="shared" si="67"/>
        <v>-13764.035550000001</v>
      </c>
      <c r="N95" s="136">
        <f t="shared" si="68"/>
        <v>-98215.216400000019</v>
      </c>
      <c r="O95" s="137">
        <f t="shared" si="69"/>
        <v>-624677.71195000003</v>
      </c>
      <c r="P95" s="138">
        <v>12</v>
      </c>
      <c r="Q95" s="134">
        <f t="shared" si="70"/>
        <v>-569664.95555555553</v>
      </c>
      <c r="R95" s="135">
        <f t="shared" si="71"/>
        <v>-14911.038512500001</v>
      </c>
      <c r="S95" s="136">
        <f t="shared" si="72"/>
        <v>-584575.99406805553</v>
      </c>
      <c r="T95" s="135">
        <f t="shared" si="73"/>
        <v>-106399.81776666669</v>
      </c>
      <c r="U95" s="137">
        <f t="shared" si="74"/>
        <v>-690975.81183472218</v>
      </c>
      <c r="V95" s="135">
        <f t="shared" si="75"/>
        <v>-6835979.4666666668</v>
      </c>
      <c r="W95" s="136">
        <f t="shared" si="76"/>
        <v>-178932.46215000001</v>
      </c>
      <c r="X95" s="137">
        <f t="shared" si="77"/>
        <v>-7014911.9288166668</v>
      </c>
      <c r="Y95" s="134">
        <f t="shared" si="78"/>
        <v>-1276797.8132000002</v>
      </c>
      <c r="Z95" s="137">
        <f t="shared" si="79"/>
        <v>-8291709.7420166675</v>
      </c>
      <c r="AA95" s="139">
        <v>8574.25</v>
      </c>
      <c r="AB95" s="140">
        <f t="shared" si="80"/>
        <v>3945.1299999999992</v>
      </c>
      <c r="AC95" s="141">
        <v>12519.38</v>
      </c>
      <c r="AD95" s="134">
        <f t="shared" si="81"/>
        <v>-538333.34</v>
      </c>
      <c r="AE95" s="135">
        <f t="shared" si="82"/>
        <v>-14419.450149999999</v>
      </c>
      <c r="AF95" s="136">
        <f t="shared" si="83"/>
        <v>-103233.97000000002</v>
      </c>
      <c r="AG95" s="137">
        <f t="shared" si="84"/>
        <v>-655986.76014999999</v>
      </c>
      <c r="AH95" s="135">
        <f t="shared" si="85"/>
        <v>-7099078.7821999993</v>
      </c>
      <c r="AI95" s="135">
        <f t="shared" si="86"/>
        <v>-185486.60814999999</v>
      </c>
      <c r="AJ95" s="137">
        <f t="shared" si="87"/>
        <v>-7284565.3903499991</v>
      </c>
      <c r="AK95" s="134">
        <f t="shared" si="88"/>
        <v>-1326985.3492000003</v>
      </c>
      <c r="AL95" s="137">
        <f t="shared" si="89"/>
        <v>-8611550.7395500001</v>
      </c>
      <c r="AM95" s="143">
        <f t="shared" si="90"/>
        <v>-94630720.166725993</v>
      </c>
      <c r="AN95" s="143">
        <f t="shared" si="90"/>
        <v>-2472536.4866394997</v>
      </c>
      <c r="AO95" s="143">
        <f t="shared" si="91"/>
        <v>-97103256.653365493</v>
      </c>
      <c r="AP95" s="143">
        <f t="shared" si="92"/>
        <v>-17688714.704836003</v>
      </c>
      <c r="AQ95" s="144">
        <f t="shared" si="93"/>
        <v>-114791971.3582015</v>
      </c>
    </row>
    <row r="96" spans="1:43" s="82" customFormat="1" ht="24.95" customHeight="1" x14ac:dyDescent="0.2">
      <c r="A96" s="128" t="s">
        <v>649</v>
      </c>
      <c r="B96" s="128" t="s">
        <v>650</v>
      </c>
      <c r="C96" s="128"/>
      <c r="D96" s="128"/>
      <c r="E96" s="128" t="s">
        <v>601</v>
      </c>
      <c r="F96" s="128" t="s">
        <v>652</v>
      </c>
      <c r="G96" s="139">
        <f t="shared" si="63"/>
        <v>8157.41</v>
      </c>
      <c r="H96" s="140">
        <f t="shared" si="64"/>
        <v>3765.8099999999995</v>
      </c>
      <c r="I96" s="141">
        <v>11923.22</v>
      </c>
      <c r="J96" s="142">
        <v>-36</v>
      </c>
      <c r="K96" s="142">
        <f t="shared" si="65"/>
        <v>-36</v>
      </c>
      <c r="L96" s="134">
        <f t="shared" si="66"/>
        <v>-429235.92</v>
      </c>
      <c r="M96" s="135">
        <f t="shared" si="67"/>
        <v>-11523.378599999998</v>
      </c>
      <c r="N96" s="136">
        <f t="shared" si="68"/>
        <v>-82226.692800000019</v>
      </c>
      <c r="O96" s="137">
        <f t="shared" si="69"/>
        <v>-522985.9914</v>
      </c>
      <c r="P96" s="138">
        <v>12</v>
      </c>
      <c r="Q96" s="134">
        <f t="shared" si="70"/>
        <v>-476928.79999999993</v>
      </c>
      <c r="R96" s="135">
        <f t="shared" si="71"/>
        <v>-12483.660149999998</v>
      </c>
      <c r="S96" s="136">
        <f t="shared" si="72"/>
        <v>-489412.46014999994</v>
      </c>
      <c r="T96" s="135">
        <f t="shared" si="73"/>
        <v>-89078.917200000025</v>
      </c>
      <c r="U96" s="137">
        <f t="shared" si="74"/>
        <v>-578491.37734999997</v>
      </c>
      <c r="V96" s="135">
        <f t="shared" si="75"/>
        <v>-5723145.5999999996</v>
      </c>
      <c r="W96" s="136">
        <f t="shared" si="76"/>
        <v>-149803.92179999998</v>
      </c>
      <c r="X96" s="137">
        <f t="shared" si="77"/>
        <v>-5872949.5217999993</v>
      </c>
      <c r="Y96" s="134">
        <f t="shared" si="78"/>
        <v>-1068947.0064000003</v>
      </c>
      <c r="Z96" s="137">
        <f t="shared" si="79"/>
        <v>-6941896.5281999996</v>
      </c>
      <c r="AA96" s="139">
        <v>8574.25</v>
      </c>
      <c r="AB96" s="140">
        <f t="shared" si="80"/>
        <v>3945.1299999999992</v>
      </c>
      <c r="AC96" s="141">
        <v>12519.38</v>
      </c>
      <c r="AD96" s="134">
        <f t="shared" si="81"/>
        <v>-450697.68</v>
      </c>
      <c r="AE96" s="135">
        <f t="shared" si="82"/>
        <v>-12072.097799999998</v>
      </c>
      <c r="AF96" s="136">
        <f t="shared" si="83"/>
        <v>-86428.440000000017</v>
      </c>
      <c r="AG96" s="137">
        <f t="shared" si="84"/>
        <v>-549198.21779999998</v>
      </c>
      <c r="AH96" s="135">
        <f t="shared" si="85"/>
        <v>-5943414.7944</v>
      </c>
      <c r="AI96" s="135">
        <f t="shared" si="86"/>
        <v>-155291.11379999996</v>
      </c>
      <c r="AJ96" s="137">
        <f t="shared" si="87"/>
        <v>-6098705.9082000004</v>
      </c>
      <c r="AK96" s="134">
        <f t="shared" si="88"/>
        <v>-1110964.4784000001</v>
      </c>
      <c r="AL96" s="137">
        <f t="shared" si="89"/>
        <v>-7209670.3866000008</v>
      </c>
      <c r="AM96" s="143">
        <f t="shared" si="90"/>
        <v>-79225719.209352002</v>
      </c>
      <c r="AN96" s="143">
        <f t="shared" si="90"/>
        <v>-2070030.5469539994</v>
      </c>
      <c r="AO96" s="143">
        <f t="shared" si="91"/>
        <v>-81295749.756306008</v>
      </c>
      <c r="AP96" s="143">
        <f t="shared" si="92"/>
        <v>-14809156.497072002</v>
      </c>
      <c r="AQ96" s="144">
        <f t="shared" si="93"/>
        <v>-96104906.253378004</v>
      </c>
    </row>
    <row r="97" spans="1:43" s="82" customFormat="1" ht="24.95" customHeight="1" x14ac:dyDescent="0.2">
      <c r="A97" s="128" t="s">
        <v>649</v>
      </c>
      <c r="B97" s="128" t="s">
        <v>650</v>
      </c>
      <c r="C97" s="128"/>
      <c r="D97" s="128"/>
      <c r="E97" s="128" t="s">
        <v>601</v>
      </c>
      <c r="F97" s="128" t="s">
        <v>653</v>
      </c>
      <c r="G97" s="139">
        <f t="shared" si="63"/>
        <v>8157.41</v>
      </c>
      <c r="H97" s="140">
        <f t="shared" si="64"/>
        <v>-2979.7699999999995</v>
      </c>
      <c r="I97" s="141">
        <v>5177.6400000000003</v>
      </c>
      <c r="J97" s="142">
        <v>-120</v>
      </c>
      <c r="K97" s="142">
        <f t="shared" si="65"/>
        <v>-120</v>
      </c>
      <c r="L97" s="134">
        <f t="shared" si="66"/>
        <v>-621316.80000000005</v>
      </c>
      <c r="M97" s="135">
        <f t="shared" si="67"/>
        <v>0</v>
      </c>
      <c r="N97" s="136">
        <f t="shared" si="68"/>
        <v>-173968.70400000003</v>
      </c>
      <c r="O97" s="137">
        <f t="shared" si="69"/>
        <v>-795285.50400000007</v>
      </c>
      <c r="P97" s="138">
        <v>12</v>
      </c>
      <c r="Q97" s="134">
        <f t="shared" si="70"/>
        <v>-690352.00000000012</v>
      </c>
      <c r="R97" s="135">
        <f t="shared" si="71"/>
        <v>0</v>
      </c>
      <c r="S97" s="136">
        <f t="shared" si="72"/>
        <v>-690352.00000000012</v>
      </c>
      <c r="T97" s="135">
        <f t="shared" si="73"/>
        <v>-188466.09600000002</v>
      </c>
      <c r="U97" s="137">
        <f t="shared" si="74"/>
        <v>-878818.09600000014</v>
      </c>
      <c r="V97" s="135">
        <f t="shared" si="75"/>
        <v>-8284224.0000000009</v>
      </c>
      <c r="W97" s="136">
        <f t="shared" si="76"/>
        <v>0</v>
      </c>
      <c r="X97" s="137">
        <f t="shared" si="77"/>
        <v>-8284224.0000000009</v>
      </c>
      <c r="Y97" s="134">
        <f t="shared" si="78"/>
        <v>-2261593.1520000002</v>
      </c>
      <c r="Z97" s="137">
        <f t="shared" si="79"/>
        <v>-10545817.152000001</v>
      </c>
      <c r="AA97" s="139">
        <v>8574.25</v>
      </c>
      <c r="AB97" s="140">
        <f t="shared" si="80"/>
        <v>-3137.7299999999996</v>
      </c>
      <c r="AC97" s="141">
        <v>5436.52</v>
      </c>
      <c r="AD97" s="134">
        <f t="shared" si="81"/>
        <v>-652382.4</v>
      </c>
      <c r="AE97" s="135">
        <f t="shared" si="82"/>
        <v>0</v>
      </c>
      <c r="AF97" s="136">
        <f t="shared" si="83"/>
        <v>-182667.07200000001</v>
      </c>
      <c r="AG97" s="137">
        <f t="shared" si="84"/>
        <v>-835049.47200000007</v>
      </c>
      <c r="AH97" s="135">
        <f t="shared" si="85"/>
        <v>-8603060.5920000002</v>
      </c>
      <c r="AI97" s="135">
        <f t="shared" si="86"/>
        <v>0</v>
      </c>
      <c r="AJ97" s="137">
        <f t="shared" si="87"/>
        <v>-8603060.5920000002</v>
      </c>
      <c r="AK97" s="134">
        <f t="shared" si="88"/>
        <v>-2348576.8320000004</v>
      </c>
      <c r="AL97" s="137">
        <f t="shared" si="89"/>
        <v>-10951637.424000001</v>
      </c>
      <c r="AM97" s="143">
        <f t="shared" si="90"/>
        <v>-114678797.69136</v>
      </c>
      <c r="AN97" s="143">
        <f t="shared" si="90"/>
        <v>0</v>
      </c>
      <c r="AO97" s="143">
        <f t="shared" si="91"/>
        <v>-114678797.69136</v>
      </c>
      <c r="AP97" s="143">
        <f t="shared" si="92"/>
        <v>-31306529.170560006</v>
      </c>
      <c r="AQ97" s="144">
        <f t="shared" si="93"/>
        <v>-145985326.86192</v>
      </c>
    </row>
    <row r="98" spans="1:43" ht="24.95" customHeight="1" x14ac:dyDescent="0.25">
      <c r="A98" s="128" t="s">
        <v>649</v>
      </c>
      <c r="B98" s="128" t="s">
        <v>650</v>
      </c>
      <c r="C98" s="128"/>
      <c r="D98" s="128"/>
      <c r="E98" s="128" t="s">
        <v>601</v>
      </c>
      <c r="F98" s="128" t="s">
        <v>654</v>
      </c>
      <c r="G98" s="139">
        <f t="shared" si="63"/>
        <v>8157.41</v>
      </c>
      <c r="H98" s="140">
        <f t="shared" si="64"/>
        <v>-2979.7699999999995</v>
      </c>
      <c r="I98" s="141">
        <v>5177.6400000000003</v>
      </c>
      <c r="J98" s="142">
        <v>-142</v>
      </c>
      <c r="K98" s="142">
        <f t="shared" si="65"/>
        <v>-142</v>
      </c>
      <c r="L98" s="134">
        <f t="shared" si="66"/>
        <v>-735224.88</v>
      </c>
      <c r="M98" s="135">
        <f t="shared" si="67"/>
        <v>0</v>
      </c>
      <c r="N98" s="136">
        <f t="shared" si="68"/>
        <v>-205862.96640000003</v>
      </c>
      <c r="O98" s="137">
        <f t="shared" si="69"/>
        <v>-941087.84640000004</v>
      </c>
      <c r="P98" s="138">
        <v>12</v>
      </c>
      <c r="Q98" s="134">
        <f t="shared" si="70"/>
        <v>-816916.53333333333</v>
      </c>
      <c r="R98" s="135">
        <f t="shared" si="71"/>
        <v>0</v>
      </c>
      <c r="S98" s="136">
        <f t="shared" si="72"/>
        <v>-816916.53333333333</v>
      </c>
      <c r="T98" s="135">
        <f t="shared" si="73"/>
        <v>-223018.21360000005</v>
      </c>
      <c r="U98" s="137">
        <f t="shared" si="74"/>
        <v>-1039934.7469333333</v>
      </c>
      <c r="V98" s="135">
        <f t="shared" si="75"/>
        <v>-9802998.4000000004</v>
      </c>
      <c r="W98" s="136">
        <f t="shared" si="76"/>
        <v>0</v>
      </c>
      <c r="X98" s="137">
        <f t="shared" si="77"/>
        <v>-9802998.4000000004</v>
      </c>
      <c r="Y98" s="134">
        <f t="shared" si="78"/>
        <v>-2676218.5632000007</v>
      </c>
      <c r="Z98" s="137">
        <f t="shared" si="79"/>
        <v>-12479216.963200001</v>
      </c>
      <c r="AA98" s="139">
        <v>8574.25</v>
      </c>
      <c r="AB98" s="140">
        <f t="shared" si="80"/>
        <v>-3137.7299999999996</v>
      </c>
      <c r="AC98" s="141">
        <v>5436.52</v>
      </c>
      <c r="AD98" s="134">
        <f t="shared" si="81"/>
        <v>-771985.84000000008</v>
      </c>
      <c r="AE98" s="135">
        <f t="shared" si="82"/>
        <v>0</v>
      </c>
      <c r="AF98" s="136">
        <f t="shared" si="83"/>
        <v>-216156.03520000004</v>
      </c>
      <c r="AG98" s="137">
        <f t="shared" si="84"/>
        <v>-988141.87520000013</v>
      </c>
      <c r="AH98" s="135">
        <f t="shared" si="85"/>
        <v>-10180288.3672</v>
      </c>
      <c r="AI98" s="135">
        <f t="shared" si="86"/>
        <v>0</v>
      </c>
      <c r="AJ98" s="137">
        <f t="shared" si="87"/>
        <v>-10180288.3672</v>
      </c>
      <c r="AK98" s="134">
        <f t="shared" si="88"/>
        <v>-2779149.2512000008</v>
      </c>
      <c r="AL98" s="137">
        <f t="shared" si="89"/>
        <v>-12959437.6184</v>
      </c>
      <c r="AM98" s="143">
        <f t="shared" si="90"/>
        <v>-135703243.93477601</v>
      </c>
      <c r="AN98" s="143">
        <f t="shared" si="90"/>
        <v>0</v>
      </c>
      <c r="AO98" s="143">
        <f t="shared" si="91"/>
        <v>-135703243.93477601</v>
      </c>
      <c r="AP98" s="143">
        <f t="shared" si="92"/>
        <v>-37046059.518496007</v>
      </c>
      <c r="AQ98" s="144">
        <f t="shared" si="93"/>
        <v>-172749303.45327201</v>
      </c>
    </row>
    <row r="99" spans="1:43" ht="24.95" customHeight="1" x14ac:dyDescent="0.25">
      <c r="A99" s="128" t="s">
        <v>649</v>
      </c>
      <c r="B99" s="128" t="s">
        <v>655</v>
      </c>
      <c r="C99" s="128"/>
      <c r="D99" s="128"/>
      <c r="E99" s="128" t="s">
        <v>601</v>
      </c>
      <c r="F99" s="128" t="s">
        <v>656</v>
      </c>
      <c r="G99" s="139">
        <f t="shared" si="63"/>
        <v>8157.41</v>
      </c>
      <c r="H99" s="140">
        <f t="shared" si="64"/>
        <v>9876.11</v>
      </c>
      <c r="I99" s="141">
        <v>18033.52</v>
      </c>
      <c r="J99" s="149">
        <v>117</v>
      </c>
      <c r="K99" s="149">
        <f t="shared" si="65"/>
        <v>117</v>
      </c>
      <c r="L99" s="134">
        <f t="shared" si="66"/>
        <v>2109921.84</v>
      </c>
      <c r="M99" s="135">
        <f t="shared" si="67"/>
        <v>98217.913950000016</v>
      </c>
      <c r="N99" s="136">
        <f t="shared" si="68"/>
        <v>267236.75160000002</v>
      </c>
      <c r="O99" s="137">
        <f t="shared" si="69"/>
        <v>2475376.5055499999</v>
      </c>
      <c r="P99" s="138">
        <v>12</v>
      </c>
      <c r="Q99" s="134">
        <f t="shared" si="70"/>
        <v>2344357.5999999996</v>
      </c>
      <c r="R99" s="135">
        <f t="shared" si="71"/>
        <v>106402.74011250002</v>
      </c>
      <c r="S99" s="136">
        <f t="shared" si="72"/>
        <v>2450760.3401124994</v>
      </c>
      <c r="T99" s="135">
        <f t="shared" si="73"/>
        <v>289506.48090000002</v>
      </c>
      <c r="U99" s="137">
        <f t="shared" si="74"/>
        <v>2740266.8210124993</v>
      </c>
      <c r="V99" s="135">
        <f t="shared" si="75"/>
        <v>28132291.199999999</v>
      </c>
      <c r="W99" s="136">
        <f t="shared" si="76"/>
        <v>1276832.8813500002</v>
      </c>
      <c r="X99" s="137">
        <f t="shared" si="77"/>
        <v>29409124.081349999</v>
      </c>
      <c r="Y99" s="134">
        <f t="shared" si="78"/>
        <v>3474077.7708000001</v>
      </c>
      <c r="Z99" s="137">
        <f t="shared" si="79"/>
        <v>32883201.852150001</v>
      </c>
      <c r="AA99" s="139">
        <v>8574.25</v>
      </c>
      <c r="AB99" s="140">
        <f t="shared" si="80"/>
        <v>11425.75</v>
      </c>
      <c r="AC99" s="141">
        <v>20000</v>
      </c>
      <c r="AD99" s="134">
        <f t="shared" si="81"/>
        <v>2340000</v>
      </c>
      <c r="AE99" s="135">
        <f t="shared" si="82"/>
        <v>113629.08375000001</v>
      </c>
      <c r="AF99" s="136">
        <f t="shared" si="83"/>
        <v>280892.43000000005</v>
      </c>
      <c r="AG99" s="137">
        <f t="shared" si="84"/>
        <v>2734521.5137500004</v>
      </c>
      <c r="AH99" s="135">
        <f t="shared" si="85"/>
        <v>30501965.52</v>
      </c>
      <c r="AI99" s="135">
        <f t="shared" si="86"/>
        <v>1430944.5793500002</v>
      </c>
      <c r="AJ99" s="137">
        <f t="shared" si="87"/>
        <v>31932910.099349998</v>
      </c>
      <c r="AK99" s="134">
        <f t="shared" si="88"/>
        <v>3610634.554800001</v>
      </c>
      <c r="AL99" s="137">
        <f t="shared" si="89"/>
        <v>35543544.654150002</v>
      </c>
      <c r="AM99" s="143">
        <f t="shared" si="90"/>
        <v>406591200.38160002</v>
      </c>
      <c r="AN99" s="143">
        <f t="shared" si="90"/>
        <v>19074491.242735505</v>
      </c>
      <c r="AO99" s="143">
        <f t="shared" si="91"/>
        <v>425665691.62433553</v>
      </c>
      <c r="AP99" s="143">
        <f t="shared" si="92"/>
        <v>48129758.615484014</v>
      </c>
      <c r="AQ99" s="144">
        <f t="shared" si="93"/>
        <v>473795450.23981953</v>
      </c>
    </row>
    <row r="101" spans="1:43" ht="18" x14ac:dyDescent="0.25">
      <c r="S101" s="150">
        <v>-7077398.7308847178</v>
      </c>
      <c r="T101" s="150">
        <v>-3189853.9057</v>
      </c>
      <c r="U101" s="150">
        <v>-6257827.1937847268</v>
      </c>
      <c r="V101" s="150">
        <v>-15559763.838266671</v>
      </c>
      <c r="W101" s="150">
        <v>3406090.7744499999</v>
      </c>
      <c r="X101" s="150">
        <v>-11498407.358883364</v>
      </c>
      <c r="Y101" s="150">
        <v>-12671783.160399999</v>
      </c>
      <c r="Z101" s="150">
        <v>-24170190.519283369</v>
      </c>
      <c r="AA101" s="150">
        <v>-3817126.8772000102</v>
      </c>
      <c r="AB101" s="150">
        <v>-10965027.825066665</v>
      </c>
      <c r="AC101" s="150">
        <v>-83846913.999999747</v>
      </c>
      <c r="AD101" s="150">
        <v>1271799.3464000002</v>
      </c>
      <c r="AE101" s="150">
        <v>-81970719.804349765</v>
      </c>
      <c r="AF101" s="150">
        <v>-29153862.821999997</v>
      </c>
      <c r="AG101" s="150">
        <v>-111421907.23635013</v>
      </c>
      <c r="AH101" s="150">
        <v>-4698913.2913000071</v>
      </c>
      <c r="AI101" s="150">
        <v>3856723.34045</v>
      </c>
      <c r="AJ101" s="150">
        <v>-842189.950850002</v>
      </c>
      <c r="AK101" s="150">
        <v>-12373863.483199997</v>
      </c>
      <c r="AL101" s="150">
        <v>-14695406.851100001</v>
      </c>
      <c r="AM101" s="150">
        <v>-24442329.177671976</v>
      </c>
      <c r="AN101" s="150">
        <v>20928979.463612489</v>
      </c>
      <c r="AO101" s="150">
        <v>-7401909.5636094874</v>
      </c>
      <c r="AP101" s="150">
        <v>-68123751.198047996</v>
      </c>
      <c r="AQ101" s="150">
        <v>-85106866.299872756</v>
      </c>
    </row>
    <row r="105" spans="1:43" x14ac:dyDescent="0.25">
      <c r="A105" s="145" t="s">
        <v>657</v>
      </c>
      <c r="G105" s="163">
        <f t="shared" ref="G105:AQ105" si="94">G23+G24</f>
        <v>16314.82</v>
      </c>
      <c r="H105" s="163">
        <f t="shared" si="94"/>
        <v>5445.2199999999984</v>
      </c>
      <c r="I105" s="163">
        <f t="shared" si="94"/>
        <v>21760.039999999997</v>
      </c>
      <c r="J105" s="163">
        <f t="shared" si="94"/>
        <v>-589</v>
      </c>
      <c r="K105" s="163">
        <f t="shared" si="94"/>
        <v>-589</v>
      </c>
      <c r="L105" s="163">
        <f t="shared" si="94"/>
        <v>-316135.45000000019</v>
      </c>
      <c r="M105" s="163">
        <f t="shared" si="94"/>
        <v>179649.25439999998</v>
      </c>
      <c r="N105" s="163">
        <f t="shared" si="94"/>
        <v>-680303.70519999997</v>
      </c>
      <c r="O105" s="163">
        <f t="shared" si="94"/>
        <v>-816789.90079999994</v>
      </c>
      <c r="P105" s="163">
        <f t="shared" si="94"/>
        <v>24</v>
      </c>
      <c r="Q105" s="163">
        <f t="shared" si="94"/>
        <v>-351261.61111111194</v>
      </c>
      <c r="R105" s="163">
        <f t="shared" si="94"/>
        <v>194620.02559999996</v>
      </c>
      <c r="S105" s="163">
        <f t="shared" si="94"/>
        <v>-156641.58551111165</v>
      </c>
      <c r="T105" s="163">
        <f t="shared" si="94"/>
        <v>-736995.68063333328</v>
      </c>
      <c r="U105" s="163">
        <f t="shared" si="94"/>
        <v>-893637.26614444517</v>
      </c>
      <c r="V105" s="163">
        <f t="shared" si="94"/>
        <v>-4215139.3333333358</v>
      </c>
      <c r="W105" s="163">
        <f t="shared" si="94"/>
        <v>2335440.3071999997</v>
      </c>
      <c r="X105" s="163">
        <f t="shared" si="94"/>
        <v>-1879699.0261333361</v>
      </c>
      <c r="Y105" s="163">
        <f t="shared" si="94"/>
        <v>-8843948.1675999984</v>
      </c>
      <c r="Z105" s="163">
        <f t="shared" si="94"/>
        <v>-10723647.193733335</v>
      </c>
      <c r="AA105" s="163">
        <f t="shared" si="94"/>
        <v>17148.5</v>
      </c>
      <c r="AB105" s="163">
        <f t="shared" si="94"/>
        <v>6191.489999999998</v>
      </c>
      <c r="AC105" s="163">
        <f t="shared" si="94"/>
        <v>23339.989999999998</v>
      </c>
      <c r="AD105" s="163">
        <f t="shared" si="94"/>
        <v>-205503.12999999989</v>
      </c>
      <c r="AE105" s="163">
        <f t="shared" si="94"/>
        <v>199151.21919999996</v>
      </c>
      <c r="AF105" s="163">
        <f t="shared" si="94"/>
        <v>-713568.4219999999</v>
      </c>
      <c r="AG105" s="163">
        <f t="shared" si="94"/>
        <v>-719920.33279999904</v>
      </c>
      <c r="AH105" s="163">
        <f t="shared" si="94"/>
        <v>-3071253.6829000041</v>
      </c>
      <c r="AI105" s="163">
        <f t="shared" si="94"/>
        <v>2530459.9551999997</v>
      </c>
      <c r="AJ105" s="163">
        <f t="shared" si="94"/>
        <v>-540793.72770000249</v>
      </c>
      <c r="AK105" s="163">
        <f t="shared" si="94"/>
        <v>-9176595.335599998</v>
      </c>
      <c r="AL105" s="163">
        <f t="shared" si="94"/>
        <v>-9717389.0632999986</v>
      </c>
      <c r="AM105" s="163">
        <f t="shared" si="94"/>
        <v>-2739356.7228999957</v>
      </c>
      <c r="AN105" s="163">
        <f t="shared" si="94"/>
        <v>2588965.8495999994</v>
      </c>
      <c r="AO105" s="163">
        <f t="shared" si="94"/>
        <v>-150390.87329999357</v>
      </c>
      <c r="AP105" s="163">
        <f t="shared" si="94"/>
        <v>-9276389.4859999977</v>
      </c>
      <c r="AQ105" s="163">
        <f t="shared" si="94"/>
        <v>-9426780.3592999876</v>
      </c>
    </row>
    <row r="106" spans="1:43" x14ac:dyDescent="0.25">
      <c r="A106" s="145" t="s">
        <v>606</v>
      </c>
      <c r="G106" s="163">
        <f t="shared" ref="G106:AP106" si="95">G25+G26+G27</f>
        <v>24472.23</v>
      </c>
      <c r="H106" s="163">
        <f t="shared" si="95"/>
        <v>4935.9799999999987</v>
      </c>
      <c r="I106" s="163">
        <f t="shared" si="95"/>
        <v>29408.21</v>
      </c>
      <c r="J106" s="163">
        <f t="shared" si="95"/>
        <v>-375</v>
      </c>
      <c r="K106" s="163">
        <f t="shared" si="95"/>
        <v>-375</v>
      </c>
      <c r="L106" s="163">
        <f t="shared" si="95"/>
        <v>-205109.83000000019</v>
      </c>
      <c r="M106" s="163">
        <f t="shared" si="95"/>
        <v>120701.84279999998</v>
      </c>
      <c r="N106" s="163">
        <f t="shared" si="95"/>
        <v>-455036.82279999997</v>
      </c>
      <c r="O106" s="163">
        <f t="shared" si="95"/>
        <v>-539444.80999999994</v>
      </c>
      <c r="P106" s="163">
        <f t="shared" si="95"/>
        <v>36</v>
      </c>
      <c r="Q106" s="163">
        <f t="shared" si="95"/>
        <v>-227899.81111111172</v>
      </c>
      <c r="R106" s="163">
        <f t="shared" si="95"/>
        <v>130760.32969999999</v>
      </c>
      <c r="S106" s="163">
        <f t="shared" si="95"/>
        <v>-97139.481411111599</v>
      </c>
      <c r="T106" s="163">
        <f t="shared" si="95"/>
        <v>-492956.55803333339</v>
      </c>
      <c r="U106" s="163">
        <f t="shared" si="95"/>
        <v>-590096.03944444517</v>
      </c>
      <c r="V106" s="163">
        <f t="shared" si="95"/>
        <v>-2734797.7333333353</v>
      </c>
      <c r="W106" s="163">
        <f t="shared" si="95"/>
        <v>1569123.9563999998</v>
      </c>
      <c r="X106" s="163">
        <f t="shared" si="95"/>
        <v>-1165673.7769333357</v>
      </c>
      <c r="Y106" s="163">
        <f t="shared" si="95"/>
        <v>-5915478.6964000007</v>
      </c>
      <c r="Z106" s="163">
        <f t="shared" si="95"/>
        <v>-7081152.4733333383</v>
      </c>
      <c r="AA106" s="163">
        <f t="shared" si="95"/>
        <v>25722.75</v>
      </c>
      <c r="AB106" s="163">
        <f t="shared" si="95"/>
        <v>5877.2599999999984</v>
      </c>
      <c r="AC106" s="163">
        <f t="shared" si="95"/>
        <v>31600.01</v>
      </c>
      <c r="AD106" s="163">
        <f t="shared" si="95"/>
        <v>-140768.79999999993</v>
      </c>
      <c r="AE106" s="163">
        <f t="shared" si="95"/>
        <v>133804.7254</v>
      </c>
      <c r="AF106" s="163">
        <f t="shared" si="95"/>
        <v>-480183.77119999996</v>
      </c>
      <c r="AG106" s="163">
        <f t="shared" si="95"/>
        <v>-487147.84580000001</v>
      </c>
      <c r="AH106" s="163">
        <f t="shared" si="95"/>
        <v>-2069471.1939999973</v>
      </c>
      <c r="AI106" s="163">
        <f t="shared" si="95"/>
        <v>1700152.7823999999</v>
      </c>
      <c r="AJ106" s="163">
        <f t="shared" si="95"/>
        <v>-369318.41160000023</v>
      </c>
      <c r="AK106" s="163">
        <f t="shared" si="95"/>
        <v>-6166948.180399999</v>
      </c>
      <c r="AL106" s="163">
        <f t="shared" si="95"/>
        <v>-6536266.5919999983</v>
      </c>
      <c r="AM106" s="163">
        <f t="shared" si="95"/>
        <v>-1876448.1039999938</v>
      </c>
      <c r="AN106" s="163">
        <f t="shared" si="95"/>
        <v>1739461.4301999998</v>
      </c>
      <c r="AO106" s="163">
        <f t="shared" si="95"/>
        <v>-136986.67379999068</v>
      </c>
      <c r="AP106" s="163">
        <f t="shared" si="95"/>
        <v>-6242389.0255999994</v>
      </c>
      <c r="AQ106" s="163">
        <f t="shared" ref="AQ106" si="96">AQ25+AQ26+AQ27</f>
        <v>-6379375.699399991</v>
      </c>
    </row>
    <row r="107" spans="1:43" x14ac:dyDescent="0.25">
      <c r="A107" s="145" t="s">
        <v>658</v>
      </c>
      <c r="G107" s="163">
        <f t="shared" ref="G107:AP107" si="97">SUM(G28:G89)</f>
        <v>505759.41999999934</v>
      </c>
      <c r="H107" s="163">
        <f t="shared" si="97"/>
        <v>-67233.340000000011</v>
      </c>
      <c r="I107" s="163">
        <f t="shared" si="97"/>
        <v>438526.07999999996</v>
      </c>
      <c r="J107" s="163">
        <f t="shared" si="97"/>
        <v>-6938</v>
      </c>
      <c r="K107" s="163">
        <f t="shared" si="97"/>
        <v>-856</v>
      </c>
      <c r="L107" s="163">
        <f t="shared" si="97"/>
        <v>-6056133.959999986</v>
      </c>
      <c r="M107" s="163">
        <f t="shared" si="97"/>
        <v>0</v>
      </c>
      <c r="N107" s="163">
        <f t="shared" si="97"/>
        <v>-1695717.5088</v>
      </c>
      <c r="O107" s="163">
        <f t="shared" si="97"/>
        <v>-7751851.4687999934</v>
      </c>
      <c r="P107" s="163">
        <f t="shared" si="97"/>
        <v>744</v>
      </c>
      <c r="Q107" s="163">
        <f t="shared" si="97"/>
        <v>-6729037.7333333567</v>
      </c>
      <c r="R107" s="163">
        <f t="shared" si="97"/>
        <v>0</v>
      </c>
      <c r="S107" s="163">
        <f t="shared" si="97"/>
        <v>-6729037.7333333567</v>
      </c>
      <c r="T107" s="163">
        <f t="shared" si="97"/>
        <v>-1837027.3012000099</v>
      </c>
      <c r="U107" s="163">
        <f t="shared" si="97"/>
        <v>-8566065.0345333219</v>
      </c>
      <c r="V107" s="163">
        <f t="shared" si="97"/>
        <v>-80748452.799999714</v>
      </c>
      <c r="W107" s="163">
        <f t="shared" si="97"/>
        <v>0</v>
      </c>
      <c r="X107" s="163">
        <f t="shared" si="97"/>
        <v>-80748452.799999714</v>
      </c>
      <c r="Y107" s="163">
        <f t="shared" si="97"/>
        <v>-22044327.614399999</v>
      </c>
      <c r="Z107" s="163">
        <f t="shared" si="97"/>
        <v>-102792780.4144001</v>
      </c>
      <c r="AA107" s="163">
        <f t="shared" si="97"/>
        <v>531603.5</v>
      </c>
      <c r="AB107" s="163">
        <f t="shared" si="97"/>
        <v>-69816.22</v>
      </c>
      <c r="AC107" s="163">
        <f t="shared" si="97"/>
        <v>461787.28000000026</v>
      </c>
      <c r="AD107" s="163">
        <f t="shared" si="97"/>
        <v>1793628.6600000039</v>
      </c>
      <c r="AE107" s="163">
        <f t="shared" si="97"/>
        <v>0</v>
      </c>
      <c r="AF107" s="163">
        <f t="shared" si="97"/>
        <v>502216.02480000257</v>
      </c>
      <c r="AG107" s="163">
        <f t="shared" si="97"/>
        <v>2295844.6847999841</v>
      </c>
      <c r="AH107" s="163">
        <f t="shared" si="97"/>
        <v>359782.17779994011</v>
      </c>
      <c r="AI107" s="163">
        <f t="shared" si="97"/>
        <v>0</v>
      </c>
      <c r="AJ107" s="163">
        <f t="shared" si="97"/>
        <v>359782.17779994011</v>
      </c>
      <c r="AK107" s="163">
        <f t="shared" si="97"/>
        <v>-64992.27840000391</v>
      </c>
      <c r="AL107" s="163">
        <f t="shared" si="97"/>
        <v>294789.8993999958</v>
      </c>
      <c r="AM107" s="163">
        <f t="shared" si="97"/>
        <v>4795896.4300746918</v>
      </c>
      <c r="AN107" s="163">
        <f t="shared" si="97"/>
        <v>0</v>
      </c>
      <c r="AO107" s="163">
        <f t="shared" si="97"/>
        <v>4795896.4300746918</v>
      </c>
      <c r="AP107" s="163">
        <f t="shared" si="97"/>
        <v>-866347.0710735321</v>
      </c>
      <c r="AQ107" s="163">
        <f t="shared" ref="AQ107" si="98">SUM(AQ28:AQ89)</f>
        <v>3929549.3590049744</v>
      </c>
    </row>
    <row r="108" spans="1:43" x14ac:dyDescent="0.25">
      <c r="A108" s="145" t="s">
        <v>659</v>
      </c>
      <c r="G108" s="163">
        <f t="shared" ref="G108:AP108" si="99">G90+G91+G92+G93+G94</f>
        <v>40787.050000000003</v>
      </c>
      <c r="H108" s="163">
        <f t="shared" si="99"/>
        <v>11448.19</v>
      </c>
      <c r="I108" s="163">
        <f t="shared" si="99"/>
        <v>52235.240000000005</v>
      </c>
      <c r="J108" s="163">
        <f t="shared" si="99"/>
        <v>-27</v>
      </c>
      <c r="K108" s="163">
        <f t="shared" si="99"/>
        <v>-27</v>
      </c>
      <c r="L108" s="163">
        <f t="shared" si="99"/>
        <v>-37827.020000000019</v>
      </c>
      <c r="M108" s="163">
        <f t="shared" si="99"/>
        <v>9427.2284500000023</v>
      </c>
      <c r="N108" s="163">
        <f t="shared" si="99"/>
        <v>-41645.965200000013</v>
      </c>
      <c r="O108" s="163">
        <f t="shared" si="99"/>
        <v>-70045.756749999942</v>
      </c>
      <c r="P108" s="163">
        <f t="shared" si="99"/>
        <v>60</v>
      </c>
      <c r="Q108" s="163">
        <f t="shared" si="99"/>
        <v>-42030.022222222178</v>
      </c>
      <c r="R108" s="163">
        <f t="shared" si="99"/>
        <v>10212.830820833335</v>
      </c>
      <c r="S108" s="163">
        <f t="shared" si="99"/>
        <v>-31817.191401388845</v>
      </c>
      <c r="T108" s="163">
        <f t="shared" si="99"/>
        <v>-45116.462300000014</v>
      </c>
      <c r="U108" s="163">
        <f t="shared" si="99"/>
        <v>-76933.653701388801</v>
      </c>
      <c r="V108" s="163">
        <f t="shared" si="99"/>
        <v>-504360.2666666666</v>
      </c>
      <c r="W108" s="163">
        <f t="shared" si="99"/>
        <v>122553.96985000002</v>
      </c>
      <c r="X108" s="163">
        <f t="shared" si="99"/>
        <v>-381806.29681666568</v>
      </c>
      <c r="Y108" s="163">
        <f t="shared" si="99"/>
        <v>-541397.54759999993</v>
      </c>
      <c r="Z108" s="163">
        <f t="shared" si="99"/>
        <v>-923203.84441666771</v>
      </c>
      <c r="AA108" s="163">
        <f t="shared" si="99"/>
        <v>42871.25</v>
      </c>
      <c r="AB108" s="163">
        <f t="shared" si="99"/>
        <v>13040.55</v>
      </c>
      <c r="AC108" s="163">
        <f t="shared" si="99"/>
        <v>55911.8</v>
      </c>
      <c r="AD108" s="163">
        <f t="shared" si="99"/>
        <v>-18422.219999999972</v>
      </c>
      <c r="AE108" s="163">
        <f t="shared" si="99"/>
        <v>11711.045850000002</v>
      </c>
      <c r="AF108" s="163">
        <f t="shared" si="99"/>
        <v>-43735.784400000011</v>
      </c>
      <c r="AG108" s="163">
        <f t="shared" si="99"/>
        <v>-50446.958550000039</v>
      </c>
      <c r="AH108" s="163">
        <f t="shared" si="99"/>
        <v>-303782.59260000009</v>
      </c>
      <c r="AI108" s="163">
        <f t="shared" si="99"/>
        <v>145392.14385000002</v>
      </c>
      <c r="AJ108" s="163">
        <f t="shared" si="99"/>
        <v>-158390.44874999858</v>
      </c>
      <c r="AK108" s="163">
        <f t="shared" si="99"/>
        <v>-562295.7396000002</v>
      </c>
      <c r="AL108" s="163">
        <f t="shared" si="99"/>
        <v>-720686.18834999856</v>
      </c>
      <c r="AM108" s="163">
        <f t="shared" si="99"/>
        <v>-4049421.9593579918</v>
      </c>
      <c r="AN108" s="163">
        <f t="shared" si="99"/>
        <v>1938077.2775205001</v>
      </c>
      <c r="AO108" s="163">
        <f t="shared" si="99"/>
        <v>-2111344.6818374991</v>
      </c>
      <c r="AP108" s="163">
        <f t="shared" si="99"/>
        <v>-7495402.2088679997</v>
      </c>
      <c r="AQ108" s="163">
        <f t="shared" ref="AQ108" si="100">AQ90+AQ91+AQ92+AQ93+AQ94</f>
        <v>-9606746.8907054812</v>
      </c>
    </row>
    <row r="109" spans="1:43" x14ac:dyDescent="0.25">
      <c r="A109" s="145" t="s">
        <v>660</v>
      </c>
      <c r="G109" s="163">
        <f t="shared" ref="G109:AP109" si="101">+G95+G96+G97+G98+G99</f>
        <v>40787.050000000003</v>
      </c>
      <c r="H109" s="163">
        <f t="shared" si="101"/>
        <v>11448.19</v>
      </c>
      <c r="I109" s="163">
        <f t="shared" si="101"/>
        <v>52235.240000000005</v>
      </c>
      <c r="J109" s="163">
        <f t="shared" si="101"/>
        <v>-224</v>
      </c>
      <c r="K109" s="163">
        <f t="shared" si="101"/>
        <v>-224</v>
      </c>
      <c r="L109" s="163">
        <f t="shared" si="101"/>
        <v>-188554.2200000002</v>
      </c>
      <c r="M109" s="163">
        <f t="shared" si="101"/>
        <v>72930.49980000002</v>
      </c>
      <c r="N109" s="163">
        <f t="shared" si="101"/>
        <v>-293036.82800000004</v>
      </c>
      <c r="O109" s="163">
        <f t="shared" si="101"/>
        <v>-408660.54820000054</v>
      </c>
      <c r="P109" s="163">
        <f t="shared" si="101"/>
        <v>60</v>
      </c>
      <c r="Q109" s="163">
        <f t="shared" si="101"/>
        <v>-209504.68888888927</v>
      </c>
      <c r="R109" s="163">
        <f t="shared" si="101"/>
        <v>79008.041450000019</v>
      </c>
      <c r="S109" s="163">
        <f t="shared" si="101"/>
        <v>-130496.64743888937</v>
      </c>
      <c r="T109" s="163">
        <f t="shared" si="101"/>
        <v>-317456.5636666668</v>
      </c>
      <c r="U109" s="163">
        <f t="shared" si="101"/>
        <v>-447953.21110555669</v>
      </c>
      <c r="V109" s="163">
        <f t="shared" si="101"/>
        <v>-2514056.2666666694</v>
      </c>
      <c r="W109" s="163">
        <f t="shared" si="101"/>
        <v>948096.49740000023</v>
      </c>
      <c r="X109" s="163">
        <f t="shared" si="101"/>
        <v>-1565959.769266665</v>
      </c>
      <c r="Y109" s="163">
        <f t="shared" si="101"/>
        <v>-3809478.7640000014</v>
      </c>
      <c r="Z109" s="163">
        <f t="shared" si="101"/>
        <v>-5375438.533266671</v>
      </c>
      <c r="AA109" s="163">
        <f t="shared" si="101"/>
        <v>42871.25</v>
      </c>
      <c r="AB109" s="163">
        <f t="shared" si="101"/>
        <v>13040.55</v>
      </c>
      <c r="AC109" s="163">
        <f t="shared" si="101"/>
        <v>55911.8</v>
      </c>
      <c r="AD109" s="163">
        <f t="shared" si="101"/>
        <v>-73399.259999999776</v>
      </c>
      <c r="AE109" s="163">
        <f t="shared" si="101"/>
        <v>87137.535800000012</v>
      </c>
      <c r="AF109" s="163">
        <f t="shared" si="101"/>
        <v>-307593.08720000007</v>
      </c>
      <c r="AG109" s="163">
        <f t="shared" si="101"/>
        <v>-293854.81139999954</v>
      </c>
      <c r="AH109" s="163">
        <f t="shared" si="101"/>
        <v>-1323877.015800003</v>
      </c>
      <c r="AI109" s="163">
        <f t="shared" si="101"/>
        <v>1090166.8574000003</v>
      </c>
      <c r="AJ109" s="163">
        <f t="shared" si="101"/>
        <v>-233710.15839999914</v>
      </c>
      <c r="AK109" s="163">
        <f t="shared" si="101"/>
        <v>-3955041.3560000006</v>
      </c>
      <c r="AL109" s="163">
        <f t="shared" si="101"/>
        <v>-4188751.5143999979</v>
      </c>
      <c r="AM109" s="163">
        <f t="shared" si="101"/>
        <v>-17647280.620613992</v>
      </c>
      <c r="AN109" s="163">
        <f t="shared" si="101"/>
        <v>14531924.209142007</v>
      </c>
      <c r="AO109" s="163">
        <f t="shared" si="101"/>
        <v>-3115356.4114719629</v>
      </c>
      <c r="AP109" s="163">
        <f t="shared" si="101"/>
        <v>-52720701.275480002</v>
      </c>
      <c r="AQ109" s="163">
        <f t="shared" ref="AQ109" si="102">+AQ95+AQ96+AQ97+AQ98+AQ99</f>
        <v>-55836057.686951995</v>
      </c>
    </row>
    <row r="110" spans="1:43" x14ac:dyDescent="0.25"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1"/>
      <c r="AK110" s="151"/>
      <c r="AL110" s="151"/>
      <c r="AM110" s="151"/>
      <c r="AN110" s="151"/>
      <c r="AO110" s="151"/>
      <c r="AP110" s="151">
        <f>SUM(AP105:AP109)</f>
        <v>-76601229.067021534</v>
      </c>
      <c r="AQ110" s="151">
        <f>SUM(AQ105:AQ109)</f>
        <v>-77319411.277352482</v>
      </c>
    </row>
  </sheetData>
  <autoFilter ref="A22:AR99" xr:uid="{8014E5FA-339A-E544-A1B9-2BE1FC026735}"/>
  <mergeCells count="22">
    <mergeCell ref="B9:C9"/>
    <mergeCell ref="A2:K2"/>
    <mergeCell ref="A3:O3"/>
    <mergeCell ref="A4:O4"/>
    <mergeCell ref="B8:C8"/>
    <mergeCell ref="F8:G8"/>
    <mergeCell ref="A20:A21"/>
    <mergeCell ref="B20:B21"/>
    <mergeCell ref="AM18:AQ18"/>
    <mergeCell ref="G19:I19"/>
    <mergeCell ref="L19:M19"/>
    <mergeCell ref="Q19:S19"/>
    <mergeCell ref="V19:X19"/>
    <mergeCell ref="AD19:AE19"/>
    <mergeCell ref="AH19:AJ19"/>
    <mergeCell ref="AM19:AO19"/>
    <mergeCell ref="G18:I18"/>
    <mergeCell ref="L18:O18"/>
    <mergeCell ref="Q18:U18"/>
    <mergeCell ref="V18:Z18"/>
    <mergeCell ref="AD18:AG18"/>
    <mergeCell ref="AH18:AL18"/>
  </mergeCells>
  <conditionalFormatting sqref="L17:AQ17">
    <cfRule type="colorScale" priority="1">
      <colorScale>
        <cfvo type="num" val="0"/>
        <cfvo type="num" val="1"/>
        <color rgb="FFFF0000"/>
        <color theme="3" tint="0.499984740745262"/>
      </colorScale>
    </cfRule>
  </conditionalFormatting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386F2-BEF6-4465-BF11-97D31663B746}">
  <sheetPr>
    <tabColor theme="2"/>
  </sheetPr>
  <dimension ref="A2:AQ44"/>
  <sheetViews>
    <sheetView showGridLines="0" zoomScale="55" zoomScaleNormal="55" workbookViewId="0">
      <pane xSplit="4" topLeftCell="O1" activePane="topRight" state="frozen"/>
      <selection activeCell="H29" sqref="H29"/>
      <selection pane="topRight" activeCell="S17" sqref="S17"/>
    </sheetView>
  </sheetViews>
  <sheetFormatPr defaultColWidth="16.42578125" defaultRowHeight="15" outlineLevelCol="2" x14ac:dyDescent="0.25"/>
  <cols>
    <col min="1" max="1" width="12.7109375" style="145" customWidth="1"/>
    <col min="2" max="2" width="72.7109375" style="145" customWidth="1"/>
    <col min="3" max="4" width="12.7109375" style="145" hidden="1" customWidth="1" outlineLevel="1"/>
    <col min="5" max="5" width="39" style="145" bestFit="1" customWidth="1" collapsed="1"/>
    <col min="6" max="6" width="49.28515625" style="145" bestFit="1" customWidth="1"/>
    <col min="7" max="7" width="18.85546875" style="145" bestFit="1" customWidth="1"/>
    <col min="8" max="8" width="22.7109375" style="145" bestFit="1" customWidth="1"/>
    <col min="9" max="9" width="27.140625" style="145" customWidth="1"/>
    <col min="10" max="10" width="18.28515625" style="145" bestFit="1" customWidth="1"/>
    <col min="11" max="11" width="19.140625" style="145" bestFit="1" customWidth="1"/>
    <col min="12" max="12" width="27.42578125" style="145" customWidth="1" outlineLevel="1"/>
    <col min="13" max="13" width="28.42578125" style="145" customWidth="1" outlineLevel="1"/>
    <col min="14" max="14" width="25.28515625" style="145" customWidth="1" outlineLevel="1"/>
    <col min="15" max="15" width="30.140625" style="145" customWidth="1" outlineLevel="1"/>
    <col min="16" max="16" width="21.7109375" style="145" customWidth="1" outlineLevel="1"/>
    <col min="17" max="17" width="34.28515625" style="145" customWidth="1" outlineLevel="2"/>
    <col min="18" max="18" width="27.140625" style="145" customWidth="1" outlineLevel="2"/>
    <col min="19" max="19" width="27.42578125" style="145" customWidth="1"/>
    <col min="20" max="20" width="28.7109375" style="145" customWidth="1"/>
    <col min="21" max="22" width="34.28515625" style="145" hidden="1" customWidth="1" outlineLevel="1"/>
    <col min="23" max="23" width="30.140625" style="145" hidden="1" customWidth="1" outlineLevel="1"/>
    <col min="24" max="24" width="35.85546875" style="145" bestFit="1" customWidth="1" collapsed="1"/>
    <col min="25" max="25" width="33.28515625" style="145" bestFit="1" customWidth="1"/>
    <col min="26" max="26" width="35.85546875" style="145" customWidth="1" outlineLevel="1"/>
    <col min="27" max="27" width="31.42578125" style="145" customWidth="1" outlineLevel="1"/>
    <col min="28" max="28" width="23.7109375" style="145" customWidth="1" outlineLevel="1"/>
    <col min="29" max="29" width="28.140625" style="145" customWidth="1"/>
    <col min="30" max="30" width="29.28515625" style="145" customWidth="1" outlineLevel="1"/>
    <col min="31" max="31" width="28" style="145" customWidth="1" outlineLevel="1"/>
    <col min="32" max="32" width="26.42578125" style="145" customWidth="1" outlineLevel="1"/>
    <col min="33" max="33" width="30" style="145" customWidth="1" outlineLevel="1"/>
    <col min="34" max="34" width="30.42578125" style="145" customWidth="1" outlineLevel="1"/>
    <col min="35" max="35" width="30" style="145" customWidth="1" outlineLevel="1"/>
    <col min="36" max="36" width="31.85546875" style="145" bestFit="1" customWidth="1"/>
    <col min="37" max="37" width="28.7109375" style="145" bestFit="1" customWidth="1"/>
    <col min="38" max="38" width="32.85546875" style="145" customWidth="1" outlineLevel="1"/>
    <col min="39" max="39" width="31" style="145" customWidth="1" outlineLevel="1"/>
    <col min="40" max="40" width="30" style="145" customWidth="1" outlineLevel="1"/>
    <col min="41" max="41" width="33.42578125" style="145" bestFit="1" customWidth="1"/>
    <col min="42" max="42" width="30.42578125" style="145" bestFit="1" customWidth="1"/>
    <col min="43" max="43" width="32.85546875" style="145" customWidth="1" outlineLevel="1"/>
    <col min="44" max="16384" width="16.42578125" style="145"/>
  </cols>
  <sheetData>
    <row r="2" spans="1:42" s="82" customFormat="1" ht="3.95" customHeight="1" x14ac:dyDescent="0.25">
      <c r="A2" s="1361"/>
      <c r="B2" s="1361"/>
      <c r="C2" s="1361"/>
      <c r="D2" s="1361"/>
      <c r="E2" s="1361"/>
      <c r="F2" s="1361"/>
      <c r="G2" s="1361"/>
      <c r="H2" s="1361"/>
      <c r="I2" s="1361"/>
      <c r="J2" s="1361"/>
      <c r="K2" s="1361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42" s="82" customFormat="1" ht="3.95" customHeight="1" x14ac:dyDescent="0.25">
      <c r="A3" s="1361"/>
      <c r="B3" s="1361"/>
      <c r="C3" s="1361"/>
      <c r="D3" s="1361"/>
      <c r="E3" s="1361"/>
      <c r="F3" s="1361"/>
      <c r="G3" s="1361"/>
      <c r="H3" s="1361"/>
      <c r="I3" s="1361"/>
      <c r="J3" s="1361"/>
      <c r="K3" s="1361"/>
      <c r="L3" s="1361"/>
      <c r="M3" s="1361"/>
      <c r="N3" s="1361"/>
      <c r="O3" s="1361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</row>
    <row r="4" spans="1:42" s="82" customFormat="1" ht="3.95" customHeight="1" x14ac:dyDescent="0.25">
      <c r="A4" s="1361"/>
      <c r="B4" s="1361"/>
      <c r="C4" s="1361"/>
      <c r="D4" s="1361"/>
      <c r="E4" s="1361"/>
      <c r="F4" s="1361"/>
      <c r="G4" s="1361"/>
      <c r="H4" s="1361"/>
      <c r="I4" s="1361"/>
      <c r="J4" s="1361"/>
      <c r="K4" s="1361"/>
      <c r="L4" s="1361"/>
      <c r="M4" s="1361"/>
      <c r="N4" s="1361"/>
      <c r="O4" s="1361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</row>
    <row r="5" spans="1:42" s="82" customFormat="1" ht="3.95" customHeight="1" x14ac:dyDescent="0.3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42" s="82" customFormat="1" ht="3.95" customHeight="1" x14ac:dyDescent="0.3">
      <c r="A6" s="79"/>
      <c r="B6" s="79"/>
      <c r="C6" s="80"/>
      <c r="D6" s="80"/>
      <c r="E6" s="80"/>
      <c r="F6" s="80"/>
      <c r="G6" s="80"/>
      <c r="H6" s="80"/>
      <c r="I6" s="80"/>
      <c r="J6" s="80"/>
      <c r="K6" s="80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42" s="82" customFormat="1" ht="20.25" x14ac:dyDescent="0.3">
      <c r="A7" s="86"/>
      <c r="B7" s="87"/>
      <c r="C7" s="86"/>
      <c r="D7" s="87"/>
      <c r="E7" s="86"/>
      <c r="F7" s="86"/>
      <c r="G7" s="86"/>
      <c r="H7" s="87"/>
      <c r="I7" s="87"/>
      <c r="J7" s="86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</row>
    <row r="8" spans="1:42" s="82" customFormat="1" ht="23.25" x14ac:dyDescent="0.35">
      <c r="A8" s="89" t="s">
        <v>331</v>
      </c>
      <c r="B8" s="1360" t="s">
        <v>332</v>
      </c>
      <c r="C8" s="1360"/>
      <c r="D8" s="87"/>
      <c r="E8" s="89" t="s">
        <v>333</v>
      </c>
      <c r="F8" s="1360" t="s">
        <v>453</v>
      </c>
      <c r="G8" s="1360"/>
      <c r="H8" s="87"/>
      <c r="I8" s="86"/>
      <c r="J8" s="86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</row>
    <row r="9" spans="1:42" s="82" customFormat="1" ht="23.25" x14ac:dyDescent="0.35">
      <c r="A9" s="89" t="s">
        <v>334</v>
      </c>
      <c r="B9" s="1360" t="s">
        <v>335</v>
      </c>
      <c r="C9" s="1360"/>
      <c r="D9" s="87"/>
      <c r="E9" s="86"/>
      <c r="F9" s="86"/>
      <c r="G9" s="86"/>
      <c r="H9" s="86"/>
      <c r="I9" s="86"/>
      <c r="J9" s="86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</row>
    <row r="10" spans="1:42" s="82" customFormat="1" ht="15.6" customHeight="1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</row>
    <row r="11" spans="1:42" s="82" customFormat="1" ht="6" customHeight="1" x14ac:dyDescent="0.2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42" s="82" customFormat="1" ht="6" customHeight="1" x14ac:dyDescent="0.2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42" s="82" customFormat="1" ht="6" customHeight="1" x14ac:dyDescent="0.3">
      <c r="A13" s="80"/>
      <c r="B13" s="80"/>
      <c r="C13" s="80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42" s="82" customFormat="1" ht="21" x14ac:dyDescent="0.35">
      <c r="A14" s="80"/>
      <c r="B14" s="90" t="s">
        <v>336</v>
      </c>
      <c r="C14" s="90" t="s">
        <v>337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O14" s="364">
        <f>AO15+AO17</f>
        <v>-10576827.657099977</v>
      </c>
    </row>
    <row r="15" spans="1:42" s="82" customFormat="1" ht="21" x14ac:dyDescent="0.35">
      <c r="A15" s="91" t="s">
        <v>338</v>
      </c>
      <c r="B15" s="92"/>
      <c r="C15" s="93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O15" s="363">
        <v>25672546</v>
      </c>
    </row>
    <row r="16" spans="1:42" s="82" customFormat="1" ht="27.75" customHeight="1" x14ac:dyDescent="0.2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94"/>
      <c r="R16" s="81"/>
      <c r="S16" s="95"/>
      <c r="T16" s="96"/>
      <c r="U16" s="94"/>
      <c r="V16" s="94"/>
      <c r="W16" s="81"/>
      <c r="X16" s="95"/>
      <c r="Y16" s="96"/>
      <c r="Z16" s="94"/>
      <c r="AA16" s="94"/>
      <c r="AB16" s="94"/>
      <c r="AG16" s="152">
        <f>AG22+Z22</f>
        <v>-47442597.674800001</v>
      </c>
      <c r="AJ16" s="97"/>
      <c r="AK16" s="97"/>
      <c r="AO16" s="97"/>
      <c r="AP16" s="97"/>
    </row>
    <row r="17" spans="1:43" s="100" customFormat="1" ht="18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9"/>
      <c r="K17" s="99"/>
      <c r="L17" s="99">
        <f t="shared" ref="L17:Z17" si="0">L22</f>
        <v>-2590050.3299999987</v>
      </c>
      <c r="M17" s="99">
        <f t="shared" si="0"/>
        <v>0</v>
      </c>
      <c r="N17" s="99">
        <f t="shared" si="0"/>
        <v>-725214.0924000002</v>
      </c>
      <c r="O17" s="99">
        <f t="shared" si="0"/>
        <v>-3315264.422400001</v>
      </c>
      <c r="P17" s="99">
        <f t="shared" si="0"/>
        <v>12</v>
      </c>
      <c r="Q17" s="99">
        <f t="shared" si="0"/>
        <v>-2877833.6999999983</v>
      </c>
      <c r="R17" s="99">
        <f t="shared" si="0"/>
        <v>0</v>
      </c>
      <c r="S17" s="99">
        <f t="shared" si="0"/>
        <v>-2877833.6999999983</v>
      </c>
      <c r="T17" s="99">
        <f t="shared" si="0"/>
        <v>-785648.60009999992</v>
      </c>
      <c r="U17" s="99">
        <f t="shared" si="0"/>
        <v>-3663482.3000999992</v>
      </c>
      <c r="V17" s="99">
        <f t="shared" si="0"/>
        <v>-34534004.399999991</v>
      </c>
      <c r="W17" s="99">
        <f t="shared" si="0"/>
        <v>0</v>
      </c>
      <c r="X17" s="99">
        <f t="shared" si="0"/>
        <v>-34534004.399999991</v>
      </c>
      <c r="Y17" s="99">
        <f t="shared" si="0"/>
        <v>-9427783.2011999991</v>
      </c>
      <c r="Z17" s="99">
        <f t="shared" si="0"/>
        <v>-43961787.601199999</v>
      </c>
      <c r="AA17" s="99"/>
      <c r="AB17" s="99"/>
      <c r="AD17" s="99">
        <f t="shared" ref="AD17:AQ17" si="1">AD22</f>
        <v>-2719382.8700000006</v>
      </c>
      <c r="AE17" s="99">
        <f t="shared" si="1"/>
        <v>0</v>
      </c>
      <c r="AF17" s="99">
        <f t="shared" si="1"/>
        <v>-761427.20360000036</v>
      </c>
      <c r="AG17" s="99">
        <f t="shared" si="1"/>
        <v>-3480810.0736000012</v>
      </c>
      <c r="AH17" s="99">
        <f t="shared" si="1"/>
        <v>-35861376.037099965</v>
      </c>
      <c r="AI17" s="99">
        <f t="shared" si="1"/>
        <v>0</v>
      </c>
      <c r="AJ17" s="99">
        <f t="shared" si="1"/>
        <v>-35861376.037099965</v>
      </c>
      <c r="AK17" s="99">
        <f t="shared" si="1"/>
        <v>-9789914.3131999969</v>
      </c>
      <c r="AL17" s="99">
        <f t="shared" si="1"/>
        <v>-45651290.350299992</v>
      </c>
      <c r="AM17" s="99">
        <f t="shared" si="1"/>
        <v>-36249373.657099977</v>
      </c>
      <c r="AN17" s="99">
        <f t="shared" si="1"/>
        <v>0</v>
      </c>
      <c r="AO17" s="99">
        <f t="shared" si="1"/>
        <v>-36249373.657099977</v>
      </c>
      <c r="AP17" s="99">
        <f>AP22</f>
        <v>-9898553.6467999965</v>
      </c>
      <c r="AQ17" s="99">
        <f t="shared" si="1"/>
        <v>-46147927.303900033</v>
      </c>
    </row>
    <row r="18" spans="1:43" s="82" customFormat="1" ht="29.1" customHeight="1" x14ac:dyDescent="0.2">
      <c r="A18" s="81"/>
      <c r="B18" s="101"/>
      <c r="C18" s="81"/>
      <c r="D18" s="81"/>
      <c r="E18" s="81"/>
      <c r="F18" s="81"/>
      <c r="G18" s="1366" t="s">
        <v>454</v>
      </c>
      <c r="H18" s="1366"/>
      <c r="I18" s="1366"/>
      <c r="J18" s="81"/>
      <c r="K18" s="81"/>
      <c r="L18" s="1363" t="s">
        <v>455</v>
      </c>
      <c r="M18" s="1363"/>
      <c r="N18" s="1363"/>
      <c r="O18" s="1363"/>
      <c r="P18" s="98"/>
      <c r="Q18" s="1363" t="s">
        <v>456</v>
      </c>
      <c r="R18" s="1363"/>
      <c r="S18" s="1363"/>
      <c r="T18" s="1363"/>
      <c r="U18" s="1363"/>
      <c r="V18" s="1363" t="s">
        <v>457</v>
      </c>
      <c r="W18" s="1363"/>
      <c r="X18" s="1363"/>
      <c r="Y18" s="1363"/>
      <c r="Z18" s="1363"/>
      <c r="AA18" s="361"/>
      <c r="AB18" s="102"/>
      <c r="AC18" s="103"/>
      <c r="AD18" s="1363" t="s">
        <v>458</v>
      </c>
      <c r="AE18" s="1363"/>
      <c r="AF18" s="1363"/>
      <c r="AG18" s="1363"/>
      <c r="AH18" s="1363" t="s">
        <v>459</v>
      </c>
      <c r="AI18" s="1363"/>
      <c r="AJ18" s="1363"/>
      <c r="AK18" s="1363"/>
      <c r="AL18" s="1363"/>
      <c r="AM18" s="1363" t="s">
        <v>460</v>
      </c>
      <c r="AN18" s="1363"/>
      <c r="AO18" s="1363"/>
      <c r="AP18" s="1363"/>
      <c r="AQ18" s="1363"/>
    </row>
    <row r="19" spans="1:43" s="82" customFormat="1" ht="23.25" x14ac:dyDescent="0.35">
      <c r="A19" s="81"/>
      <c r="B19" s="104"/>
      <c r="C19" s="81"/>
      <c r="D19" s="81"/>
      <c r="E19" s="81"/>
      <c r="F19" s="81"/>
      <c r="G19" s="1364">
        <v>8157.41</v>
      </c>
      <c r="H19" s="1364"/>
      <c r="I19" s="1364"/>
      <c r="J19" s="81"/>
      <c r="K19" s="81"/>
      <c r="L19" s="1365" t="s">
        <v>34</v>
      </c>
      <c r="M19" s="1365"/>
      <c r="N19" s="105" t="s">
        <v>343</v>
      </c>
      <c r="O19" s="106" t="s">
        <v>13</v>
      </c>
      <c r="P19" s="81"/>
      <c r="Q19" s="1365" t="s">
        <v>34</v>
      </c>
      <c r="R19" s="1365"/>
      <c r="S19" s="1365"/>
      <c r="T19" s="105" t="s">
        <v>343</v>
      </c>
      <c r="U19" s="106" t="s">
        <v>13</v>
      </c>
      <c r="V19" s="1365" t="s">
        <v>344</v>
      </c>
      <c r="W19" s="1365"/>
      <c r="X19" s="1365"/>
      <c r="Y19" s="105" t="s">
        <v>343</v>
      </c>
      <c r="Z19" s="106" t="s">
        <v>13</v>
      </c>
      <c r="AA19" s="107"/>
      <c r="AB19" s="108"/>
      <c r="AC19" s="109"/>
      <c r="AD19" s="1365" t="s">
        <v>34</v>
      </c>
      <c r="AE19" s="1365"/>
      <c r="AF19" s="105" t="s">
        <v>343</v>
      </c>
      <c r="AG19" s="106" t="s">
        <v>13</v>
      </c>
      <c r="AH19" s="1365" t="s">
        <v>344</v>
      </c>
      <c r="AI19" s="1365"/>
      <c r="AJ19" s="1365"/>
      <c r="AK19" s="105" t="s">
        <v>343</v>
      </c>
      <c r="AL19" s="106" t="s">
        <v>13</v>
      </c>
      <c r="AM19" s="1365" t="s">
        <v>344</v>
      </c>
      <c r="AN19" s="1365"/>
      <c r="AO19" s="1365"/>
      <c r="AP19" s="105" t="s">
        <v>343</v>
      </c>
      <c r="AQ19" s="106" t="s">
        <v>13</v>
      </c>
    </row>
    <row r="20" spans="1:43" s="115" customFormat="1" ht="60" customHeight="1" x14ac:dyDescent="0.25">
      <c r="A20" s="1362" t="s">
        <v>461</v>
      </c>
      <c r="B20" s="1362" t="s">
        <v>462</v>
      </c>
      <c r="C20" s="110" t="s">
        <v>347</v>
      </c>
      <c r="D20" s="110" t="s">
        <v>463</v>
      </c>
      <c r="E20" s="110" t="s">
        <v>464</v>
      </c>
      <c r="F20" s="110" t="s">
        <v>465</v>
      </c>
      <c r="G20" s="110" t="s">
        <v>355</v>
      </c>
      <c r="H20" s="110" t="s">
        <v>466</v>
      </c>
      <c r="I20" s="111" t="s">
        <v>467</v>
      </c>
      <c r="J20" s="112" t="s">
        <v>468</v>
      </c>
      <c r="K20" s="113" t="s">
        <v>469</v>
      </c>
      <c r="L20" s="114" t="s">
        <v>470</v>
      </c>
      <c r="M20" s="110" t="s">
        <v>471</v>
      </c>
      <c r="N20" s="110" t="s">
        <v>472</v>
      </c>
      <c r="O20" s="110" t="s">
        <v>473</v>
      </c>
      <c r="P20" s="110" t="s">
        <v>474</v>
      </c>
      <c r="Q20" s="110" t="s">
        <v>475</v>
      </c>
      <c r="R20" s="110" t="s">
        <v>476</v>
      </c>
      <c r="S20" s="110" t="s">
        <v>477</v>
      </c>
      <c r="T20" s="110" t="s">
        <v>478</v>
      </c>
      <c r="U20" s="110" t="s">
        <v>479</v>
      </c>
      <c r="V20" s="110" t="s">
        <v>480</v>
      </c>
      <c r="W20" s="110" t="s">
        <v>481</v>
      </c>
      <c r="X20" s="110" t="s">
        <v>482</v>
      </c>
      <c r="Y20" s="110" t="s">
        <v>483</v>
      </c>
      <c r="Z20" s="110" t="s">
        <v>484</v>
      </c>
      <c r="AA20" s="110" t="s">
        <v>355</v>
      </c>
      <c r="AB20" s="110" t="s">
        <v>466</v>
      </c>
      <c r="AC20" s="111" t="s">
        <v>485</v>
      </c>
      <c r="AD20" s="114" t="s">
        <v>470</v>
      </c>
      <c r="AE20" s="110" t="s">
        <v>471</v>
      </c>
      <c r="AF20" s="110" t="s">
        <v>472</v>
      </c>
      <c r="AG20" s="110" t="s">
        <v>473</v>
      </c>
      <c r="AH20" s="110" t="s">
        <v>480</v>
      </c>
      <c r="AI20" s="110" t="s">
        <v>481</v>
      </c>
      <c r="AJ20" s="110" t="s">
        <v>482</v>
      </c>
      <c r="AK20" s="110" t="s">
        <v>483</v>
      </c>
      <c r="AL20" s="110" t="s">
        <v>484</v>
      </c>
      <c r="AM20" s="110" t="s">
        <v>480</v>
      </c>
      <c r="AN20" s="110" t="s">
        <v>481</v>
      </c>
      <c r="AO20" s="110" t="s">
        <v>482</v>
      </c>
      <c r="AP20" s="110" t="s">
        <v>483</v>
      </c>
      <c r="AQ20" s="110" t="s">
        <v>484</v>
      </c>
    </row>
    <row r="21" spans="1:43" s="115" customFormat="1" ht="28.35" customHeight="1" x14ac:dyDescent="0.25">
      <c r="A21" s="1362"/>
      <c r="B21" s="1362"/>
      <c r="C21" s="116"/>
      <c r="D21" s="116"/>
      <c r="E21" s="116"/>
      <c r="F21" s="116"/>
      <c r="G21" s="116" t="s">
        <v>371</v>
      </c>
      <c r="H21" s="116" t="s">
        <v>372</v>
      </c>
      <c r="I21" s="117" t="s">
        <v>373</v>
      </c>
      <c r="J21" s="118" t="s">
        <v>374</v>
      </c>
      <c r="K21" s="119" t="s">
        <v>375</v>
      </c>
      <c r="L21" s="120" t="s">
        <v>376</v>
      </c>
      <c r="M21" s="116" t="s">
        <v>377</v>
      </c>
      <c r="N21" s="116" t="s">
        <v>486</v>
      </c>
      <c r="O21" s="116" t="s">
        <v>487</v>
      </c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7"/>
      <c r="AD21" s="120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</row>
    <row r="22" spans="1:43" s="82" customFormat="1" ht="19.5" x14ac:dyDescent="0.2">
      <c r="A22" s="121" t="s">
        <v>141</v>
      </c>
      <c r="B22" s="122"/>
      <c r="C22" s="123"/>
      <c r="D22" s="123"/>
      <c r="E22" s="123"/>
      <c r="F22" s="123"/>
      <c r="G22" s="124"/>
      <c r="H22" s="125"/>
      <c r="I22" s="126"/>
      <c r="J22" s="127">
        <f t="shared" ref="J22:O22" si="2">SUM(J23:J44)</f>
        <v>-465</v>
      </c>
      <c r="K22" s="127">
        <f t="shared" si="2"/>
        <v>-465</v>
      </c>
      <c r="L22" s="127">
        <f t="shared" si="2"/>
        <v>-2590050.3299999987</v>
      </c>
      <c r="M22" s="127">
        <f t="shared" si="2"/>
        <v>0</v>
      </c>
      <c r="N22" s="127">
        <f t="shared" si="2"/>
        <v>-725214.0924000002</v>
      </c>
      <c r="O22" s="127">
        <f t="shared" si="2"/>
        <v>-3315264.422400001</v>
      </c>
      <c r="P22" s="127">
        <f>MIN(P23:P44)</f>
        <v>12</v>
      </c>
      <c r="Q22" s="127">
        <f t="shared" ref="Q22:AQ22" si="3">SUM(Q23:Q44)</f>
        <v>-2877833.6999999983</v>
      </c>
      <c r="R22" s="127">
        <f t="shared" si="3"/>
        <v>0</v>
      </c>
      <c r="S22" s="127">
        <f t="shared" si="3"/>
        <v>-2877833.6999999983</v>
      </c>
      <c r="T22" s="127">
        <f t="shared" si="3"/>
        <v>-785648.60009999992</v>
      </c>
      <c r="U22" s="127">
        <f t="shared" si="3"/>
        <v>-3663482.3000999992</v>
      </c>
      <c r="V22" s="127">
        <f t="shared" si="3"/>
        <v>-34534004.399999991</v>
      </c>
      <c r="W22" s="127">
        <f t="shared" si="3"/>
        <v>0</v>
      </c>
      <c r="X22" s="127">
        <f t="shared" si="3"/>
        <v>-34534004.399999991</v>
      </c>
      <c r="Y22" s="127">
        <f t="shared" si="3"/>
        <v>-9427783.2011999991</v>
      </c>
      <c r="Z22" s="127">
        <f t="shared" si="3"/>
        <v>-43961787.601199999</v>
      </c>
      <c r="AA22" s="127">
        <f t="shared" si="3"/>
        <v>188633.5</v>
      </c>
      <c r="AB22" s="127">
        <f t="shared" si="3"/>
        <v>-77933.98000000001</v>
      </c>
      <c r="AC22" s="127">
        <f t="shared" si="3"/>
        <v>110699.51999999993</v>
      </c>
      <c r="AD22" s="127">
        <f t="shared" si="3"/>
        <v>-2719382.8700000006</v>
      </c>
      <c r="AE22" s="127">
        <f t="shared" si="3"/>
        <v>0</v>
      </c>
      <c r="AF22" s="127">
        <f t="shared" si="3"/>
        <v>-761427.20360000036</v>
      </c>
      <c r="AG22" s="127">
        <f t="shared" si="3"/>
        <v>-3480810.0736000012</v>
      </c>
      <c r="AH22" s="127">
        <f t="shared" si="3"/>
        <v>-35861376.037099965</v>
      </c>
      <c r="AI22" s="127">
        <f t="shared" si="3"/>
        <v>0</v>
      </c>
      <c r="AJ22" s="127">
        <f t="shared" si="3"/>
        <v>-35861376.037099965</v>
      </c>
      <c r="AK22" s="127">
        <f t="shared" si="3"/>
        <v>-9789914.3131999969</v>
      </c>
      <c r="AL22" s="127">
        <f t="shared" si="3"/>
        <v>-45651290.350299992</v>
      </c>
      <c r="AM22" s="127">
        <f t="shared" si="3"/>
        <v>-36249373.657099977</v>
      </c>
      <c r="AN22" s="127">
        <f t="shared" si="3"/>
        <v>0</v>
      </c>
      <c r="AO22" s="164">
        <f t="shared" si="3"/>
        <v>-36249373.657099977</v>
      </c>
      <c r="AP22" s="127">
        <f t="shared" si="3"/>
        <v>-9898553.6467999965</v>
      </c>
      <c r="AQ22" s="127">
        <f t="shared" si="3"/>
        <v>-46147927.303900033</v>
      </c>
    </row>
    <row r="23" spans="1:43" s="82" customFormat="1" ht="55.5" customHeight="1" x14ac:dyDescent="0.2">
      <c r="A23" s="360" t="s">
        <v>661</v>
      </c>
      <c r="B23" s="128" t="s">
        <v>663</v>
      </c>
      <c r="C23" s="128"/>
      <c r="D23" s="128"/>
      <c r="E23" s="128" t="s">
        <v>662</v>
      </c>
      <c r="F23" s="128" t="s">
        <v>664</v>
      </c>
      <c r="G23" s="129">
        <f t="shared" ref="G23:G44" si="4">$G$19</f>
        <v>8157.41</v>
      </c>
      <c r="H23" s="130">
        <f t="shared" ref="H23" si="5">I23-G23</f>
        <v>-1338.7199999999993</v>
      </c>
      <c r="I23" s="131">
        <f t="shared" ref="I23:I27" si="6">2637.69+4181</f>
        <v>6818.6900000000005</v>
      </c>
      <c r="J23" s="142">
        <v>-4</v>
      </c>
      <c r="K23" s="142">
        <v>-4</v>
      </c>
      <c r="L23" s="134">
        <f>I23*K23</f>
        <v>-27274.760000000002</v>
      </c>
      <c r="M23" s="135">
        <f>IF(H23&gt;0,(H23*K23)*0.085,0)</f>
        <v>0</v>
      </c>
      <c r="N23" s="136">
        <f>IF(I23&lt;G23,I23*0.28*K23,G23*0.28*K23)</f>
        <v>-7636.9328000000014</v>
      </c>
      <c r="O23" s="137">
        <f>SUM(L23:N23)</f>
        <v>-34911.692800000004</v>
      </c>
      <c r="P23" s="138">
        <v>12</v>
      </c>
      <c r="Q23" s="134">
        <f>IF(P23&lt;&gt;0,(L23*(12-P23+1))+(L23*((12-P23+1)/12))+((L23*((12-P23+1)/12))/3),0)</f>
        <v>-30305.288888888892</v>
      </c>
      <c r="R23" s="135">
        <f>IF(P23&lt;&gt;0,M23*(12-P23+1)+(M23*((12-P23+1)/12)),0)</f>
        <v>0</v>
      </c>
      <c r="S23" s="136">
        <f>SUBTOTAL(9,Q23:R23)</f>
        <v>-30305.288888888892</v>
      </c>
      <c r="T23" s="135">
        <f>IF(P23&lt;&gt;0,N23*(12-P23+1)+(N23*((12-P23+1)/12)),0)</f>
        <v>-8273.343866666668</v>
      </c>
      <c r="U23" s="137">
        <f>SUBTOTAL(9,Q23:T23)</f>
        <v>-38578.632755555562</v>
      </c>
      <c r="V23" s="135">
        <f>IF(P23&lt;&gt;0,L23*(13+(1/3)),0)</f>
        <v>-363663.46666666673</v>
      </c>
      <c r="W23" s="136">
        <f>IF(Q23&lt;&gt;0,M23*13,0)</f>
        <v>0</v>
      </c>
      <c r="X23" s="137">
        <f>SUBTOTAL(9,V23:W23)</f>
        <v>-363663.46666666673</v>
      </c>
      <c r="Y23" s="134">
        <f>IF(T23&lt;&gt;0,N23*(13),0)</f>
        <v>-99280.126400000023</v>
      </c>
      <c r="Z23" s="137">
        <f>SUBTOTAL(9,V23:Y23)</f>
        <v>-462943.59306666674</v>
      </c>
      <c r="AA23" s="139">
        <v>8574.25</v>
      </c>
      <c r="AB23" s="130">
        <f>AC23-AA23</f>
        <v>-1414.6800000000003</v>
      </c>
      <c r="AC23" s="131">
        <v>7159.57</v>
      </c>
      <c r="AD23" s="134">
        <f>AC23*K23</f>
        <v>-28638.28</v>
      </c>
      <c r="AE23" s="135">
        <f>IF(AB23&gt;0,(AB23*K23)*0.085,0)</f>
        <v>0</v>
      </c>
      <c r="AF23" s="136">
        <f>IF(AC23&lt;AA23,AC23*0.28*K23,AA23*0.28*K23)</f>
        <v>-8018.7184000000007</v>
      </c>
      <c r="AG23" s="137">
        <f>SUM(AD23:AF23)</f>
        <v>-36656.998399999997</v>
      </c>
      <c r="AH23" s="135">
        <f>SUM(L23*3,AD23*10.33)</f>
        <v>-377657.71239999996</v>
      </c>
      <c r="AI23" s="135">
        <f>SUM(M23*3,AE23*10)</f>
        <v>0</v>
      </c>
      <c r="AJ23" s="137">
        <f>SUBTOTAL(9,AH23:AI23)</f>
        <v>-377657.71239999996</v>
      </c>
      <c r="AK23" s="134">
        <f>SUM(N23*3,AF23*10)</f>
        <v>-103097.98240000001</v>
      </c>
      <c r="AL23" s="137">
        <f>SUBTOTAL(9,AH23:AK23)</f>
        <v>-480755.69479999994</v>
      </c>
      <c r="AM23" s="136">
        <f>AD23*13.33</f>
        <v>-381748.27239999996</v>
      </c>
      <c r="AN23" s="136">
        <f>AE23*13</f>
        <v>0</v>
      </c>
      <c r="AO23" s="362">
        <f>AM23+AN23</f>
        <v>-381748.27239999996</v>
      </c>
      <c r="AP23" s="136">
        <f>AF23*13</f>
        <v>-104243.3392</v>
      </c>
      <c r="AQ23" s="137">
        <f>AO23+AP23</f>
        <v>-485991.61159999995</v>
      </c>
    </row>
    <row r="24" spans="1:43" s="82" customFormat="1" ht="55.5" customHeight="1" x14ac:dyDescent="0.2">
      <c r="A24" s="360" t="s">
        <v>661</v>
      </c>
      <c r="B24" s="128" t="s">
        <v>663</v>
      </c>
      <c r="C24" s="128"/>
      <c r="D24" s="128"/>
      <c r="E24" s="128" t="s">
        <v>662</v>
      </c>
      <c r="F24" s="128" t="s">
        <v>665</v>
      </c>
      <c r="G24" s="129">
        <f t="shared" si="4"/>
        <v>8157.41</v>
      </c>
      <c r="H24" s="130">
        <f t="shared" ref="H24" si="7">I24-G24</f>
        <v>-1338.7199999999993</v>
      </c>
      <c r="I24" s="131">
        <f t="shared" si="6"/>
        <v>6818.6900000000005</v>
      </c>
      <c r="J24" s="142">
        <v>-61</v>
      </c>
      <c r="K24" s="142">
        <v>-61</v>
      </c>
      <c r="L24" s="134">
        <f>I24*K24</f>
        <v>-415940.09</v>
      </c>
      <c r="M24" s="135">
        <f>IF(H24&gt;0,(H24*K24)*0.085,0)</f>
        <v>0</v>
      </c>
      <c r="N24" s="136">
        <f>IF(I24&lt;G24,I24*0.28*K24,G24*0.28*K24)</f>
        <v>-116463.22520000002</v>
      </c>
      <c r="O24" s="137">
        <f>SUM(L24:N24)</f>
        <v>-532403.31520000007</v>
      </c>
      <c r="P24" s="138">
        <v>12</v>
      </c>
      <c r="Q24" s="134">
        <f>IF(P24&lt;&gt;0,(L24*(12-P24+1))+(L24*((12-P24+1)/12))+((L24*((12-P24+1)/12))/3),0)</f>
        <v>-462155.65555555554</v>
      </c>
      <c r="R24" s="135">
        <f>IF(P24&lt;&gt;0,M24*(12-P24+1)+(M24*((12-P24+1)/12)),0)</f>
        <v>0</v>
      </c>
      <c r="S24" s="136">
        <f>SUBTOTAL(9,Q24:R24)</f>
        <v>-462155.65555555554</v>
      </c>
      <c r="T24" s="135">
        <f>IF(P24&lt;&gt;0,N24*(12-P24+1)+(N24*((12-P24+1)/12)),0)</f>
        <v>-126168.49396666669</v>
      </c>
      <c r="U24" s="137">
        <f>SUBTOTAL(9,Q24:T24)</f>
        <v>-588324.14952222223</v>
      </c>
      <c r="V24" s="135">
        <f>IF(P24&lt;&gt;0,L24*(13+(1/3)),0)</f>
        <v>-5545867.8666666672</v>
      </c>
      <c r="W24" s="136">
        <f>IF(Q24&lt;&gt;0,M24*13,0)</f>
        <v>0</v>
      </c>
      <c r="X24" s="137">
        <f>SUBTOTAL(9,V24:W24)</f>
        <v>-5545867.8666666672</v>
      </c>
      <c r="Y24" s="134">
        <f>IF(T24&lt;&gt;0,N24*(13),0)</f>
        <v>-1514021.9276000003</v>
      </c>
      <c r="Z24" s="137">
        <f>SUBTOTAL(9,V24:Y24)</f>
        <v>-7059889.7942666672</v>
      </c>
      <c r="AA24" s="139">
        <v>8574.25</v>
      </c>
      <c r="AB24" s="130">
        <f>AC24-AA24</f>
        <v>-1414.6800000000003</v>
      </c>
      <c r="AC24" s="131">
        <v>7159.57</v>
      </c>
      <c r="AD24" s="134">
        <f>AC24*K24</f>
        <v>-436733.76999999996</v>
      </c>
      <c r="AE24" s="135">
        <f>IF(AB24&gt;0,(AB24*K24)*0.085,0)</f>
        <v>0</v>
      </c>
      <c r="AF24" s="136">
        <f>IF(AC24&lt;AA24,AC24*0.28*K24,AA24*0.28*K24)</f>
        <v>-122285.45560000002</v>
      </c>
      <c r="AG24" s="137">
        <f>SUM(AD24:AF24)</f>
        <v>-559019.22560000001</v>
      </c>
      <c r="AH24" s="135">
        <f>SUM(L24*3,AD24*10.33)</f>
        <v>-5759280.1140999999</v>
      </c>
      <c r="AI24" s="135">
        <f>SUM(M24*3,AE24*10)</f>
        <v>0</v>
      </c>
      <c r="AJ24" s="137">
        <f>SUBTOTAL(9,AH24:AI24)</f>
        <v>-5759280.1140999999</v>
      </c>
      <c r="AK24" s="134">
        <f>SUM(N24*3,AF24*10)</f>
        <v>-1572244.2316000001</v>
      </c>
      <c r="AL24" s="137">
        <f>SUBTOTAL(9,AH24:AK24)</f>
        <v>-7331524.3456999995</v>
      </c>
      <c r="AM24" s="136">
        <f>AD24*13.33</f>
        <v>-5821661.1540999999</v>
      </c>
      <c r="AN24" s="136">
        <f>AE24*13</f>
        <v>0</v>
      </c>
      <c r="AO24" s="362">
        <f>AM24+AN24</f>
        <v>-5821661.1540999999</v>
      </c>
      <c r="AP24" s="136">
        <f>AF24*13</f>
        <v>-1589710.9228000003</v>
      </c>
      <c r="AQ24" s="137">
        <f>AO24+AP24</f>
        <v>-7411372.0768999998</v>
      </c>
    </row>
    <row r="25" spans="1:43" s="82" customFormat="1" ht="55.5" customHeight="1" x14ac:dyDescent="0.2">
      <c r="A25" s="360" t="s">
        <v>661</v>
      </c>
      <c r="B25" s="128" t="s">
        <v>663</v>
      </c>
      <c r="C25" s="128"/>
      <c r="D25" s="128"/>
      <c r="E25" s="128" t="s">
        <v>662</v>
      </c>
      <c r="F25" s="128" t="s">
        <v>666</v>
      </c>
      <c r="G25" s="129">
        <f t="shared" si="4"/>
        <v>8157.41</v>
      </c>
      <c r="H25" s="130">
        <f t="shared" ref="H25:H28" si="8">I25-G25</f>
        <v>-1338.7199999999993</v>
      </c>
      <c r="I25" s="131">
        <f t="shared" si="6"/>
        <v>6818.6900000000005</v>
      </c>
      <c r="J25" s="142">
        <v>-4</v>
      </c>
      <c r="K25" s="142">
        <v>-4</v>
      </c>
      <c r="L25" s="134">
        <f>I25*K25</f>
        <v>-27274.760000000002</v>
      </c>
      <c r="M25" s="135">
        <f>IF(H25&gt;0,(H25*K25)*0.085,0)</f>
        <v>0</v>
      </c>
      <c r="N25" s="136">
        <f>IF(I25&lt;G25,I25*0.28*K25,G25*0.28*K25)</f>
        <v>-7636.9328000000014</v>
      </c>
      <c r="O25" s="137">
        <f>SUM(L25:N25)</f>
        <v>-34911.692800000004</v>
      </c>
      <c r="P25" s="138">
        <v>12</v>
      </c>
      <c r="Q25" s="134">
        <f>IF(P25&lt;&gt;0,(L25*(12-P25+1))+(L25*((12-P25+1)/12))+((L25*((12-P25+1)/12))/3),0)</f>
        <v>-30305.288888888892</v>
      </c>
      <c r="R25" s="135">
        <f>IF(P25&lt;&gt;0,M25*(12-P25+1)+(M25*((12-P25+1)/12)),0)</f>
        <v>0</v>
      </c>
      <c r="S25" s="136">
        <f>SUBTOTAL(9,Q25:R25)</f>
        <v>-30305.288888888892</v>
      </c>
      <c r="T25" s="135">
        <f>IF(P25&lt;&gt;0,N25*(12-P25+1)+(N25*((12-P25+1)/12)),0)</f>
        <v>-8273.343866666668</v>
      </c>
      <c r="U25" s="137">
        <f>SUBTOTAL(9,Q25:T25)</f>
        <v>-38578.632755555562</v>
      </c>
      <c r="V25" s="135">
        <f>IF(P25&lt;&gt;0,L25*(13+(1/3)),0)</f>
        <v>-363663.46666666673</v>
      </c>
      <c r="W25" s="136">
        <f>IF(Q25&lt;&gt;0,M25*13,0)</f>
        <v>0</v>
      </c>
      <c r="X25" s="137">
        <f>SUBTOTAL(9,V25:W25)</f>
        <v>-363663.46666666673</v>
      </c>
      <c r="Y25" s="134">
        <f>IF(T25&lt;&gt;0,N25*(13),0)</f>
        <v>-99280.126400000023</v>
      </c>
      <c r="Z25" s="137">
        <f>SUBTOTAL(9,V25:Y25)</f>
        <v>-462943.59306666674</v>
      </c>
      <c r="AA25" s="139">
        <v>8574.25</v>
      </c>
      <c r="AB25" s="130">
        <f>AC25-AA25</f>
        <v>-1414.6800000000003</v>
      </c>
      <c r="AC25" s="131">
        <v>7159.57</v>
      </c>
      <c r="AD25" s="134">
        <f>AC25*K25</f>
        <v>-28638.28</v>
      </c>
      <c r="AE25" s="135">
        <f>IF(AB25&gt;0,(AB25*K25)*0.085,0)</f>
        <v>0</v>
      </c>
      <c r="AF25" s="136">
        <f>IF(AC25&lt;AA25,AC25*0.28*K25,AA25*0.28*K25)</f>
        <v>-8018.7184000000007</v>
      </c>
      <c r="AG25" s="137">
        <f>SUM(AD25:AF25)</f>
        <v>-36656.998399999997</v>
      </c>
      <c r="AH25" s="135">
        <f>SUM(L25*3,AD25*10.33)</f>
        <v>-377657.71239999996</v>
      </c>
      <c r="AI25" s="135">
        <f>SUM(M25*3,AE25*10)</f>
        <v>0</v>
      </c>
      <c r="AJ25" s="137">
        <f>SUBTOTAL(9,AH25:AI25)</f>
        <v>-377657.71239999996</v>
      </c>
      <c r="AK25" s="134">
        <f>SUM(N25*3,AF25*10)</f>
        <v>-103097.98240000001</v>
      </c>
      <c r="AL25" s="137">
        <f>SUBTOTAL(9,AH25:AK25)</f>
        <v>-480755.69479999994</v>
      </c>
      <c r="AM25" s="136">
        <f>AD25*13.33</f>
        <v>-381748.27239999996</v>
      </c>
      <c r="AN25" s="136">
        <f>AE25*13</f>
        <v>0</v>
      </c>
      <c r="AO25" s="362">
        <f>AM25+AN25</f>
        <v>-381748.27239999996</v>
      </c>
      <c r="AP25" s="136">
        <f>AF25*13</f>
        <v>-104243.3392</v>
      </c>
      <c r="AQ25" s="137">
        <f>AO25+AP25</f>
        <v>-485991.61159999995</v>
      </c>
    </row>
    <row r="26" spans="1:43" s="82" customFormat="1" ht="55.5" customHeight="1" x14ac:dyDescent="0.2">
      <c r="A26" s="360" t="s">
        <v>661</v>
      </c>
      <c r="B26" s="128" t="s">
        <v>663</v>
      </c>
      <c r="C26" s="128"/>
      <c r="D26" s="128"/>
      <c r="E26" s="128" t="s">
        <v>662</v>
      </c>
      <c r="F26" s="128" t="s">
        <v>667</v>
      </c>
      <c r="G26" s="129">
        <f t="shared" si="4"/>
        <v>8157.41</v>
      </c>
      <c r="H26" s="130">
        <f t="shared" ref="H26" si="9">I26-G26</f>
        <v>-1338.7199999999993</v>
      </c>
      <c r="I26" s="131">
        <f t="shared" si="6"/>
        <v>6818.6900000000005</v>
      </c>
      <c r="J26" s="142">
        <v>-42</v>
      </c>
      <c r="K26" s="142">
        <v>-42</v>
      </c>
      <c r="L26" s="134">
        <f>I26*K26</f>
        <v>-286384.98000000004</v>
      </c>
      <c r="M26" s="135">
        <f>IF(H26&gt;0,(H26*K26)*0.085,0)</f>
        <v>0</v>
      </c>
      <c r="N26" s="136">
        <f>IF(I26&lt;G26,I26*0.28*K26,G26*0.28*K26)</f>
        <v>-80187.794400000013</v>
      </c>
      <c r="O26" s="137">
        <f>SUM(L26:N26)</f>
        <v>-366572.77440000005</v>
      </c>
      <c r="P26" s="138">
        <v>12</v>
      </c>
      <c r="Q26" s="134">
        <f>IF(P26&lt;&gt;0,(L26*(12-P26+1))+(L26*((12-P26+1)/12))+((L26*((12-P26+1)/12))/3),0)</f>
        <v>-318205.53333333333</v>
      </c>
      <c r="R26" s="135">
        <f>IF(P26&lt;&gt;0,M26*(12-P26+1)+(M26*((12-P26+1)/12)),0)</f>
        <v>0</v>
      </c>
      <c r="S26" s="136">
        <f>SUBTOTAL(9,Q26:R26)</f>
        <v>-318205.53333333333</v>
      </c>
      <c r="T26" s="135">
        <f>IF(P26&lt;&gt;0,N26*(12-P26+1)+(N26*((12-P26+1)/12)),0)</f>
        <v>-86870.110600000015</v>
      </c>
      <c r="U26" s="137">
        <f>SUBTOTAL(9,Q26:T26)</f>
        <v>-405075.64393333334</v>
      </c>
      <c r="V26" s="135">
        <f>IF(P26&lt;&gt;0,L26*(13+(1/3)),0)</f>
        <v>-3818466.4000000008</v>
      </c>
      <c r="W26" s="136">
        <f>IF(Q26&lt;&gt;0,M26*13,0)</f>
        <v>0</v>
      </c>
      <c r="X26" s="137">
        <f>SUBTOTAL(9,V26:W26)</f>
        <v>-3818466.4000000008</v>
      </c>
      <c r="Y26" s="134">
        <f>IF(T26&lt;&gt;0,N26*(13),0)</f>
        <v>-1042441.3272000002</v>
      </c>
      <c r="Z26" s="137">
        <f>SUBTOTAL(9,V26:Y26)</f>
        <v>-4860907.7272000015</v>
      </c>
      <c r="AA26" s="139">
        <v>8574.25</v>
      </c>
      <c r="AB26" s="130">
        <f>AC26-AA26</f>
        <v>-1414.6800000000003</v>
      </c>
      <c r="AC26" s="131">
        <v>7159.57</v>
      </c>
      <c r="AD26" s="134">
        <f>AC26*K26</f>
        <v>-300701.94</v>
      </c>
      <c r="AE26" s="135">
        <f>IF(AB26&gt;0,(AB26*K26)*0.085,0)</f>
        <v>0</v>
      </c>
      <c r="AF26" s="136">
        <f>IF(AC26&lt;AA26,AC26*0.28*K26,AA26*0.28*K26)</f>
        <v>-84196.5432</v>
      </c>
      <c r="AG26" s="137">
        <f>SUM(AD26:AF26)</f>
        <v>-384898.48320000002</v>
      </c>
      <c r="AH26" s="135">
        <f>SUM(L26*3,AD26*10.33)</f>
        <v>-3965405.9802000001</v>
      </c>
      <c r="AI26" s="135">
        <f>SUM(M26*3,AE26*10)</f>
        <v>0</v>
      </c>
      <c r="AJ26" s="137">
        <f>SUBTOTAL(9,AH26:AI26)</f>
        <v>-3965405.9802000001</v>
      </c>
      <c r="AK26" s="134">
        <f>SUM(N26*3,AF26*10)</f>
        <v>-1082528.8152000001</v>
      </c>
      <c r="AL26" s="137">
        <f>SUBTOTAL(9,AH26:AK26)</f>
        <v>-5047934.7954000002</v>
      </c>
      <c r="AM26" s="136">
        <f>AD26*13.33</f>
        <v>-4008356.8602</v>
      </c>
      <c r="AN26" s="136">
        <f>AE26*13</f>
        <v>0</v>
      </c>
      <c r="AO26" s="362">
        <f>AM26+AN26</f>
        <v>-4008356.8602</v>
      </c>
      <c r="AP26" s="136">
        <f>AF26*13</f>
        <v>-1094555.0615999999</v>
      </c>
      <c r="AQ26" s="137">
        <f>AO26+AP26</f>
        <v>-5102911.9217999997</v>
      </c>
    </row>
    <row r="27" spans="1:43" s="82" customFormat="1" ht="55.5" customHeight="1" x14ac:dyDescent="0.2">
      <c r="A27" s="360" t="s">
        <v>661</v>
      </c>
      <c r="B27" s="128" t="s">
        <v>663</v>
      </c>
      <c r="C27" s="128"/>
      <c r="D27" s="128"/>
      <c r="E27" s="128" t="s">
        <v>662</v>
      </c>
      <c r="F27" s="128" t="s">
        <v>668</v>
      </c>
      <c r="G27" s="129">
        <f t="shared" si="4"/>
        <v>8157.41</v>
      </c>
      <c r="H27" s="130">
        <f t="shared" ref="H27" si="10">I27-G27</f>
        <v>-1338.7199999999993</v>
      </c>
      <c r="I27" s="131">
        <f t="shared" si="6"/>
        <v>6818.6900000000005</v>
      </c>
      <c r="J27" s="142">
        <v>-11</v>
      </c>
      <c r="K27" s="142">
        <v>-11</v>
      </c>
      <c r="L27" s="134">
        <f>I27*K27</f>
        <v>-75005.590000000011</v>
      </c>
      <c r="M27" s="135">
        <f>IF(H27&gt;0,(H27*K27)*0.085,0)</f>
        <v>0</v>
      </c>
      <c r="N27" s="136">
        <f>IF(I27&lt;G27,I27*0.28*K27,G27*0.28*K27)</f>
        <v>-21001.565200000005</v>
      </c>
      <c r="O27" s="137">
        <f>SUM(L27:N27)</f>
        <v>-96007.155200000008</v>
      </c>
      <c r="P27" s="138">
        <v>12</v>
      </c>
      <c r="Q27" s="134">
        <f>IF(P27&lt;&gt;0,(L27*(12-P27+1))+(L27*((12-P27+1)/12))+((L27*((12-P27+1)/12))/3),0)</f>
        <v>-83339.544444444458</v>
      </c>
      <c r="R27" s="135">
        <f>IF(P27&lt;&gt;0,M27*(12-P27+1)+(M27*((12-P27+1)/12)),0)</f>
        <v>0</v>
      </c>
      <c r="S27" s="136">
        <f>SUBTOTAL(9,Q27:R27)</f>
        <v>-83339.544444444458</v>
      </c>
      <c r="T27" s="135">
        <f>IF(P27&lt;&gt;0,N27*(12-P27+1)+(N27*((12-P27+1)/12)),0)</f>
        <v>-22751.695633333336</v>
      </c>
      <c r="U27" s="137">
        <f>SUBTOTAL(9,Q27:T27)</f>
        <v>-106091.24007777779</v>
      </c>
      <c r="V27" s="135">
        <f>IF(P27&lt;&gt;0,L27*(13+(1/3)),0)</f>
        <v>-1000074.5333333336</v>
      </c>
      <c r="W27" s="136">
        <f>IF(Q27&lt;&gt;0,M27*13,0)</f>
        <v>0</v>
      </c>
      <c r="X27" s="137">
        <f>SUBTOTAL(9,V27:W27)</f>
        <v>-1000074.5333333336</v>
      </c>
      <c r="Y27" s="134">
        <f>IF(T27&lt;&gt;0,N27*(13),0)</f>
        <v>-273020.34760000004</v>
      </c>
      <c r="Z27" s="137">
        <f>SUBTOTAL(9,V27:Y27)</f>
        <v>-1273094.8809333337</v>
      </c>
      <c r="AA27" s="139">
        <v>8574.25</v>
      </c>
      <c r="AB27" s="130">
        <f>AC27-AA27</f>
        <v>-1414.6800000000003</v>
      </c>
      <c r="AC27" s="131">
        <v>7159.57</v>
      </c>
      <c r="AD27" s="134">
        <f>AC27*K27</f>
        <v>-78755.26999999999</v>
      </c>
      <c r="AE27" s="135">
        <f>IF(AB27&gt;0,(AB27*K27)*0.085,0)</f>
        <v>0</v>
      </c>
      <c r="AF27" s="136">
        <f>IF(AC27&lt;AA27,AC27*0.28*K27,AA27*0.28*K27)</f>
        <v>-22051.475600000002</v>
      </c>
      <c r="AG27" s="137">
        <f>SUM(AD27:AF27)</f>
        <v>-100806.74559999999</v>
      </c>
      <c r="AH27" s="135">
        <f>SUM(L27*3,AD27*10.33)</f>
        <v>-1038558.7090999999</v>
      </c>
      <c r="AI27" s="135">
        <f>SUM(M27*3,AE27*10)</f>
        <v>0</v>
      </c>
      <c r="AJ27" s="137">
        <f>SUBTOTAL(9,AH27:AI27)</f>
        <v>-1038558.7090999999</v>
      </c>
      <c r="AK27" s="134">
        <f>SUM(N27*3,AF27*10)</f>
        <v>-283519.45160000003</v>
      </c>
      <c r="AL27" s="137">
        <f>SUBTOTAL(9,AH27:AK27)</f>
        <v>-1322078.1606999999</v>
      </c>
      <c r="AM27" s="136">
        <f>AD27*13.33</f>
        <v>-1049807.7490999999</v>
      </c>
      <c r="AN27" s="136">
        <f>AE27*13</f>
        <v>0</v>
      </c>
      <c r="AO27" s="362">
        <f>AM27+AN27</f>
        <v>-1049807.7490999999</v>
      </c>
      <c r="AP27" s="136">
        <f>AF27*13</f>
        <v>-286669.18280000001</v>
      </c>
      <c r="AQ27" s="137">
        <f>AO27+AP27</f>
        <v>-1336476.9319</v>
      </c>
    </row>
    <row r="28" spans="1:43" s="82" customFormat="1" ht="55.5" customHeight="1" x14ac:dyDescent="0.2">
      <c r="A28" s="360" t="s">
        <v>661</v>
      </c>
      <c r="B28" s="128" t="s">
        <v>669</v>
      </c>
      <c r="C28" s="128"/>
      <c r="D28" s="128"/>
      <c r="E28" s="128" t="s">
        <v>662</v>
      </c>
      <c r="F28" s="128" t="s">
        <v>670</v>
      </c>
      <c r="G28" s="129">
        <f t="shared" si="4"/>
        <v>8157.41</v>
      </c>
      <c r="H28" s="130">
        <f t="shared" si="8"/>
        <v>-2518.5500000000002</v>
      </c>
      <c r="I28" s="131">
        <v>5638.86</v>
      </c>
      <c r="J28" s="142">
        <v>-1</v>
      </c>
      <c r="K28" s="142">
        <v>-1</v>
      </c>
      <c r="L28" s="134">
        <f t="shared" ref="L28" si="11">I28*K28</f>
        <v>-5638.86</v>
      </c>
      <c r="M28" s="135">
        <f t="shared" ref="M28" si="12">IF(H28&gt;0,(H28*K28)*0.085,0)</f>
        <v>0</v>
      </c>
      <c r="N28" s="136">
        <f t="shared" ref="N28" si="13">IF(I28&lt;G28,I28*0.28*K28,G28*0.28*K28)</f>
        <v>-1578.8808000000001</v>
      </c>
      <c r="O28" s="137">
        <f t="shared" ref="O28" si="14">SUM(L28:N28)</f>
        <v>-7217.7407999999996</v>
      </c>
      <c r="P28" s="138">
        <v>12</v>
      </c>
      <c r="Q28" s="134">
        <f t="shared" ref="Q28" si="15">IF(P28&lt;&gt;0,(L28*(12-P28+1))+(L28*((12-P28+1)/12))+((L28*((12-P28+1)/12))/3),0)</f>
        <v>-6265.4</v>
      </c>
      <c r="R28" s="135">
        <f t="shared" ref="R28" si="16">IF(P28&lt;&gt;0,M28*(12-P28+1)+(M28*((12-P28+1)/12)),0)</f>
        <v>0</v>
      </c>
      <c r="S28" s="136">
        <f t="shared" ref="S28" si="17">SUBTOTAL(9,Q28:R28)</f>
        <v>-6265.4</v>
      </c>
      <c r="T28" s="135">
        <f t="shared" ref="T28" si="18">IF(P28&lt;&gt;0,N28*(12-P28+1)+(N28*((12-P28+1)/12)),0)</f>
        <v>-1710.4542000000001</v>
      </c>
      <c r="U28" s="137">
        <f t="shared" ref="U28" si="19">SUBTOTAL(9,Q28:T28)</f>
        <v>-7975.8541999999998</v>
      </c>
      <c r="V28" s="135">
        <f t="shared" ref="V28" si="20">IF(P28&lt;&gt;0,L28*(13+(1/3)),0)</f>
        <v>-75184.800000000003</v>
      </c>
      <c r="W28" s="136">
        <f t="shared" ref="W28" si="21">IF(Q28&lt;&gt;0,M28*13,0)</f>
        <v>0</v>
      </c>
      <c r="X28" s="137">
        <f t="shared" ref="X28" si="22">SUBTOTAL(9,V28:W28)</f>
        <v>-75184.800000000003</v>
      </c>
      <c r="Y28" s="134">
        <f t="shared" ref="Y28" si="23">IF(T28&lt;&gt;0,N28*(13),0)</f>
        <v>-20525.450400000002</v>
      </c>
      <c r="Z28" s="137">
        <f t="shared" ref="Z28" si="24">SUBTOTAL(9,V28:Y28)</f>
        <v>-95710.250400000004</v>
      </c>
      <c r="AA28" s="139">
        <v>8574.25</v>
      </c>
      <c r="AB28" s="130">
        <f t="shared" ref="AB28:AB43" si="25">AC28-AA28</f>
        <v>-2653</v>
      </c>
      <c r="AC28" s="131">
        <v>5921.25</v>
      </c>
      <c r="AD28" s="134">
        <f t="shared" ref="AD28" si="26">AC28*K28</f>
        <v>-5921.25</v>
      </c>
      <c r="AE28" s="135">
        <f t="shared" ref="AE28" si="27">IF(AB28&gt;0,(AB28*K28)*0.085,0)</f>
        <v>0</v>
      </c>
      <c r="AF28" s="136">
        <f t="shared" ref="AF28" si="28">IF(AC28&lt;AA28,AC28*0.28*K28,AA28*0.28*K28)</f>
        <v>-1657.95</v>
      </c>
      <c r="AG28" s="137">
        <f t="shared" ref="AG28" si="29">SUM(AD28:AF28)</f>
        <v>-7579.2</v>
      </c>
      <c r="AH28" s="135">
        <f t="shared" ref="AH28" si="30">SUM(L28*3,AD28*10.33)</f>
        <v>-78083.092499999999</v>
      </c>
      <c r="AI28" s="135">
        <f t="shared" ref="AI28" si="31">SUM(M28*3,AE28*10)</f>
        <v>0</v>
      </c>
      <c r="AJ28" s="137">
        <f t="shared" ref="AJ28" si="32">SUBTOTAL(9,AH28:AI28)</f>
        <v>-78083.092499999999</v>
      </c>
      <c r="AK28" s="134">
        <f t="shared" ref="AK28" si="33">SUM(N28*3,AF28*10)</f>
        <v>-21316.142400000001</v>
      </c>
      <c r="AL28" s="137">
        <f t="shared" ref="AL28" si="34">SUBTOTAL(9,AH28:AK28)</f>
        <v>-99399.234899999996</v>
      </c>
      <c r="AM28" s="136">
        <f t="shared" ref="AM28" si="35">AD28*13.33</f>
        <v>-78930.262499999997</v>
      </c>
      <c r="AN28" s="136">
        <f t="shared" ref="AN28" si="36">AE28*13</f>
        <v>0</v>
      </c>
      <c r="AO28" s="362">
        <f t="shared" ref="AO28" si="37">AM28+AN28</f>
        <v>-78930.262499999997</v>
      </c>
      <c r="AP28" s="136">
        <f t="shared" ref="AP28" si="38">AF28*13</f>
        <v>-21553.350000000002</v>
      </c>
      <c r="AQ28" s="137">
        <f t="shared" ref="AQ28" si="39">AO28+AP28</f>
        <v>-100483.6125</v>
      </c>
    </row>
    <row r="29" spans="1:43" s="82" customFormat="1" ht="55.5" customHeight="1" x14ac:dyDescent="0.2">
      <c r="A29" s="360" t="s">
        <v>661</v>
      </c>
      <c r="B29" s="128" t="s">
        <v>604</v>
      </c>
      <c r="C29" s="128"/>
      <c r="D29" s="128"/>
      <c r="E29" s="128" t="s">
        <v>662</v>
      </c>
      <c r="F29" s="128" t="s">
        <v>671</v>
      </c>
      <c r="G29" s="129">
        <f>$G$19</f>
        <v>8157.41</v>
      </c>
      <c r="H29" s="130">
        <f>I29-G29</f>
        <v>-2810.7200000000003</v>
      </c>
      <c r="I29" s="131">
        <v>5346.69</v>
      </c>
      <c r="J29" s="132">
        <v>-283</v>
      </c>
      <c r="K29" s="132">
        <v>-283</v>
      </c>
      <c r="L29" s="134">
        <f>I29*K29</f>
        <v>-1513113.2699999998</v>
      </c>
      <c r="M29" s="135">
        <f>IF(H29&gt;0,(H29*K29)*0.085,0)</f>
        <v>0</v>
      </c>
      <c r="N29" s="136">
        <f>IF(I29&lt;G29,I29*0.28*K29,G29*0.28*K29)</f>
        <v>-423671.7156</v>
      </c>
      <c r="O29" s="137">
        <f>SUM(L29:N29)</f>
        <v>-1936784.9855999998</v>
      </c>
      <c r="P29" s="138">
        <v>12</v>
      </c>
      <c r="Q29" s="134">
        <f>IF(P29&lt;&gt;0,(L29*(12-P29+1))+(L29*((12-P29+1)/12))+((L29*((12-P29+1)/12))/3),0)</f>
        <v>-1681236.9666666663</v>
      </c>
      <c r="R29" s="135">
        <f>IF(P29&lt;&gt;0,M29*(12-P29+1)+(M29*((12-P29+1)/12)),0)</f>
        <v>0</v>
      </c>
      <c r="S29" s="136">
        <f>SUBTOTAL(9,Q29:R29)</f>
        <v>-1681236.9666666663</v>
      </c>
      <c r="T29" s="135">
        <f>IF(P29&lt;&gt;0,N29*(12-P29+1)+(N29*((12-P29+1)/12)),0)</f>
        <v>-458977.69189999998</v>
      </c>
      <c r="U29" s="137">
        <f>SUBTOTAL(9,Q29:T29)</f>
        <v>-2140214.6585666663</v>
      </c>
      <c r="V29" s="135">
        <f>IF(P29&lt;&gt;0,L29*(13+(1/3)),0)</f>
        <v>-20174843.599999998</v>
      </c>
      <c r="W29" s="136">
        <f>IF(Q29&lt;&gt;0,M29*13,0)</f>
        <v>0</v>
      </c>
      <c r="X29" s="137">
        <f>SUBTOTAL(9,V29:W29)</f>
        <v>-20174843.599999998</v>
      </c>
      <c r="Y29" s="134">
        <f>IF(T29&lt;&gt;0,N29*(13),0)</f>
        <v>-5507732.3027999997</v>
      </c>
      <c r="Z29" s="137">
        <f>SUBTOTAL(9,V29:Y29)</f>
        <v>-25682575.902799997</v>
      </c>
      <c r="AA29" s="139">
        <v>8574.25</v>
      </c>
      <c r="AB29" s="130">
        <f>AC29-AA29</f>
        <v>-2960.6800000000003</v>
      </c>
      <c r="AC29" s="131">
        <v>5613.57</v>
      </c>
      <c r="AD29" s="134">
        <f>AC29*K29</f>
        <v>-1588640.3099999998</v>
      </c>
      <c r="AE29" s="135">
        <f>IF(AB29&gt;0,(AB29*K29)*0.085,0)</f>
        <v>0</v>
      </c>
      <c r="AF29" s="136">
        <f>IF(AC29&lt;AA29,AC29*0.28*K29,AA29*0.28*K29)</f>
        <v>-444819.2868</v>
      </c>
      <c r="AG29" s="137">
        <f>SUM(AD29:AF29)</f>
        <v>-2033459.5967999999</v>
      </c>
      <c r="AH29" s="135">
        <f>SUM(L29*3,AD29*10.33)</f>
        <v>-20949994.212299999</v>
      </c>
      <c r="AI29" s="135">
        <f>SUM(M29*3,AE29*10)</f>
        <v>0</v>
      </c>
      <c r="AJ29" s="137">
        <f>SUBTOTAL(9,AH29:AI29)</f>
        <v>-20949994.212299999</v>
      </c>
      <c r="AK29" s="134">
        <f>SUM(N29*3,AF29*10)</f>
        <v>-5719208.0148</v>
      </c>
      <c r="AL29" s="137">
        <f>SUBTOTAL(9,AH29:AK29)</f>
        <v>-26669202.2271</v>
      </c>
      <c r="AM29" s="136">
        <f>AD29*13.33</f>
        <v>-21176575.332299996</v>
      </c>
      <c r="AN29" s="136">
        <f>AE29*13</f>
        <v>0</v>
      </c>
      <c r="AO29" s="362">
        <f>AM29+AN29</f>
        <v>-21176575.332299996</v>
      </c>
      <c r="AP29" s="136">
        <f>AF29*13</f>
        <v>-5782650.7284000004</v>
      </c>
      <c r="AQ29" s="137">
        <f>AO29+AP29</f>
        <v>-26959226.060699996</v>
      </c>
    </row>
    <row r="30" spans="1:43" s="82" customFormat="1" ht="55.5" customHeight="1" x14ac:dyDescent="0.2">
      <c r="A30" s="360" t="s">
        <v>661</v>
      </c>
      <c r="B30" s="128" t="s">
        <v>672</v>
      </c>
      <c r="C30" s="128"/>
      <c r="D30" s="128"/>
      <c r="E30" s="128" t="s">
        <v>662</v>
      </c>
      <c r="F30" s="128" t="s">
        <v>673</v>
      </c>
      <c r="G30" s="129">
        <f t="shared" si="4"/>
        <v>8157.41</v>
      </c>
      <c r="H30" s="130">
        <f t="shared" ref="H30:H43" si="40">I30-G30</f>
        <v>-4773.29</v>
      </c>
      <c r="I30" s="131">
        <v>3384.12</v>
      </c>
      <c r="J30" s="142">
        <v>-1</v>
      </c>
      <c r="K30" s="142">
        <v>-1</v>
      </c>
      <c r="L30" s="134">
        <f t="shared" ref="L30:L43" si="41">I30*K30</f>
        <v>-3384.12</v>
      </c>
      <c r="M30" s="135">
        <f t="shared" ref="M30:M43" si="42">IF(H30&gt;0,(H30*K30)*0.085,0)</f>
        <v>0</v>
      </c>
      <c r="N30" s="136">
        <f t="shared" ref="N30:N43" si="43">IF(I30&lt;G30,I30*0.28*K30,G30*0.28*K30)</f>
        <v>-947.55360000000007</v>
      </c>
      <c r="O30" s="137">
        <f t="shared" ref="O30:O43" si="44">SUM(L30:N30)</f>
        <v>-4331.6736000000001</v>
      </c>
      <c r="P30" s="138">
        <v>12</v>
      </c>
      <c r="Q30" s="134">
        <f t="shared" ref="Q30:Q43" si="45">IF(P30&lt;&gt;0,(L30*(12-P30+1))+(L30*((12-P30+1)/12))+((L30*((12-P30+1)/12))/3),0)</f>
        <v>-3760.1333333333332</v>
      </c>
      <c r="R30" s="135">
        <f t="shared" ref="R30:R43" si="46">IF(P30&lt;&gt;0,M30*(12-P30+1)+(M30*((12-P30+1)/12)),0)</f>
        <v>0</v>
      </c>
      <c r="S30" s="136">
        <f t="shared" ref="S30:S43" si="47">SUBTOTAL(9,Q30:R30)</f>
        <v>-3760.1333333333332</v>
      </c>
      <c r="T30" s="135">
        <f t="shared" ref="T30:T43" si="48">IF(P30&lt;&gt;0,N30*(12-P30+1)+(N30*((12-P30+1)/12)),0)</f>
        <v>-1026.5164</v>
      </c>
      <c r="U30" s="137">
        <f t="shared" ref="U30:U43" si="49">SUBTOTAL(9,Q30:T30)</f>
        <v>-4786.6497333333336</v>
      </c>
      <c r="V30" s="135">
        <f t="shared" ref="V30:V43" si="50">IF(P30&lt;&gt;0,L30*(13+(1/3)),0)</f>
        <v>-45121.599999999999</v>
      </c>
      <c r="W30" s="136">
        <f t="shared" ref="W30:W43" si="51">IF(Q30&lt;&gt;0,M30*13,0)</f>
        <v>0</v>
      </c>
      <c r="X30" s="137">
        <f t="shared" ref="X30:X43" si="52">SUBTOTAL(9,V30:W30)</f>
        <v>-45121.599999999999</v>
      </c>
      <c r="Y30" s="134">
        <f t="shared" ref="Y30:Y43" si="53">IF(T30&lt;&gt;0,N30*(13),0)</f>
        <v>-12318.196800000002</v>
      </c>
      <c r="Z30" s="137">
        <f t="shared" ref="Z30:Z43" si="54">SUBTOTAL(9,V30:Y30)</f>
        <v>-57439.796799999996</v>
      </c>
      <c r="AA30" s="139">
        <v>8574.25</v>
      </c>
      <c r="AB30" s="130">
        <f t="shared" si="25"/>
        <v>-5021.42</v>
      </c>
      <c r="AC30" s="131">
        <v>3552.83</v>
      </c>
      <c r="AD30" s="134">
        <f t="shared" ref="AD30:AD43" si="55">AC30*K30</f>
        <v>-3552.83</v>
      </c>
      <c r="AE30" s="135">
        <f t="shared" ref="AE30:AE43" si="56">IF(AB30&gt;0,(AB30*K30)*0.085,0)</f>
        <v>0</v>
      </c>
      <c r="AF30" s="136">
        <f t="shared" ref="AF30:AF43" si="57">IF(AC30&lt;AA30,AC30*0.28*K30,AA30*0.28*K30)</f>
        <v>-994.79240000000004</v>
      </c>
      <c r="AG30" s="137">
        <f t="shared" ref="AG30:AG43" si="58">SUM(AD30:AF30)</f>
        <v>-4547.6224000000002</v>
      </c>
      <c r="AH30" s="135">
        <f t="shared" ref="AH30:AH43" si="59">SUM(L30*3,AD30*10.33)</f>
        <v>-46853.0939</v>
      </c>
      <c r="AI30" s="135">
        <f t="shared" ref="AI30:AI43" si="60">SUM(M30*3,AE30*10)</f>
        <v>0</v>
      </c>
      <c r="AJ30" s="137">
        <f t="shared" ref="AJ30:AJ43" si="61">SUBTOTAL(9,AH30:AI30)</f>
        <v>-46853.0939</v>
      </c>
      <c r="AK30" s="134">
        <f t="shared" ref="AK30:AK43" si="62">SUM(N30*3,AF30*10)</f>
        <v>-12790.584800000001</v>
      </c>
      <c r="AL30" s="137">
        <f t="shared" ref="AL30:AL43" si="63">SUBTOTAL(9,AH30:AK30)</f>
        <v>-59643.678700000004</v>
      </c>
      <c r="AM30" s="136">
        <f t="shared" ref="AM30:AM43" si="64">AD30*13.33</f>
        <v>-47359.223899999997</v>
      </c>
      <c r="AN30" s="136">
        <f t="shared" ref="AN30:AN43" si="65">AE30*13</f>
        <v>0</v>
      </c>
      <c r="AO30" s="362">
        <f t="shared" ref="AO30:AO43" si="66">AM30+AN30</f>
        <v>-47359.223899999997</v>
      </c>
      <c r="AP30" s="136">
        <f t="shared" ref="AP30:AP43" si="67">AF30*13</f>
        <v>-12932.3012</v>
      </c>
      <c r="AQ30" s="137">
        <f t="shared" ref="AQ30:AQ43" si="68">AO30+AP30</f>
        <v>-60291.525099999999</v>
      </c>
    </row>
    <row r="31" spans="1:43" s="82" customFormat="1" ht="55.5" customHeight="1" x14ac:dyDescent="0.2">
      <c r="A31" s="360" t="s">
        <v>661</v>
      </c>
      <c r="B31" s="128" t="s">
        <v>672</v>
      </c>
      <c r="C31" s="128"/>
      <c r="D31" s="128"/>
      <c r="E31" s="128" t="s">
        <v>662</v>
      </c>
      <c r="F31" s="128" t="s">
        <v>674</v>
      </c>
      <c r="G31" s="129">
        <f t="shared" si="4"/>
        <v>8157.41</v>
      </c>
      <c r="H31" s="130">
        <f t="shared" si="40"/>
        <v>-4087.8599999999997</v>
      </c>
      <c r="I31" s="131">
        <v>4069.55</v>
      </c>
      <c r="J31" s="142">
        <v>-17</v>
      </c>
      <c r="K31" s="142">
        <v>-17</v>
      </c>
      <c r="L31" s="134">
        <f t="shared" si="41"/>
        <v>-69182.350000000006</v>
      </c>
      <c r="M31" s="135">
        <f t="shared" si="42"/>
        <v>0</v>
      </c>
      <c r="N31" s="136">
        <f t="shared" si="43"/>
        <v>-19371.058000000005</v>
      </c>
      <c r="O31" s="137">
        <f t="shared" si="44"/>
        <v>-88553.40800000001</v>
      </c>
      <c r="P31" s="138">
        <v>12</v>
      </c>
      <c r="Q31" s="134">
        <f t="shared" si="45"/>
        <v>-76869.277777777781</v>
      </c>
      <c r="R31" s="135">
        <f t="shared" si="46"/>
        <v>0</v>
      </c>
      <c r="S31" s="136">
        <f t="shared" si="47"/>
        <v>-76869.277777777781</v>
      </c>
      <c r="T31" s="135">
        <f t="shared" si="48"/>
        <v>-20985.312833333337</v>
      </c>
      <c r="U31" s="137">
        <f t="shared" si="49"/>
        <v>-97854.590611111111</v>
      </c>
      <c r="V31" s="135">
        <f t="shared" si="50"/>
        <v>-922431.33333333349</v>
      </c>
      <c r="W31" s="136">
        <f t="shared" si="51"/>
        <v>0</v>
      </c>
      <c r="X31" s="137">
        <f t="shared" si="52"/>
        <v>-922431.33333333349</v>
      </c>
      <c r="Y31" s="134">
        <f t="shared" si="53"/>
        <v>-251823.75400000007</v>
      </c>
      <c r="Z31" s="137">
        <f t="shared" si="54"/>
        <v>-1174255.0873333337</v>
      </c>
      <c r="AA31" s="139">
        <v>8574.25</v>
      </c>
      <c r="AB31" s="130">
        <f t="shared" si="25"/>
        <v>-4301.82</v>
      </c>
      <c r="AC31" s="131">
        <v>4272.43</v>
      </c>
      <c r="AD31" s="134">
        <f t="shared" si="55"/>
        <v>-72631.31</v>
      </c>
      <c r="AE31" s="135">
        <f t="shared" si="56"/>
        <v>0</v>
      </c>
      <c r="AF31" s="136">
        <f t="shared" si="57"/>
        <v>-20336.766800000001</v>
      </c>
      <c r="AG31" s="137">
        <f t="shared" si="58"/>
        <v>-92968.076799999995</v>
      </c>
      <c r="AH31" s="135">
        <f t="shared" si="59"/>
        <v>-957828.48230000003</v>
      </c>
      <c r="AI31" s="135">
        <f t="shared" si="60"/>
        <v>0</v>
      </c>
      <c r="AJ31" s="137">
        <f t="shared" si="61"/>
        <v>-957828.48230000003</v>
      </c>
      <c r="AK31" s="134">
        <f t="shared" si="62"/>
        <v>-261480.842</v>
      </c>
      <c r="AL31" s="137">
        <f t="shared" si="63"/>
        <v>-1219309.3243</v>
      </c>
      <c r="AM31" s="136">
        <f t="shared" si="64"/>
        <v>-968175.36229999992</v>
      </c>
      <c r="AN31" s="136">
        <f t="shared" si="65"/>
        <v>0</v>
      </c>
      <c r="AO31" s="362">
        <f t="shared" si="66"/>
        <v>-968175.36229999992</v>
      </c>
      <c r="AP31" s="136">
        <f t="shared" si="67"/>
        <v>-264377.96840000001</v>
      </c>
      <c r="AQ31" s="137">
        <f t="shared" si="68"/>
        <v>-1232553.3306999998</v>
      </c>
    </row>
    <row r="32" spans="1:43" s="82" customFormat="1" ht="55.5" customHeight="1" x14ac:dyDescent="0.2">
      <c r="A32" s="360" t="s">
        <v>661</v>
      </c>
      <c r="B32" s="128" t="s">
        <v>672</v>
      </c>
      <c r="C32" s="128"/>
      <c r="D32" s="128"/>
      <c r="E32" s="128" t="s">
        <v>662</v>
      </c>
      <c r="F32" s="128" t="s">
        <v>675</v>
      </c>
      <c r="G32" s="129">
        <f t="shared" si="4"/>
        <v>8157.41</v>
      </c>
      <c r="H32" s="130">
        <f t="shared" si="40"/>
        <v>-4087.8599999999997</v>
      </c>
      <c r="I32" s="131">
        <v>4069.55</v>
      </c>
      <c r="J32" s="142">
        <v>-10</v>
      </c>
      <c r="K32" s="142">
        <v>-10</v>
      </c>
      <c r="L32" s="134">
        <f t="shared" si="41"/>
        <v>-40695.5</v>
      </c>
      <c r="M32" s="135">
        <f t="shared" si="42"/>
        <v>0</v>
      </c>
      <c r="N32" s="136">
        <f t="shared" si="43"/>
        <v>-11394.740000000002</v>
      </c>
      <c r="O32" s="137">
        <f t="shared" si="44"/>
        <v>-52090.240000000005</v>
      </c>
      <c r="P32" s="138">
        <v>12</v>
      </c>
      <c r="Q32" s="134">
        <f t="shared" si="45"/>
        <v>-45217.222222222219</v>
      </c>
      <c r="R32" s="135">
        <f t="shared" si="46"/>
        <v>0</v>
      </c>
      <c r="S32" s="136">
        <f t="shared" si="47"/>
        <v>-45217.222222222219</v>
      </c>
      <c r="T32" s="135">
        <f t="shared" si="48"/>
        <v>-12344.301666666668</v>
      </c>
      <c r="U32" s="137">
        <f t="shared" si="49"/>
        <v>-57561.523888888885</v>
      </c>
      <c r="V32" s="135">
        <f t="shared" si="50"/>
        <v>-542606.66666666674</v>
      </c>
      <c r="W32" s="136">
        <f t="shared" si="51"/>
        <v>0</v>
      </c>
      <c r="X32" s="137">
        <f t="shared" si="52"/>
        <v>-542606.66666666674</v>
      </c>
      <c r="Y32" s="134">
        <f t="shared" si="53"/>
        <v>-148131.62000000002</v>
      </c>
      <c r="Z32" s="137">
        <f t="shared" si="54"/>
        <v>-690738.28666666674</v>
      </c>
      <c r="AA32" s="139">
        <v>8574.25</v>
      </c>
      <c r="AB32" s="130">
        <f t="shared" si="25"/>
        <v>-4301.82</v>
      </c>
      <c r="AC32" s="131">
        <v>4272.43</v>
      </c>
      <c r="AD32" s="134">
        <f t="shared" si="55"/>
        <v>-42724.3</v>
      </c>
      <c r="AE32" s="135">
        <f t="shared" si="56"/>
        <v>0</v>
      </c>
      <c r="AF32" s="136">
        <f t="shared" si="57"/>
        <v>-11962.804</v>
      </c>
      <c r="AG32" s="137">
        <f t="shared" si="58"/>
        <v>-54687.104000000007</v>
      </c>
      <c r="AH32" s="135">
        <f t="shared" si="59"/>
        <v>-563428.51900000009</v>
      </c>
      <c r="AI32" s="135">
        <f t="shared" si="60"/>
        <v>0</v>
      </c>
      <c r="AJ32" s="137">
        <f t="shared" si="61"/>
        <v>-563428.51900000009</v>
      </c>
      <c r="AK32" s="134">
        <f t="shared" si="62"/>
        <v>-153812.26</v>
      </c>
      <c r="AL32" s="137">
        <f t="shared" si="63"/>
        <v>-717240.7790000001</v>
      </c>
      <c r="AM32" s="136">
        <f t="shared" si="64"/>
        <v>-569514.91899999999</v>
      </c>
      <c r="AN32" s="136">
        <f t="shared" si="65"/>
        <v>0</v>
      </c>
      <c r="AO32" s="362">
        <f t="shared" si="66"/>
        <v>-569514.91899999999</v>
      </c>
      <c r="AP32" s="136">
        <f t="shared" si="67"/>
        <v>-155516.45199999999</v>
      </c>
      <c r="AQ32" s="137">
        <f t="shared" si="68"/>
        <v>-725031.37100000004</v>
      </c>
    </row>
    <row r="33" spans="1:43" s="82" customFormat="1" ht="55.5" customHeight="1" x14ac:dyDescent="0.2">
      <c r="A33" s="360" t="s">
        <v>661</v>
      </c>
      <c r="B33" s="128" t="s">
        <v>672</v>
      </c>
      <c r="C33" s="128"/>
      <c r="D33" s="128"/>
      <c r="E33" s="128" t="s">
        <v>662</v>
      </c>
      <c r="F33" s="128" t="s">
        <v>676</v>
      </c>
      <c r="G33" s="129">
        <f t="shared" si="4"/>
        <v>8157.41</v>
      </c>
      <c r="H33" s="130">
        <f t="shared" si="40"/>
        <v>-4087.8599999999997</v>
      </c>
      <c r="I33" s="131">
        <v>4069.55</v>
      </c>
      <c r="J33" s="142">
        <v>-6</v>
      </c>
      <c r="K33" s="142">
        <v>-6</v>
      </c>
      <c r="L33" s="134">
        <f t="shared" si="41"/>
        <v>-24417.300000000003</v>
      </c>
      <c r="M33" s="135">
        <f t="shared" si="42"/>
        <v>0</v>
      </c>
      <c r="N33" s="136">
        <f t="shared" si="43"/>
        <v>-6836.844000000001</v>
      </c>
      <c r="O33" s="137">
        <f t="shared" si="44"/>
        <v>-31254.144000000004</v>
      </c>
      <c r="P33" s="138">
        <v>12</v>
      </c>
      <c r="Q33" s="134">
        <f t="shared" si="45"/>
        <v>-27130.333333333339</v>
      </c>
      <c r="R33" s="135">
        <f t="shared" si="46"/>
        <v>0</v>
      </c>
      <c r="S33" s="136">
        <f t="shared" si="47"/>
        <v>-27130.333333333339</v>
      </c>
      <c r="T33" s="135">
        <f t="shared" si="48"/>
        <v>-7406.581000000001</v>
      </c>
      <c r="U33" s="137">
        <f t="shared" si="49"/>
        <v>-34536.914333333341</v>
      </c>
      <c r="V33" s="135">
        <f t="shared" si="50"/>
        <v>-325564.00000000006</v>
      </c>
      <c r="W33" s="136">
        <f t="shared" si="51"/>
        <v>0</v>
      </c>
      <c r="X33" s="137">
        <f t="shared" si="52"/>
        <v>-325564.00000000006</v>
      </c>
      <c r="Y33" s="134">
        <f t="shared" si="53"/>
        <v>-88878.972000000009</v>
      </c>
      <c r="Z33" s="137">
        <f t="shared" si="54"/>
        <v>-414442.97200000007</v>
      </c>
      <c r="AA33" s="139">
        <v>8574.25</v>
      </c>
      <c r="AB33" s="130">
        <f t="shared" si="25"/>
        <v>-4301.82</v>
      </c>
      <c r="AC33" s="131">
        <v>4272.43</v>
      </c>
      <c r="AD33" s="134">
        <f t="shared" si="55"/>
        <v>-25634.58</v>
      </c>
      <c r="AE33" s="135">
        <f t="shared" si="56"/>
        <v>0</v>
      </c>
      <c r="AF33" s="136">
        <f t="shared" si="57"/>
        <v>-7177.6824000000006</v>
      </c>
      <c r="AG33" s="137">
        <f t="shared" si="58"/>
        <v>-32812.2624</v>
      </c>
      <c r="AH33" s="135">
        <f t="shared" si="59"/>
        <v>-338057.11140000005</v>
      </c>
      <c r="AI33" s="135">
        <f t="shared" si="60"/>
        <v>0</v>
      </c>
      <c r="AJ33" s="137">
        <f t="shared" si="61"/>
        <v>-338057.11140000005</v>
      </c>
      <c r="AK33" s="134">
        <f t="shared" si="62"/>
        <v>-92287.356000000014</v>
      </c>
      <c r="AL33" s="137">
        <f t="shared" si="63"/>
        <v>-430344.46740000008</v>
      </c>
      <c r="AM33" s="136">
        <f t="shared" si="64"/>
        <v>-341708.95140000002</v>
      </c>
      <c r="AN33" s="136">
        <f t="shared" si="65"/>
        <v>0</v>
      </c>
      <c r="AO33" s="362">
        <f t="shared" si="66"/>
        <v>-341708.95140000002</v>
      </c>
      <c r="AP33" s="136">
        <f t="shared" si="67"/>
        <v>-93309.871200000009</v>
      </c>
      <c r="AQ33" s="137">
        <f t="shared" si="68"/>
        <v>-435018.82260000001</v>
      </c>
    </row>
    <row r="34" spans="1:43" s="82" customFormat="1" ht="55.5" customHeight="1" x14ac:dyDescent="0.2">
      <c r="A34" s="360" t="s">
        <v>661</v>
      </c>
      <c r="B34" s="128" t="s">
        <v>672</v>
      </c>
      <c r="C34" s="128"/>
      <c r="D34" s="128"/>
      <c r="E34" s="128" t="s">
        <v>662</v>
      </c>
      <c r="F34" s="128" t="s">
        <v>677</v>
      </c>
      <c r="G34" s="129">
        <f t="shared" si="4"/>
        <v>8157.41</v>
      </c>
      <c r="H34" s="130">
        <f t="shared" si="40"/>
        <v>-4087.8599999999997</v>
      </c>
      <c r="I34" s="131">
        <v>4069.55</v>
      </c>
      <c r="J34" s="142">
        <v>-5</v>
      </c>
      <c r="K34" s="142">
        <v>-5</v>
      </c>
      <c r="L34" s="134">
        <f t="shared" si="41"/>
        <v>-20347.75</v>
      </c>
      <c r="M34" s="135">
        <f t="shared" si="42"/>
        <v>0</v>
      </c>
      <c r="N34" s="136">
        <f t="shared" si="43"/>
        <v>-5697.3700000000008</v>
      </c>
      <c r="O34" s="137">
        <f t="shared" si="44"/>
        <v>-26045.120000000003</v>
      </c>
      <c r="P34" s="138">
        <v>12</v>
      </c>
      <c r="Q34" s="134">
        <f t="shared" si="45"/>
        <v>-22608.611111111109</v>
      </c>
      <c r="R34" s="135">
        <f t="shared" si="46"/>
        <v>0</v>
      </c>
      <c r="S34" s="136">
        <f t="shared" si="47"/>
        <v>-22608.611111111109</v>
      </c>
      <c r="T34" s="135">
        <f t="shared" si="48"/>
        <v>-6172.150833333334</v>
      </c>
      <c r="U34" s="137">
        <f t="shared" si="49"/>
        <v>-28780.761944444443</v>
      </c>
      <c r="V34" s="135">
        <f t="shared" si="50"/>
        <v>-271303.33333333337</v>
      </c>
      <c r="W34" s="136">
        <f t="shared" si="51"/>
        <v>0</v>
      </c>
      <c r="X34" s="137">
        <f t="shared" si="52"/>
        <v>-271303.33333333337</v>
      </c>
      <c r="Y34" s="134">
        <f t="shared" si="53"/>
        <v>-74065.810000000012</v>
      </c>
      <c r="Z34" s="137">
        <f t="shared" si="54"/>
        <v>-345369.14333333337</v>
      </c>
      <c r="AA34" s="139">
        <v>8574.25</v>
      </c>
      <c r="AB34" s="130">
        <f t="shared" si="25"/>
        <v>-4301.82</v>
      </c>
      <c r="AC34" s="131">
        <v>4272.43</v>
      </c>
      <c r="AD34" s="134">
        <f t="shared" si="55"/>
        <v>-21362.15</v>
      </c>
      <c r="AE34" s="135">
        <f t="shared" si="56"/>
        <v>0</v>
      </c>
      <c r="AF34" s="136">
        <f t="shared" si="57"/>
        <v>-5981.402</v>
      </c>
      <c r="AG34" s="137">
        <f t="shared" si="58"/>
        <v>-27343.552000000003</v>
      </c>
      <c r="AH34" s="135">
        <f t="shared" si="59"/>
        <v>-281714.25950000004</v>
      </c>
      <c r="AI34" s="135">
        <f t="shared" si="60"/>
        <v>0</v>
      </c>
      <c r="AJ34" s="137">
        <f t="shared" si="61"/>
        <v>-281714.25950000004</v>
      </c>
      <c r="AK34" s="134">
        <f t="shared" si="62"/>
        <v>-76906.13</v>
      </c>
      <c r="AL34" s="137">
        <f t="shared" si="63"/>
        <v>-358620.38950000005</v>
      </c>
      <c r="AM34" s="136">
        <f t="shared" si="64"/>
        <v>-284757.4595</v>
      </c>
      <c r="AN34" s="136">
        <f t="shared" si="65"/>
        <v>0</v>
      </c>
      <c r="AO34" s="362">
        <f t="shared" si="66"/>
        <v>-284757.4595</v>
      </c>
      <c r="AP34" s="136">
        <f t="shared" si="67"/>
        <v>-77758.225999999995</v>
      </c>
      <c r="AQ34" s="137">
        <f t="shared" si="68"/>
        <v>-362515.68550000002</v>
      </c>
    </row>
    <row r="35" spans="1:43" s="82" customFormat="1" ht="55.5" customHeight="1" x14ac:dyDescent="0.2">
      <c r="A35" s="360" t="s">
        <v>661</v>
      </c>
      <c r="B35" s="128" t="s">
        <v>672</v>
      </c>
      <c r="C35" s="128"/>
      <c r="D35" s="128"/>
      <c r="E35" s="128" t="s">
        <v>662</v>
      </c>
      <c r="F35" s="128" t="s">
        <v>678</v>
      </c>
      <c r="G35" s="129">
        <f t="shared" si="4"/>
        <v>8157.41</v>
      </c>
      <c r="H35" s="130">
        <f t="shared" si="40"/>
        <v>-4087.8599999999997</v>
      </c>
      <c r="I35" s="131">
        <v>4069.55</v>
      </c>
      <c r="J35" s="142">
        <v>-4</v>
      </c>
      <c r="K35" s="142">
        <v>-4</v>
      </c>
      <c r="L35" s="134">
        <f t="shared" si="41"/>
        <v>-16278.2</v>
      </c>
      <c r="M35" s="135">
        <f t="shared" si="42"/>
        <v>0</v>
      </c>
      <c r="N35" s="136">
        <f t="shared" si="43"/>
        <v>-4557.8960000000006</v>
      </c>
      <c r="O35" s="137">
        <f t="shared" si="44"/>
        <v>-20836.096000000001</v>
      </c>
      <c r="P35" s="138">
        <v>12</v>
      </c>
      <c r="Q35" s="134">
        <f t="shared" si="45"/>
        <v>-18086.888888888891</v>
      </c>
      <c r="R35" s="135">
        <f t="shared" si="46"/>
        <v>0</v>
      </c>
      <c r="S35" s="136">
        <f t="shared" si="47"/>
        <v>-18086.888888888891</v>
      </c>
      <c r="T35" s="135">
        <f t="shared" si="48"/>
        <v>-4937.7206666666671</v>
      </c>
      <c r="U35" s="137">
        <f t="shared" si="49"/>
        <v>-23024.609555555558</v>
      </c>
      <c r="V35" s="135">
        <f t="shared" si="50"/>
        <v>-217042.66666666669</v>
      </c>
      <c r="W35" s="136">
        <f t="shared" si="51"/>
        <v>0</v>
      </c>
      <c r="X35" s="137">
        <f t="shared" si="52"/>
        <v>-217042.66666666669</v>
      </c>
      <c r="Y35" s="134">
        <f t="shared" si="53"/>
        <v>-59252.648000000008</v>
      </c>
      <c r="Z35" s="137">
        <f t="shared" si="54"/>
        <v>-276295.31466666667</v>
      </c>
      <c r="AA35" s="139">
        <v>8574.25</v>
      </c>
      <c r="AB35" s="130">
        <f t="shared" si="25"/>
        <v>-4301.82</v>
      </c>
      <c r="AC35" s="131">
        <v>4272.43</v>
      </c>
      <c r="AD35" s="134">
        <f t="shared" si="55"/>
        <v>-17089.72</v>
      </c>
      <c r="AE35" s="135">
        <f t="shared" si="56"/>
        <v>0</v>
      </c>
      <c r="AF35" s="136">
        <f t="shared" si="57"/>
        <v>-4785.1216000000004</v>
      </c>
      <c r="AG35" s="137">
        <f t="shared" si="58"/>
        <v>-21874.8416</v>
      </c>
      <c r="AH35" s="135">
        <f t="shared" si="59"/>
        <v>-225371.40760000001</v>
      </c>
      <c r="AI35" s="135">
        <f t="shared" si="60"/>
        <v>0</v>
      </c>
      <c r="AJ35" s="137">
        <f t="shared" si="61"/>
        <v>-225371.40760000001</v>
      </c>
      <c r="AK35" s="134">
        <f t="shared" si="62"/>
        <v>-61524.904000000002</v>
      </c>
      <c r="AL35" s="137">
        <f t="shared" si="63"/>
        <v>-286896.31160000002</v>
      </c>
      <c r="AM35" s="136">
        <f t="shared" si="64"/>
        <v>-227805.9676</v>
      </c>
      <c r="AN35" s="136">
        <f t="shared" si="65"/>
        <v>0</v>
      </c>
      <c r="AO35" s="362">
        <f t="shared" si="66"/>
        <v>-227805.9676</v>
      </c>
      <c r="AP35" s="136">
        <f t="shared" si="67"/>
        <v>-62206.580800000003</v>
      </c>
      <c r="AQ35" s="137">
        <f t="shared" si="68"/>
        <v>-290012.54840000003</v>
      </c>
    </row>
    <row r="36" spans="1:43" s="82" customFormat="1" ht="55.5" customHeight="1" x14ac:dyDescent="0.2">
      <c r="A36" s="360" t="s">
        <v>661</v>
      </c>
      <c r="B36" s="128" t="s">
        <v>672</v>
      </c>
      <c r="C36" s="128"/>
      <c r="D36" s="128"/>
      <c r="E36" s="128" t="s">
        <v>662</v>
      </c>
      <c r="F36" s="128" t="s">
        <v>679</v>
      </c>
      <c r="G36" s="129">
        <f t="shared" si="4"/>
        <v>8157.41</v>
      </c>
      <c r="H36" s="130">
        <f t="shared" si="40"/>
        <v>-4087.8599999999997</v>
      </c>
      <c r="I36" s="131">
        <v>4069.55</v>
      </c>
      <c r="J36" s="142">
        <v>-3</v>
      </c>
      <c r="K36" s="142">
        <v>-3</v>
      </c>
      <c r="L36" s="134">
        <f t="shared" si="41"/>
        <v>-12208.650000000001</v>
      </c>
      <c r="M36" s="135">
        <f t="shared" si="42"/>
        <v>0</v>
      </c>
      <c r="N36" s="136">
        <f t="shared" si="43"/>
        <v>-3418.4220000000005</v>
      </c>
      <c r="O36" s="137">
        <f t="shared" si="44"/>
        <v>-15627.072000000002</v>
      </c>
      <c r="P36" s="138">
        <v>12</v>
      </c>
      <c r="Q36" s="134">
        <f t="shared" si="45"/>
        <v>-13565.16666666667</v>
      </c>
      <c r="R36" s="135">
        <f t="shared" si="46"/>
        <v>0</v>
      </c>
      <c r="S36" s="136">
        <f t="shared" si="47"/>
        <v>-13565.16666666667</v>
      </c>
      <c r="T36" s="135">
        <f t="shared" si="48"/>
        <v>-3703.2905000000005</v>
      </c>
      <c r="U36" s="137">
        <f t="shared" si="49"/>
        <v>-17268.457166666671</v>
      </c>
      <c r="V36" s="135">
        <f t="shared" si="50"/>
        <v>-162782.00000000003</v>
      </c>
      <c r="W36" s="136">
        <f t="shared" si="51"/>
        <v>0</v>
      </c>
      <c r="X36" s="137">
        <f t="shared" si="52"/>
        <v>-162782.00000000003</v>
      </c>
      <c r="Y36" s="134">
        <f t="shared" si="53"/>
        <v>-44439.486000000004</v>
      </c>
      <c r="Z36" s="137">
        <f t="shared" si="54"/>
        <v>-207221.48600000003</v>
      </c>
      <c r="AA36" s="139">
        <v>8574.25</v>
      </c>
      <c r="AB36" s="130">
        <f t="shared" si="25"/>
        <v>-4301.82</v>
      </c>
      <c r="AC36" s="131">
        <v>4272.43</v>
      </c>
      <c r="AD36" s="134">
        <f t="shared" si="55"/>
        <v>-12817.29</v>
      </c>
      <c r="AE36" s="135">
        <f t="shared" si="56"/>
        <v>0</v>
      </c>
      <c r="AF36" s="136">
        <f t="shared" si="57"/>
        <v>-3588.8412000000003</v>
      </c>
      <c r="AG36" s="137">
        <f t="shared" si="58"/>
        <v>-16406.1312</v>
      </c>
      <c r="AH36" s="135">
        <f t="shared" si="59"/>
        <v>-169028.55570000003</v>
      </c>
      <c r="AI36" s="135">
        <f t="shared" si="60"/>
        <v>0</v>
      </c>
      <c r="AJ36" s="137">
        <f t="shared" si="61"/>
        <v>-169028.55570000003</v>
      </c>
      <c r="AK36" s="134">
        <f t="shared" si="62"/>
        <v>-46143.678000000007</v>
      </c>
      <c r="AL36" s="137">
        <f t="shared" si="63"/>
        <v>-215172.23370000004</v>
      </c>
      <c r="AM36" s="136">
        <f t="shared" si="64"/>
        <v>-170854.47570000001</v>
      </c>
      <c r="AN36" s="136">
        <f t="shared" si="65"/>
        <v>0</v>
      </c>
      <c r="AO36" s="362">
        <f t="shared" si="66"/>
        <v>-170854.47570000001</v>
      </c>
      <c r="AP36" s="136">
        <f t="shared" si="67"/>
        <v>-46654.935600000004</v>
      </c>
      <c r="AQ36" s="137">
        <f t="shared" si="68"/>
        <v>-217509.41130000001</v>
      </c>
    </row>
    <row r="37" spans="1:43" s="82" customFormat="1" ht="55.5" customHeight="1" x14ac:dyDescent="0.2">
      <c r="A37" s="360" t="s">
        <v>661</v>
      </c>
      <c r="B37" s="128" t="s">
        <v>672</v>
      </c>
      <c r="C37" s="128"/>
      <c r="D37" s="128"/>
      <c r="E37" s="128" t="s">
        <v>662</v>
      </c>
      <c r="F37" s="128" t="s">
        <v>680</v>
      </c>
      <c r="G37" s="129">
        <f t="shared" si="4"/>
        <v>8157.41</v>
      </c>
      <c r="H37" s="130">
        <f t="shared" si="40"/>
        <v>-4087.8599999999997</v>
      </c>
      <c r="I37" s="131">
        <v>4069.55</v>
      </c>
      <c r="J37" s="142">
        <v>-3</v>
      </c>
      <c r="K37" s="142">
        <v>-3</v>
      </c>
      <c r="L37" s="134">
        <f t="shared" si="41"/>
        <v>-12208.650000000001</v>
      </c>
      <c r="M37" s="135">
        <f t="shared" si="42"/>
        <v>0</v>
      </c>
      <c r="N37" s="136">
        <f t="shared" si="43"/>
        <v>-3418.4220000000005</v>
      </c>
      <c r="O37" s="137">
        <f t="shared" si="44"/>
        <v>-15627.072000000002</v>
      </c>
      <c r="P37" s="138">
        <v>12</v>
      </c>
      <c r="Q37" s="134">
        <f t="shared" si="45"/>
        <v>-13565.16666666667</v>
      </c>
      <c r="R37" s="135">
        <f t="shared" si="46"/>
        <v>0</v>
      </c>
      <c r="S37" s="136">
        <f t="shared" si="47"/>
        <v>-13565.16666666667</v>
      </c>
      <c r="T37" s="135">
        <f t="shared" si="48"/>
        <v>-3703.2905000000005</v>
      </c>
      <c r="U37" s="137">
        <f t="shared" si="49"/>
        <v>-17268.457166666671</v>
      </c>
      <c r="V37" s="135">
        <f t="shared" si="50"/>
        <v>-162782.00000000003</v>
      </c>
      <c r="W37" s="136">
        <f t="shared" si="51"/>
        <v>0</v>
      </c>
      <c r="X37" s="137">
        <f t="shared" si="52"/>
        <v>-162782.00000000003</v>
      </c>
      <c r="Y37" s="134">
        <f t="shared" si="53"/>
        <v>-44439.486000000004</v>
      </c>
      <c r="Z37" s="137">
        <f t="shared" si="54"/>
        <v>-207221.48600000003</v>
      </c>
      <c r="AA37" s="139">
        <v>8574.25</v>
      </c>
      <c r="AB37" s="130">
        <f t="shared" si="25"/>
        <v>-4301.82</v>
      </c>
      <c r="AC37" s="131">
        <v>4272.43</v>
      </c>
      <c r="AD37" s="134">
        <f t="shared" si="55"/>
        <v>-12817.29</v>
      </c>
      <c r="AE37" s="135">
        <f t="shared" si="56"/>
        <v>0</v>
      </c>
      <c r="AF37" s="136">
        <f t="shared" si="57"/>
        <v>-3588.8412000000003</v>
      </c>
      <c r="AG37" s="137">
        <f t="shared" si="58"/>
        <v>-16406.1312</v>
      </c>
      <c r="AH37" s="135">
        <f t="shared" si="59"/>
        <v>-169028.55570000003</v>
      </c>
      <c r="AI37" s="135">
        <f t="shared" si="60"/>
        <v>0</v>
      </c>
      <c r="AJ37" s="137">
        <f t="shared" si="61"/>
        <v>-169028.55570000003</v>
      </c>
      <c r="AK37" s="134">
        <f t="shared" si="62"/>
        <v>-46143.678000000007</v>
      </c>
      <c r="AL37" s="137">
        <f t="shared" si="63"/>
        <v>-215172.23370000004</v>
      </c>
      <c r="AM37" s="136">
        <f t="shared" si="64"/>
        <v>-170854.47570000001</v>
      </c>
      <c r="AN37" s="136">
        <f t="shared" si="65"/>
        <v>0</v>
      </c>
      <c r="AO37" s="362">
        <f t="shared" si="66"/>
        <v>-170854.47570000001</v>
      </c>
      <c r="AP37" s="136">
        <f t="shared" si="67"/>
        <v>-46654.935600000004</v>
      </c>
      <c r="AQ37" s="137">
        <f t="shared" si="68"/>
        <v>-217509.41130000001</v>
      </c>
    </row>
    <row r="38" spans="1:43" s="82" customFormat="1" ht="55.5" customHeight="1" x14ac:dyDescent="0.2">
      <c r="A38" s="360" t="s">
        <v>661</v>
      </c>
      <c r="B38" s="128" t="s">
        <v>672</v>
      </c>
      <c r="C38" s="128"/>
      <c r="D38" s="128"/>
      <c r="E38" s="128" t="s">
        <v>662</v>
      </c>
      <c r="F38" s="128" t="s">
        <v>681</v>
      </c>
      <c r="G38" s="129">
        <f t="shared" si="4"/>
        <v>8157.41</v>
      </c>
      <c r="H38" s="130">
        <f t="shared" si="40"/>
        <v>-4087.8599999999997</v>
      </c>
      <c r="I38" s="131">
        <v>4069.55</v>
      </c>
      <c r="J38" s="142">
        <v>-3</v>
      </c>
      <c r="K38" s="142">
        <v>-3</v>
      </c>
      <c r="L38" s="134">
        <f t="shared" si="41"/>
        <v>-12208.650000000001</v>
      </c>
      <c r="M38" s="135">
        <f t="shared" si="42"/>
        <v>0</v>
      </c>
      <c r="N38" s="136">
        <f t="shared" si="43"/>
        <v>-3418.4220000000005</v>
      </c>
      <c r="O38" s="137">
        <f t="shared" si="44"/>
        <v>-15627.072000000002</v>
      </c>
      <c r="P38" s="138">
        <v>12</v>
      </c>
      <c r="Q38" s="134">
        <f t="shared" si="45"/>
        <v>-13565.16666666667</v>
      </c>
      <c r="R38" s="135">
        <f t="shared" si="46"/>
        <v>0</v>
      </c>
      <c r="S38" s="136">
        <f t="shared" si="47"/>
        <v>-13565.16666666667</v>
      </c>
      <c r="T38" s="135">
        <f t="shared" si="48"/>
        <v>-3703.2905000000005</v>
      </c>
      <c r="U38" s="137">
        <f t="shared" si="49"/>
        <v>-17268.457166666671</v>
      </c>
      <c r="V38" s="135">
        <f t="shared" si="50"/>
        <v>-162782.00000000003</v>
      </c>
      <c r="W38" s="136">
        <f t="shared" si="51"/>
        <v>0</v>
      </c>
      <c r="X38" s="137">
        <f t="shared" si="52"/>
        <v>-162782.00000000003</v>
      </c>
      <c r="Y38" s="134">
        <f t="shared" si="53"/>
        <v>-44439.486000000004</v>
      </c>
      <c r="Z38" s="137">
        <f t="shared" si="54"/>
        <v>-207221.48600000003</v>
      </c>
      <c r="AA38" s="139">
        <v>8574.25</v>
      </c>
      <c r="AB38" s="130">
        <f t="shared" si="25"/>
        <v>-4301.82</v>
      </c>
      <c r="AC38" s="131">
        <v>4272.43</v>
      </c>
      <c r="AD38" s="134">
        <f t="shared" si="55"/>
        <v>-12817.29</v>
      </c>
      <c r="AE38" s="135">
        <f t="shared" si="56"/>
        <v>0</v>
      </c>
      <c r="AF38" s="136">
        <f t="shared" si="57"/>
        <v>-3588.8412000000003</v>
      </c>
      <c r="AG38" s="137">
        <f t="shared" si="58"/>
        <v>-16406.1312</v>
      </c>
      <c r="AH38" s="135">
        <f t="shared" si="59"/>
        <v>-169028.55570000003</v>
      </c>
      <c r="AI38" s="135">
        <f t="shared" si="60"/>
        <v>0</v>
      </c>
      <c r="AJ38" s="137">
        <f t="shared" si="61"/>
        <v>-169028.55570000003</v>
      </c>
      <c r="AK38" s="134">
        <f t="shared" si="62"/>
        <v>-46143.678000000007</v>
      </c>
      <c r="AL38" s="137">
        <f t="shared" si="63"/>
        <v>-215172.23370000004</v>
      </c>
      <c r="AM38" s="136">
        <f t="shared" si="64"/>
        <v>-170854.47570000001</v>
      </c>
      <c r="AN38" s="136">
        <f t="shared" si="65"/>
        <v>0</v>
      </c>
      <c r="AO38" s="362">
        <f t="shared" si="66"/>
        <v>-170854.47570000001</v>
      </c>
      <c r="AP38" s="136">
        <f t="shared" si="67"/>
        <v>-46654.935600000004</v>
      </c>
      <c r="AQ38" s="137">
        <f t="shared" si="68"/>
        <v>-217509.41130000001</v>
      </c>
    </row>
    <row r="39" spans="1:43" s="82" customFormat="1" ht="55.5" customHeight="1" x14ac:dyDescent="0.2">
      <c r="A39" s="360" t="s">
        <v>661</v>
      </c>
      <c r="B39" s="128" t="s">
        <v>672</v>
      </c>
      <c r="C39" s="128"/>
      <c r="D39" s="128"/>
      <c r="E39" s="128" t="s">
        <v>662</v>
      </c>
      <c r="F39" s="128" t="s">
        <v>682</v>
      </c>
      <c r="G39" s="129">
        <f t="shared" si="4"/>
        <v>8157.41</v>
      </c>
      <c r="H39" s="130">
        <f t="shared" si="40"/>
        <v>-4087.8599999999997</v>
      </c>
      <c r="I39" s="131">
        <v>4069.55</v>
      </c>
      <c r="J39" s="142">
        <v>-2</v>
      </c>
      <c r="K39" s="142">
        <v>-2</v>
      </c>
      <c r="L39" s="134">
        <f t="shared" si="41"/>
        <v>-8139.1</v>
      </c>
      <c r="M39" s="135">
        <f t="shared" si="42"/>
        <v>0</v>
      </c>
      <c r="N39" s="136">
        <f t="shared" si="43"/>
        <v>-2278.9480000000003</v>
      </c>
      <c r="O39" s="137">
        <f t="shared" si="44"/>
        <v>-10418.048000000001</v>
      </c>
      <c r="P39" s="138">
        <v>12</v>
      </c>
      <c r="Q39" s="134">
        <f t="shared" si="45"/>
        <v>-9043.4444444444453</v>
      </c>
      <c r="R39" s="135">
        <f t="shared" si="46"/>
        <v>0</v>
      </c>
      <c r="S39" s="136">
        <f t="shared" si="47"/>
        <v>-9043.4444444444453</v>
      </c>
      <c r="T39" s="135">
        <f t="shared" si="48"/>
        <v>-2468.8603333333335</v>
      </c>
      <c r="U39" s="137">
        <f t="shared" si="49"/>
        <v>-11512.304777777779</v>
      </c>
      <c r="V39" s="135">
        <f t="shared" si="50"/>
        <v>-108521.33333333334</v>
      </c>
      <c r="W39" s="136">
        <f t="shared" si="51"/>
        <v>0</v>
      </c>
      <c r="X39" s="137">
        <f t="shared" si="52"/>
        <v>-108521.33333333334</v>
      </c>
      <c r="Y39" s="134">
        <f t="shared" si="53"/>
        <v>-29626.324000000004</v>
      </c>
      <c r="Z39" s="137">
        <f t="shared" si="54"/>
        <v>-138147.65733333334</v>
      </c>
      <c r="AA39" s="139">
        <v>8574.25</v>
      </c>
      <c r="AB39" s="130">
        <f t="shared" si="25"/>
        <v>-4301.82</v>
      </c>
      <c r="AC39" s="131">
        <v>4272.43</v>
      </c>
      <c r="AD39" s="134">
        <f t="shared" si="55"/>
        <v>-8544.86</v>
      </c>
      <c r="AE39" s="135">
        <f t="shared" si="56"/>
        <v>0</v>
      </c>
      <c r="AF39" s="136">
        <f t="shared" si="57"/>
        <v>-2392.5608000000002</v>
      </c>
      <c r="AG39" s="137">
        <f t="shared" si="58"/>
        <v>-10937.4208</v>
      </c>
      <c r="AH39" s="135">
        <f t="shared" si="59"/>
        <v>-112685.7038</v>
      </c>
      <c r="AI39" s="135">
        <f t="shared" si="60"/>
        <v>0</v>
      </c>
      <c r="AJ39" s="137">
        <f t="shared" si="61"/>
        <v>-112685.7038</v>
      </c>
      <c r="AK39" s="134">
        <f t="shared" si="62"/>
        <v>-30762.452000000001</v>
      </c>
      <c r="AL39" s="137">
        <f t="shared" si="63"/>
        <v>-143448.15580000001</v>
      </c>
      <c r="AM39" s="136">
        <f t="shared" si="64"/>
        <v>-113902.9838</v>
      </c>
      <c r="AN39" s="136">
        <f t="shared" si="65"/>
        <v>0</v>
      </c>
      <c r="AO39" s="362">
        <f t="shared" si="66"/>
        <v>-113902.9838</v>
      </c>
      <c r="AP39" s="136">
        <f t="shared" si="67"/>
        <v>-31103.290400000002</v>
      </c>
      <c r="AQ39" s="137">
        <f t="shared" si="68"/>
        <v>-145006.27420000001</v>
      </c>
    </row>
    <row r="40" spans="1:43" s="82" customFormat="1" ht="55.5" customHeight="1" x14ac:dyDescent="0.2">
      <c r="A40" s="360" t="s">
        <v>661</v>
      </c>
      <c r="B40" s="128" t="s">
        <v>672</v>
      </c>
      <c r="C40" s="128"/>
      <c r="D40" s="128"/>
      <c r="E40" s="128" t="s">
        <v>662</v>
      </c>
      <c r="F40" s="128" t="s">
        <v>683</v>
      </c>
      <c r="G40" s="129">
        <f t="shared" si="4"/>
        <v>8157.41</v>
      </c>
      <c r="H40" s="130">
        <f t="shared" si="40"/>
        <v>-4087.8599999999997</v>
      </c>
      <c r="I40" s="131">
        <v>4069.55</v>
      </c>
      <c r="J40" s="142">
        <v>-1</v>
      </c>
      <c r="K40" s="142">
        <v>-1</v>
      </c>
      <c r="L40" s="134">
        <f t="shared" si="41"/>
        <v>-4069.55</v>
      </c>
      <c r="M40" s="135">
        <f t="shared" si="42"/>
        <v>0</v>
      </c>
      <c r="N40" s="136">
        <f t="shared" si="43"/>
        <v>-1139.4740000000002</v>
      </c>
      <c r="O40" s="137">
        <f t="shared" si="44"/>
        <v>-5209.0240000000003</v>
      </c>
      <c r="P40" s="138">
        <v>12</v>
      </c>
      <c r="Q40" s="134">
        <f t="shared" si="45"/>
        <v>-4521.7222222222226</v>
      </c>
      <c r="R40" s="135">
        <f t="shared" si="46"/>
        <v>0</v>
      </c>
      <c r="S40" s="136">
        <f t="shared" si="47"/>
        <v>-4521.7222222222226</v>
      </c>
      <c r="T40" s="135">
        <f t="shared" si="48"/>
        <v>-1234.4301666666668</v>
      </c>
      <c r="U40" s="137">
        <f t="shared" si="49"/>
        <v>-5756.1523888888896</v>
      </c>
      <c r="V40" s="135">
        <f t="shared" si="50"/>
        <v>-54260.666666666672</v>
      </c>
      <c r="W40" s="136">
        <f t="shared" si="51"/>
        <v>0</v>
      </c>
      <c r="X40" s="137">
        <f t="shared" si="52"/>
        <v>-54260.666666666672</v>
      </c>
      <c r="Y40" s="134">
        <f t="shared" si="53"/>
        <v>-14813.162000000002</v>
      </c>
      <c r="Z40" s="137">
        <f t="shared" si="54"/>
        <v>-69073.828666666668</v>
      </c>
      <c r="AA40" s="139">
        <v>8574.25</v>
      </c>
      <c r="AB40" s="130">
        <f t="shared" si="25"/>
        <v>-4301.82</v>
      </c>
      <c r="AC40" s="131">
        <v>4272.43</v>
      </c>
      <c r="AD40" s="134">
        <f t="shared" si="55"/>
        <v>-4272.43</v>
      </c>
      <c r="AE40" s="135">
        <f t="shared" si="56"/>
        <v>0</v>
      </c>
      <c r="AF40" s="136">
        <f t="shared" si="57"/>
        <v>-1196.2804000000001</v>
      </c>
      <c r="AG40" s="137">
        <f t="shared" si="58"/>
        <v>-5468.7103999999999</v>
      </c>
      <c r="AH40" s="135">
        <f t="shared" si="59"/>
        <v>-56342.851900000001</v>
      </c>
      <c r="AI40" s="135">
        <f t="shared" si="60"/>
        <v>0</v>
      </c>
      <c r="AJ40" s="137">
        <f t="shared" si="61"/>
        <v>-56342.851900000001</v>
      </c>
      <c r="AK40" s="134">
        <f t="shared" si="62"/>
        <v>-15381.226000000001</v>
      </c>
      <c r="AL40" s="137">
        <f t="shared" si="63"/>
        <v>-71724.077900000004</v>
      </c>
      <c r="AM40" s="136">
        <f t="shared" si="64"/>
        <v>-56951.491900000001</v>
      </c>
      <c r="AN40" s="136">
        <f t="shared" si="65"/>
        <v>0</v>
      </c>
      <c r="AO40" s="362">
        <f t="shared" si="66"/>
        <v>-56951.491900000001</v>
      </c>
      <c r="AP40" s="136">
        <f t="shared" si="67"/>
        <v>-15551.645200000001</v>
      </c>
      <c r="AQ40" s="137">
        <f t="shared" si="68"/>
        <v>-72503.137100000007</v>
      </c>
    </row>
    <row r="41" spans="1:43" s="82" customFormat="1" ht="55.5" customHeight="1" x14ac:dyDescent="0.2">
      <c r="A41" s="360" t="s">
        <v>661</v>
      </c>
      <c r="B41" s="128" t="s">
        <v>672</v>
      </c>
      <c r="C41" s="128"/>
      <c r="D41" s="128"/>
      <c r="E41" s="128" t="s">
        <v>662</v>
      </c>
      <c r="F41" s="128" t="s">
        <v>684</v>
      </c>
      <c r="G41" s="129">
        <f t="shared" si="4"/>
        <v>8157.41</v>
      </c>
      <c r="H41" s="130">
        <f t="shared" si="40"/>
        <v>-4087.8599999999997</v>
      </c>
      <c r="I41" s="131">
        <v>4069.55</v>
      </c>
      <c r="J41" s="142">
        <v>-1</v>
      </c>
      <c r="K41" s="142">
        <v>-1</v>
      </c>
      <c r="L41" s="134">
        <f t="shared" si="41"/>
        <v>-4069.55</v>
      </c>
      <c r="M41" s="135">
        <f t="shared" si="42"/>
        <v>0</v>
      </c>
      <c r="N41" s="136">
        <f t="shared" si="43"/>
        <v>-1139.4740000000002</v>
      </c>
      <c r="O41" s="137">
        <f t="shared" si="44"/>
        <v>-5209.0240000000003</v>
      </c>
      <c r="P41" s="138">
        <v>12</v>
      </c>
      <c r="Q41" s="134">
        <f t="shared" si="45"/>
        <v>-4521.7222222222226</v>
      </c>
      <c r="R41" s="135">
        <f t="shared" si="46"/>
        <v>0</v>
      </c>
      <c r="S41" s="136">
        <f t="shared" si="47"/>
        <v>-4521.7222222222226</v>
      </c>
      <c r="T41" s="135">
        <f t="shared" si="48"/>
        <v>-1234.4301666666668</v>
      </c>
      <c r="U41" s="137">
        <f t="shared" si="49"/>
        <v>-5756.1523888888896</v>
      </c>
      <c r="V41" s="135">
        <f t="shared" si="50"/>
        <v>-54260.666666666672</v>
      </c>
      <c r="W41" s="136">
        <f t="shared" si="51"/>
        <v>0</v>
      </c>
      <c r="X41" s="137">
        <f t="shared" si="52"/>
        <v>-54260.666666666672</v>
      </c>
      <c r="Y41" s="134">
        <f t="shared" si="53"/>
        <v>-14813.162000000002</v>
      </c>
      <c r="Z41" s="137">
        <f t="shared" si="54"/>
        <v>-69073.828666666668</v>
      </c>
      <c r="AA41" s="139">
        <v>8574.25</v>
      </c>
      <c r="AB41" s="130">
        <f t="shared" si="25"/>
        <v>-4301.82</v>
      </c>
      <c r="AC41" s="131">
        <v>4272.43</v>
      </c>
      <c r="AD41" s="134">
        <f t="shared" si="55"/>
        <v>-4272.43</v>
      </c>
      <c r="AE41" s="135">
        <f t="shared" si="56"/>
        <v>0</v>
      </c>
      <c r="AF41" s="136">
        <f t="shared" si="57"/>
        <v>-1196.2804000000001</v>
      </c>
      <c r="AG41" s="137">
        <f t="shared" si="58"/>
        <v>-5468.7103999999999</v>
      </c>
      <c r="AH41" s="135">
        <f t="shared" si="59"/>
        <v>-56342.851900000001</v>
      </c>
      <c r="AI41" s="135">
        <f t="shared" si="60"/>
        <v>0</v>
      </c>
      <c r="AJ41" s="137">
        <f t="shared" si="61"/>
        <v>-56342.851900000001</v>
      </c>
      <c r="AK41" s="134">
        <f t="shared" si="62"/>
        <v>-15381.226000000001</v>
      </c>
      <c r="AL41" s="137">
        <f t="shared" si="63"/>
        <v>-71724.077900000004</v>
      </c>
      <c r="AM41" s="136">
        <f t="shared" si="64"/>
        <v>-56951.491900000001</v>
      </c>
      <c r="AN41" s="136">
        <f t="shared" si="65"/>
        <v>0</v>
      </c>
      <c r="AO41" s="362">
        <f t="shared" si="66"/>
        <v>-56951.491900000001</v>
      </c>
      <c r="AP41" s="136">
        <f t="shared" si="67"/>
        <v>-15551.645200000001</v>
      </c>
      <c r="AQ41" s="137">
        <f t="shared" si="68"/>
        <v>-72503.137100000007</v>
      </c>
    </row>
    <row r="42" spans="1:43" s="82" customFormat="1" ht="55.5" customHeight="1" x14ac:dyDescent="0.2">
      <c r="A42" s="360" t="s">
        <v>661</v>
      </c>
      <c r="B42" s="128" t="s">
        <v>672</v>
      </c>
      <c r="C42" s="128"/>
      <c r="D42" s="128"/>
      <c r="E42" s="128" t="s">
        <v>662</v>
      </c>
      <c r="F42" s="128" t="s">
        <v>685</v>
      </c>
      <c r="G42" s="129">
        <f t="shared" si="4"/>
        <v>8157.41</v>
      </c>
      <c r="H42" s="130">
        <f t="shared" si="40"/>
        <v>-4087.8599999999997</v>
      </c>
      <c r="I42" s="131">
        <v>4069.55</v>
      </c>
      <c r="J42" s="142">
        <v>-1</v>
      </c>
      <c r="K42" s="142">
        <v>-1</v>
      </c>
      <c r="L42" s="134">
        <f t="shared" si="41"/>
        <v>-4069.55</v>
      </c>
      <c r="M42" s="135">
        <f t="shared" si="42"/>
        <v>0</v>
      </c>
      <c r="N42" s="136">
        <f t="shared" si="43"/>
        <v>-1139.4740000000002</v>
      </c>
      <c r="O42" s="137">
        <f t="shared" si="44"/>
        <v>-5209.0240000000003</v>
      </c>
      <c r="P42" s="138">
        <v>12</v>
      </c>
      <c r="Q42" s="134">
        <f t="shared" si="45"/>
        <v>-4521.7222222222226</v>
      </c>
      <c r="R42" s="135">
        <f t="shared" si="46"/>
        <v>0</v>
      </c>
      <c r="S42" s="136">
        <f t="shared" si="47"/>
        <v>-4521.7222222222226</v>
      </c>
      <c r="T42" s="135">
        <f t="shared" si="48"/>
        <v>-1234.4301666666668</v>
      </c>
      <c r="U42" s="137">
        <f t="shared" si="49"/>
        <v>-5756.1523888888896</v>
      </c>
      <c r="V42" s="135">
        <f t="shared" si="50"/>
        <v>-54260.666666666672</v>
      </c>
      <c r="W42" s="136">
        <f t="shared" si="51"/>
        <v>0</v>
      </c>
      <c r="X42" s="137">
        <f t="shared" si="52"/>
        <v>-54260.666666666672</v>
      </c>
      <c r="Y42" s="134">
        <f t="shared" si="53"/>
        <v>-14813.162000000002</v>
      </c>
      <c r="Z42" s="137">
        <f t="shared" si="54"/>
        <v>-69073.828666666668</v>
      </c>
      <c r="AA42" s="139">
        <v>8574.25</v>
      </c>
      <c r="AB42" s="130">
        <f t="shared" si="25"/>
        <v>-4301.82</v>
      </c>
      <c r="AC42" s="131">
        <v>4272.43</v>
      </c>
      <c r="AD42" s="134">
        <f t="shared" si="55"/>
        <v>-4272.43</v>
      </c>
      <c r="AE42" s="135">
        <f t="shared" si="56"/>
        <v>0</v>
      </c>
      <c r="AF42" s="136">
        <f t="shared" si="57"/>
        <v>-1196.2804000000001</v>
      </c>
      <c r="AG42" s="137">
        <f t="shared" si="58"/>
        <v>-5468.7103999999999</v>
      </c>
      <c r="AH42" s="135">
        <f t="shared" si="59"/>
        <v>-56342.851900000001</v>
      </c>
      <c r="AI42" s="135">
        <f t="shared" si="60"/>
        <v>0</v>
      </c>
      <c r="AJ42" s="137">
        <f t="shared" si="61"/>
        <v>-56342.851900000001</v>
      </c>
      <c r="AK42" s="134">
        <f t="shared" si="62"/>
        <v>-15381.226000000001</v>
      </c>
      <c r="AL42" s="137">
        <f t="shared" si="63"/>
        <v>-71724.077900000004</v>
      </c>
      <c r="AM42" s="136">
        <f t="shared" si="64"/>
        <v>-56951.491900000001</v>
      </c>
      <c r="AN42" s="136">
        <f t="shared" si="65"/>
        <v>0</v>
      </c>
      <c r="AO42" s="362">
        <f t="shared" si="66"/>
        <v>-56951.491900000001</v>
      </c>
      <c r="AP42" s="136">
        <f t="shared" si="67"/>
        <v>-15551.645200000001</v>
      </c>
      <c r="AQ42" s="137">
        <f t="shared" si="68"/>
        <v>-72503.137100000007</v>
      </c>
    </row>
    <row r="43" spans="1:43" s="82" customFormat="1" ht="55.5" customHeight="1" x14ac:dyDescent="0.2">
      <c r="A43" s="360" t="s">
        <v>661</v>
      </c>
      <c r="B43" s="128" t="s">
        <v>672</v>
      </c>
      <c r="C43" s="128"/>
      <c r="D43" s="128"/>
      <c r="E43" s="128" t="s">
        <v>662</v>
      </c>
      <c r="F43" s="128" t="s">
        <v>686</v>
      </c>
      <c r="G43" s="129">
        <f t="shared" si="4"/>
        <v>8157.41</v>
      </c>
      <c r="H43" s="130">
        <f t="shared" si="40"/>
        <v>-4087.8599999999997</v>
      </c>
      <c r="I43" s="131">
        <v>4069.55</v>
      </c>
      <c r="J43" s="142">
        <v>-1</v>
      </c>
      <c r="K43" s="142">
        <v>-1</v>
      </c>
      <c r="L43" s="134">
        <f t="shared" si="41"/>
        <v>-4069.55</v>
      </c>
      <c r="M43" s="135">
        <f t="shared" si="42"/>
        <v>0</v>
      </c>
      <c r="N43" s="136">
        <f t="shared" si="43"/>
        <v>-1139.4740000000002</v>
      </c>
      <c r="O43" s="137">
        <f t="shared" si="44"/>
        <v>-5209.0240000000003</v>
      </c>
      <c r="P43" s="138">
        <v>12</v>
      </c>
      <c r="Q43" s="134">
        <f t="shared" si="45"/>
        <v>-4521.7222222222226</v>
      </c>
      <c r="R43" s="135">
        <f t="shared" si="46"/>
        <v>0</v>
      </c>
      <c r="S43" s="136">
        <f t="shared" si="47"/>
        <v>-4521.7222222222226</v>
      </c>
      <c r="T43" s="135">
        <f t="shared" si="48"/>
        <v>-1234.4301666666668</v>
      </c>
      <c r="U43" s="137">
        <f t="shared" si="49"/>
        <v>-5756.1523888888896</v>
      </c>
      <c r="V43" s="135">
        <f t="shared" si="50"/>
        <v>-54260.666666666672</v>
      </c>
      <c r="W43" s="136">
        <f t="shared" si="51"/>
        <v>0</v>
      </c>
      <c r="X43" s="137">
        <f t="shared" si="52"/>
        <v>-54260.666666666672</v>
      </c>
      <c r="Y43" s="134">
        <f t="shared" si="53"/>
        <v>-14813.162000000002</v>
      </c>
      <c r="Z43" s="137">
        <f t="shared" si="54"/>
        <v>-69073.828666666668</v>
      </c>
      <c r="AA43" s="139">
        <v>8574.25</v>
      </c>
      <c r="AB43" s="130">
        <f t="shared" si="25"/>
        <v>-4301.82</v>
      </c>
      <c r="AC43" s="131">
        <v>4272.43</v>
      </c>
      <c r="AD43" s="134">
        <f t="shared" si="55"/>
        <v>-4272.43</v>
      </c>
      <c r="AE43" s="135">
        <f t="shared" si="56"/>
        <v>0</v>
      </c>
      <c r="AF43" s="136">
        <f t="shared" si="57"/>
        <v>-1196.2804000000001</v>
      </c>
      <c r="AG43" s="137">
        <f t="shared" si="58"/>
        <v>-5468.7103999999999</v>
      </c>
      <c r="AH43" s="135">
        <f t="shared" si="59"/>
        <v>-56342.851900000001</v>
      </c>
      <c r="AI43" s="135">
        <f t="shared" si="60"/>
        <v>0</v>
      </c>
      <c r="AJ43" s="137">
        <f t="shared" si="61"/>
        <v>-56342.851900000001</v>
      </c>
      <c r="AK43" s="134">
        <f t="shared" si="62"/>
        <v>-15381.226000000001</v>
      </c>
      <c r="AL43" s="137">
        <f t="shared" si="63"/>
        <v>-71724.077900000004</v>
      </c>
      <c r="AM43" s="136">
        <f t="shared" si="64"/>
        <v>-56951.491900000001</v>
      </c>
      <c r="AN43" s="136">
        <f t="shared" si="65"/>
        <v>0</v>
      </c>
      <c r="AO43" s="362">
        <f t="shared" si="66"/>
        <v>-56951.491900000001</v>
      </c>
      <c r="AP43" s="136">
        <f t="shared" si="67"/>
        <v>-15551.645200000001</v>
      </c>
      <c r="AQ43" s="137">
        <f t="shared" si="68"/>
        <v>-72503.137100000007</v>
      </c>
    </row>
    <row r="44" spans="1:43" s="82" customFormat="1" ht="55.5" customHeight="1" x14ac:dyDescent="0.2">
      <c r="A44" s="360" t="s">
        <v>661</v>
      </c>
      <c r="B44" s="128" t="s">
        <v>672</v>
      </c>
      <c r="C44" s="128"/>
      <c r="D44" s="128"/>
      <c r="E44" s="128" t="s">
        <v>662</v>
      </c>
      <c r="F44" s="128" t="s">
        <v>687</v>
      </c>
      <c r="G44" s="129">
        <f t="shared" si="4"/>
        <v>8157.41</v>
      </c>
      <c r="H44" s="130">
        <f t="shared" ref="H44" si="69">I44-G44</f>
        <v>-4087.8599999999997</v>
      </c>
      <c r="I44" s="131">
        <v>4069.55</v>
      </c>
      <c r="J44" s="142">
        <v>-1</v>
      </c>
      <c r="K44" s="142">
        <v>-1</v>
      </c>
      <c r="L44" s="134">
        <f>I44*K44</f>
        <v>-4069.55</v>
      </c>
      <c r="M44" s="135">
        <f>IF(H44&gt;0,(H44*K44)*0.085,0)</f>
        <v>0</v>
      </c>
      <c r="N44" s="136">
        <f>IF(I44&lt;G44,I44*0.28*K44,G44*0.28*K44)</f>
        <v>-1139.4740000000002</v>
      </c>
      <c r="O44" s="137">
        <f>SUM(L44:N44)</f>
        <v>-5209.0240000000003</v>
      </c>
      <c r="P44" s="138">
        <v>12</v>
      </c>
      <c r="Q44" s="134">
        <f>IF(P44&lt;&gt;0,(L44*(12-P44+1))+(L44*((12-P44+1)/12))+((L44*((12-P44+1)/12))/3),0)</f>
        <v>-4521.7222222222226</v>
      </c>
      <c r="R44" s="135">
        <f>IF(P44&lt;&gt;0,M44*(12-P44+1)+(M44*((12-P44+1)/12)),0)</f>
        <v>0</v>
      </c>
      <c r="S44" s="136">
        <f>SUBTOTAL(9,Q44:R44)</f>
        <v>-4521.7222222222226</v>
      </c>
      <c r="T44" s="135">
        <f>IF(P44&lt;&gt;0,N44*(12-P44+1)+(N44*((12-P44+1)/12)),0)</f>
        <v>-1234.4301666666668</v>
      </c>
      <c r="U44" s="137">
        <f>SUBTOTAL(9,Q44:T44)</f>
        <v>-5756.1523888888896</v>
      </c>
      <c r="V44" s="135">
        <f>IF(P44&lt;&gt;0,L44*(13+(1/3)),0)</f>
        <v>-54260.666666666672</v>
      </c>
      <c r="W44" s="136">
        <f>IF(Q44&lt;&gt;0,M44*13,0)</f>
        <v>0</v>
      </c>
      <c r="X44" s="137">
        <f>SUBTOTAL(9,V44:W44)</f>
        <v>-54260.666666666672</v>
      </c>
      <c r="Y44" s="134">
        <f>IF(T44&lt;&gt;0,N44*(13),0)</f>
        <v>-14813.162000000002</v>
      </c>
      <c r="Z44" s="137">
        <f>SUBTOTAL(9,V44:Y44)</f>
        <v>-69073.828666666668</v>
      </c>
      <c r="AA44" s="139">
        <v>8574.25</v>
      </c>
      <c r="AB44" s="130">
        <f>AC44-AA44</f>
        <v>-4301.82</v>
      </c>
      <c r="AC44" s="131">
        <v>4272.43</v>
      </c>
      <c r="AD44" s="134">
        <f>AC44*K44</f>
        <v>-4272.43</v>
      </c>
      <c r="AE44" s="135">
        <f>IF(AB44&gt;0,(AB44*K44)*0.085,0)</f>
        <v>0</v>
      </c>
      <c r="AF44" s="136">
        <f>IF(AC44&lt;AA44,AC44*0.28*K44,AA44*0.28*K44)</f>
        <v>-1196.2804000000001</v>
      </c>
      <c r="AG44" s="137">
        <f>SUM(AD44:AF44)</f>
        <v>-5468.7103999999999</v>
      </c>
      <c r="AH44" s="135">
        <f>SUM(L44*3,AD44*10.33)</f>
        <v>-56342.851900000001</v>
      </c>
      <c r="AI44" s="135">
        <f>SUM(M44*3,AE44*10)</f>
        <v>0</v>
      </c>
      <c r="AJ44" s="137">
        <f>SUBTOTAL(9,AH44:AI44)</f>
        <v>-56342.851900000001</v>
      </c>
      <c r="AK44" s="134">
        <f>SUM(N44*3,AF44*10)</f>
        <v>-15381.226000000001</v>
      </c>
      <c r="AL44" s="137">
        <f>SUBTOTAL(9,AH44:AK44)</f>
        <v>-71724.077900000004</v>
      </c>
      <c r="AM44" s="136">
        <f>AD44*13.33</f>
        <v>-56951.491900000001</v>
      </c>
      <c r="AN44" s="136">
        <f>AE44*13</f>
        <v>0</v>
      </c>
      <c r="AO44" s="362">
        <f>AM44+AN44</f>
        <v>-56951.491900000001</v>
      </c>
      <c r="AP44" s="136">
        <f>AF44*13</f>
        <v>-15551.645200000001</v>
      </c>
      <c r="AQ44" s="137">
        <f>AO44+AP44</f>
        <v>-72503.137100000007</v>
      </c>
    </row>
  </sheetData>
  <mergeCells count="22">
    <mergeCell ref="A20:A21"/>
    <mergeCell ref="B20:B21"/>
    <mergeCell ref="AM18:AQ18"/>
    <mergeCell ref="G19:I19"/>
    <mergeCell ref="L19:M19"/>
    <mergeCell ref="Q19:S19"/>
    <mergeCell ref="V19:X19"/>
    <mergeCell ref="AD19:AE19"/>
    <mergeCell ref="AH19:AJ19"/>
    <mergeCell ref="AM19:AO19"/>
    <mergeCell ref="G18:I18"/>
    <mergeCell ref="L18:O18"/>
    <mergeCell ref="Q18:U18"/>
    <mergeCell ref="V18:Z18"/>
    <mergeCell ref="AD18:AG18"/>
    <mergeCell ref="AH18:AL18"/>
    <mergeCell ref="B9:C9"/>
    <mergeCell ref="A2:K2"/>
    <mergeCell ref="A3:O3"/>
    <mergeCell ref="A4:O4"/>
    <mergeCell ref="B8:C8"/>
    <mergeCell ref="F8:G8"/>
  </mergeCells>
  <conditionalFormatting sqref="L17:AQ17">
    <cfRule type="colorScale" priority="1">
      <colorScale>
        <cfvo type="num" val="0"/>
        <cfvo type="num" val="1"/>
        <color rgb="FFFF0000"/>
        <color theme="3" tint="0.499984740745262"/>
      </colorScale>
    </cfRule>
  </conditionalFormatting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17AFC-DE69-6449-8A93-298D17587C35}">
  <dimension ref="A1:E18"/>
  <sheetViews>
    <sheetView showGridLines="0" workbookViewId="0">
      <selection activeCell="K21" sqref="K21"/>
    </sheetView>
  </sheetViews>
  <sheetFormatPr defaultColWidth="11.42578125" defaultRowHeight="15" x14ac:dyDescent="0.25"/>
  <cols>
    <col min="3" max="3" width="11.140625" bestFit="1" customWidth="1"/>
    <col min="4" max="5" width="17" customWidth="1"/>
  </cols>
  <sheetData>
    <row r="1" spans="1:5" ht="18.75" x14ac:dyDescent="0.3">
      <c r="A1" s="154" t="s">
        <v>688</v>
      </c>
    </row>
    <row r="2" spans="1:5" ht="18.75" x14ac:dyDescent="0.3">
      <c r="A2" s="154" t="s">
        <v>689</v>
      </c>
    </row>
    <row r="3" spans="1:5" ht="18.75" x14ac:dyDescent="0.3">
      <c r="A3" s="154" t="s">
        <v>690</v>
      </c>
    </row>
    <row r="5" spans="1:5" ht="18.75" x14ac:dyDescent="0.3">
      <c r="A5" s="154" t="s">
        <v>691</v>
      </c>
    </row>
    <row r="6" spans="1:5" ht="18.75" x14ac:dyDescent="0.3">
      <c r="A6" s="154" t="s">
        <v>692</v>
      </c>
    </row>
    <row r="7" spans="1:5" ht="18.75" x14ac:dyDescent="0.3">
      <c r="A7" s="154" t="s">
        <v>693</v>
      </c>
    </row>
    <row r="8" spans="1:5" ht="18.75" x14ac:dyDescent="0.3">
      <c r="A8" s="154"/>
    </row>
    <row r="9" spans="1:5" ht="18.75" x14ac:dyDescent="0.3">
      <c r="A9" s="154" t="s">
        <v>694</v>
      </c>
    </row>
    <row r="10" spans="1:5" ht="18.75" x14ac:dyDescent="0.3">
      <c r="A10" s="154" t="s">
        <v>695</v>
      </c>
    </row>
    <row r="11" spans="1:5" ht="18.75" x14ac:dyDescent="0.3">
      <c r="A11" s="154" t="s">
        <v>696</v>
      </c>
    </row>
    <row r="12" spans="1:5" ht="18.75" x14ac:dyDescent="0.3">
      <c r="A12" s="154"/>
    </row>
    <row r="13" spans="1:5" ht="18.75" x14ac:dyDescent="0.3">
      <c r="A13" s="155"/>
    </row>
    <row r="14" spans="1:5" x14ac:dyDescent="0.25">
      <c r="A14" s="156" t="s">
        <v>697</v>
      </c>
      <c r="B14" s="156" t="s">
        <v>698</v>
      </c>
      <c r="C14" s="156" t="s">
        <v>699</v>
      </c>
      <c r="D14" s="156" t="s">
        <v>700</v>
      </c>
      <c r="E14" s="156" t="s">
        <v>701</v>
      </c>
    </row>
    <row r="15" spans="1:5" x14ac:dyDescent="0.25">
      <c r="A15" s="157" t="s">
        <v>702</v>
      </c>
      <c r="B15" s="157">
        <v>36</v>
      </c>
      <c r="C15" s="158">
        <v>2020.73</v>
      </c>
      <c r="D15" s="158">
        <v>72746.11</v>
      </c>
      <c r="E15" s="158">
        <v>967523.32</v>
      </c>
    </row>
    <row r="16" spans="1:5" x14ac:dyDescent="0.25">
      <c r="A16" s="157" t="s">
        <v>703</v>
      </c>
      <c r="B16" s="157">
        <v>104</v>
      </c>
      <c r="C16" s="158">
        <v>2020.73</v>
      </c>
      <c r="D16" s="158">
        <v>210155.44</v>
      </c>
      <c r="E16" s="158">
        <v>2795067.36</v>
      </c>
    </row>
    <row r="17" spans="1:5" x14ac:dyDescent="0.25">
      <c r="A17" s="157" t="s">
        <v>704</v>
      </c>
      <c r="B17" s="157">
        <v>53</v>
      </c>
      <c r="C17" s="158">
        <v>2020.73</v>
      </c>
      <c r="D17" s="158">
        <v>107098.45</v>
      </c>
      <c r="E17" s="158">
        <v>1424409.33</v>
      </c>
    </row>
    <row r="18" spans="1:5" ht="18.75" x14ac:dyDescent="0.3">
      <c r="A18" s="156" t="s">
        <v>172</v>
      </c>
      <c r="B18" s="156">
        <v>193</v>
      </c>
      <c r="C18" s="155"/>
      <c r="D18" s="159">
        <v>390000</v>
      </c>
      <c r="E18" s="159">
        <v>5187000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85B3-15D4-864D-BB14-84ED7AC156DC}">
  <dimension ref="A1:AB76"/>
  <sheetViews>
    <sheetView showGridLines="0" topLeftCell="P1" zoomScale="115" zoomScaleNormal="115" workbookViewId="0">
      <selection activeCell="V81" sqref="V81"/>
    </sheetView>
  </sheetViews>
  <sheetFormatPr defaultColWidth="8.85546875" defaultRowHeight="15.75" x14ac:dyDescent="0.25"/>
  <cols>
    <col min="1" max="1" width="15.28515625" style="37" customWidth="1"/>
    <col min="2" max="2" width="11.28515625" style="37" hidden="1" customWidth="1"/>
    <col min="3" max="3" width="0" style="37" hidden="1" customWidth="1"/>
    <col min="4" max="4" width="11.28515625" style="37" customWidth="1"/>
    <col min="5" max="5" width="11.140625" style="37" customWidth="1"/>
    <col min="6" max="6" width="11.28515625" style="37" customWidth="1"/>
    <col min="7" max="7" width="12.28515625" style="37" customWidth="1"/>
    <col min="8" max="8" width="8.85546875" style="37"/>
    <col min="9" max="9" width="9.42578125" style="37" hidden="1" customWidth="1"/>
    <col min="10" max="11" width="9.7109375" style="37" hidden="1" customWidth="1"/>
    <col min="12" max="12" width="10.28515625" style="37" customWidth="1"/>
    <col min="13" max="13" width="10.42578125" style="37" customWidth="1"/>
    <col min="14" max="14" width="12.7109375" style="37" hidden="1" customWidth="1"/>
    <col min="15" max="15" width="10.28515625" style="37" customWidth="1"/>
    <col min="16" max="16" width="10.42578125" style="37" customWidth="1"/>
    <col min="17" max="17" width="25.7109375" style="37" customWidth="1"/>
    <col min="18" max="18" width="17" style="37" bestFit="1" customWidth="1"/>
    <col min="19" max="19" width="18.7109375" style="37" bestFit="1" customWidth="1"/>
    <col min="20" max="20" width="19.28515625" style="37" customWidth="1"/>
    <col min="21" max="21" width="17.42578125" style="37" bestFit="1" customWidth="1"/>
    <col min="22" max="22" width="17" style="37" bestFit="1" customWidth="1"/>
    <col min="23" max="23" width="20.28515625" style="37" bestFit="1" customWidth="1"/>
    <col min="24" max="24" width="18.42578125" style="37" customWidth="1"/>
    <col min="25" max="25" width="17.28515625" style="37" bestFit="1" customWidth="1"/>
    <col min="26" max="26" width="16.28515625" style="37" bestFit="1" customWidth="1"/>
    <col min="27" max="27" width="16.7109375" style="37" customWidth="1"/>
    <col min="28" max="28" width="15.7109375" style="37" customWidth="1"/>
    <col min="29" max="16384" width="8.85546875" style="37"/>
  </cols>
  <sheetData>
    <row r="1" spans="1:28" ht="26.25" x14ac:dyDescent="0.25">
      <c r="Q1" s="38" t="s">
        <v>496</v>
      </c>
      <c r="R1" s="39">
        <v>1</v>
      </c>
    </row>
    <row r="2" spans="1:28" ht="63" x14ac:dyDescent="0.25">
      <c r="A2" s="933" t="s">
        <v>497</v>
      </c>
      <c r="B2" s="933" t="s">
        <v>498</v>
      </c>
      <c r="C2" s="933" t="s">
        <v>499</v>
      </c>
      <c r="D2" s="933" t="s">
        <v>500</v>
      </c>
      <c r="E2" s="933" t="s">
        <v>499</v>
      </c>
      <c r="F2" s="933" t="s">
        <v>501</v>
      </c>
      <c r="G2" s="933" t="s">
        <v>499</v>
      </c>
      <c r="H2" s="934" t="s">
        <v>502</v>
      </c>
      <c r="I2" s="934" t="s">
        <v>503</v>
      </c>
      <c r="J2" s="934" t="s">
        <v>504</v>
      </c>
      <c r="K2" s="934" t="s">
        <v>505</v>
      </c>
      <c r="L2" s="934" t="s">
        <v>506</v>
      </c>
      <c r="M2" s="934" t="s">
        <v>507</v>
      </c>
      <c r="N2" s="934" t="s">
        <v>508</v>
      </c>
      <c r="O2" s="934" t="s">
        <v>509</v>
      </c>
      <c r="P2" s="934" t="s">
        <v>510</v>
      </c>
      <c r="Q2" s="934" t="str">
        <f ca="1">CONCATENATE("Impacto ", "2025 "," (", TEXT(CONCATENATE("01/",(12-R1)+1,"/", TEXT(YEAR(TODAY()),"AA")),"MMMM"), " a dezembro)",CHAR(10),R1,"/12 exercício")</f>
        <v>Impacto 2025  (dezembro a dezembro)
1/12 exercício</v>
      </c>
      <c r="R2" s="37" t="s">
        <v>511</v>
      </c>
      <c r="S2" s="40" t="s">
        <v>512</v>
      </c>
      <c r="T2" s="934" t="str">
        <f>CONCATENATE("Impacto Anualizado ", "2025")</f>
        <v>Impacto Anualizado 2025</v>
      </c>
      <c r="U2" s="37" t="s">
        <v>511</v>
      </c>
      <c r="V2" s="40" t="s">
        <v>512</v>
      </c>
      <c r="W2" s="934" t="s">
        <v>513</v>
      </c>
      <c r="X2" s="37" t="s">
        <v>511</v>
      </c>
      <c r="Y2" s="40" t="s">
        <v>512</v>
      </c>
      <c r="Z2" s="934" t="s">
        <v>514</v>
      </c>
      <c r="AA2" s="37" t="s">
        <v>511</v>
      </c>
      <c r="AB2" s="40" t="s">
        <v>512</v>
      </c>
    </row>
    <row r="3" spans="1:28" hidden="1" x14ac:dyDescent="0.25">
      <c r="A3" s="935" t="s">
        <v>515</v>
      </c>
      <c r="B3" s="936">
        <v>18887.14</v>
      </c>
      <c r="C3" s="937">
        <v>6.41</v>
      </c>
      <c r="D3" s="936">
        <v>24553.279999999999</v>
      </c>
      <c r="E3" s="937">
        <v>7.65</v>
      </c>
      <c r="F3" s="936">
        <v>31919.27</v>
      </c>
      <c r="G3" s="937">
        <v>9.1199999999999992</v>
      </c>
      <c r="H3" s="938">
        <v>0</v>
      </c>
      <c r="I3" s="939">
        <f t="shared" ref="I3:I66" si="0">H3*C3</f>
        <v>0</v>
      </c>
      <c r="J3" s="939">
        <f>H3*E3</f>
        <v>0</v>
      </c>
      <c r="K3" s="939">
        <f>H3*G3</f>
        <v>0</v>
      </c>
      <c r="L3" s="938">
        <v>0</v>
      </c>
      <c r="M3" s="939">
        <f>L3*E3</f>
        <v>0</v>
      </c>
      <c r="N3" s="939">
        <f>L3*G3</f>
        <v>0</v>
      </c>
      <c r="O3" s="938">
        <f>L3-H3</f>
        <v>0</v>
      </c>
      <c r="P3" s="939">
        <f>O3*E3</f>
        <v>0</v>
      </c>
      <c r="Q3" s="940">
        <f t="shared" ref="Q3:Q34" si="1">(O3*D3*1.33*1.28) + (O3*D3*1.28*$R$1)</f>
        <v>0</v>
      </c>
      <c r="R3" s="41"/>
      <c r="S3" s="41"/>
      <c r="T3" s="940">
        <f t="shared" ref="T3:T34" si="2">O3*D3*13.33*1.28</f>
        <v>0</v>
      </c>
      <c r="U3" s="41"/>
      <c r="V3" s="41"/>
      <c r="W3" s="940">
        <f t="shared" ref="W3:W34" si="3">O3*F3*13.33*1.28</f>
        <v>0</v>
      </c>
      <c r="X3" s="41"/>
      <c r="Y3" s="41"/>
    </row>
    <row r="4" spans="1:28" hidden="1" x14ac:dyDescent="0.25">
      <c r="A4" s="941" t="s">
        <v>516</v>
      </c>
      <c r="B4" s="936">
        <v>18887.14</v>
      </c>
      <c r="C4" s="937">
        <v>6.41</v>
      </c>
      <c r="D4" s="936">
        <v>24553.279999999999</v>
      </c>
      <c r="E4" s="937">
        <v>7.65</v>
      </c>
      <c r="F4" s="936">
        <v>31919.27</v>
      </c>
      <c r="G4" s="937">
        <v>9.1199999999999992</v>
      </c>
      <c r="H4" s="938">
        <v>0</v>
      </c>
      <c r="I4" s="939">
        <f t="shared" si="0"/>
        <v>0</v>
      </c>
      <c r="J4" s="939">
        <f t="shared" ref="J4:J67" si="4">H4*E4</f>
        <v>0</v>
      </c>
      <c r="K4" s="939">
        <f t="shared" ref="K4:K67" si="5">H4*G4</f>
        <v>0</v>
      </c>
      <c r="L4" s="938">
        <v>0</v>
      </c>
      <c r="M4" s="939">
        <f t="shared" ref="M4:M67" si="6">L4*E4</f>
        <v>0</v>
      </c>
      <c r="N4" s="939">
        <f t="shared" ref="N4:N67" si="7">L4*G4</f>
        <v>0</v>
      </c>
      <c r="O4" s="938">
        <f>L4-H4</f>
        <v>0</v>
      </c>
      <c r="P4" s="939">
        <f t="shared" ref="P4:P67" si="8">O4*E4</f>
        <v>0</v>
      </c>
      <c r="Q4" s="940">
        <f t="shared" si="1"/>
        <v>0</v>
      </c>
      <c r="T4" s="940">
        <f t="shared" si="2"/>
        <v>0</v>
      </c>
      <c r="W4" s="940">
        <f t="shared" si="3"/>
        <v>0</v>
      </c>
    </row>
    <row r="5" spans="1:28" hidden="1" x14ac:dyDescent="0.25">
      <c r="A5" s="941" t="s">
        <v>517</v>
      </c>
      <c r="B5" s="936">
        <v>18469.939999999999</v>
      </c>
      <c r="C5" s="937">
        <v>6.27</v>
      </c>
      <c r="D5" s="936">
        <v>22718.03</v>
      </c>
      <c r="E5" s="937">
        <v>7.08</v>
      </c>
      <c r="F5" s="936">
        <v>27943.17</v>
      </c>
      <c r="G5" s="937">
        <v>7.99</v>
      </c>
      <c r="H5" s="938">
        <v>0</v>
      </c>
      <c r="I5" s="939">
        <f t="shared" si="0"/>
        <v>0</v>
      </c>
      <c r="J5" s="939">
        <f t="shared" si="4"/>
        <v>0</v>
      </c>
      <c r="K5" s="939">
        <f t="shared" si="5"/>
        <v>0</v>
      </c>
      <c r="L5" s="938">
        <v>0</v>
      </c>
      <c r="M5" s="939">
        <f t="shared" si="6"/>
        <v>0</v>
      </c>
      <c r="N5" s="939">
        <f t="shared" si="7"/>
        <v>0</v>
      </c>
      <c r="O5" s="938">
        <f t="shared" ref="O5:O68" si="9">L5-H5</f>
        <v>0</v>
      </c>
      <c r="P5" s="939">
        <f t="shared" si="8"/>
        <v>0</v>
      </c>
      <c r="Q5" s="940">
        <f t="shared" si="1"/>
        <v>0</v>
      </c>
      <c r="R5" s="42"/>
      <c r="S5" s="43"/>
      <c r="T5" s="940">
        <f t="shared" si="2"/>
        <v>0</v>
      </c>
      <c r="U5" s="42"/>
      <c r="V5" s="43"/>
      <c r="W5" s="940">
        <f t="shared" si="3"/>
        <v>0</v>
      </c>
      <c r="X5" s="42"/>
      <c r="Y5" s="43"/>
    </row>
    <row r="6" spans="1:28" hidden="1" x14ac:dyDescent="0.25">
      <c r="A6" s="941" t="s">
        <v>518</v>
      </c>
      <c r="B6" s="936">
        <v>17100.919999999998</v>
      </c>
      <c r="C6" s="937">
        <v>5.81</v>
      </c>
      <c r="D6" s="936">
        <v>20008.080000000002</v>
      </c>
      <c r="E6" s="937">
        <v>6.23</v>
      </c>
      <c r="F6" s="936">
        <v>23409.45</v>
      </c>
      <c r="G6" s="937">
        <v>6.69</v>
      </c>
      <c r="H6" s="938">
        <v>0</v>
      </c>
      <c r="I6" s="939">
        <f t="shared" si="0"/>
        <v>0</v>
      </c>
      <c r="J6" s="939">
        <f t="shared" si="4"/>
        <v>0</v>
      </c>
      <c r="K6" s="939">
        <f t="shared" si="5"/>
        <v>0</v>
      </c>
      <c r="L6" s="938">
        <v>0</v>
      </c>
      <c r="M6" s="939">
        <f t="shared" si="6"/>
        <v>0</v>
      </c>
      <c r="N6" s="939">
        <f t="shared" si="7"/>
        <v>0</v>
      </c>
      <c r="O6" s="938">
        <f t="shared" si="9"/>
        <v>0</v>
      </c>
      <c r="P6" s="939">
        <f t="shared" si="8"/>
        <v>0</v>
      </c>
      <c r="Q6" s="940">
        <f t="shared" si="1"/>
        <v>0</v>
      </c>
      <c r="R6" s="42"/>
      <c r="S6" s="43"/>
      <c r="T6" s="940">
        <f t="shared" si="2"/>
        <v>0</v>
      </c>
      <c r="U6" s="42"/>
      <c r="V6" s="43"/>
      <c r="W6" s="940">
        <f t="shared" si="3"/>
        <v>0</v>
      </c>
      <c r="X6" s="42"/>
      <c r="Y6" s="43"/>
    </row>
    <row r="7" spans="1:28" hidden="1" x14ac:dyDescent="0.25">
      <c r="A7" s="941" t="s">
        <v>519</v>
      </c>
      <c r="B7" s="936">
        <v>14849.5</v>
      </c>
      <c r="C7" s="937">
        <v>5.04</v>
      </c>
      <c r="D7" s="936">
        <v>17373.919999999998</v>
      </c>
      <c r="E7" s="937">
        <v>5.41</v>
      </c>
      <c r="F7" s="936">
        <v>20327.48</v>
      </c>
      <c r="G7" s="937">
        <v>5.81</v>
      </c>
      <c r="H7" s="938">
        <v>0</v>
      </c>
      <c r="I7" s="939">
        <f t="shared" si="0"/>
        <v>0</v>
      </c>
      <c r="J7" s="939">
        <f t="shared" si="4"/>
        <v>0</v>
      </c>
      <c r="K7" s="939">
        <f t="shared" si="5"/>
        <v>0</v>
      </c>
      <c r="L7" s="938">
        <v>0</v>
      </c>
      <c r="M7" s="939">
        <f t="shared" si="6"/>
        <v>0</v>
      </c>
      <c r="N7" s="939">
        <f t="shared" si="7"/>
        <v>0</v>
      </c>
      <c r="O7" s="938">
        <f t="shared" si="9"/>
        <v>0</v>
      </c>
      <c r="P7" s="939">
        <f t="shared" si="8"/>
        <v>0</v>
      </c>
      <c r="Q7" s="940">
        <f t="shared" si="1"/>
        <v>0</v>
      </c>
      <c r="R7" s="42"/>
      <c r="S7" s="43"/>
      <c r="T7" s="940">
        <f t="shared" si="2"/>
        <v>0</v>
      </c>
      <c r="U7" s="42"/>
      <c r="V7" s="43"/>
      <c r="W7" s="940">
        <f t="shared" si="3"/>
        <v>0</v>
      </c>
      <c r="X7" s="42"/>
      <c r="Y7" s="43"/>
    </row>
    <row r="8" spans="1:28" hidden="1" x14ac:dyDescent="0.25">
      <c r="A8" s="941" t="s">
        <v>520</v>
      </c>
      <c r="B8" s="936">
        <v>12701.64</v>
      </c>
      <c r="C8" s="937">
        <v>4.3099999999999996</v>
      </c>
      <c r="D8" s="936">
        <v>14860.92</v>
      </c>
      <c r="E8" s="937">
        <v>4.63</v>
      </c>
      <c r="F8" s="936">
        <v>17387.27</v>
      </c>
      <c r="G8" s="937">
        <v>4.97</v>
      </c>
      <c r="H8" s="938">
        <v>0</v>
      </c>
      <c r="I8" s="939">
        <f t="shared" si="0"/>
        <v>0</v>
      </c>
      <c r="J8" s="939">
        <f t="shared" si="4"/>
        <v>0</v>
      </c>
      <c r="K8" s="939">
        <f t="shared" si="5"/>
        <v>0</v>
      </c>
      <c r="L8" s="938">
        <v>0</v>
      </c>
      <c r="M8" s="939">
        <f t="shared" si="6"/>
        <v>0</v>
      </c>
      <c r="N8" s="939">
        <f t="shared" si="7"/>
        <v>0</v>
      </c>
      <c r="O8" s="938">
        <f t="shared" si="9"/>
        <v>0</v>
      </c>
      <c r="P8" s="939">
        <f t="shared" si="8"/>
        <v>0</v>
      </c>
      <c r="Q8" s="940">
        <f t="shared" si="1"/>
        <v>0</v>
      </c>
      <c r="R8" s="42"/>
      <c r="S8" s="43"/>
      <c r="T8" s="940">
        <f t="shared" si="2"/>
        <v>0</v>
      </c>
      <c r="U8" s="42"/>
      <c r="V8" s="43"/>
      <c r="W8" s="940">
        <f t="shared" si="3"/>
        <v>0</v>
      </c>
      <c r="X8" s="42"/>
      <c r="Y8" s="43"/>
    </row>
    <row r="9" spans="1:28" hidden="1" x14ac:dyDescent="0.25">
      <c r="A9" s="941" t="s">
        <v>521</v>
      </c>
      <c r="B9" s="936">
        <v>11306.9</v>
      </c>
      <c r="C9" s="937">
        <v>3.84</v>
      </c>
      <c r="D9" s="936">
        <v>13229.07</v>
      </c>
      <c r="E9" s="937">
        <v>4.12</v>
      </c>
      <c r="F9" s="936">
        <v>14419.69</v>
      </c>
      <c r="G9" s="937">
        <v>4.12</v>
      </c>
      <c r="H9" s="938">
        <v>0</v>
      </c>
      <c r="I9" s="939">
        <f t="shared" si="0"/>
        <v>0</v>
      </c>
      <c r="J9" s="939">
        <f t="shared" si="4"/>
        <v>0</v>
      </c>
      <c r="K9" s="939">
        <f t="shared" si="5"/>
        <v>0</v>
      </c>
      <c r="L9" s="938">
        <v>0</v>
      </c>
      <c r="M9" s="939">
        <f t="shared" si="6"/>
        <v>0</v>
      </c>
      <c r="N9" s="939">
        <f t="shared" si="7"/>
        <v>0</v>
      </c>
      <c r="O9" s="938">
        <f t="shared" si="9"/>
        <v>0</v>
      </c>
      <c r="P9" s="939">
        <f t="shared" si="8"/>
        <v>0</v>
      </c>
      <c r="Q9" s="940">
        <f t="shared" si="1"/>
        <v>0</v>
      </c>
      <c r="R9" s="42"/>
      <c r="S9" s="43"/>
      <c r="T9" s="940">
        <f t="shared" si="2"/>
        <v>0</v>
      </c>
      <c r="U9" s="42"/>
      <c r="V9" s="43"/>
      <c r="W9" s="940">
        <f t="shared" si="3"/>
        <v>0</v>
      </c>
      <c r="X9" s="42"/>
      <c r="Y9" s="43"/>
    </row>
    <row r="10" spans="1:28" hidden="1" x14ac:dyDescent="0.25">
      <c r="A10" s="941" t="s">
        <v>522</v>
      </c>
      <c r="B10" s="936">
        <v>9137.66</v>
      </c>
      <c r="C10" s="937">
        <v>3.1</v>
      </c>
      <c r="D10" s="936">
        <v>9960.0499999999993</v>
      </c>
      <c r="E10" s="937">
        <v>3.1</v>
      </c>
      <c r="F10" s="936">
        <v>10856.45</v>
      </c>
      <c r="G10" s="937">
        <v>3.1</v>
      </c>
      <c r="H10" s="938">
        <v>0</v>
      </c>
      <c r="I10" s="939">
        <f t="shared" si="0"/>
        <v>0</v>
      </c>
      <c r="J10" s="939">
        <f t="shared" si="4"/>
        <v>0</v>
      </c>
      <c r="K10" s="939">
        <f t="shared" si="5"/>
        <v>0</v>
      </c>
      <c r="L10" s="938">
        <v>0</v>
      </c>
      <c r="M10" s="939">
        <f t="shared" si="6"/>
        <v>0</v>
      </c>
      <c r="N10" s="939">
        <f t="shared" si="7"/>
        <v>0</v>
      </c>
      <c r="O10" s="938">
        <f t="shared" si="9"/>
        <v>0</v>
      </c>
      <c r="P10" s="939">
        <f t="shared" si="8"/>
        <v>0</v>
      </c>
      <c r="Q10" s="940">
        <f t="shared" si="1"/>
        <v>0</v>
      </c>
      <c r="R10" s="42"/>
      <c r="S10" s="43"/>
      <c r="T10" s="940">
        <f t="shared" si="2"/>
        <v>0</v>
      </c>
      <c r="U10" s="42"/>
      <c r="V10" s="43"/>
      <c r="W10" s="940">
        <f t="shared" si="3"/>
        <v>0</v>
      </c>
      <c r="X10" s="42"/>
      <c r="Y10" s="43"/>
    </row>
    <row r="11" spans="1:28" hidden="1" x14ac:dyDescent="0.25">
      <c r="A11" s="941" t="s">
        <v>523</v>
      </c>
      <c r="B11" s="936">
        <v>7286.14</v>
      </c>
      <c r="C11" s="937">
        <v>2.4700000000000002</v>
      </c>
      <c r="D11" s="936">
        <v>7941.89</v>
      </c>
      <c r="E11" s="937">
        <v>2.4700000000000002</v>
      </c>
      <c r="F11" s="936">
        <v>8656.66</v>
      </c>
      <c r="G11" s="937">
        <v>2.4700000000000002</v>
      </c>
      <c r="H11" s="938">
        <v>0</v>
      </c>
      <c r="I11" s="939">
        <f t="shared" si="0"/>
        <v>0</v>
      </c>
      <c r="J11" s="939">
        <f t="shared" si="4"/>
        <v>0</v>
      </c>
      <c r="K11" s="939">
        <f t="shared" si="5"/>
        <v>0</v>
      </c>
      <c r="L11" s="938">
        <v>0</v>
      </c>
      <c r="M11" s="939">
        <f t="shared" si="6"/>
        <v>0</v>
      </c>
      <c r="N11" s="939">
        <f t="shared" si="7"/>
        <v>0</v>
      </c>
      <c r="O11" s="938">
        <f t="shared" si="9"/>
        <v>0</v>
      </c>
      <c r="P11" s="939">
        <f t="shared" si="8"/>
        <v>0</v>
      </c>
      <c r="Q11" s="940">
        <f t="shared" si="1"/>
        <v>0</v>
      </c>
      <c r="R11" s="42"/>
      <c r="S11" s="43"/>
      <c r="T11" s="940">
        <f t="shared" si="2"/>
        <v>0</v>
      </c>
      <c r="U11" s="42"/>
      <c r="V11" s="43"/>
      <c r="W11" s="940">
        <f t="shared" si="3"/>
        <v>0</v>
      </c>
      <c r="X11" s="42"/>
      <c r="Y11" s="43"/>
    </row>
    <row r="12" spans="1:28" hidden="1" x14ac:dyDescent="0.25">
      <c r="A12" s="941" t="s">
        <v>524</v>
      </c>
      <c r="B12" s="936">
        <v>6250.69</v>
      </c>
      <c r="C12" s="937">
        <v>2.12</v>
      </c>
      <c r="D12" s="936">
        <v>6813.25</v>
      </c>
      <c r="E12" s="937">
        <v>2.12</v>
      </c>
      <c r="F12" s="936">
        <v>7426.44</v>
      </c>
      <c r="G12" s="937">
        <v>2.12</v>
      </c>
      <c r="H12" s="938">
        <v>0</v>
      </c>
      <c r="I12" s="939">
        <f t="shared" si="0"/>
        <v>0</v>
      </c>
      <c r="J12" s="939">
        <f t="shared" si="4"/>
        <v>0</v>
      </c>
      <c r="K12" s="939">
        <f t="shared" si="5"/>
        <v>0</v>
      </c>
      <c r="L12" s="938">
        <v>0</v>
      </c>
      <c r="M12" s="939">
        <f t="shared" si="6"/>
        <v>0</v>
      </c>
      <c r="N12" s="939">
        <f t="shared" si="7"/>
        <v>0</v>
      </c>
      <c r="O12" s="938">
        <f t="shared" si="9"/>
        <v>0</v>
      </c>
      <c r="P12" s="939">
        <f t="shared" si="8"/>
        <v>0</v>
      </c>
      <c r="Q12" s="940">
        <f t="shared" si="1"/>
        <v>0</v>
      </c>
      <c r="R12" s="42"/>
      <c r="S12" s="43"/>
      <c r="T12" s="940">
        <f t="shared" si="2"/>
        <v>0</v>
      </c>
      <c r="U12" s="42"/>
      <c r="V12" s="43"/>
      <c r="W12" s="940">
        <f t="shared" si="3"/>
        <v>0</v>
      </c>
      <c r="X12" s="42"/>
      <c r="Y12" s="43"/>
    </row>
    <row r="13" spans="1:28" hidden="1" x14ac:dyDescent="0.25">
      <c r="A13" s="941" t="s">
        <v>525</v>
      </c>
      <c r="B13" s="936">
        <v>4907.6499999999996</v>
      </c>
      <c r="C13" s="937">
        <v>1.67</v>
      </c>
      <c r="D13" s="936">
        <v>5349.34</v>
      </c>
      <c r="E13" s="937">
        <v>1.67</v>
      </c>
      <c r="F13" s="936">
        <v>5803.78</v>
      </c>
      <c r="G13" s="937">
        <v>1.66</v>
      </c>
      <c r="H13" s="938">
        <v>0</v>
      </c>
      <c r="I13" s="939">
        <f t="shared" si="0"/>
        <v>0</v>
      </c>
      <c r="J13" s="939">
        <f t="shared" si="4"/>
        <v>0</v>
      </c>
      <c r="K13" s="939">
        <f t="shared" si="5"/>
        <v>0</v>
      </c>
      <c r="L13" s="938">
        <v>0</v>
      </c>
      <c r="M13" s="939">
        <f t="shared" si="6"/>
        <v>0</v>
      </c>
      <c r="N13" s="939">
        <f t="shared" si="7"/>
        <v>0</v>
      </c>
      <c r="O13" s="938">
        <f t="shared" si="9"/>
        <v>0</v>
      </c>
      <c r="P13" s="939">
        <f t="shared" si="8"/>
        <v>0</v>
      </c>
      <c r="Q13" s="940">
        <f t="shared" si="1"/>
        <v>0</v>
      </c>
      <c r="R13" s="42"/>
      <c r="S13" s="43"/>
      <c r="T13" s="940">
        <f t="shared" si="2"/>
        <v>0</v>
      </c>
      <c r="U13" s="42"/>
      <c r="V13" s="43"/>
      <c r="W13" s="940">
        <f t="shared" si="3"/>
        <v>0</v>
      </c>
      <c r="X13" s="42"/>
      <c r="Y13" s="43"/>
    </row>
    <row r="14" spans="1:28" hidden="1" x14ac:dyDescent="0.25">
      <c r="A14" s="941" t="s">
        <v>526</v>
      </c>
      <c r="B14" s="936">
        <v>4706.9799999999996</v>
      </c>
      <c r="C14" s="937">
        <v>1.6</v>
      </c>
      <c r="D14" s="936">
        <v>5130.6099999999997</v>
      </c>
      <c r="E14" s="937">
        <v>1.6</v>
      </c>
      <c r="F14" s="936">
        <v>5592.36</v>
      </c>
      <c r="G14" s="937">
        <v>1.6</v>
      </c>
      <c r="H14" s="938">
        <v>0</v>
      </c>
      <c r="I14" s="939">
        <f t="shared" si="0"/>
        <v>0</v>
      </c>
      <c r="J14" s="939">
        <f t="shared" si="4"/>
        <v>0</v>
      </c>
      <c r="K14" s="939">
        <f t="shared" si="5"/>
        <v>0</v>
      </c>
      <c r="L14" s="938">
        <v>0</v>
      </c>
      <c r="M14" s="939">
        <f t="shared" si="6"/>
        <v>0</v>
      </c>
      <c r="N14" s="939">
        <f t="shared" si="7"/>
        <v>0</v>
      </c>
      <c r="O14" s="938">
        <f t="shared" si="9"/>
        <v>0</v>
      </c>
      <c r="P14" s="939">
        <f t="shared" si="8"/>
        <v>0</v>
      </c>
      <c r="Q14" s="940">
        <f t="shared" si="1"/>
        <v>0</v>
      </c>
      <c r="R14" s="42"/>
      <c r="S14" s="43"/>
      <c r="T14" s="940">
        <f t="shared" si="2"/>
        <v>0</v>
      </c>
      <c r="U14" s="42"/>
      <c r="V14" s="43"/>
      <c r="W14" s="940">
        <f t="shared" si="3"/>
        <v>0</v>
      </c>
      <c r="X14" s="42"/>
      <c r="Y14" s="43"/>
    </row>
    <row r="15" spans="1:28" hidden="1" x14ac:dyDescent="0.25">
      <c r="A15" s="941" t="s">
        <v>527</v>
      </c>
      <c r="B15" s="936">
        <v>4080.23</v>
      </c>
      <c r="C15" s="937">
        <v>1.39</v>
      </c>
      <c r="D15" s="936">
        <v>4447.45</v>
      </c>
      <c r="E15" s="937">
        <v>1.39</v>
      </c>
      <c r="F15" s="936">
        <v>4847.72</v>
      </c>
      <c r="G15" s="937">
        <v>1.39</v>
      </c>
      <c r="H15" s="938">
        <v>0</v>
      </c>
      <c r="I15" s="939">
        <f t="shared" si="0"/>
        <v>0</v>
      </c>
      <c r="J15" s="939">
        <f t="shared" si="4"/>
        <v>0</v>
      </c>
      <c r="K15" s="939">
        <f t="shared" si="5"/>
        <v>0</v>
      </c>
      <c r="L15" s="938">
        <v>0</v>
      </c>
      <c r="M15" s="939">
        <f t="shared" si="6"/>
        <v>0</v>
      </c>
      <c r="N15" s="939">
        <f t="shared" si="7"/>
        <v>0</v>
      </c>
      <c r="O15" s="938">
        <f t="shared" si="9"/>
        <v>0</v>
      </c>
      <c r="P15" s="939">
        <f t="shared" si="8"/>
        <v>0</v>
      </c>
      <c r="Q15" s="940">
        <f t="shared" si="1"/>
        <v>0</v>
      </c>
      <c r="R15" s="42"/>
      <c r="S15" s="43"/>
      <c r="T15" s="940">
        <f t="shared" si="2"/>
        <v>0</v>
      </c>
      <c r="U15" s="42"/>
      <c r="V15" s="43"/>
      <c r="W15" s="940">
        <f t="shared" si="3"/>
        <v>0</v>
      </c>
      <c r="X15" s="42"/>
      <c r="Y15" s="43"/>
    </row>
    <row r="16" spans="1:28" hidden="1" x14ac:dyDescent="0.25">
      <c r="A16" s="941" t="s">
        <v>528</v>
      </c>
      <c r="B16" s="936">
        <v>3455.09</v>
      </c>
      <c r="C16" s="937">
        <v>1.17</v>
      </c>
      <c r="D16" s="936">
        <v>3766.05</v>
      </c>
      <c r="E16" s="937">
        <v>1.17</v>
      </c>
      <c r="F16" s="936">
        <v>4104.99</v>
      </c>
      <c r="G16" s="937">
        <v>1.17</v>
      </c>
      <c r="H16" s="938">
        <v>0</v>
      </c>
      <c r="I16" s="939">
        <f t="shared" si="0"/>
        <v>0</v>
      </c>
      <c r="J16" s="939">
        <f t="shared" si="4"/>
        <v>0</v>
      </c>
      <c r="K16" s="939">
        <f t="shared" si="5"/>
        <v>0</v>
      </c>
      <c r="L16" s="938">
        <v>0</v>
      </c>
      <c r="M16" s="939">
        <f t="shared" si="6"/>
        <v>0</v>
      </c>
      <c r="N16" s="939">
        <f t="shared" si="7"/>
        <v>0</v>
      </c>
      <c r="O16" s="938">
        <f t="shared" si="9"/>
        <v>0</v>
      </c>
      <c r="P16" s="939">
        <f t="shared" si="8"/>
        <v>0</v>
      </c>
      <c r="Q16" s="940">
        <f t="shared" si="1"/>
        <v>0</v>
      </c>
      <c r="R16" s="42"/>
      <c r="S16" s="43"/>
      <c r="T16" s="940">
        <f t="shared" si="2"/>
        <v>0</v>
      </c>
      <c r="U16" s="42"/>
      <c r="V16" s="43"/>
      <c r="W16" s="940">
        <f t="shared" si="3"/>
        <v>0</v>
      </c>
      <c r="X16" s="42"/>
      <c r="Y16" s="43"/>
    </row>
    <row r="17" spans="1:25" hidden="1" x14ac:dyDescent="0.25">
      <c r="A17" s="941" t="s">
        <v>529</v>
      </c>
      <c r="B17" s="936">
        <v>2944.59</v>
      </c>
      <c r="C17" s="937">
        <v>1</v>
      </c>
      <c r="D17" s="936">
        <v>3209.6</v>
      </c>
      <c r="E17" s="937">
        <v>1</v>
      </c>
      <c r="F17" s="936">
        <v>3498.47</v>
      </c>
      <c r="G17" s="937">
        <v>1</v>
      </c>
      <c r="H17" s="938">
        <v>0</v>
      </c>
      <c r="I17" s="939">
        <f t="shared" si="0"/>
        <v>0</v>
      </c>
      <c r="J17" s="939">
        <f t="shared" si="4"/>
        <v>0</v>
      </c>
      <c r="K17" s="939">
        <f t="shared" si="5"/>
        <v>0</v>
      </c>
      <c r="L17" s="938">
        <v>0</v>
      </c>
      <c r="M17" s="939">
        <f t="shared" si="6"/>
        <v>0</v>
      </c>
      <c r="N17" s="939">
        <f t="shared" si="7"/>
        <v>0</v>
      </c>
      <c r="O17" s="938">
        <f t="shared" si="9"/>
        <v>0</v>
      </c>
      <c r="P17" s="939">
        <f t="shared" si="8"/>
        <v>0</v>
      </c>
      <c r="Q17" s="940">
        <f t="shared" si="1"/>
        <v>0</v>
      </c>
      <c r="R17" s="42"/>
      <c r="S17" s="43"/>
      <c r="T17" s="940">
        <f t="shared" si="2"/>
        <v>0</v>
      </c>
      <c r="U17" s="42"/>
      <c r="V17" s="43"/>
      <c r="W17" s="940">
        <f t="shared" si="3"/>
        <v>0</v>
      </c>
      <c r="X17" s="42"/>
      <c r="Y17" s="43"/>
    </row>
    <row r="18" spans="1:25" hidden="1" x14ac:dyDescent="0.25">
      <c r="A18" s="941" t="s">
        <v>530</v>
      </c>
      <c r="B18" s="936">
        <v>1307.74</v>
      </c>
      <c r="C18" s="937">
        <v>0.44</v>
      </c>
      <c r="D18" s="936">
        <v>1425.44</v>
      </c>
      <c r="E18" s="937">
        <v>0.44</v>
      </c>
      <c r="F18" s="936">
        <v>1553.73</v>
      </c>
      <c r="G18" s="937">
        <v>0.44</v>
      </c>
      <c r="H18" s="938">
        <v>0</v>
      </c>
      <c r="I18" s="939">
        <f t="shared" si="0"/>
        <v>0</v>
      </c>
      <c r="J18" s="939">
        <f t="shared" si="4"/>
        <v>0</v>
      </c>
      <c r="K18" s="939">
        <f t="shared" si="5"/>
        <v>0</v>
      </c>
      <c r="L18" s="938">
        <v>0</v>
      </c>
      <c r="M18" s="939">
        <f t="shared" si="6"/>
        <v>0</v>
      </c>
      <c r="N18" s="939">
        <f t="shared" si="7"/>
        <v>0</v>
      </c>
      <c r="O18" s="938">
        <f t="shared" si="9"/>
        <v>0</v>
      </c>
      <c r="P18" s="939">
        <f t="shared" si="8"/>
        <v>0</v>
      </c>
      <c r="Q18" s="940">
        <f t="shared" si="1"/>
        <v>0</v>
      </c>
      <c r="R18" s="42"/>
      <c r="S18" s="43"/>
      <c r="T18" s="940">
        <f t="shared" si="2"/>
        <v>0</v>
      </c>
      <c r="U18" s="42"/>
      <c r="V18" s="43"/>
      <c r="W18" s="940">
        <f t="shared" si="3"/>
        <v>0</v>
      </c>
      <c r="X18" s="42"/>
      <c r="Y18" s="43"/>
    </row>
    <row r="19" spans="1:25" hidden="1" x14ac:dyDescent="0.25">
      <c r="A19" s="941" t="s">
        <v>531</v>
      </c>
      <c r="B19" s="936">
        <v>1089.5</v>
      </c>
      <c r="C19" s="937">
        <v>0.37</v>
      </c>
      <c r="D19" s="936">
        <v>1187.56</v>
      </c>
      <c r="E19" s="937">
        <v>0.37</v>
      </c>
      <c r="F19" s="936">
        <v>1294.43</v>
      </c>
      <c r="G19" s="937">
        <v>0.37</v>
      </c>
      <c r="H19" s="938">
        <v>0</v>
      </c>
      <c r="I19" s="939">
        <f t="shared" si="0"/>
        <v>0</v>
      </c>
      <c r="J19" s="939">
        <f t="shared" si="4"/>
        <v>0</v>
      </c>
      <c r="K19" s="939">
        <f t="shared" si="5"/>
        <v>0</v>
      </c>
      <c r="L19" s="938">
        <v>0</v>
      </c>
      <c r="M19" s="939">
        <f t="shared" si="6"/>
        <v>0</v>
      </c>
      <c r="N19" s="939">
        <f t="shared" si="7"/>
        <v>0</v>
      </c>
      <c r="O19" s="938">
        <f t="shared" si="9"/>
        <v>0</v>
      </c>
      <c r="P19" s="939">
        <f t="shared" si="8"/>
        <v>0</v>
      </c>
      <c r="Q19" s="940">
        <f t="shared" si="1"/>
        <v>0</v>
      </c>
      <c r="R19" s="42"/>
      <c r="S19" s="43"/>
      <c r="T19" s="940">
        <f t="shared" si="2"/>
        <v>0</v>
      </c>
      <c r="U19" s="42"/>
      <c r="V19" s="43"/>
      <c r="W19" s="940">
        <f t="shared" si="3"/>
        <v>0</v>
      </c>
      <c r="X19" s="42"/>
      <c r="Y19" s="43"/>
    </row>
    <row r="20" spans="1:25" hidden="1" x14ac:dyDescent="0.25">
      <c r="A20" s="941" t="s">
        <v>532</v>
      </c>
      <c r="B20" s="936">
        <v>609.36</v>
      </c>
      <c r="C20" s="937">
        <v>0.21</v>
      </c>
      <c r="D20" s="936">
        <v>664.2</v>
      </c>
      <c r="E20" s="937">
        <v>0.21</v>
      </c>
      <c r="F20" s="936">
        <v>723.98</v>
      </c>
      <c r="G20" s="937">
        <v>0.21</v>
      </c>
      <c r="H20" s="938">
        <v>0</v>
      </c>
      <c r="I20" s="939">
        <f t="shared" si="0"/>
        <v>0</v>
      </c>
      <c r="J20" s="939">
        <f t="shared" si="4"/>
        <v>0</v>
      </c>
      <c r="K20" s="939">
        <f t="shared" si="5"/>
        <v>0</v>
      </c>
      <c r="L20" s="938">
        <v>0</v>
      </c>
      <c r="M20" s="939">
        <f t="shared" si="6"/>
        <v>0</v>
      </c>
      <c r="N20" s="939">
        <f t="shared" si="7"/>
        <v>0</v>
      </c>
      <c r="O20" s="938">
        <f t="shared" si="9"/>
        <v>0</v>
      </c>
      <c r="P20" s="939">
        <f t="shared" si="8"/>
        <v>0</v>
      </c>
      <c r="Q20" s="940">
        <f t="shared" si="1"/>
        <v>0</v>
      </c>
      <c r="R20" s="42"/>
      <c r="S20" s="43"/>
      <c r="T20" s="940">
        <f t="shared" si="2"/>
        <v>0</v>
      </c>
      <c r="U20" s="42"/>
      <c r="V20" s="43"/>
      <c r="W20" s="940">
        <f t="shared" si="3"/>
        <v>0</v>
      </c>
      <c r="X20" s="42"/>
      <c r="Y20" s="43"/>
    </row>
    <row r="21" spans="1:25" hidden="1" x14ac:dyDescent="0.25">
      <c r="A21" s="941" t="s">
        <v>533</v>
      </c>
      <c r="B21" s="936">
        <v>360.56</v>
      </c>
      <c r="C21" s="937">
        <v>0.12</v>
      </c>
      <c r="D21" s="936">
        <v>393.01</v>
      </c>
      <c r="E21" s="937">
        <v>0.12</v>
      </c>
      <c r="F21" s="936">
        <v>428.38</v>
      </c>
      <c r="G21" s="937">
        <v>0.12</v>
      </c>
      <c r="H21" s="938">
        <v>0</v>
      </c>
      <c r="I21" s="939">
        <f t="shared" si="0"/>
        <v>0</v>
      </c>
      <c r="J21" s="939">
        <f t="shared" si="4"/>
        <v>0</v>
      </c>
      <c r="K21" s="939">
        <f t="shared" si="5"/>
        <v>0</v>
      </c>
      <c r="L21" s="938">
        <v>0</v>
      </c>
      <c r="M21" s="939">
        <f t="shared" si="6"/>
        <v>0</v>
      </c>
      <c r="N21" s="939">
        <f t="shared" si="7"/>
        <v>0</v>
      </c>
      <c r="O21" s="938">
        <f t="shared" si="9"/>
        <v>0</v>
      </c>
      <c r="P21" s="939">
        <f t="shared" si="8"/>
        <v>0</v>
      </c>
      <c r="Q21" s="940">
        <f t="shared" si="1"/>
        <v>0</v>
      </c>
      <c r="R21" s="42"/>
      <c r="S21" s="43"/>
      <c r="T21" s="940">
        <f t="shared" si="2"/>
        <v>0</v>
      </c>
      <c r="U21" s="42"/>
      <c r="V21" s="43"/>
      <c r="W21" s="940">
        <f t="shared" si="3"/>
        <v>0</v>
      </c>
      <c r="X21" s="42"/>
      <c r="Y21" s="43"/>
    </row>
    <row r="22" spans="1:25" hidden="1" x14ac:dyDescent="0.25">
      <c r="A22" s="941" t="s">
        <v>534</v>
      </c>
      <c r="B22" s="936">
        <v>11081.96</v>
      </c>
      <c r="C22" s="942">
        <v>3.76</v>
      </c>
      <c r="D22" s="936">
        <v>13630.81</v>
      </c>
      <c r="E22" s="942">
        <v>4.25</v>
      </c>
      <c r="F22" s="936">
        <v>16765.900000000001</v>
      </c>
      <c r="G22" s="942">
        <v>4.79</v>
      </c>
      <c r="H22" s="938">
        <v>0</v>
      </c>
      <c r="I22" s="939">
        <f t="shared" si="0"/>
        <v>0</v>
      </c>
      <c r="J22" s="939">
        <f t="shared" si="4"/>
        <v>0</v>
      </c>
      <c r="K22" s="939">
        <f t="shared" si="5"/>
        <v>0</v>
      </c>
      <c r="L22" s="938">
        <v>0</v>
      </c>
      <c r="M22" s="939">
        <f t="shared" si="6"/>
        <v>0</v>
      </c>
      <c r="N22" s="939">
        <f t="shared" si="7"/>
        <v>0</v>
      </c>
      <c r="O22" s="938">
        <f t="shared" si="9"/>
        <v>0</v>
      </c>
      <c r="P22" s="939">
        <f t="shared" si="8"/>
        <v>0</v>
      </c>
      <c r="Q22" s="940">
        <f t="shared" si="1"/>
        <v>0</v>
      </c>
      <c r="T22" s="940">
        <f t="shared" si="2"/>
        <v>0</v>
      </c>
      <c r="W22" s="940">
        <f t="shared" si="3"/>
        <v>0</v>
      </c>
    </row>
    <row r="23" spans="1:25" hidden="1" x14ac:dyDescent="0.25">
      <c r="A23" s="941" t="s">
        <v>535</v>
      </c>
      <c r="B23" s="936">
        <v>10260.549999999999</v>
      </c>
      <c r="C23" s="942">
        <v>3.48</v>
      </c>
      <c r="D23" s="936">
        <v>12004.84</v>
      </c>
      <c r="E23" s="942">
        <v>3.74</v>
      </c>
      <c r="F23" s="936">
        <v>14045.67</v>
      </c>
      <c r="G23" s="942">
        <v>4.01</v>
      </c>
      <c r="H23" s="938">
        <v>0</v>
      </c>
      <c r="I23" s="939">
        <f t="shared" si="0"/>
        <v>0</v>
      </c>
      <c r="J23" s="939">
        <f t="shared" si="4"/>
        <v>0</v>
      </c>
      <c r="K23" s="939">
        <f t="shared" si="5"/>
        <v>0</v>
      </c>
      <c r="L23" s="938">
        <v>0</v>
      </c>
      <c r="M23" s="939">
        <f t="shared" si="6"/>
        <v>0</v>
      </c>
      <c r="N23" s="939">
        <f t="shared" si="7"/>
        <v>0</v>
      </c>
      <c r="O23" s="938">
        <f t="shared" si="9"/>
        <v>0</v>
      </c>
      <c r="P23" s="939">
        <f t="shared" si="8"/>
        <v>0</v>
      </c>
      <c r="Q23" s="940">
        <f t="shared" si="1"/>
        <v>0</v>
      </c>
      <c r="T23" s="940">
        <f t="shared" si="2"/>
        <v>0</v>
      </c>
      <c r="W23" s="940">
        <f t="shared" si="3"/>
        <v>0</v>
      </c>
    </row>
    <row r="24" spans="1:25" hidden="1" x14ac:dyDescent="0.25">
      <c r="A24" s="941" t="s">
        <v>536</v>
      </c>
      <c r="B24" s="936">
        <v>8909.69</v>
      </c>
      <c r="C24" s="942">
        <v>3.03</v>
      </c>
      <c r="D24" s="936">
        <v>10424.34</v>
      </c>
      <c r="E24" s="942">
        <v>3.25</v>
      </c>
      <c r="F24" s="936">
        <v>12196.47</v>
      </c>
      <c r="G24" s="942">
        <v>3.49</v>
      </c>
      <c r="H24" s="938">
        <v>0</v>
      </c>
      <c r="I24" s="939">
        <f t="shared" si="0"/>
        <v>0</v>
      </c>
      <c r="J24" s="939">
        <f t="shared" si="4"/>
        <v>0</v>
      </c>
      <c r="K24" s="939">
        <f t="shared" si="5"/>
        <v>0</v>
      </c>
      <c r="L24" s="938">
        <v>0</v>
      </c>
      <c r="M24" s="939">
        <f t="shared" si="6"/>
        <v>0</v>
      </c>
      <c r="N24" s="939">
        <f t="shared" si="7"/>
        <v>0</v>
      </c>
      <c r="O24" s="938">
        <f t="shared" si="9"/>
        <v>0</v>
      </c>
      <c r="P24" s="939">
        <f t="shared" si="8"/>
        <v>0</v>
      </c>
      <c r="Q24" s="940">
        <f t="shared" si="1"/>
        <v>0</v>
      </c>
      <c r="T24" s="940">
        <f t="shared" si="2"/>
        <v>0</v>
      </c>
      <c r="W24" s="940">
        <f t="shared" si="3"/>
        <v>0</v>
      </c>
    </row>
    <row r="25" spans="1:25" hidden="1" x14ac:dyDescent="0.25">
      <c r="A25" s="941" t="s">
        <v>537</v>
      </c>
      <c r="B25" s="936">
        <v>7620.99</v>
      </c>
      <c r="C25" s="942">
        <v>2.59</v>
      </c>
      <c r="D25" s="936">
        <v>8916.56</v>
      </c>
      <c r="E25" s="942">
        <v>2.78</v>
      </c>
      <c r="F25" s="936">
        <v>10432.370000000001</v>
      </c>
      <c r="G25" s="942">
        <v>2.98</v>
      </c>
      <c r="H25" s="938">
        <v>0</v>
      </c>
      <c r="I25" s="939">
        <f t="shared" si="0"/>
        <v>0</v>
      </c>
      <c r="J25" s="939">
        <f t="shared" si="4"/>
        <v>0</v>
      </c>
      <c r="K25" s="939">
        <f t="shared" si="5"/>
        <v>0</v>
      </c>
      <c r="L25" s="938">
        <v>0</v>
      </c>
      <c r="M25" s="939">
        <f t="shared" si="6"/>
        <v>0</v>
      </c>
      <c r="N25" s="939">
        <f t="shared" si="7"/>
        <v>0</v>
      </c>
      <c r="O25" s="938">
        <f t="shared" si="9"/>
        <v>0</v>
      </c>
      <c r="P25" s="939">
        <f t="shared" si="8"/>
        <v>0</v>
      </c>
      <c r="Q25" s="940">
        <f t="shared" si="1"/>
        <v>0</v>
      </c>
      <c r="T25" s="940">
        <f t="shared" si="2"/>
        <v>0</v>
      </c>
      <c r="W25" s="940">
        <f t="shared" si="3"/>
        <v>0</v>
      </c>
    </row>
    <row r="26" spans="1:25" hidden="1" x14ac:dyDescent="0.25">
      <c r="A26" s="941" t="s">
        <v>538</v>
      </c>
      <c r="B26" s="936">
        <v>6784.14</v>
      </c>
      <c r="C26" s="942">
        <v>2.2999999999999998</v>
      </c>
      <c r="D26" s="936">
        <v>7937.44</v>
      </c>
      <c r="E26" s="942">
        <v>2.4700000000000002</v>
      </c>
      <c r="F26" s="936">
        <v>8651.81</v>
      </c>
      <c r="G26" s="942">
        <v>2.4700000000000002</v>
      </c>
      <c r="H26" s="938">
        <v>0</v>
      </c>
      <c r="I26" s="939">
        <f t="shared" si="0"/>
        <v>0</v>
      </c>
      <c r="J26" s="939">
        <f t="shared" si="4"/>
        <v>0</v>
      </c>
      <c r="K26" s="939">
        <f t="shared" si="5"/>
        <v>0</v>
      </c>
      <c r="L26" s="938">
        <v>0</v>
      </c>
      <c r="M26" s="939">
        <f t="shared" si="6"/>
        <v>0</v>
      </c>
      <c r="N26" s="939">
        <f t="shared" si="7"/>
        <v>0</v>
      </c>
      <c r="O26" s="938">
        <f t="shared" si="9"/>
        <v>0</v>
      </c>
      <c r="P26" s="939">
        <f t="shared" si="8"/>
        <v>0</v>
      </c>
      <c r="Q26" s="940">
        <f t="shared" si="1"/>
        <v>0</v>
      </c>
      <c r="T26" s="940">
        <f t="shared" si="2"/>
        <v>0</v>
      </c>
      <c r="W26" s="940">
        <f t="shared" si="3"/>
        <v>0</v>
      </c>
    </row>
    <row r="27" spans="1:25" hidden="1" x14ac:dyDescent="0.25">
      <c r="A27" s="941" t="s">
        <v>539</v>
      </c>
      <c r="B27" s="936">
        <v>5482.59</v>
      </c>
      <c r="C27" s="942">
        <v>1.86</v>
      </c>
      <c r="D27" s="936">
        <v>5976.02</v>
      </c>
      <c r="E27" s="942">
        <v>1.86</v>
      </c>
      <c r="F27" s="936">
        <v>6513.87</v>
      </c>
      <c r="G27" s="942">
        <v>1.86</v>
      </c>
      <c r="H27" s="938">
        <v>0</v>
      </c>
      <c r="I27" s="939">
        <f t="shared" si="0"/>
        <v>0</v>
      </c>
      <c r="J27" s="939">
        <f t="shared" si="4"/>
        <v>0</v>
      </c>
      <c r="K27" s="939">
        <f t="shared" si="5"/>
        <v>0</v>
      </c>
      <c r="L27" s="938">
        <v>0</v>
      </c>
      <c r="M27" s="939">
        <f t="shared" si="6"/>
        <v>0</v>
      </c>
      <c r="N27" s="939">
        <f t="shared" si="7"/>
        <v>0</v>
      </c>
      <c r="O27" s="938">
        <f t="shared" si="9"/>
        <v>0</v>
      </c>
      <c r="P27" s="939">
        <f t="shared" si="8"/>
        <v>0</v>
      </c>
      <c r="Q27" s="940">
        <f t="shared" si="1"/>
        <v>0</v>
      </c>
      <c r="T27" s="940">
        <f t="shared" si="2"/>
        <v>0</v>
      </c>
      <c r="W27" s="940">
        <f t="shared" si="3"/>
        <v>0</v>
      </c>
    </row>
    <row r="28" spans="1:25" hidden="1" x14ac:dyDescent="0.25">
      <c r="A28" s="941" t="s">
        <v>540</v>
      </c>
      <c r="B28" s="936">
        <v>4371.68</v>
      </c>
      <c r="C28" s="942">
        <v>1.48</v>
      </c>
      <c r="D28" s="936">
        <v>4765.13</v>
      </c>
      <c r="E28" s="942">
        <v>1.48</v>
      </c>
      <c r="F28" s="936">
        <v>5193.87</v>
      </c>
      <c r="G28" s="942">
        <v>1.48</v>
      </c>
      <c r="H28" s="938">
        <v>0</v>
      </c>
      <c r="I28" s="939">
        <f t="shared" si="0"/>
        <v>0</v>
      </c>
      <c r="J28" s="939">
        <f t="shared" si="4"/>
        <v>0</v>
      </c>
      <c r="K28" s="939">
        <f t="shared" si="5"/>
        <v>0</v>
      </c>
      <c r="L28" s="938">
        <v>0</v>
      </c>
      <c r="M28" s="939">
        <f t="shared" si="6"/>
        <v>0</v>
      </c>
      <c r="N28" s="939">
        <f t="shared" si="7"/>
        <v>0</v>
      </c>
      <c r="O28" s="938">
        <f t="shared" si="9"/>
        <v>0</v>
      </c>
      <c r="P28" s="939">
        <f t="shared" si="8"/>
        <v>0</v>
      </c>
      <c r="Q28" s="940">
        <f t="shared" si="1"/>
        <v>0</v>
      </c>
      <c r="T28" s="940">
        <f t="shared" si="2"/>
        <v>0</v>
      </c>
      <c r="W28" s="940">
        <f t="shared" si="3"/>
        <v>0</v>
      </c>
    </row>
    <row r="29" spans="1:25" hidden="1" x14ac:dyDescent="0.25">
      <c r="A29" s="941" t="s">
        <v>541</v>
      </c>
      <c r="B29" s="936">
        <v>3750.42</v>
      </c>
      <c r="C29" s="942">
        <v>1.27</v>
      </c>
      <c r="D29" s="936">
        <v>4087.96</v>
      </c>
      <c r="E29" s="942">
        <v>1.27</v>
      </c>
      <c r="F29" s="936">
        <v>4455.87</v>
      </c>
      <c r="G29" s="942">
        <v>1.27</v>
      </c>
      <c r="H29" s="938">
        <v>0</v>
      </c>
      <c r="I29" s="939">
        <f t="shared" si="0"/>
        <v>0</v>
      </c>
      <c r="J29" s="939">
        <f t="shared" si="4"/>
        <v>0</v>
      </c>
      <c r="K29" s="939">
        <f t="shared" si="5"/>
        <v>0</v>
      </c>
      <c r="L29" s="938">
        <v>0</v>
      </c>
      <c r="M29" s="939">
        <f t="shared" si="6"/>
        <v>0</v>
      </c>
      <c r="N29" s="939">
        <f t="shared" si="7"/>
        <v>0</v>
      </c>
      <c r="O29" s="938">
        <f t="shared" si="9"/>
        <v>0</v>
      </c>
      <c r="P29" s="939">
        <f t="shared" si="8"/>
        <v>0</v>
      </c>
      <c r="Q29" s="940">
        <f t="shared" si="1"/>
        <v>0</v>
      </c>
      <c r="T29" s="940">
        <f t="shared" si="2"/>
        <v>0</v>
      </c>
      <c r="W29" s="940">
        <f t="shared" si="3"/>
        <v>0</v>
      </c>
    </row>
    <row r="30" spans="1:25" hidden="1" x14ac:dyDescent="0.25">
      <c r="A30" s="941" t="s">
        <v>542</v>
      </c>
      <c r="B30" s="936">
        <v>2944.59</v>
      </c>
      <c r="C30" s="942">
        <v>1</v>
      </c>
      <c r="D30" s="936">
        <v>3209.6</v>
      </c>
      <c r="E30" s="942">
        <v>1</v>
      </c>
      <c r="F30" s="936">
        <v>3498.47</v>
      </c>
      <c r="G30" s="942">
        <v>1</v>
      </c>
      <c r="H30" s="938">
        <v>0</v>
      </c>
      <c r="I30" s="939">
        <f t="shared" si="0"/>
        <v>0</v>
      </c>
      <c r="J30" s="939">
        <f t="shared" si="4"/>
        <v>0</v>
      </c>
      <c r="K30" s="939">
        <f t="shared" si="5"/>
        <v>0</v>
      </c>
      <c r="L30" s="938">
        <v>0</v>
      </c>
      <c r="M30" s="939">
        <f t="shared" si="6"/>
        <v>0</v>
      </c>
      <c r="N30" s="939">
        <f t="shared" si="7"/>
        <v>0</v>
      </c>
      <c r="O30" s="938">
        <f t="shared" si="9"/>
        <v>0</v>
      </c>
      <c r="P30" s="939">
        <f t="shared" si="8"/>
        <v>0</v>
      </c>
      <c r="Q30" s="940">
        <f t="shared" si="1"/>
        <v>0</v>
      </c>
      <c r="T30" s="940">
        <f t="shared" si="2"/>
        <v>0</v>
      </c>
      <c r="W30" s="940">
        <f t="shared" si="3"/>
        <v>0</v>
      </c>
    </row>
    <row r="31" spans="1:25" hidden="1" x14ac:dyDescent="0.25">
      <c r="A31" s="941" t="s">
        <v>543</v>
      </c>
      <c r="B31" s="936">
        <v>2824.69</v>
      </c>
      <c r="C31" s="942">
        <v>0.96</v>
      </c>
      <c r="D31" s="936">
        <v>3078.91</v>
      </c>
      <c r="E31" s="942">
        <v>0.96</v>
      </c>
      <c r="F31" s="936">
        <v>3356.01</v>
      </c>
      <c r="G31" s="942">
        <v>0.96</v>
      </c>
      <c r="H31" s="938">
        <v>0</v>
      </c>
      <c r="I31" s="939">
        <f t="shared" si="0"/>
        <v>0</v>
      </c>
      <c r="J31" s="939">
        <f t="shared" si="4"/>
        <v>0</v>
      </c>
      <c r="K31" s="939">
        <f t="shared" si="5"/>
        <v>0</v>
      </c>
      <c r="L31" s="938">
        <v>0</v>
      </c>
      <c r="M31" s="939">
        <f t="shared" si="6"/>
        <v>0</v>
      </c>
      <c r="N31" s="939">
        <f t="shared" si="7"/>
        <v>0</v>
      </c>
      <c r="O31" s="938">
        <f t="shared" si="9"/>
        <v>0</v>
      </c>
      <c r="P31" s="939">
        <f t="shared" si="8"/>
        <v>0</v>
      </c>
      <c r="Q31" s="940">
        <f t="shared" si="1"/>
        <v>0</v>
      </c>
      <c r="T31" s="940">
        <f t="shared" si="2"/>
        <v>0</v>
      </c>
      <c r="W31" s="940">
        <f t="shared" si="3"/>
        <v>0</v>
      </c>
    </row>
    <row r="32" spans="1:25" hidden="1" x14ac:dyDescent="0.25">
      <c r="A32" s="941" t="s">
        <v>544</v>
      </c>
      <c r="B32" s="936">
        <v>2448.14</v>
      </c>
      <c r="C32" s="942">
        <v>0.83</v>
      </c>
      <c r="D32" s="936">
        <v>2668.47</v>
      </c>
      <c r="E32" s="942">
        <v>0.83</v>
      </c>
      <c r="F32" s="936">
        <v>2908.64</v>
      </c>
      <c r="G32" s="942">
        <v>0.83</v>
      </c>
      <c r="H32" s="938">
        <v>0</v>
      </c>
      <c r="I32" s="939">
        <f t="shared" si="0"/>
        <v>0</v>
      </c>
      <c r="J32" s="939">
        <f t="shared" si="4"/>
        <v>0</v>
      </c>
      <c r="K32" s="939">
        <f t="shared" si="5"/>
        <v>0</v>
      </c>
      <c r="L32" s="938">
        <v>0</v>
      </c>
      <c r="M32" s="939">
        <f t="shared" si="6"/>
        <v>0</v>
      </c>
      <c r="N32" s="939">
        <f t="shared" si="7"/>
        <v>0</v>
      </c>
      <c r="O32" s="938">
        <f t="shared" si="9"/>
        <v>0</v>
      </c>
      <c r="P32" s="939">
        <f t="shared" si="8"/>
        <v>0</v>
      </c>
      <c r="Q32" s="940">
        <f t="shared" si="1"/>
        <v>0</v>
      </c>
      <c r="T32" s="940">
        <f t="shared" si="2"/>
        <v>0</v>
      </c>
      <c r="W32" s="940">
        <f t="shared" si="3"/>
        <v>0</v>
      </c>
    </row>
    <row r="33" spans="1:28" hidden="1" x14ac:dyDescent="0.25">
      <c r="A33" s="941" t="s">
        <v>545</v>
      </c>
      <c r="B33" s="936">
        <v>2073.06</v>
      </c>
      <c r="C33" s="942">
        <v>0.7</v>
      </c>
      <c r="D33" s="936">
        <v>2259.64</v>
      </c>
      <c r="E33" s="942">
        <v>0.7</v>
      </c>
      <c r="F33" s="936">
        <v>2463</v>
      </c>
      <c r="G33" s="942">
        <v>0.7</v>
      </c>
      <c r="H33" s="938">
        <v>0</v>
      </c>
      <c r="I33" s="939">
        <f t="shared" si="0"/>
        <v>0</v>
      </c>
      <c r="J33" s="939">
        <f t="shared" si="4"/>
        <v>0</v>
      </c>
      <c r="K33" s="939">
        <f t="shared" si="5"/>
        <v>0</v>
      </c>
      <c r="L33" s="938">
        <v>0</v>
      </c>
      <c r="M33" s="939">
        <f t="shared" si="6"/>
        <v>0</v>
      </c>
      <c r="N33" s="939">
        <f t="shared" si="7"/>
        <v>0</v>
      </c>
      <c r="O33" s="938">
        <f t="shared" si="9"/>
        <v>0</v>
      </c>
      <c r="P33" s="939">
        <f t="shared" si="8"/>
        <v>0</v>
      </c>
      <c r="Q33" s="940">
        <f t="shared" si="1"/>
        <v>0</v>
      </c>
      <c r="T33" s="940">
        <f t="shared" si="2"/>
        <v>0</v>
      </c>
      <c r="W33" s="940">
        <f t="shared" si="3"/>
        <v>0</v>
      </c>
    </row>
    <row r="34" spans="1:28" hidden="1" x14ac:dyDescent="0.25">
      <c r="A34" s="941" t="s">
        <v>546</v>
      </c>
      <c r="B34" s="936">
        <v>1766.76</v>
      </c>
      <c r="C34" s="942">
        <v>0.6</v>
      </c>
      <c r="D34" s="936">
        <v>1925.77</v>
      </c>
      <c r="E34" s="942">
        <v>0.6</v>
      </c>
      <c r="F34" s="936">
        <v>2099.09</v>
      </c>
      <c r="G34" s="942">
        <v>0.6</v>
      </c>
      <c r="H34" s="938">
        <v>0</v>
      </c>
      <c r="I34" s="939">
        <f t="shared" si="0"/>
        <v>0</v>
      </c>
      <c r="J34" s="939">
        <f t="shared" si="4"/>
        <v>0</v>
      </c>
      <c r="K34" s="939">
        <f t="shared" si="5"/>
        <v>0</v>
      </c>
      <c r="L34" s="938">
        <v>0</v>
      </c>
      <c r="M34" s="939">
        <f t="shared" si="6"/>
        <v>0</v>
      </c>
      <c r="N34" s="939">
        <f t="shared" si="7"/>
        <v>0</v>
      </c>
      <c r="O34" s="938">
        <f t="shared" si="9"/>
        <v>0</v>
      </c>
      <c r="P34" s="939">
        <f t="shared" si="8"/>
        <v>0</v>
      </c>
      <c r="Q34" s="940">
        <f t="shared" si="1"/>
        <v>0</v>
      </c>
      <c r="T34" s="940">
        <f t="shared" si="2"/>
        <v>0</v>
      </c>
      <c r="W34" s="940">
        <f t="shared" si="3"/>
        <v>0</v>
      </c>
    </row>
    <row r="35" spans="1:28" hidden="1" x14ac:dyDescent="0.25">
      <c r="A35" s="941" t="s">
        <v>547</v>
      </c>
      <c r="B35" s="936">
        <v>1307.74</v>
      </c>
      <c r="C35" s="942">
        <v>0.44</v>
      </c>
      <c r="D35" s="936">
        <v>1425.44</v>
      </c>
      <c r="E35" s="942">
        <v>0.44</v>
      </c>
      <c r="F35" s="936">
        <v>1553.73</v>
      </c>
      <c r="G35" s="942">
        <v>0.44</v>
      </c>
      <c r="H35" s="938">
        <v>0</v>
      </c>
      <c r="I35" s="939">
        <f t="shared" si="0"/>
        <v>0</v>
      </c>
      <c r="J35" s="939">
        <f t="shared" si="4"/>
        <v>0</v>
      </c>
      <c r="K35" s="939">
        <f t="shared" si="5"/>
        <v>0</v>
      </c>
      <c r="L35" s="938">
        <v>0</v>
      </c>
      <c r="M35" s="939">
        <f t="shared" si="6"/>
        <v>0</v>
      </c>
      <c r="N35" s="939">
        <f t="shared" si="7"/>
        <v>0</v>
      </c>
      <c r="O35" s="938">
        <f t="shared" si="9"/>
        <v>0</v>
      </c>
      <c r="P35" s="939">
        <f t="shared" si="8"/>
        <v>0</v>
      </c>
      <c r="Q35" s="940">
        <f t="shared" ref="Q35:Q66" si="10">(O35*D35*1.33*1.28) + (O35*D35*1.28*$R$1)</f>
        <v>0</v>
      </c>
      <c r="T35" s="940">
        <f t="shared" ref="T35:T66" si="11">O35*D35*13.33*1.28</f>
        <v>0</v>
      </c>
      <c r="W35" s="940">
        <f t="shared" ref="W35:W66" si="12">O35*F35*13.33*1.28</f>
        <v>0</v>
      </c>
    </row>
    <row r="36" spans="1:28" x14ac:dyDescent="0.25">
      <c r="A36" s="941" t="s">
        <v>548</v>
      </c>
      <c r="B36" s="936">
        <v>1089.5</v>
      </c>
      <c r="C36" s="942">
        <v>0.37</v>
      </c>
      <c r="D36" s="936">
        <v>1187.56</v>
      </c>
      <c r="E36" s="942">
        <v>0.37</v>
      </c>
      <c r="F36" s="936">
        <v>1294.43</v>
      </c>
      <c r="G36" s="942">
        <v>0.37</v>
      </c>
      <c r="H36" s="938">
        <v>0</v>
      </c>
      <c r="I36" s="939">
        <f t="shared" si="0"/>
        <v>0</v>
      </c>
      <c r="J36" s="939">
        <f t="shared" si="4"/>
        <v>0</v>
      </c>
      <c r="K36" s="939">
        <f t="shared" si="5"/>
        <v>0</v>
      </c>
      <c r="L36" s="938">
        <v>1201</v>
      </c>
      <c r="M36" s="939">
        <f t="shared" si="6"/>
        <v>444.37</v>
      </c>
      <c r="N36" s="939">
        <f t="shared" si="7"/>
        <v>444.37</v>
      </c>
      <c r="O36" s="938">
        <f t="shared" si="9"/>
        <v>1201</v>
      </c>
      <c r="P36" s="939">
        <f t="shared" si="8"/>
        <v>444.37</v>
      </c>
      <c r="Q36" s="940">
        <f t="shared" si="10"/>
        <v>4253676.511744</v>
      </c>
      <c r="R36" s="530">
        <f t="shared" ref="R36:R75" si="13">Q36/1.28</f>
        <v>3323184.7747999998</v>
      </c>
      <c r="S36" s="530">
        <f t="shared" ref="S36:S75" si="14">Q36/1.28*0.28</f>
        <v>930491.736944</v>
      </c>
      <c r="T36" s="940">
        <f t="shared" si="11"/>
        <v>24335411.116544001</v>
      </c>
      <c r="U36" s="530">
        <f t="shared" ref="U36:U75" si="15">T36/1.28</f>
        <v>19012039.934799999</v>
      </c>
      <c r="V36" s="530">
        <f t="shared" ref="V36:V75" si="16">T36/1.28*0.28</f>
        <v>5323371.1817439999</v>
      </c>
      <c r="W36" s="940">
        <f>O36*F36*13.33*1.28</f>
        <v>26525385.000832006</v>
      </c>
      <c r="X36" s="530">
        <f t="shared" ref="X36:X75" si="17">W36/1.28</f>
        <v>20722957.031900004</v>
      </c>
      <c r="Y36" s="530">
        <f t="shared" ref="Y36:Y75" si="18">W36/1.28*0.28</f>
        <v>5802427.9689320019</v>
      </c>
      <c r="Z36" s="530">
        <f>W36-T36</f>
        <v>2189973.8842880055</v>
      </c>
      <c r="AA36" s="530">
        <f t="shared" ref="AA36:AB36" si="19">X36-U36</f>
        <v>1710917.0971000046</v>
      </c>
      <c r="AB36" s="530">
        <f t="shared" si="19"/>
        <v>479056.78718800191</v>
      </c>
    </row>
    <row r="37" spans="1:28" x14ac:dyDescent="0.25">
      <c r="A37" s="941" t="s">
        <v>549</v>
      </c>
      <c r="B37" s="936">
        <v>609.36</v>
      </c>
      <c r="C37" s="942">
        <v>0.21</v>
      </c>
      <c r="D37" s="936">
        <v>664.2</v>
      </c>
      <c r="E37" s="942">
        <v>0.21</v>
      </c>
      <c r="F37" s="936">
        <v>723.98</v>
      </c>
      <c r="G37" s="942">
        <v>0.21</v>
      </c>
      <c r="H37" s="938">
        <v>0</v>
      </c>
      <c r="I37" s="939">
        <f t="shared" si="0"/>
        <v>0</v>
      </c>
      <c r="J37" s="939">
        <f t="shared" si="4"/>
        <v>0</v>
      </c>
      <c r="K37" s="939">
        <f t="shared" si="5"/>
        <v>0</v>
      </c>
      <c r="L37" s="938">
        <v>336</v>
      </c>
      <c r="M37" s="939">
        <f t="shared" si="6"/>
        <v>70.56</v>
      </c>
      <c r="N37" s="939">
        <f t="shared" si="7"/>
        <v>70.56</v>
      </c>
      <c r="O37" s="938">
        <f t="shared" si="9"/>
        <v>336</v>
      </c>
      <c r="P37" s="939">
        <f t="shared" si="8"/>
        <v>70.56</v>
      </c>
      <c r="Q37" s="940">
        <f t="shared" si="10"/>
        <v>665585.78688000003</v>
      </c>
      <c r="R37" s="530">
        <f t="shared" si="13"/>
        <v>519988.89600000001</v>
      </c>
      <c r="S37" s="530">
        <f t="shared" si="14"/>
        <v>145596.89088000002</v>
      </c>
      <c r="T37" s="940">
        <f t="shared" si="11"/>
        <v>3807836.2828800008</v>
      </c>
      <c r="U37" s="530">
        <f t="shared" si="15"/>
        <v>2974872.0960000004</v>
      </c>
      <c r="V37" s="530">
        <f t="shared" si="16"/>
        <v>832964.18688000017</v>
      </c>
      <c r="W37" s="940">
        <f t="shared" si="12"/>
        <v>4150553.0142720002</v>
      </c>
      <c r="X37" s="530">
        <f t="shared" si="17"/>
        <v>3242619.5424000002</v>
      </c>
      <c r="Y37" s="530">
        <f t="shared" si="18"/>
        <v>907933.47187200014</v>
      </c>
      <c r="Z37" s="530">
        <f t="shared" ref="Z37:Z75" si="20">W37-T37</f>
        <v>342716.7313919994</v>
      </c>
      <c r="AA37" s="530">
        <f t="shared" ref="AA37:AA75" si="21">X37-U37</f>
        <v>267747.44639999978</v>
      </c>
      <c r="AB37" s="530">
        <f t="shared" ref="AB37:AB75" si="22">Y37-V37</f>
        <v>74969.284991999972</v>
      </c>
    </row>
    <row r="38" spans="1:28" x14ac:dyDescent="0.25">
      <c r="A38" s="941" t="s">
        <v>550</v>
      </c>
      <c r="B38" s="936">
        <v>360.56</v>
      </c>
      <c r="C38" s="942">
        <v>0.12</v>
      </c>
      <c r="D38" s="936">
        <v>393.01</v>
      </c>
      <c r="E38" s="942">
        <v>0.12</v>
      </c>
      <c r="F38" s="936">
        <v>428.38</v>
      </c>
      <c r="G38" s="942">
        <v>0.12</v>
      </c>
      <c r="H38" s="938">
        <v>0</v>
      </c>
      <c r="I38" s="939">
        <f t="shared" si="0"/>
        <v>0</v>
      </c>
      <c r="J38" s="939">
        <f t="shared" si="4"/>
        <v>0</v>
      </c>
      <c r="K38" s="939">
        <f t="shared" si="5"/>
        <v>0</v>
      </c>
      <c r="L38" s="938">
        <v>284</v>
      </c>
      <c r="M38" s="939">
        <f t="shared" si="6"/>
        <v>34.08</v>
      </c>
      <c r="N38" s="939">
        <f t="shared" si="7"/>
        <v>34.08</v>
      </c>
      <c r="O38" s="938">
        <f t="shared" si="9"/>
        <v>284</v>
      </c>
      <c r="P38" s="939">
        <f t="shared" si="8"/>
        <v>34.08</v>
      </c>
      <c r="Q38" s="940">
        <f t="shared" si="10"/>
        <v>332880.09881600004</v>
      </c>
      <c r="R38" s="530">
        <f t="shared" si="13"/>
        <v>260062.57720000003</v>
      </c>
      <c r="S38" s="530">
        <f t="shared" si="14"/>
        <v>72817.521616000013</v>
      </c>
      <c r="T38" s="940">
        <f t="shared" si="11"/>
        <v>1904417.046016</v>
      </c>
      <c r="U38" s="530">
        <f t="shared" si="15"/>
        <v>1487825.8171999999</v>
      </c>
      <c r="V38" s="530">
        <f t="shared" si="16"/>
        <v>416591.22881600005</v>
      </c>
      <c r="W38" s="940">
        <f t="shared" si="12"/>
        <v>2075810.2190079999</v>
      </c>
      <c r="X38" s="530">
        <f t="shared" si="17"/>
        <v>1621726.7335999999</v>
      </c>
      <c r="Y38" s="530">
        <f t="shared" si="18"/>
        <v>454083.48540800001</v>
      </c>
      <c r="Z38" s="530">
        <f t="shared" si="20"/>
        <v>171393.17299199989</v>
      </c>
      <c r="AA38" s="530">
        <f t="shared" si="21"/>
        <v>133900.91639999999</v>
      </c>
      <c r="AB38" s="530">
        <f t="shared" si="22"/>
        <v>37492.256591999962</v>
      </c>
    </row>
    <row r="39" spans="1:28" hidden="1" x14ac:dyDescent="0.25">
      <c r="A39" s="943" t="s">
        <v>551</v>
      </c>
      <c r="B39" s="248">
        <v>3824.81</v>
      </c>
      <c r="C39" s="249">
        <v>1.3</v>
      </c>
      <c r="D39" s="248">
        <v>4169.04</v>
      </c>
      <c r="E39" s="249">
        <v>1.3</v>
      </c>
      <c r="F39" s="248">
        <v>4544.26</v>
      </c>
      <c r="G39" s="249">
        <v>1.3</v>
      </c>
      <c r="H39" s="938">
        <v>0</v>
      </c>
      <c r="I39" s="939">
        <f t="shared" si="0"/>
        <v>0</v>
      </c>
      <c r="J39" s="939">
        <f t="shared" si="4"/>
        <v>0</v>
      </c>
      <c r="K39" s="939">
        <f t="shared" si="5"/>
        <v>0</v>
      </c>
      <c r="L39" s="938">
        <v>0</v>
      </c>
      <c r="M39" s="939">
        <f t="shared" si="6"/>
        <v>0</v>
      </c>
      <c r="N39" s="939">
        <f t="shared" si="7"/>
        <v>0</v>
      </c>
      <c r="O39" s="938">
        <f t="shared" si="9"/>
        <v>0</v>
      </c>
      <c r="P39" s="939">
        <f t="shared" si="8"/>
        <v>0</v>
      </c>
      <c r="Q39" s="940">
        <f t="shared" si="10"/>
        <v>0</v>
      </c>
      <c r="R39" s="530">
        <f t="shared" si="13"/>
        <v>0</v>
      </c>
      <c r="S39" s="530">
        <f t="shared" si="14"/>
        <v>0</v>
      </c>
      <c r="T39" s="940">
        <f t="shared" si="11"/>
        <v>0</v>
      </c>
      <c r="U39" s="530">
        <f t="shared" si="15"/>
        <v>0</v>
      </c>
      <c r="V39" s="530">
        <f t="shared" si="16"/>
        <v>0</v>
      </c>
      <c r="W39" s="940">
        <f t="shared" si="12"/>
        <v>0</v>
      </c>
      <c r="X39" s="530">
        <f t="shared" si="17"/>
        <v>0</v>
      </c>
      <c r="Y39" s="530">
        <f t="shared" si="18"/>
        <v>0</v>
      </c>
      <c r="Z39" s="530">
        <f t="shared" si="20"/>
        <v>0</v>
      </c>
      <c r="AA39" s="530">
        <f t="shared" si="21"/>
        <v>0</v>
      </c>
      <c r="AB39" s="530">
        <f t="shared" si="22"/>
        <v>0</v>
      </c>
    </row>
    <row r="40" spans="1:28" hidden="1" x14ac:dyDescent="0.25">
      <c r="A40" s="943" t="s">
        <v>552</v>
      </c>
      <c r="B40" s="248">
        <v>3442.22</v>
      </c>
      <c r="C40" s="249">
        <v>1.17</v>
      </c>
      <c r="D40" s="248">
        <v>3752.02</v>
      </c>
      <c r="E40" s="249">
        <v>1.17</v>
      </c>
      <c r="F40" s="248">
        <v>4089.7</v>
      </c>
      <c r="G40" s="249">
        <v>1.17</v>
      </c>
      <c r="H40" s="938">
        <v>0</v>
      </c>
      <c r="I40" s="939">
        <f t="shared" si="0"/>
        <v>0</v>
      </c>
      <c r="J40" s="939">
        <f t="shared" si="4"/>
        <v>0</v>
      </c>
      <c r="K40" s="939">
        <f t="shared" si="5"/>
        <v>0</v>
      </c>
      <c r="L40" s="938">
        <v>0</v>
      </c>
      <c r="M40" s="939">
        <f t="shared" si="6"/>
        <v>0</v>
      </c>
      <c r="N40" s="939">
        <f t="shared" si="7"/>
        <v>0</v>
      </c>
      <c r="O40" s="938">
        <f t="shared" si="9"/>
        <v>0</v>
      </c>
      <c r="P40" s="939">
        <f t="shared" si="8"/>
        <v>0</v>
      </c>
      <c r="Q40" s="940">
        <f t="shared" si="10"/>
        <v>0</v>
      </c>
      <c r="R40" s="530">
        <f t="shared" si="13"/>
        <v>0</v>
      </c>
      <c r="S40" s="530">
        <f t="shared" si="14"/>
        <v>0</v>
      </c>
      <c r="T40" s="940">
        <f t="shared" si="11"/>
        <v>0</v>
      </c>
      <c r="U40" s="530">
        <f t="shared" si="15"/>
        <v>0</v>
      </c>
      <c r="V40" s="530">
        <f t="shared" si="16"/>
        <v>0</v>
      </c>
      <c r="W40" s="940">
        <f t="shared" si="12"/>
        <v>0</v>
      </c>
      <c r="X40" s="530">
        <f t="shared" si="17"/>
        <v>0</v>
      </c>
      <c r="Y40" s="530">
        <f t="shared" si="18"/>
        <v>0</v>
      </c>
      <c r="Z40" s="530">
        <f t="shared" si="20"/>
        <v>0</v>
      </c>
      <c r="AA40" s="530">
        <f t="shared" si="21"/>
        <v>0</v>
      </c>
      <c r="AB40" s="530">
        <f t="shared" si="22"/>
        <v>0</v>
      </c>
    </row>
    <row r="41" spans="1:28" hidden="1" x14ac:dyDescent="0.25">
      <c r="A41" s="943" t="s">
        <v>553</v>
      </c>
      <c r="B41" s="248">
        <v>2448.14</v>
      </c>
      <c r="C41" s="249">
        <v>0.83</v>
      </c>
      <c r="D41" s="248">
        <v>2668.47</v>
      </c>
      <c r="E41" s="249">
        <v>0.83</v>
      </c>
      <c r="F41" s="248">
        <v>2908.54</v>
      </c>
      <c r="G41" s="249">
        <v>0.83</v>
      </c>
      <c r="H41" s="938">
        <v>0</v>
      </c>
      <c r="I41" s="939">
        <f t="shared" si="0"/>
        <v>0</v>
      </c>
      <c r="J41" s="939">
        <f t="shared" si="4"/>
        <v>0</v>
      </c>
      <c r="K41" s="939">
        <f t="shared" si="5"/>
        <v>0</v>
      </c>
      <c r="L41" s="938">
        <v>0</v>
      </c>
      <c r="M41" s="939">
        <f t="shared" si="6"/>
        <v>0</v>
      </c>
      <c r="N41" s="939">
        <f t="shared" si="7"/>
        <v>0</v>
      </c>
      <c r="O41" s="938">
        <f t="shared" si="9"/>
        <v>0</v>
      </c>
      <c r="P41" s="939">
        <f t="shared" si="8"/>
        <v>0</v>
      </c>
      <c r="Q41" s="940">
        <f t="shared" si="10"/>
        <v>0</v>
      </c>
      <c r="R41" s="530">
        <f t="shared" si="13"/>
        <v>0</v>
      </c>
      <c r="S41" s="530">
        <f t="shared" si="14"/>
        <v>0</v>
      </c>
      <c r="T41" s="940">
        <f t="shared" si="11"/>
        <v>0</v>
      </c>
      <c r="U41" s="530">
        <f t="shared" si="15"/>
        <v>0</v>
      </c>
      <c r="V41" s="530">
        <f t="shared" si="16"/>
        <v>0</v>
      </c>
      <c r="W41" s="940">
        <f t="shared" si="12"/>
        <v>0</v>
      </c>
      <c r="X41" s="530">
        <f t="shared" si="17"/>
        <v>0</v>
      </c>
      <c r="Y41" s="530">
        <f t="shared" si="18"/>
        <v>0</v>
      </c>
      <c r="Z41" s="530">
        <f t="shared" si="20"/>
        <v>0</v>
      </c>
      <c r="AA41" s="530">
        <f t="shared" si="21"/>
        <v>0</v>
      </c>
      <c r="AB41" s="530">
        <f t="shared" si="22"/>
        <v>0</v>
      </c>
    </row>
    <row r="42" spans="1:28" hidden="1" x14ac:dyDescent="0.25">
      <c r="A42" s="943" t="s">
        <v>554</v>
      </c>
      <c r="B42" s="248">
        <v>2203.98</v>
      </c>
      <c r="C42" s="249">
        <v>0.75</v>
      </c>
      <c r="D42" s="248">
        <v>2402.33</v>
      </c>
      <c r="E42" s="249">
        <v>0.75</v>
      </c>
      <c r="F42" s="248">
        <v>2618.5500000000002</v>
      </c>
      <c r="G42" s="249">
        <v>0.75</v>
      </c>
      <c r="H42" s="938">
        <v>0</v>
      </c>
      <c r="I42" s="939">
        <f t="shared" si="0"/>
        <v>0</v>
      </c>
      <c r="J42" s="939">
        <f t="shared" si="4"/>
        <v>0</v>
      </c>
      <c r="K42" s="939">
        <f t="shared" si="5"/>
        <v>0</v>
      </c>
      <c r="L42" s="938">
        <v>0</v>
      </c>
      <c r="M42" s="939">
        <f t="shared" si="6"/>
        <v>0</v>
      </c>
      <c r="N42" s="939">
        <f t="shared" si="7"/>
        <v>0</v>
      </c>
      <c r="O42" s="938">
        <f t="shared" si="9"/>
        <v>0</v>
      </c>
      <c r="P42" s="939">
        <f t="shared" si="8"/>
        <v>0</v>
      </c>
      <c r="Q42" s="940">
        <f t="shared" si="10"/>
        <v>0</v>
      </c>
      <c r="R42" s="530">
        <f t="shared" si="13"/>
        <v>0</v>
      </c>
      <c r="S42" s="530">
        <f t="shared" si="14"/>
        <v>0</v>
      </c>
      <c r="T42" s="940">
        <f t="shared" si="11"/>
        <v>0</v>
      </c>
      <c r="U42" s="530">
        <f t="shared" si="15"/>
        <v>0</v>
      </c>
      <c r="V42" s="530">
        <f t="shared" si="16"/>
        <v>0</v>
      </c>
      <c r="W42" s="940">
        <f t="shared" si="12"/>
        <v>0</v>
      </c>
      <c r="X42" s="530">
        <f t="shared" si="17"/>
        <v>0</v>
      </c>
      <c r="Y42" s="530">
        <f t="shared" si="18"/>
        <v>0</v>
      </c>
      <c r="Z42" s="530">
        <f t="shared" si="20"/>
        <v>0</v>
      </c>
      <c r="AA42" s="530">
        <f t="shared" si="21"/>
        <v>0</v>
      </c>
      <c r="AB42" s="530">
        <f t="shared" si="22"/>
        <v>0</v>
      </c>
    </row>
    <row r="43" spans="1:28" hidden="1" x14ac:dyDescent="0.25">
      <c r="A43" s="943" t="s">
        <v>555</v>
      </c>
      <c r="B43" s="248">
        <v>800</v>
      </c>
      <c r="C43" s="249">
        <v>0.27</v>
      </c>
      <c r="D43" s="248">
        <v>800</v>
      </c>
      <c r="E43" s="249">
        <v>0.25</v>
      </c>
      <c r="F43" s="248">
        <v>800</v>
      </c>
      <c r="G43" s="249">
        <v>0.23</v>
      </c>
      <c r="H43" s="938">
        <v>0</v>
      </c>
      <c r="I43" s="939">
        <f t="shared" si="0"/>
        <v>0</v>
      </c>
      <c r="J43" s="939">
        <f t="shared" si="4"/>
        <v>0</v>
      </c>
      <c r="K43" s="939">
        <f t="shared" si="5"/>
        <v>0</v>
      </c>
      <c r="L43" s="938">
        <v>0</v>
      </c>
      <c r="M43" s="939">
        <f t="shared" si="6"/>
        <v>0</v>
      </c>
      <c r="N43" s="939">
        <f t="shared" si="7"/>
        <v>0</v>
      </c>
      <c r="O43" s="938">
        <f t="shared" si="9"/>
        <v>0</v>
      </c>
      <c r="P43" s="939">
        <f t="shared" si="8"/>
        <v>0</v>
      </c>
      <c r="Q43" s="940">
        <f t="shared" si="10"/>
        <v>0</v>
      </c>
      <c r="R43" s="530">
        <f t="shared" si="13"/>
        <v>0</v>
      </c>
      <c r="S43" s="530">
        <f t="shared" si="14"/>
        <v>0</v>
      </c>
      <c r="T43" s="940">
        <f t="shared" si="11"/>
        <v>0</v>
      </c>
      <c r="U43" s="530">
        <f t="shared" si="15"/>
        <v>0</v>
      </c>
      <c r="V43" s="530">
        <f t="shared" si="16"/>
        <v>0</v>
      </c>
      <c r="W43" s="940">
        <f t="shared" si="12"/>
        <v>0</v>
      </c>
      <c r="X43" s="530">
        <f t="shared" si="17"/>
        <v>0</v>
      </c>
      <c r="Y43" s="530">
        <f t="shared" si="18"/>
        <v>0</v>
      </c>
      <c r="Z43" s="530">
        <f t="shared" si="20"/>
        <v>0</v>
      </c>
      <c r="AA43" s="530">
        <f t="shared" si="21"/>
        <v>0</v>
      </c>
      <c r="AB43" s="530">
        <f t="shared" si="22"/>
        <v>0</v>
      </c>
    </row>
    <row r="44" spans="1:28" hidden="1" x14ac:dyDescent="0.25">
      <c r="A44" s="943" t="s">
        <v>556</v>
      </c>
      <c r="B44" s="248">
        <v>720</v>
      </c>
      <c r="C44" s="249">
        <v>0.24</v>
      </c>
      <c r="D44" s="248">
        <v>720</v>
      </c>
      <c r="E44" s="249">
        <v>0.22</v>
      </c>
      <c r="F44" s="248">
        <v>720</v>
      </c>
      <c r="G44" s="249">
        <v>0.21</v>
      </c>
      <c r="H44" s="938">
        <v>0</v>
      </c>
      <c r="I44" s="939">
        <f t="shared" si="0"/>
        <v>0</v>
      </c>
      <c r="J44" s="939">
        <f t="shared" si="4"/>
        <v>0</v>
      </c>
      <c r="K44" s="939">
        <f t="shared" si="5"/>
        <v>0</v>
      </c>
      <c r="L44" s="938">
        <v>0</v>
      </c>
      <c r="M44" s="939">
        <f t="shared" si="6"/>
        <v>0</v>
      </c>
      <c r="N44" s="939">
        <f t="shared" si="7"/>
        <v>0</v>
      </c>
      <c r="O44" s="938">
        <f t="shared" si="9"/>
        <v>0</v>
      </c>
      <c r="P44" s="939">
        <f t="shared" si="8"/>
        <v>0</v>
      </c>
      <c r="Q44" s="940">
        <f t="shared" si="10"/>
        <v>0</v>
      </c>
      <c r="R44" s="530">
        <f t="shared" si="13"/>
        <v>0</v>
      </c>
      <c r="S44" s="530">
        <f t="shared" si="14"/>
        <v>0</v>
      </c>
      <c r="T44" s="940">
        <f t="shared" si="11"/>
        <v>0</v>
      </c>
      <c r="U44" s="530">
        <f t="shared" si="15"/>
        <v>0</v>
      </c>
      <c r="V44" s="530">
        <f t="shared" si="16"/>
        <v>0</v>
      </c>
      <c r="W44" s="940">
        <f t="shared" si="12"/>
        <v>0</v>
      </c>
      <c r="X44" s="530">
        <f t="shared" si="17"/>
        <v>0</v>
      </c>
      <c r="Y44" s="530">
        <f t="shared" si="18"/>
        <v>0</v>
      </c>
      <c r="Z44" s="530">
        <f t="shared" si="20"/>
        <v>0</v>
      </c>
      <c r="AA44" s="530">
        <f t="shared" si="21"/>
        <v>0</v>
      </c>
      <c r="AB44" s="530">
        <f t="shared" si="22"/>
        <v>0</v>
      </c>
    </row>
    <row r="45" spans="1:28" hidden="1" x14ac:dyDescent="0.25">
      <c r="A45" s="943" t="s">
        <v>557</v>
      </c>
      <c r="B45" s="250">
        <v>4895.1899999999996</v>
      </c>
      <c r="C45" s="249">
        <v>1.66</v>
      </c>
      <c r="D45" s="250">
        <v>5335.76</v>
      </c>
      <c r="E45" s="249">
        <v>1.66</v>
      </c>
      <c r="F45" s="250">
        <v>5815.98</v>
      </c>
      <c r="G45" s="249">
        <v>1.66</v>
      </c>
      <c r="H45" s="938">
        <v>0</v>
      </c>
      <c r="I45" s="939">
        <f t="shared" si="0"/>
        <v>0</v>
      </c>
      <c r="J45" s="939">
        <f t="shared" si="4"/>
        <v>0</v>
      </c>
      <c r="K45" s="939">
        <f t="shared" si="5"/>
        <v>0</v>
      </c>
      <c r="L45" s="938">
        <v>0</v>
      </c>
      <c r="M45" s="939">
        <f t="shared" si="6"/>
        <v>0</v>
      </c>
      <c r="N45" s="939">
        <f t="shared" si="7"/>
        <v>0</v>
      </c>
      <c r="O45" s="938">
        <f t="shared" si="9"/>
        <v>0</v>
      </c>
      <c r="P45" s="939">
        <f t="shared" si="8"/>
        <v>0</v>
      </c>
      <c r="Q45" s="940">
        <f t="shared" si="10"/>
        <v>0</v>
      </c>
      <c r="R45" s="530">
        <f t="shared" si="13"/>
        <v>0</v>
      </c>
      <c r="S45" s="530">
        <f t="shared" si="14"/>
        <v>0</v>
      </c>
      <c r="T45" s="940">
        <f t="shared" si="11"/>
        <v>0</v>
      </c>
      <c r="U45" s="530">
        <f t="shared" si="15"/>
        <v>0</v>
      </c>
      <c r="V45" s="530">
        <f t="shared" si="16"/>
        <v>0</v>
      </c>
      <c r="W45" s="940">
        <f t="shared" si="12"/>
        <v>0</v>
      </c>
      <c r="X45" s="530">
        <f t="shared" si="17"/>
        <v>0</v>
      </c>
      <c r="Y45" s="530">
        <f t="shared" si="18"/>
        <v>0</v>
      </c>
      <c r="Z45" s="530">
        <f t="shared" si="20"/>
        <v>0</v>
      </c>
      <c r="AA45" s="530">
        <f t="shared" si="21"/>
        <v>0</v>
      </c>
      <c r="AB45" s="530">
        <f t="shared" si="22"/>
        <v>0</v>
      </c>
    </row>
    <row r="46" spans="1:28" hidden="1" x14ac:dyDescent="0.25">
      <c r="A46" s="943" t="s">
        <v>558</v>
      </c>
      <c r="B46" s="250">
        <v>2998.59</v>
      </c>
      <c r="C46" s="249">
        <v>1.02</v>
      </c>
      <c r="D46" s="250">
        <v>3268.46</v>
      </c>
      <c r="E46" s="249">
        <v>1.02</v>
      </c>
      <c r="F46" s="250">
        <v>3562.62</v>
      </c>
      <c r="G46" s="249">
        <v>1.02</v>
      </c>
      <c r="H46" s="938">
        <v>0</v>
      </c>
      <c r="I46" s="939">
        <f t="shared" si="0"/>
        <v>0</v>
      </c>
      <c r="J46" s="939">
        <f t="shared" si="4"/>
        <v>0</v>
      </c>
      <c r="K46" s="939">
        <f t="shared" si="5"/>
        <v>0</v>
      </c>
      <c r="L46" s="938">
        <v>0</v>
      </c>
      <c r="M46" s="939">
        <f t="shared" si="6"/>
        <v>0</v>
      </c>
      <c r="N46" s="939">
        <f t="shared" si="7"/>
        <v>0</v>
      </c>
      <c r="O46" s="938">
        <f t="shared" si="9"/>
        <v>0</v>
      </c>
      <c r="P46" s="939">
        <f t="shared" si="8"/>
        <v>0</v>
      </c>
      <c r="Q46" s="940">
        <f t="shared" si="10"/>
        <v>0</v>
      </c>
      <c r="R46" s="530">
        <f t="shared" si="13"/>
        <v>0</v>
      </c>
      <c r="S46" s="530">
        <f t="shared" si="14"/>
        <v>0</v>
      </c>
      <c r="T46" s="940">
        <f t="shared" si="11"/>
        <v>0</v>
      </c>
      <c r="U46" s="530">
        <f t="shared" si="15"/>
        <v>0</v>
      </c>
      <c r="V46" s="530">
        <f t="shared" si="16"/>
        <v>0</v>
      </c>
      <c r="W46" s="940">
        <f t="shared" si="12"/>
        <v>0</v>
      </c>
      <c r="X46" s="530">
        <f t="shared" si="17"/>
        <v>0</v>
      </c>
      <c r="Y46" s="530">
        <f t="shared" si="18"/>
        <v>0</v>
      </c>
      <c r="Z46" s="530">
        <f t="shared" si="20"/>
        <v>0</v>
      </c>
      <c r="AA46" s="530">
        <f t="shared" si="21"/>
        <v>0</v>
      </c>
      <c r="AB46" s="530">
        <f t="shared" si="22"/>
        <v>0</v>
      </c>
    </row>
    <row r="47" spans="1:28" hidden="1" x14ac:dyDescent="0.25">
      <c r="A47" s="943" t="s">
        <v>559</v>
      </c>
      <c r="B47" s="250">
        <v>3824.81</v>
      </c>
      <c r="C47" s="249">
        <v>1.3</v>
      </c>
      <c r="D47" s="250">
        <v>4169.04</v>
      </c>
      <c r="E47" s="249">
        <v>1.3</v>
      </c>
      <c r="F47" s="250">
        <v>4544.26</v>
      </c>
      <c r="G47" s="249">
        <v>1.3</v>
      </c>
      <c r="H47" s="938">
        <v>0</v>
      </c>
      <c r="I47" s="939">
        <f t="shared" si="0"/>
        <v>0</v>
      </c>
      <c r="J47" s="939">
        <f t="shared" si="4"/>
        <v>0</v>
      </c>
      <c r="K47" s="939">
        <f t="shared" si="5"/>
        <v>0</v>
      </c>
      <c r="L47" s="938">
        <v>0</v>
      </c>
      <c r="M47" s="939">
        <f t="shared" si="6"/>
        <v>0</v>
      </c>
      <c r="N47" s="939">
        <f t="shared" si="7"/>
        <v>0</v>
      </c>
      <c r="O47" s="938">
        <f t="shared" si="9"/>
        <v>0</v>
      </c>
      <c r="P47" s="939">
        <f t="shared" si="8"/>
        <v>0</v>
      </c>
      <c r="Q47" s="940">
        <f t="shared" si="10"/>
        <v>0</v>
      </c>
      <c r="R47" s="530">
        <f t="shared" si="13"/>
        <v>0</v>
      </c>
      <c r="S47" s="530">
        <f t="shared" si="14"/>
        <v>0</v>
      </c>
      <c r="T47" s="940">
        <f t="shared" si="11"/>
        <v>0</v>
      </c>
      <c r="U47" s="530">
        <f t="shared" si="15"/>
        <v>0</v>
      </c>
      <c r="V47" s="530">
        <f t="shared" si="16"/>
        <v>0</v>
      </c>
      <c r="W47" s="940">
        <f t="shared" si="12"/>
        <v>0</v>
      </c>
      <c r="X47" s="530">
        <f t="shared" si="17"/>
        <v>0</v>
      </c>
      <c r="Y47" s="530">
        <f t="shared" si="18"/>
        <v>0</v>
      </c>
      <c r="Z47" s="530">
        <f t="shared" si="20"/>
        <v>0</v>
      </c>
      <c r="AA47" s="530">
        <f t="shared" si="21"/>
        <v>0</v>
      </c>
      <c r="AB47" s="530">
        <f t="shared" si="22"/>
        <v>0</v>
      </c>
    </row>
    <row r="48" spans="1:28" hidden="1" x14ac:dyDescent="0.25">
      <c r="A48" s="943" t="s">
        <v>560</v>
      </c>
      <c r="B48" s="250">
        <v>2448.14</v>
      </c>
      <c r="C48" s="249">
        <v>0.83</v>
      </c>
      <c r="D48" s="250">
        <v>2668.47</v>
      </c>
      <c r="E48" s="249">
        <v>0.83</v>
      </c>
      <c r="F48" s="250">
        <v>2908.64</v>
      </c>
      <c r="G48" s="249">
        <v>0.83</v>
      </c>
      <c r="H48" s="938">
        <v>0</v>
      </c>
      <c r="I48" s="939">
        <f t="shared" si="0"/>
        <v>0</v>
      </c>
      <c r="J48" s="939">
        <f t="shared" si="4"/>
        <v>0</v>
      </c>
      <c r="K48" s="939">
        <f t="shared" si="5"/>
        <v>0</v>
      </c>
      <c r="L48" s="938">
        <v>0</v>
      </c>
      <c r="M48" s="939">
        <f t="shared" si="6"/>
        <v>0</v>
      </c>
      <c r="N48" s="939">
        <f t="shared" si="7"/>
        <v>0</v>
      </c>
      <c r="O48" s="938">
        <f t="shared" si="9"/>
        <v>0</v>
      </c>
      <c r="P48" s="939">
        <f t="shared" si="8"/>
        <v>0</v>
      </c>
      <c r="Q48" s="940">
        <f t="shared" si="10"/>
        <v>0</v>
      </c>
      <c r="R48" s="530">
        <f t="shared" si="13"/>
        <v>0</v>
      </c>
      <c r="S48" s="530">
        <f t="shared" si="14"/>
        <v>0</v>
      </c>
      <c r="T48" s="940">
        <f t="shared" si="11"/>
        <v>0</v>
      </c>
      <c r="U48" s="530">
        <f t="shared" si="15"/>
        <v>0</v>
      </c>
      <c r="V48" s="530">
        <f t="shared" si="16"/>
        <v>0</v>
      </c>
      <c r="W48" s="940">
        <f t="shared" si="12"/>
        <v>0</v>
      </c>
      <c r="X48" s="530">
        <f t="shared" si="17"/>
        <v>0</v>
      </c>
      <c r="Y48" s="530">
        <f t="shared" si="18"/>
        <v>0</v>
      </c>
      <c r="Z48" s="530">
        <f t="shared" si="20"/>
        <v>0</v>
      </c>
      <c r="AA48" s="530">
        <f t="shared" si="21"/>
        <v>0</v>
      </c>
      <c r="AB48" s="530">
        <f t="shared" si="22"/>
        <v>0</v>
      </c>
    </row>
    <row r="49" spans="1:28" hidden="1" x14ac:dyDescent="0.25">
      <c r="A49" s="943" t="s">
        <v>561</v>
      </c>
      <c r="B49" s="250">
        <v>800</v>
      </c>
      <c r="C49" s="249">
        <v>0.27</v>
      </c>
      <c r="D49" s="250">
        <v>800</v>
      </c>
      <c r="E49" s="249">
        <v>0.25</v>
      </c>
      <c r="F49" s="250">
        <v>800</v>
      </c>
      <c r="G49" s="249">
        <v>0.23</v>
      </c>
      <c r="H49" s="938">
        <v>0</v>
      </c>
      <c r="I49" s="939">
        <f t="shared" si="0"/>
        <v>0</v>
      </c>
      <c r="J49" s="939">
        <f t="shared" si="4"/>
        <v>0</v>
      </c>
      <c r="K49" s="939">
        <f t="shared" si="5"/>
        <v>0</v>
      </c>
      <c r="L49" s="938">
        <v>0</v>
      </c>
      <c r="M49" s="939">
        <f t="shared" si="6"/>
        <v>0</v>
      </c>
      <c r="N49" s="939">
        <f t="shared" si="7"/>
        <v>0</v>
      </c>
      <c r="O49" s="938">
        <f t="shared" si="9"/>
        <v>0</v>
      </c>
      <c r="P49" s="939">
        <f t="shared" si="8"/>
        <v>0</v>
      </c>
      <c r="Q49" s="940">
        <f t="shared" si="10"/>
        <v>0</v>
      </c>
      <c r="R49" s="530">
        <f t="shared" si="13"/>
        <v>0</v>
      </c>
      <c r="S49" s="530">
        <f t="shared" si="14"/>
        <v>0</v>
      </c>
      <c r="T49" s="940">
        <f t="shared" si="11"/>
        <v>0</v>
      </c>
      <c r="U49" s="530">
        <f t="shared" si="15"/>
        <v>0</v>
      </c>
      <c r="V49" s="530">
        <f t="shared" si="16"/>
        <v>0</v>
      </c>
      <c r="W49" s="940">
        <f t="shared" si="12"/>
        <v>0</v>
      </c>
      <c r="X49" s="530">
        <f t="shared" si="17"/>
        <v>0</v>
      </c>
      <c r="Y49" s="530">
        <f t="shared" si="18"/>
        <v>0</v>
      </c>
      <c r="Z49" s="530">
        <f t="shared" si="20"/>
        <v>0</v>
      </c>
      <c r="AA49" s="530">
        <f t="shared" si="21"/>
        <v>0</v>
      </c>
      <c r="AB49" s="530">
        <f t="shared" si="22"/>
        <v>0</v>
      </c>
    </row>
    <row r="50" spans="1:28" hidden="1" x14ac:dyDescent="0.25">
      <c r="A50" s="943" t="s">
        <v>562</v>
      </c>
      <c r="B50" s="250">
        <v>774.04</v>
      </c>
      <c r="C50" s="249">
        <v>0.26</v>
      </c>
      <c r="D50" s="250">
        <v>0</v>
      </c>
      <c r="E50" s="249">
        <v>0</v>
      </c>
      <c r="F50" s="250">
        <v>0</v>
      </c>
      <c r="G50" s="249">
        <v>0</v>
      </c>
      <c r="H50" s="938">
        <v>0</v>
      </c>
      <c r="I50" s="939">
        <f t="shared" si="0"/>
        <v>0</v>
      </c>
      <c r="J50" s="939">
        <f t="shared" si="4"/>
        <v>0</v>
      </c>
      <c r="K50" s="939">
        <f t="shared" si="5"/>
        <v>0</v>
      </c>
      <c r="L50" s="938">
        <v>0</v>
      </c>
      <c r="M50" s="939">
        <f t="shared" si="6"/>
        <v>0</v>
      </c>
      <c r="N50" s="939">
        <f t="shared" si="7"/>
        <v>0</v>
      </c>
      <c r="O50" s="938">
        <f t="shared" si="9"/>
        <v>0</v>
      </c>
      <c r="P50" s="939">
        <f t="shared" si="8"/>
        <v>0</v>
      </c>
      <c r="Q50" s="940">
        <f t="shared" si="10"/>
        <v>0</v>
      </c>
      <c r="R50" s="530">
        <f t="shared" si="13"/>
        <v>0</v>
      </c>
      <c r="S50" s="530">
        <f t="shared" si="14"/>
        <v>0</v>
      </c>
      <c r="T50" s="940">
        <f t="shared" si="11"/>
        <v>0</v>
      </c>
      <c r="U50" s="530">
        <f t="shared" si="15"/>
        <v>0</v>
      </c>
      <c r="V50" s="530">
        <f t="shared" si="16"/>
        <v>0</v>
      </c>
      <c r="W50" s="940">
        <f t="shared" si="12"/>
        <v>0</v>
      </c>
      <c r="X50" s="530">
        <f t="shared" si="17"/>
        <v>0</v>
      </c>
      <c r="Y50" s="530">
        <f t="shared" si="18"/>
        <v>0</v>
      </c>
      <c r="Z50" s="530">
        <f t="shared" si="20"/>
        <v>0</v>
      </c>
      <c r="AA50" s="530">
        <f t="shared" si="21"/>
        <v>0</v>
      </c>
      <c r="AB50" s="530">
        <f t="shared" si="22"/>
        <v>0</v>
      </c>
    </row>
    <row r="51" spans="1:28" hidden="1" x14ac:dyDescent="0.25">
      <c r="A51" s="943" t="s">
        <v>563</v>
      </c>
      <c r="B51" s="250">
        <v>645.12</v>
      </c>
      <c r="C51" s="249">
        <v>0.22</v>
      </c>
      <c r="D51" s="250">
        <v>0</v>
      </c>
      <c r="E51" s="249">
        <v>0</v>
      </c>
      <c r="F51" s="250">
        <v>0</v>
      </c>
      <c r="G51" s="249">
        <v>0</v>
      </c>
      <c r="H51" s="938">
        <v>0</v>
      </c>
      <c r="I51" s="939">
        <f t="shared" si="0"/>
        <v>0</v>
      </c>
      <c r="J51" s="939">
        <f t="shared" si="4"/>
        <v>0</v>
      </c>
      <c r="K51" s="939">
        <f t="shared" si="5"/>
        <v>0</v>
      </c>
      <c r="L51" s="938">
        <v>0</v>
      </c>
      <c r="M51" s="939">
        <f t="shared" si="6"/>
        <v>0</v>
      </c>
      <c r="N51" s="939">
        <f t="shared" si="7"/>
        <v>0</v>
      </c>
      <c r="O51" s="938">
        <f t="shared" si="9"/>
        <v>0</v>
      </c>
      <c r="P51" s="939">
        <f t="shared" si="8"/>
        <v>0</v>
      </c>
      <c r="Q51" s="940">
        <f t="shared" si="10"/>
        <v>0</v>
      </c>
      <c r="R51" s="530">
        <f t="shared" si="13"/>
        <v>0</v>
      </c>
      <c r="S51" s="530">
        <f t="shared" si="14"/>
        <v>0</v>
      </c>
      <c r="T51" s="940">
        <f t="shared" si="11"/>
        <v>0</v>
      </c>
      <c r="U51" s="530">
        <f t="shared" si="15"/>
        <v>0</v>
      </c>
      <c r="V51" s="530">
        <f t="shared" si="16"/>
        <v>0</v>
      </c>
      <c r="W51" s="940">
        <f t="shared" si="12"/>
        <v>0</v>
      </c>
      <c r="X51" s="530">
        <f t="shared" si="17"/>
        <v>0</v>
      </c>
      <c r="Y51" s="530">
        <f t="shared" si="18"/>
        <v>0</v>
      </c>
      <c r="Z51" s="530">
        <f t="shared" si="20"/>
        <v>0</v>
      </c>
      <c r="AA51" s="530">
        <f t="shared" si="21"/>
        <v>0</v>
      </c>
      <c r="AB51" s="530">
        <f t="shared" si="22"/>
        <v>0</v>
      </c>
    </row>
    <row r="52" spans="1:28" hidden="1" x14ac:dyDescent="0.25">
      <c r="A52" s="943" t="s">
        <v>564</v>
      </c>
      <c r="B52" s="250">
        <v>537.54999999999995</v>
      </c>
      <c r="C52" s="249">
        <v>0.18</v>
      </c>
      <c r="D52" s="250">
        <v>0</v>
      </c>
      <c r="E52" s="249">
        <v>0</v>
      </c>
      <c r="F52" s="250">
        <v>0</v>
      </c>
      <c r="G52" s="249">
        <v>0</v>
      </c>
      <c r="H52" s="938">
        <v>0</v>
      </c>
      <c r="I52" s="939">
        <f t="shared" si="0"/>
        <v>0</v>
      </c>
      <c r="J52" s="939">
        <f t="shared" si="4"/>
        <v>0</v>
      </c>
      <c r="K52" s="939">
        <f t="shared" si="5"/>
        <v>0</v>
      </c>
      <c r="L52" s="938">
        <v>0</v>
      </c>
      <c r="M52" s="939">
        <f t="shared" si="6"/>
        <v>0</v>
      </c>
      <c r="N52" s="939">
        <f t="shared" si="7"/>
        <v>0</v>
      </c>
      <c r="O52" s="938">
        <f t="shared" si="9"/>
        <v>0</v>
      </c>
      <c r="P52" s="939">
        <f t="shared" si="8"/>
        <v>0</v>
      </c>
      <c r="Q52" s="940">
        <f t="shared" si="10"/>
        <v>0</v>
      </c>
      <c r="R52" s="530">
        <f t="shared" si="13"/>
        <v>0</v>
      </c>
      <c r="S52" s="530">
        <f t="shared" si="14"/>
        <v>0</v>
      </c>
      <c r="T52" s="940">
        <f t="shared" si="11"/>
        <v>0</v>
      </c>
      <c r="U52" s="530">
        <f t="shared" si="15"/>
        <v>0</v>
      </c>
      <c r="V52" s="530">
        <f t="shared" si="16"/>
        <v>0</v>
      </c>
      <c r="W52" s="940">
        <f t="shared" si="12"/>
        <v>0</v>
      </c>
      <c r="X52" s="530">
        <f t="shared" si="17"/>
        <v>0</v>
      </c>
      <c r="Y52" s="530">
        <f t="shared" si="18"/>
        <v>0</v>
      </c>
      <c r="Z52" s="530">
        <f t="shared" si="20"/>
        <v>0</v>
      </c>
      <c r="AA52" s="530">
        <f t="shared" si="21"/>
        <v>0</v>
      </c>
      <c r="AB52" s="530">
        <f t="shared" si="22"/>
        <v>0</v>
      </c>
    </row>
    <row r="53" spans="1:28" hidden="1" x14ac:dyDescent="0.25">
      <c r="A53" s="943" t="s">
        <v>565</v>
      </c>
      <c r="B53" s="250">
        <v>447.95</v>
      </c>
      <c r="C53" s="249">
        <v>0.15</v>
      </c>
      <c r="D53" s="250">
        <v>0</v>
      </c>
      <c r="E53" s="249">
        <v>0</v>
      </c>
      <c r="F53" s="250">
        <v>0</v>
      </c>
      <c r="G53" s="249">
        <v>0</v>
      </c>
      <c r="H53" s="938">
        <v>0</v>
      </c>
      <c r="I53" s="939">
        <f t="shared" si="0"/>
        <v>0</v>
      </c>
      <c r="J53" s="939">
        <f t="shared" si="4"/>
        <v>0</v>
      </c>
      <c r="K53" s="939">
        <f t="shared" si="5"/>
        <v>0</v>
      </c>
      <c r="L53" s="938">
        <v>0</v>
      </c>
      <c r="M53" s="939">
        <f t="shared" si="6"/>
        <v>0</v>
      </c>
      <c r="N53" s="939">
        <f t="shared" si="7"/>
        <v>0</v>
      </c>
      <c r="O53" s="938">
        <f t="shared" si="9"/>
        <v>0</v>
      </c>
      <c r="P53" s="939">
        <f t="shared" si="8"/>
        <v>0</v>
      </c>
      <c r="Q53" s="940">
        <f t="shared" si="10"/>
        <v>0</v>
      </c>
      <c r="R53" s="530">
        <f t="shared" si="13"/>
        <v>0</v>
      </c>
      <c r="S53" s="530">
        <f t="shared" si="14"/>
        <v>0</v>
      </c>
      <c r="T53" s="940">
        <f t="shared" si="11"/>
        <v>0</v>
      </c>
      <c r="U53" s="530">
        <f t="shared" si="15"/>
        <v>0</v>
      </c>
      <c r="V53" s="530">
        <f t="shared" si="16"/>
        <v>0</v>
      </c>
      <c r="W53" s="940">
        <f t="shared" si="12"/>
        <v>0</v>
      </c>
      <c r="X53" s="530">
        <f t="shared" si="17"/>
        <v>0</v>
      </c>
      <c r="Y53" s="530">
        <f t="shared" si="18"/>
        <v>0</v>
      </c>
      <c r="Z53" s="530">
        <f t="shared" si="20"/>
        <v>0</v>
      </c>
      <c r="AA53" s="530">
        <f t="shared" si="21"/>
        <v>0</v>
      </c>
      <c r="AB53" s="530">
        <f t="shared" si="22"/>
        <v>0</v>
      </c>
    </row>
    <row r="54" spans="1:28" hidden="1" x14ac:dyDescent="0.25">
      <c r="A54" s="943" t="s">
        <v>566</v>
      </c>
      <c r="B54" s="250">
        <v>1260.3800000000001</v>
      </c>
      <c r="C54" s="249">
        <v>0.43</v>
      </c>
      <c r="D54" s="250">
        <v>1373.81</v>
      </c>
      <c r="E54" s="249">
        <v>0.43</v>
      </c>
      <c r="F54" s="250">
        <v>1497.46</v>
      </c>
      <c r="G54" s="249">
        <v>0.43</v>
      </c>
      <c r="H54" s="938">
        <v>0</v>
      </c>
      <c r="I54" s="939">
        <f t="shared" si="0"/>
        <v>0</v>
      </c>
      <c r="J54" s="939">
        <f t="shared" si="4"/>
        <v>0</v>
      </c>
      <c r="K54" s="939">
        <f t="shared" si="5"/>
        <v>0</v>
      </c>
      <c r="L54" s="938">
        <v>0</v>
      </c>
      <c r="M54" s="939">
        <f t="shared" si="6"/>
        <v>0</v>
      </c>
      <c r="N54" s="939">
        <f t="shared" si="7"/>
        <v>0</v>
      </c>
      <c r="O54" s="938">
        <f t="shared" si="9"/>
        <v>0</v>
      </c>
      <c r="P54" s="939">
        <f t="shared" si="8"/>
        <v>0</v>
      </c>
      <c r="Q54" s="940">
        <f t="shared" si="10"/>
        <v>0</v>
      </c>
      <c r="R54" s="530">
        <f t="shared" si="13"/>
        <v>0</v>
      </c>
      <c r="S54" s="530">
        <f t="shared" si="14"/>
        <v>0</v>
      </c>
      <c r="T54" s="940">
        <f t="shared" si="11"/>
        <v>0</v>
      </c>
      <c r="U54" s="530">
        <f t="shared" si="15"/>
        <v>0</v>
      </c>
      <c r="V54" s="530">
        <f t="shared" si="16"/>
        <v>0</v>
      </c>
      <c r="W54" s="940">
        <f t="shared" si="12"/>
        <v>0</v>
      </c>
      <c r="X54" s="530">
        <f t="shared" si="17"/>
        <v>0</v>
      </c>
      <c r="Y54" s="530">
        <f t="shared" si="18"/>
        <v>0</v>
      </c>
      <c r="Z54" s="530">
        <f t="shared" si="20"/>
        <v>0</v>
      </c>
      <c r="AA54" s="530">
        <f t="shared" si="21"/>
        <v>0</v>
      </c>
      <c r="AB54" s="530">
        <f t="shared" si="22"/>
        <v>0</v>
      </c>
    </row>
    <row r="55" spans="1:28" hidden="1" x14ac:dyDescent="0.25">
      <c r="A55" s="943" t="s">
        <v>567</v>
      </c>
      <c r="B55" s="250">
        <v>1125.4000000000001</v>
      </c>
      <c r="C55" s="249">
        <v>0.38</v>
      </c>
      <c r="D55" s="250">
        <v>1226.69</v>
      </c>
      <c r="E55" s="249">
        <v>0.38</v>
      </c>
      <c r="F55" s="250">
        <v>1337.09</v>
      </c>
      <c r="G55" s="249">
        <v>0.38</v>
      </c>
      <c r="H55" s="938">
        <v>0</v>
      </c>
      <c r="I55" s="939">
        <f t="shared" si="0"/>
        <v>0</v>
      </c>
      <c r="J55" s="939">
        <f t="shared" si="4"/>
        <v>0</v>
      </c>
      <c r="K55" s="939">
        <f t="shared" si="5"/>
        <v>0</v>
      </c>
      <c r="L55" s="938">
        <v>0</v>
      </c>
      <c r="M55" s="939">
        <f t="shared" si="6"/>
        <v>0</v>
      </c>
      <c r="N55" s="939">
        <f t="shared" si="7"/>
        <v>0</v>
      </c>
      <c r="O55" s="938">
        <f t="shared" si="9"/>
        <v>0</v>
      </c>
      <c r="P55" s="939">
        <f t="shared" si="8"/>
        <v>0</v>
      </c>
      <c r="Q55" s="940">
        <f t="shared" si="10"/>
        <v>0</v>
      </c>
      <c r="R55" s="530">
        <f t="shared" si="13"/>
        <v>0</v>
      </c>
      <c r="S55" s="530">
        <f t="shared" si="14"/>
        <v>0</v>
      </c>
      <c r="T55" s="940">
        <f t="shared" si="11"/>
        <v>0</v>
      </c>
      <c r="U55" s="530">
        <f t="shared" si="15"/>
        <v>0</v>
      </c>
      <c r="V55" s="530">
        <f t="shared" si="16"/>
        <v>0</v>
      </c>
      <c r="W55" s="940">
        <f t="shared" si="12"/>
        <v>0</v>
      </c>
      <c r="X55" s="530">
        <f t="shared" si="17"/>
        <v>0</v>
      </c>
      <c r="Y55" s="530">
        <f t="shared" si="18"/>
        <v>0</v>
      </c>
      <c r="Z55" s="530">
        <f t="shared" si="20"/>
        <v>0</v>
      </c>
      <c r="AA55" s="530">
        <f t="shared" si="21"/>
        <v>0</v>
      </c>
      <c r="AB55" s="530">
        <f t="shared" si="22"/>
        <v>0</v>
      </c>
    </row>
    <row r="56" spans="1:28" hidden="1" x14ac:dyDescent="0.25">
      <c r="A56" s="943" t="s">
        <v>568</v>
      </c>
      <c r="B56" s="250">
        <v>987.17</v>
      </c>
      <c r="C56" s="249">
        <v>0.34</v>
      </c>
      <c r="D56" s="250">
        <v>1076.02</v>
      </c>
      <c r="E56" s="249">
        <v>0.34</v>
      </c>
      <c r="F56" s="250">
        <v>1172.8599999999999</v>
      </c>
      <c r="G56" s="249">
        <v>0.34</v>
      </c>
      <c r="H56" s="938">
        <v>0</v>
      </c>
      <c r="I56" s="939">
        <f t="shared" si="0"/>
        <v>0</v>
      </c>
      <c r="J56" s="939">
        <f t="shared" si="4"/>
        <v>0</v>
      </c>
      <c r="K56" s="939">
        <f t="shared" si="5"/>
        <v>0</v>
      </c>
      <c r="L56" s="938">
        <v>0</v>
      </c>
      <c r="M56" s="939">
        <f t="shared" si="6"/>
        <v>0</v>
      </c>
      <c r="N56" s="939">
        <f t="shared" si="7"/>
        <v>0</v>
      </c>
      <c r="O56" s="938">
        <f t="shared" si="9"/>
        <v>0</v>
      </c>
      <c r="P56" s="939">
        <f t="shared" si="8"/>
        <v>0</v>
      </c>
      <c r="Q56" s="940">
        <f t="shared" si="10"/>
        <v>0</v>
      </c>
      <c r="R56" s="530">
        <f t="shared" si="13"/>
        <v>0</v>
      </c>
      <c r="S56" s="530">
        <f t="shared" si="14"/>
        <v>0</v>
      </c>
      <c r="T56" s="940">
        <f t="shared" si="11"/>
        <v>0</v>
      </c>
      <c r="U56" s="530">
        <f t="shared" si="15"/>
        <v>0</v>
      </c>
      <c r="V56" s="530">
        <f t="shared" si="16"/>
        <v>0</v>
      </c>
      <c r="W56" s="940">
        <f t="shared" si="12"/>
        <v>0</v>
      </c>
      <c r="X56" s="530">
        <f t="shared" si="17"/>
        <v>0</v>
      </c>
      <c r="Y56" s="530">
        <f t="shared" si="18"/>
        <v>0</v>
      </c>
      <c r="Z56" s="530">
        <f t="shared" si="20"/>
        <v>0</v>
      </c>
      <c r="AA56" s="530">
        <f t="shared" si="21"/>
        <v>0</v>
      </c>
      <c r="AB56" s="530">
        <f t="shared" si="22"/>
        <v>0</v>
      </c>
    </row>
    <row r="57" spans="1:28" hidden="1" x14ac:dyDescent="0.25">
      <c r="A57" s="943" t="s">
        <v>569</v>
      </c>
      <c r="B57" s="250">
        <v>843.71</v>
      </c>
      <c r="C57" s="249">
        <v>0.28999999999999998</v>
      </c>
      <c r="D57" s="250">
        <v>919.64</v>
      </c>
      <c r="E57" s="249">
        <v>0.28999999999999998</v>
      </c>
      <c r="F57" s="250">
        <v>1002.41</v>
      </c>
      <c r="G57" s="249">
        <v>0.28999999999999998</v>
      </c>
      <c r="H57" s="938">
        <v>0</v>
      </c>
      <c r="I57" s="939">
        <f t="shared" si="0"/>
        <v>0</v>
      </c>
      <c r="J57" s="939">
        <f t="shared" si="4"/>
        <v>0</v>
      </c>
      <c r="K57" s="939">
        <f t="shared" si="5"/>
        <v>0</v>
      </c>
      <c r="L57" s="938">
        <v>0</v>
      </c>
      <c r="M57" s="939">
        <f t="shared" si="6"/>
        <v>0</v>
      </c>
      <c r="N57" s="939">
        <f t="shared" si="7"/>
        <v>0</v>
      </c>
      <c r="O57" s="938">
        <f t="shared" si="9"/>
        <v>0</v>
      </c>
      <c r="P57" s="939">
        <f t="shared" si="8"/>
        <v>0</v>
      </c>
      <c r="Q57" s="940">
        <f t="shared" si="10"/>
        <v>0</v>
      </c>
      <c r="R57" s="530">
        <f t="shared" si="13"/>
        <v>0</v>
      </c>
      <c r="S57" s="530">
        <f t="shared" si="14"/>
        <v>0</v>
      </c>
      <c r="T57" s="940">
        <f t="shared" si="11"/>
        <v>0</v>
      </c>
      <c r="U57" s="530">
        <f t="shared" si="15"/>
        <v>0</v>
      </c>
      <c r="V57" s="530">
        <f t="shared" si="16"/>
        <v>0</v>
      </c>
      <c r="W57" s="940">
        <f t="shared" si="12"/>
        <v>0</v>
      </c>
      <c r="X57" s="530">
        <f t="shared" si="17"/>
        <v>0</v>
      </c>
      <c r="Y57" s="530">
        <f t="shared" si="18"/>
        <v>0</v>
      </c>
      <c r="Z57" s="530">
        <f t="shared" si="20"/>
        <v>0</v>
      </c>
      <c r="AA57" s="530">
        <f t="shared" si="21"/>
        <v>0</v>
      </c>
      <c r="AB57" s="530">
        <f t="shared" si="22"/>
        <v>0</v>
      </c>
    </row>
    <row r="58" spans="1:28" hidden="1" x14ac:dyDescent="0.25">
      <c r="A58" s="943" t="s">
        <v>570</v>
      </c>
      <c r="B58" s="250">
        <v>703.18</v>
      </c>
      <c r="C58" s="249">
        <v>0.24</v>
      </c>
      <c r="D58" s="250">
        <v>766.47</v>
      </c>
      <c r="E58" s="249">
        <v>0.24</v>
      </c>
      <c r="F58" s="250">
        <v>835.45</v>
      </c>
      <c r="G58" s="249">
        <v>0.24</v>
      </c>
      <c r="H58" s="938">
        <v>0</v>
      </c>
      <c r="I58" s="939">
        <f t="shared" si="0"/>
        <v>0</v>
      </c>
      <c r="J58" s="939">
        <f t="shared" si="4"/>
        <v>0</v>
      </c>
      <c r="K58" s="939">
        <f t="shared" si="5"/>
        <v>0</v>
      </c>
      <c r="L58" s="938">
        <v>0</v>
      </c>
      <c r="M58" s="939">
        <f t="shared" si="6"/>
        <v>0</v>
      </c>
      <c r="N58" s="939">
        <f t="shared" si="7"/>
        <v>0</v>
      </c>
      <c r="O58" s="938">
        <f t="shared" si="9"/>
        <v>0</v>
      </c>
      <c r="P58" s="939">
        <f t="shared" si="8"/>
        <v>0</v>
      </c>
      <c r="Q58" s="940">
        <f t="shared" si="10"/>
        <v>0</v>
      </c>
      <c r="R58" s="530">
        <f t="shared" si="13"/>
        <v>0</v>
      </c>
      <c r="S58" s="530">
        <f t="shared" si="14"/>
        <v>0</v>
      </c>
      <c r="T58" s="940">
        <f t="shared" si="11"/>
        <v>0</v>
      </c>
      <c r="U58" s="530">
        <f t="shared" si="15"/>
        <v>0</v>
      </c>
      <c r="V58" s="530">
        <f t="shared" si="16"/>
        <v>0</v>
      </c>
      <c r="W58" s="940">
        <f t="shared" si="12"/>
        <v>0</v>
      </c>
      <c r="X58" s="530">
        <f t="shared" si="17"/>
        <v>0</v>
      </c>
      <c r="Y58" s="530">
        <f t="shared" si="18"/>
        <v>0</v>
      </c>
      <c r="Z58" s="530">
        <f t="shared" si="20"/>
        <v>0</v>
      </c>
      <c r="AA58" s="530">
        <f t="shared" si="21"/>
        <v>0</v>
      </c>
      <c r="AB58" s="530">
        <f t="shared" si="22"/>
        <v>0</v>
      </c>
    </row>
    <row r="59" spans="1:28" x14ac:dyDescent="0.25">
      <c r="A59" s="943" t="s">
        <v>1834</v>
      </c>
      <c r="B59" s="250">
        <v>585.92999999999995</v>
      </c>
      <c r="C59" s="249">
        <v>0.2</v>
      </c>
      <c r="D59" s="250">
        <v>585.92999999999995</v>
      </c>
      <c r="E59" s="249">
        <v>0.18</v>
      </c>
      <c r="F59" s="250">
        <v>585.92999999999995</v>
      </c>
      <c r="G59" s="249">
        <v>0.17</v>
      </c>
      <c r="H59" s="938">
        <v>1201</v>
      </c>
      <c r="I59" s="939">
        <f t="shared" si="0"/>
        <v>240.20000000000002</v>
      </c>
      <c r="J59" s="939">
        <f t="shared" si="4"/>
        <v>216.17999999999998</v>
      </c>
      <c r="K59" s="939">
        <f t="shared" si="5"/>
        <v>204.17000000000002</v>
      </c>
      <c r="L59" s="938">
        <v>0</v>
      </c>
      <c r="M59" s="939">
        <f t="shared" si="6"/>
        <v>0</v>
      </c>
      <c r="N59" s="939">
        <f t="shared" si="7"/>
        <v>0</v>
      </c>
      <c r="O59" s="938">
        <f t="shared" si="9"/>
        <v>-1201</v>
      </c>
      <c r="P59" s="939">
        <f t="shared" si="8"/>
        <v>-216.17999999999998</v>
      </c>
      <c r="Q59" s="940">
        <f t="shared" si="10"/>
        <v>-2098720.6360320002</v>
      </c>
      <c r="R59" s="530">
        <f t="shared" si="13"/>
        <v>-1639625.4969000001</v>
      </c>
      <c r="S59" s="530">
        <f t="shared" si="14"/>
        <v>-459095.1391320001</v>
      </c>
      <c r="T59" s="940">
        <f t="shared" si="11"/>
        <v>-12006843.810431998</v>
      </c>
      <c r="U59" s="530">
        <f t="shared" si="15"/>
        <v>-9380346.7268999983</v>
      </c>
      <c r="V59" s="530">
        <f t="shared" si="16"/>
        <v>-2626497.083532</v>
      </c>
      <c r="W59" s="940">
        <f t="shared" si="12"/>
        <v>-12006843.810431998</v>
      </c>
      <c r="X59" s="530">
        <f t="shared" si="17"/>
        <v>-9380346.7268999983</v>
      </c>
      <c r="Y59" s="530">
        <f t="shared" si="18"/>
        <v>-2626497.083532</v>
      </c>
      <c r="Z59" s="530">
        <f t="shared" si="20"/>
        <v>0</v>
      </c>
      <c r="AA59" s="530">
        <f t="shared" si="21"/>
        <v>0</v>
      </c>
      <c r="AB59" s="530">
        <f t="shared" si="22"/>
        <v>0</v>
      </c>
    </row>
    <row r="60" spans="1:28" x14ac:dyDescent="0.25">
      <c r="A60" s="943" t="s">
        <v>1835</v>
      </c>
      <c r="B60" s="250">
        <v>450.76</v>
      </c>
      <c r="C60" s="249">
        <v>0.15</v>
      </c>
      <c r="D60" s="250">
        <v>450.76</v>
      </c>
      <c r="E60" s="249">
        <v>0.14000000000000001</v>
      </c>
      <c r="F60" s="250">
        <v>450.76</v>
      </c>
      <c r="G60" s="249">
        <v>0.13</v>
      </c>
      <c r="H60" s="938">
        <v>336</v>
      </c>
      <c r="I60" s="939">
        <f t="shared" si="0"/>
        <v>50.4</v>
      </c>
      <c r="J60" s="939">
        <f t="shared" si="4"/>
        <v>47.040000000000006</v>
      </c>
      <c r="K60" s="939">
        <f t="shared" si="5"/>
        <v>43.68</v>
      </c>
      <c r="L60" s="938">
        <v>0</v>
      </c>
      <c r="M60" s="939">
        <f t="shared" si="6"/>
        <v>0</v>
      </c>
      <c r="N60" s="939">
        <f t="shared" si="7"/>
        <v>0</v>
      </c>
      <c r="O60" s="938">
        <f t="shared" si="9"/>
        <v>-336</v>
      </c>
      <c r="P60" s="939">
        <f t="shared" si="8"/>
        <v>-47.040000000000006</v>
      </c>
      <c r="Q60" s="940">
        <f t="shared" si="10"/>
        <v>-451700.46566400002</v>
      </c>
      <c r="R60" s="530">
        <f t="shared" si="13"/>
        <v>-352890.98879999999</v>
      </c>
      <c r="S60" s="530">
        <f t="shared" si="14"/>
        <v>-98809.476864000011</v>
      </c>
      <c r="T60" s="940">
        <f t="shared" si="11"/>
        <v>-2584191.9344639997</v>
      </c>
      <c r="U60" s="530">
        <f t="shared" si="15"/>
        <v>-2018899.9487999997</v>
      </c>
      <c r="V60" s="530">
        <f t="shared" si="16"/>
        <v>-565291.98566399992</v>
      </c>
      <c r="W60" s="940">
        <f t="shared" si="12"/>
        <v>-2584191.9344639997</v>
      </c>
      <c r="X60" s="530">
        <f t="shared" si="17"/>
        <v>-2018899.9487999997</v>
      </c>
      <c r="Y60" s="530">
        <f t="shared" si="18"/>
        <v>-565291.98566399992</v>
      </c>
      <c r="Z60" s="530">
        <f t="shared" si="20"/>
        <v>0</v>
      </c>
      <c r="AA60" s="530">
        <f t="shared" si="21"/>
        <v>0</v>
      </c>
      <c r="AB60" s="530">
        <f t="shared" si="22"/>
        <v>0</v>
      </c>
    </row>
    <row r="61" spans="1:28" x14ac:dyDescent="0.25">
      <c r="A61" s="943" t="s">
        <v>1836</v>
      </c>
      <c r="B61" s="250">
        <v>346.7</v>
      </c>
      <c r="C61" s="249">
        <v>0.12</v>
      </c>
      <c r="D61" s="250">
        <v>346.7</v>
      </c>
      <c r="E61" s="249">
        <v>0.11</v>
      </c>
      <c r="F61" s="250">
        <v>346.7</v>
      </c>
      <c r="G61" s="249">
        <v>0.1</v>
      </c>
      <c r="H61" s="938">
        <v>284</v>
      </c>
      <c r="I61" s="939">
        <f t="shared" si="0"/>
        <v>34.08</v>
      </c>
      <c r="J61" s="939">
        <f t="shared" si="4"/>
        <v>31.24</v>
      </c>
      <c r="K61" s="939">
        <f t="shared" si="5"/>
        <v>28.400000000000002</v>
      </c>
      <c r="L61" s="938">
        <v>0</v>
      </c>
      <c r="M61" s="939">
        <f t="shared" si="6"/>
        <v>0</v>
      </c>
      <c r="N61" s="939">
        <f t="shared" si="7"/>
        <v>0</v>
      </c>
      <c r="O61" s="938">
        <f t="shared" si="9"/>
        <v>-284</v>
      </c>
      <c r="P61" s="939">
        <f t="shared" si="8"/>
        <v>-31.24</v>
      </c>
      <c r="Q61" s="940">
        <f t="shared" si="10"/>
        <v>-293655.45472000004</v>
      </c>
      <c r="R61" s="530">
        <f t="shared" si="13"/>
        <v>-229418.32400000002</v>
      </c>
      <c r="S61" s="530">
        <f t="shared" si="14"/>
        <v>-64237.130720000016</v>
      </c>
      <c r="T61" s="940">
        <f t="shared" si="11"/>
        <v>-1680011.6787200002</v>
      </c>
      <c r="U61" s="530">
        <f t="shared" si="15"/>
        <v>-1312509.1240000001</v>
      </c>
      <c r="V61" s="530">
        <f t="shared" si="16"/>
        <v>-367502.55472000007</v>
      </c>
      <c r="W61" s="940">
        <f t="shared" si="12"/>
        <v>-1680011.6787200002</v>
      </c>
      <c r="X61" s="530">
        <f t="shared" si="17"/>
        <v>-1312509.1240000001</v>
      </c>
      <c r="Y61" s="530">
        <f t="shared" si="18"/>
        <v>-367502.55472000007</v>
      </c>
      <c r="Z61" s="530">
        <f t="shared" si="20"/>
        <v>0</v>
      </c>
      <c r="AA61" s="530">
        <f t="shared" si="21"/>
        <v>0</v>
      </c>
      <c r="AB61" s="530">
        <f t="shared" si="22"/>
        <v>0</v>
      </c>
    </row>
    <row r="62" spans="1:28" hidden="1" x14ac:dyDescent="0.25">
      <c r="A62" s="943" t="s">
        <v>571</v>
      </c>
      <c r="B62" s="250">
        <v>1734.92</v>
      </c>
      <c r="C62" s="249">
        <v>0.59</v>
      </c>
      <c r="D62" s="250">
        <v>2047.21</v>
      </c>
      <c r="E62" s="249">
        <v>0.64</v>
      </c>
      <c r="F62" s="250">
        <v>2231.4499999999998</v>
      </c>
      <c r="G62" s="249">
        <v>0.64</v>
      </c>
      <c r="H62" s="938">
        <v>0</v>
      </c>
      <c r="I62" s="939">
        <f t="shared" si="0"/>
        <v>0</v>
      </c>
      <c r="J62" s="939">
        <f t="shared" si="4"/>
        <v>0</v>
      </c>
      <c r="K62" s="939">
        <f t="shared" si="5"/>
        <v>0</v>
      </c>
      <c r="L62" s="938">
        <v>0</v>
      </c>
      <c r="M62" s="939">
        <f t="shared" si="6"/>
        <v>0</v>
      </c>
      <c r="N62" s="939">
        <f t="shared" si="7"/>
        <v>0</v>
      </c>
      <c r="O62" s="938">
        <f t="shared" si="9"/>
        <v>0</v>
      </c>
      <c r="P62" s="939">
        <f t="shared" si="8"/>
        <v>0</v>
      </c>
      <c r="Q62" s="940">
        <f t="shared" si="10"/>
        <v>0</v>
      </c>
      <c r="R62" s="530">
        <f t="shared" si="13"/>
        <v>0</v>
      </c>
      <c r="S62" s="530">
        <f t="shared" si="14"/>
        <v>0</v>
      </c>
      <c r="T62" s="940">
        <f t="shared" si="11"/>
        <v>0</v>
      </c>
      <c r="U62" s="530">
        <f t="shared" si="15"/>
        <v>0</v>
      </c>
      <c r="V62" s="530">
        <f t="shared" si="16"/>
        <v>0</v>
      </c>
      <c r="W62" s="940">
        <f t="shared" si="12"/>
        <v>0</v>
      </c>
      <c r="X62" s="530">
        <f t="shared" si="17"/>
        <v>0</v>
      </c>
      <c r="Y62" s="530">
        <f t="shared" si="18"/>
        <v>0</v>
      </c>
      <c r="Z62" s="530">
        <f t="shared" si="20"/>
        <v>0</v>
      </c>
      <c r="AA62" s="530">
        <f t="shared" si="21"/>
        <v>0</v>
      </c>
      <c r="AB62" s="530">
        <f t="shared" si="22"/>
        <v>0</v>
      </c>
    </row>
    <row r="63" spans="1:28" hidden="1" x14ac:dyDescent="0.25">
      <c r="A63" s="943" t="s">
        <v>572</v>
      </c>
      <c r="B63" s="250">
        <v>1576.77</v>
      </c>
      <c r="C63" s="249">
        <v>0.54</v>
      </c>
      <c r="D63" s="250">
        <v>1860.59</v>
      </c>
      <c r="E63" s="249">
        <v>0.57999999999999996</v>
      </c>
      <c r="F63" s="250">
        <v>2028.04</v>
      </c>
      <c r="G63" s="249">
        <v>0.57999999999999996</v>
      </c>
      <c r="H63" s="938">
        <v>0</v>
      </c>
      <c r="I63" s="939">
        <f t="shared" si="0"/>
        <v>0</v>
      </c>
      <c r="J63" s="939">
        <f t="shared" si="4"/>
        <v>0</v>
      </c>
      <c r="K63" s="939">
        <f t="shared" si="5"/>
        <v>0</v>
      </c>
      <c r="L63" s="938">
        <v>0</v>
      </c>
      <c r="M63" s="939">
        <f t="shared" si="6"/>
        <v>0</v>
      </c>
      <c r="N63" s="939">
        <f t="shared" si="7"/>
        <v>0</v>
      </c>
      <c r="O63" s="938">
        <f t="shared" si="9"/>
        <v>0</v>
      </c>
      <c r="P63" s="939">
        <f t="shared" si="8"/>
        <v>0</v>
      </c>
      <c r="Q63" s="940">
        <f t="shared" si="10"/>
        <v>0</v>
      </c>
      <c r="R63" s="530">
        <f t="shared" si="13"/>
        <v>0</v>
      </c>
      <c r="S63" s="530">
        <f t="shared" si="14"/>
        <v>0</v>
      </c>
      <c r="T63" s="940">
        <f t="shared" si="11"/>
        <v>0</v>
      </c>
      <c r="U63" s="530">
        <f t="shared" si="15"/>
        <v>0</v>
      </c>
      <c r="V63" s="530">
        <f t="shared" si="16"/>
        <v>0</v>
      </c>
      <c r="W63" s="940">
        <f t="shared" si="12"/>
        <v>0</v>
      </c>
      <c r="X63" s="530">
        <f t="shared" si="17"/>
        <v>0</v>
      </c>
      <c r="Y63" s="530">
        <f t="shared" si="18"/>
        <v>0</v>
      </c>
      <c r="Z63" s="530">
        <f t="shared" si="20"/>
        <v>0</v>
      </c>
      <c r="AA63" s="530">
        <f t="shared" si="21"/>
        <v>0</v>
      </c>
      <c r="AB63" s="530">
        <f t="shared" si="22"/>
        <v>0</v>
      </c>
    </row>
    <row r="64" spans="1:28" hidden="1" x14ac:dyDescent="0.25">
      <c r="A64" s="943" t="s">
        <v>573</v>
      </c>
      <c r="B64" s="250">
        <v>1432.4</v>
      </c>
      <c r="C64" s="249">
        <v>0.49</v>
      </c>
      <c r="D64" s="250">
        <v>1690.23</v>
      </c>
      <c r="E64" s="249">
        <v>0.53</v>
      </c>
      <c r="F64" s="250">
        <v>1842.35</v>
      </c>
      <c r="G64" s="249">
        <v>0.53</v>
      </c>
      <c r="H64" s="938">
        <v>0</v>
      </c>
      <c r="I64" s="939">
        <f t="shared" si="0"/>
        <v>0</v>
      </c>
      <c r="J64" s="939">
        <f t="shared" si="4"/>
        <v>0</v>
      </c>
      <c r="K64" s="939">
        <f t="shared" si="5"/>
        <v>0</v>
      </c>
      <c r="L64" s="938">
        <v>0</v>
      </c>
      <c r="M64" s="939">
        <f t="shared" si="6"/>
        <v>0</v>
      </c>
      <c r="N64" s="939">
        <f t="shared" si="7"/>
        <v>0</v>
      </c>
      <c r="O64" s="938">
        <f t="shared" si="9"/>
        <v>0</v>
      </c>
      <c r="P64" s="939">
        <f t="shared" si="8"/>
        <v>0</v>
      </c>
      <c r="Q64" s="940">
        <f t="shared" si="10"/>
        <v>0</v>
      </c>
      <c r="R64" s="530">
        <f t="shared" si="13"/>
        <v>0</v>
      </c>
      <c r="S64" s="530">
        <f t="shared" si="14"/>
        <v>0</v>
      </c>
      <c r="T64" s="940">
        <f t="shared" si="11"/>
        <v>0</v>
      </c>
      <c r="U64" s="530">
        <f t="shared" si="15"/>
        <v>0</v>
      </c>
      <c r="V64" s="530">
        <f t="shared" si="16"/>
        <v>0</v>
      </c>
      <c r="W64" s="940">
        <f t="shared" si="12"/>
        <v>0</v>
      </c>
      <c r="X64" s="530">
        <f t="shared" si="17"/>
        <v>0</v>
      </c>
      <c r="Y64" s="530">
        <f t="shared" si="18"/>
        <v>0</v>
      </c>
      <c r="Z64" s="530">
        <f t="shared" si="20"/>
        <v>0</v>
      </c>
      <c r="AA64" s="530">
        <f t="shared" si="21"/>
        <v>0</v>
      </c>
      <c r="AB64" s="530">
        <f t="shared" si="22"/>
        <v>0</v>
      </c>
    </row>
    <row r="65" spans="1:28" hidden="1" x14ac:dyDescent="0.25">
      <c r="A65" s="943" t="s">
        <v>574</v>
      </c>
      <c r="B65" s="250">
        <v>1301.76</v>
      </c>
      <c r="C65" s="249">
        <v>0.44</v>
      </c>
      <c r="D65" s="250">
        <v>1536.08</v>
      </c>
      <c r="E65" s="249">
        <v>0.48</v>
      </c>
      <c r="F65" s="250">
        <v>1674.32</v>
      </c>
      <c r="G65" s="249">
        <v>0.48</v>
      </c>
      <c r="H65" s="938">
        <v>0</v>
      </c>
      <c r="I65" s="939">
        <f t="shared" si="0"/>
        <v>0</v>
      </c>
      <c r="J65" s="939">
        <f t="shared" si="4"/>
        <v>0</v>
      </c>
      <c r="K65" s="939">
        <f t="shared" si="5"/>
        <v>0</v>
      </c>
      <c r="L65" s="938">
        <v>0</v>
      </c>
      <c r="M65" s="939">
        <f t="shared" si="6"/>
        <v>0</v>
      </c>
      <c r="N65" s="939">
        <f t="shared" si="7"/>
        <v>0</v>
      </c>
      <c r="O65" s="938">
        <f t="shared" si="9"/>
        <v>0</v>
      </c>
      <c r="P65" s="939">
        <f t="shared" si="8"/>
        <v>0</v>
      </c>
      <c r="Q65" s="940">
        <f t="shared" si="10"/>
        <v>0</v>
      </c>
      <c r="R65" s="530">
        <f t="shared" si="13"/>
        <v>0</v>
      </c>
      <c r="S65" s="530">
        <f t="shared" si="14"/>
        <v>0</v>
      </c>
      <c r="T65" s="940">
        <f t="shared" si="11"/>
        <v>0</v>
      </c>
      <c r="U65" s="530">
        <f t="shared" si="15"/>
        <v>0</v>
      </c>
      <c r="V65" s="530">
        <f t="shared" si="16"/>
        <v>0</v>
      </c>
      <c r="W65" s="940">
        <f t="shared" si="12"/>
        <v>0</v>
      </c>
      <c r="X65" s="530">
        <f t="shared" si="17"/>
        <v>0</v>
      </c>
      <c r="Y65" s="530">
        <f t="shared" si="18"/>
        <v>0</v>
      </c>
      <c r="Z65" s="530">
        <f t="shared" si="20"/>
        <v>0</v>
      </c>
      <c r="AA65" s="530">
        <f t="shared" si="21"/>
        <v>0</v>
      </c>
      <c r="AB65" s="530">
        <f t="shared" si="22"/>
        <v>0</v>
      </c>
    </row>
    <row r="66" spans="1:28" hidden="1" x14ac:dyDescent="0.25">
      <c r="A66" s="943" t="s">
        <v>575</v>
      </c>
      <c r="B66" s="250">
        <v>1184.8800000000001</v>
      </c>
      <c r="C66" s="249">
        <v>0.4</v>
      </c>
      <c r="D66" s="250">
        <v>1398.16</v>
      </c>
      <c r="E66" s="249">
        <v>0.44</v>
      </c>
      <c r="F66" s="250">
        <v>1523.99</v>
      </c>
      <c r="G66" s="249">
        <v>0.44</v>
      </c>
      <c r="H66" s="938">
        <v>0</v>
      </c>
      <c r="I66" s="939">
        <f t="shared" si="0"/>
        <v>0</v>
      </c>
      <c r="J66" s="939">
        <f t="shared" si="4"/>
        <v>0</v>
      </c>
      <c r="K66" s="939">
        <f t="shared" si="5"/>
        <v>0</v>
      </c>
      <c r="L66" s="938">
        <v>0</v>
      </c>
      <c r="M66" s="939">
        <f t="shared" si="6"/>
        <v>0</v>
      </c>
      <c r="N66" s="939">
        <f t="shared" si="7"/>
        <v>0</v>
      </c>
      <c r="O66" s="938">
        <f t="shared" si="9"/>
        <v>0</v>
      </c>
      <c r="P66" s="939">
        <f t="shared" si="8"/>
        <v>0</v>
      </c>
      <c r="Q66" s="940">
        <f t="shared" si="10"/>
        <v>0</v>
      </c>
      <c r="R66" s="530">
        <f t="shared" si="13"/>
        <v>0</v>
      </c>
      <c r="S66" s="530">
        <f t="shared" si="14"/>
        <v>0</v>
      </c>
      <c r="T66" s="940">
        <f t="shared" si="11"/>
        <v>0</v>
      </c>
      <c r="U66" s="530">
        <f t="shared" si="15"/>
        <v>0</v>
      </c>
      <c r="V66" s="530">
        <f t="shared" si="16"/>
        <v>0</v>
      </c>
      <c r="W66" s="940">
        <f t="shared" si="12"/>
        <v>0</v>
      </c>
      <c r="X66" s="530">
        <f t="shared" si="17"/>
        <v>0</v>
      </c>
      <c r="Y66" s="530">
        <f t="shared" si="18"/>
        <v>0</v>
      </c>
      <c r="Z66" s="530">
        <f t="shared" si="20"/>
        <v>0</v>
      </c>
      <c r="AA66" s="530">
        <f t="shared" si="21"/>
        <v>0</v>
      </c>
      <c r="AB66" s="530">
        <f t="shared" si="22"/>
        <v>0</v>
      </c>
    </row>
    <row r="67" spans="1:28" hidden="1" x14ac:dyDescent="0.25">
      <c r="A67" s="943" t="s">
        <v>576</v>
      </c>
      <c r="B67" s="250">
        <v>1443.84</v>
      </c>
      <c r="C67" s="249">
        <v>0.49</v>
      </c>
      <c r="D67" s="250">
        <v>1573.79</v>
      </c>
      <c r="E67" s="249">
        <v>0.49</v>
      </c>
      <c r="F67" s="250">
        <v>1715.43</v>
      </c>
      <c r="G67" s="249">
        <v>0.49</v>
      </c>
      <c r="H67" s="938">
        <v>0</v>
      </c>
      <c r="I67" s="939">
        <f t="shared" ref="I67:I74" si="23">H67*C67</f>
        <v>0</v>
      </c>
      <c r="J67" s="939">
        <f t="shared" si="4"/>
        <v>0</v>
      </c>
      <c r="K67" s="939">
        <f t="shared" si="5"/>
        <v>0</v>
      </c>
      <c r="L67" s="938">
        <v>0</v>
      </c>
      <c r="M67" s="939">
        <f t="shared" si="6"/>
        <v>0</v>
      </c>
      <c r="N67" s="939">
        <f t="shared" si="7"/>
        <v>0</v>
      </c>
      <c r="O67" s="938">
        <f t="shared" si="9"/>
        <v>0</v>
      </c>
      <c r="P67" s="939">
        <f t="shared" si="8"/>
        <v>0</v>
      </c>
      <c r="Q67" s="940">
        <f t="shared" ref="Q67:Q74" si="24">(O67*D67*1.33*1.28) + (O67*D67*1.28*$R$1)</f>
        <v>0</v>
      </c>
      <c r="R67" s="530">
        <f t="shared" si="13"/>
        <v>0</v>
      </c>
      <c r="S67" s="530">
        <f t="shared" si="14"/>
        <v>0</v>
      </c>
      <c r="T67" s="940">
        <f t="shared" ref="T67:T74" si="25">O67*D67*13.33*1.28</f>
        <v>0</v>
      </c>
      <c r="U67" s="530">
        <f t="shared" si="15"/>
        <v>0</v>
      </c>
      <c r="V67" s="530">
        <f t="shared" si="16"/>
        <v>0</v>
      </c>
      <c r="W67" s="940">
        <f t="shared" ref="W67:W74" si="26">O67*F67*13.33*1.28</f>
        <v>0</v>
      </c>
      <c r="X67" s="530">
        <f t="shared" si="17"/>
        <v>0</v>
      </c>
      <c r="Y67" s="530">
        <f t="shared" si="18"/>
        <v>0</v>
      </c>
      <c r="Z67" s="530">
        <f t="shared" si="20"/>
        <v>0</v>
      </c>
      <c r="AA67" s="530">
        <f t="shared" si="21"/>
        <v>0</v>
      </c>
      <c r="AB67" s="530">
        <f t="shared" si="22"/>
        <v>0</v>
      </c>
    </row>
    <row r="68" spans="1:28" hidden="1" x14ac:dyDescent="0.25">
      <c r="A68" s="943" t="s">
        <v>577</v>
      </c>
      <c r="B68" s="250">
        <v>1443.84</v>
      </c>
      <c r="C68" s="249">
        <v>0.49</v>
      </c>
      <c r="D68" s="250">
        <v>1573.79</v>
      </c>
      <c r="E68" s="249">
        <v>0.49</v>
      </c>
      <c r="F68" s="250">
        <v>1715.43</v>
      </c>
      <c r="G68" s="249">
        <v>0.49</v>
      </c>
      <c r="H68" s="938">
        <v>0</v>
      </c>
      <c r="I68" s="939">
        <f t="shared" si="23"/>
        <v>0</v>
      </c>
      <c r="J68" s="939">
        <f t="shared" ref="J68:J74" si="27">H68*E68</f>
        <v>0</v>
      </c>
      <c r="K68" s="939">
        <f t="shared" ref="K68:K74" si="28">H68*G68</f>
        <v>0</v>
      </c>
      <c r="L68" s="938">
        <v>0</v>
      </c>
      <c r="M68" s="939">
        <f t="shared" ref="M68:M74" si="29">L68*E68</f>
        <v>0</v>
      </c>
      <c r="N68" s="939">
        <f t="shared" ref="N68:N74" si="30">L68*G68</f>
        <v>0</v>
      </c>
      <c r="O68" s="938">
        <f t="shared" si="9"/>
        <v>0</v>
      </c>
      <c r="P68" s="939">
        <f t="shared" ref="P68:P74" si="31">O68*E68</f>
        <v>0</v>
      </c>
      <c r="Q68" s="940">
        <f t="shared" si="24"/>
        <v>0</v>
      </c>
      <c r="R68" s="530">
        <f t="shared" si="13"/>
        <v>0</v>
      </c>
      <c r="S68" s="530">
        <f t="shared" si="14"/>
        <v>0</v>
      </c>
      <c r="T68" s="940">
        <f t="shared" si="25"/>
        <v>0</v>
      </c>
      <c r="U68" s="530">
        <f t="shared" si="15"/>
        <v>0</v>
      </c>
      <c r="V68" s="530">
        <f t="shared" si="16"/>
        <v>0</v>
      </c>
      <c r="W68" s="940">
        <f t="shared" si="26"/>
        <v>0</v>
      </c>
      <c r="X68" s="530">
        <f t="shared" si="17"/>
        <v>0</v>
      </c>
      <c r="Y68" s="530">
        <f t="shared" si="18"/>
        <v>0</v>
      </c>
      <c r="Z68" s="530">
        <f t="shared" si="20"/>
        <v>0</v>
      </c>
      <c r="AA68" s="530">
        <f t="shared" si="21"/>
        <v>0</v>
      </c>
      <c r="AB68" s="530">
        <f t="shared" si="22"/>
        <v>0</v>
      </c>
    </row>
    <row r="69" spans="1:28" customFormat="1" ht="15" hidden="1" customHeight="1" x14ac:dyDescent="0.25">
      <c r="A69" s="943" t="s">
        <v>578</v>
      </c>
      <c r="B69" s="250">
        <v>773.46</v>
      </c>
      <c r="C69" s="249">
        <v>0.26</v>
      </c>
      <c r="D69" s="250">
        <v>843.07</v>
      </c>
      <c r="E69" s="249">
        <v>0.26</v>
      </c>
      <c r="F69" s="250">
        <v>918.95</v>
      </c>
      <c r="G69" s="249">
        <v>0.26</v>
      </c>
      <c r="H69" s="938">
        <v>0</v>
      </c>
      <c r="I69" s="939">
        <f t="shared" si="23"/>
        <v>0</v>
      </c>
      <c r="J69" s="939">
        <f t="shared" si="27"/>
        <v>0</v>
      </c>
      <c r="K69" s="939">
        <f t="shared" si="28"/>
        <v>0</v>
      </c>
      <c r="L69" s="938">
        <v>0</v>
      </c>
      <c r="M69" s="939">
        <f t="shared" si="29"/>
        <v>0</v>
      </c>
      <c r="N69" s="939">
        <f t="shared" si="30"/>
        <v>0</v>
      </c>
      <c r="O69" s="938">
        <f t="shared" ref="O69:O74" si="32">L69-H69</f>
        <v>0</v>
      </c>
      <c r="P69" s="939">
        <f t="shared" si="31"/>
        <v>0</v>
      </c>
      <c r="Q69" s="940">
        <f t="shared" si="24"/>
        <v>0</v>
      </c>
      <c r="R69" s="530">
        <f t="shared" si="13"/>
        <v>0</v>
      </c>
      <c r="S69" s="530">
        <f t="shared" si="14"/>
        <v>0</v>
      </c>
      <c r="T69" s="940">
        <f t="shared" si="25"/>
        <v>0</v>
      </c>
      <c r="U69" s="530">
        <f t="shared" si="15"/>
        <v>0</v>
      </c>
      <c r="V69" s="530">
        <f t="shared" si="16"/>
        <v>0</v>
      </c>
      <c r="W69" s="940">
        <f t="shared" si="26"/>
        <v>0</v>
      </c>
      <c r="X69" s="530">
        <f t="shared" si="17"/>
        <v>0</v>
      </c>
      <c r="Y69" s="530">
        <f t="shared" si="18"/>
        <v>0</v>
      </c>
      <c r="Z69" s="530">
        <f t="shared" si="20"/>
        <v>0</v>
      </c>
      <c r="AA69" s="530">
        <f t="shared" si="21"/>
        <v>0</v>
      </c>
      <c r="AB69" s="530">
        <f t="shared" si="22"/>
        <v>0</v>
      </c>
    </row>
    <row r="70" spans="1:28" customFormat="1" ht="15" hidden="1" customHeight="1" x14ac:dyDescent="0.25">
      <c r="A70" s="943" t="s">
        <v>579</v>
      </c>
      <c r="B70" s="250">
        <v>1082.8599999999999</v>
      </c>
      <c r="C70" s="249">
        <v>0.37</v>
      </c>
      <c r="D70" s="250">
        <v>1180.32</v>
      </c>
      <c r="E70" s="249">
        <v>0.37</v>
      </c>
      <c r="F70" s="250">
        <v>1286.55</v>
      </c>
      <c r="G70" s="249">
        <v>0.37</v>
      </c>
      <c r="H70" s="938">
        <v>0</v>
      </c>
      <c r="I70" s="939">
        <f t="shared" si="23"/>
        <v>0</v>
      </c>
      <c r="J70" s="939">
        <f t="shared" si="27"/>
        <v>0</v>
      </c>
      <c r="K70" s="939">
        <f t="shared" si="28"/>
        <v>0</v>
      </c>
      <c r="L70" s="938">
        <v>0</v>
      </c>
      <c r="M70" s="939">
        <f t="shared" si="29"/>
        <v>0</v>
      </c>
      <c r="N70" s="939">
        <f t="shared" si="30"/>
        <v>0</v>
      </c>
      <c r="O70" s="938">
        <f t="shared" si="32"/>
        <v>0</v>
      </c>
      <c r="P70" s="939">
        <f t="shared" si="31"/>
        <v>0</v>
      </c>
      <c r="Q70" s="940">
        <f t="shared" si="24"/>
        <v>0</v>
      </c>
      <c r="R70" s="530">
        <f t="shared" si="13"/>
        <v>0</v>
      </c>
      <c r="S70" s="530">
        <f t="shared" si="14"/>
        <v>0</v>
      </c>
      <c r="T70" s="940">
        <f t="shared" si="25"/>
        <v>0</v>
      </c>
      <c r="U70" s="530">
        <f t="shared" si="15"/>
        <v>0</v>
      </c>
      <c r="V70" s="530">
        <f t="shared" si="16"/>
        <v>0</v>
      </c>
      <c r="W70" s="940">
        <f t="shared" si="26"/>
        <v>0</v>
      </c>
      <c r="X70" s="530">
        <f t="shared" si="17"/>
        <v>0</v>
      </c>
      <c r="Y70" s="530">
        <f t="shared" si="18"/>
        <v>0</v>
      </c>
      <c r="Z70" s="530">
        <f t="shared" si="20"/>
        <v>0</v>
      </c>
      <c r="AA70" s="530">
        <f t="shared" si="21"/>
        <v>0</v>
      </c>
      <c r="AB70" s="530">
        <f t="shared" si="22"/>
        <v>0</v>
      </c>
    </row>
    <row r="71" spans="1:28" customFormat="1" ht="15" hidden="1" customHeight="1" x14ac:dyDescent="0.25">
      <c r="A71" s="943" t="s">
        <v>580</v>
      </c>
      <c r="B71" s="250">
        <v>773.46</v>
      </c>
      <c r="C71" s="249">
        <v>0.26</v>
      </c>
      <c r="D71" s="250">
        <v>843.07</v>
      </c>
      <c r="E71" s="249">
        <v>0.26</v>
      </c>
      <c r="F71" s="250">
        <v>918.95</v>
      </c>
      <c r="G71" s="249">
        <v>0.26</v>
      </c>
      <c r="H71" s="938">
        <v>0</v>
      </c>
      <c r="I71" s="939">
        <f t="shared" si="23"/>
        <v>0</v>
      </c>
      <c r="J71" s="939">
        <f t="shared" si="27"/>
        <v>0</v>
      </c>
      <c r="K71" s="939">
        <f t="shared" si="28"/>
        <v>0</v>
      </c>
      <c r="L71" s="938">
        <v>0</v>
      </c>
      <c r="M71" s="939">
        <f t="shared" si="29"/>
        <v>0</v>
      </c>
      <c r="N71" s="939">
        <f t="shared" si="30"/>
        <v>0</v>
      </c>
      <c r="O71" s="938">
        <f t="shared" si="32"/>
        <v>0</v>
      </c>
      <c r="P71" s="939">
        <f t="shared" si="31"/>
        <v>0</v>
      </c>
      <c r="Q71" s="940">
        <f t="shared" si="24"/>
        <v>0</v>
      </c>
      <c r="R71" s="530">
        <f t="shared" si="13"/>
        <v>0</v>
      </c>
      <c r="S71" s="530">
        <f t="shared" si="14"/>
        <v>0</v>
      </c>
      <c r="T71" s="940">
        <f t="shared" si="25"/>
        <v>0</v>
      </c>
      <c r="U71" s="530">
        <f t="shared" si="15"/>
        <v>0</v>
      </c>
      <c r="V71" s="530">
        <f t="shared" si="16"/>
        <v>0</v>
      </c>
      <c r="W71" s="940">
        <f t="shared" si="26"/>
        <v>0</v>
      </c>
      <c r="X71" s="530">
        <f t="shared" si="17"/>
        <v>0</v>
      </c>
      <c r="Y71" s="530">
        <f t="shared" si="18"/>
        <v>0</v>
      </c>
      <c r="Z71" s="530">
        <f t="shared" si="20"/>
        <v>0</v>
      </c>
      <c r="AA71" s="530">
        <f t="shared" si="21"/>
        <v>0</v>
      </c>
      <c r="AB71" s="530">
        <f t="shared" si="22"/>
        <v>0</v>
      </c>
    </row>
    <row r="72" spans="1:28" customFormat="1" ht="15" hidden="1" customHeight="1" x14ac:dyDescent="0.25">
      <c r="A72" s="943" t="s">
        <v>581</v>
      </c>
      <c r="B72" s="250">
        <v>464.08</v>
      </c>
      <c r="C72" s="249">
        <v>0.16</v>
      </c>
      <c r="D72" s="250">
        <v>505.85</v>
      </c>
      <c r="E72" s="249">
        <v>0.16</v>
      </c>
      <c r="F72" s="250">
        <v>551.37</v>
      </c>
      <c r="G72" s="249">
        <v>0.16</v>
      </c>
      <c r="H72" s="938">
        <v>0</v>
      </c>
      <c r="I72" s="939">
        <f t="shared" si="23"/>
        <v>0</v>
      </c>
      <c r="J72" s="939">
        <f t="shared" si="27"/>
        <v>0</v>
      </c>
      <c r="K72" s="939">
        <f t="shared" si="28"/>
        <v>0</v>
      </c>
      <c r="L72" s="938">
        <v>0</v>
      </c>
      <c r="M72" s="939">
        <f t="shared" si="29"/>
        <v>0</v>
      </c>
      <c r="N72" s="939">
        <f t="shared" si="30"/>
        <v>0</v>
      </c>
      <c r="O72" s="938">
        <f t="shared" si="32"/>
        <v>0</v>
      </c>
      <c r="P72" s="939">
        <f t="shared" si="31"/>
        <v>0</v>
      </c>
      <c r="Q72" s="940">
        <f t="shared" si="24"/>
        <v>0</v>
      </c>
      <c r="R72" s="530">
        <f t="shared" si="13"/>
        <v>0</v>
      </c>
      <c r="S72" s="530">
        <f t="shared" si="14"/>
        <v>0</v>
      </c>
      <c r="T72" s="940">
        <f t="shared" si="25"/>
        <v>0</v>
      </c>
      <c r="U72" s="530">
        <f t="shared" si="15"/>
        <v>0</v>
      </c>
      <c r="V72" s="530">
        <f t="shared" si="16"/>
        <v>0</v>
      </c>
      <c r="W72" s="940">
        <f t="shared" si="26"/>
        <v>0</v>
      </c>
      <c r="X72" s="530">
        <f t="shared" si="17"/>
        <v>0</v>
      </c>
      <c r="Y72" s="530">
        <f t="shared" si="18"/>
        <v>0</v>
      </c>
      <c r="Z72" s="530">
        <f t="shared" si="20"/>
        <v>0</v>
      </c>
      <c r="AA72" s="530">
        <f t="shared" si="21"/>
        <v>0</v>
      </c>
      <c r="AB72" s="530">
        <f t="shared" si="22"/>
        <v>0</v>
      </c>
    </row>
    <row r="73" spans="1:28" customFormat="1" ht="15" hidden="1" customHeight="1" x14ac:dyDescent="0.25">
      <c r="A73" s="943" t="s">
        <v>582</v>
      </c>
      <c r="B73" s="250">
        <v>1082.8599999999999</v>
      </c>
      <c r="C73" s="249">
        <v>0.37</v>
      </c>
      <c r="D73" s="250">
        <v>1180.32</v>
      </c>
      <c r="E73" s="249">
        <v>0.37</v>
      </c>
      <c r="F73" s="250">
        <v>1286.55</v>
      </c>
      <c r="G73" s="249">
        <v>0.37</v>
      </c>
      <c r="H73" s="938">
        <v>0</v>
      </c>
      <c r="I73" s="939">
        <f t="shared" si="23"/>
        <v>0</v>
      </c>
      <c r="J73" s="939">
        <f t="shared" si="27"/>
        <v>0</v>
      </c>
      <c r="K73" s="939">
        <f t="shared" si="28"/>
        <v>0</v>
      </c>
      <c r="L73" s="938">
        <v>0</v>
      </c>
      <c r="M73" s="939">
        <f t="shared" si="29"/>
        <v>0</v>
      </c>
      <c r="N73" s="939">
        <f t="shared" si="30"/>
        <v>0</v>
      </c>
      <c r="O73" s="938">
        <f t="shared" si="32"/>
        <v>0</v>
      </c>
      <c r="P73" s="939">
        <f t="shared" si="31"/>
        <v>0</v>
      </c>
      <c r="Q73" s="940">
        <f t="shared" si="24"/>
        <v>0</v>
      </c>
      <c r="R73" s="530">
        <f t="shared" si="13"/>
        <v>0</v>
      </c>
      <c r="S73" s="530">
        <f t="shared" si="14"/>
        <v>0</v>
      </c>
      <c r="T73" s="940">
        <f t="shared" si="25"/>
        <v>0</v>
      </c>
      <c r="U73" s="530">
        <f t="shared" si="15"/>
        <v>0</v>
      </c>
      <c r="V73" s="530">
        <f t="shared" si="16"/>
        <v>0</v>
      </c>
      <c r="W73" s="940">
        <f t="shared" si="26"/>
        <v>0</v>
      </c>
      <c r="X73" s="530">
        <f t="shared" si="17"/>
        <v>0</v>
      </c>
      <c r="Y73" s="530">
        <f t="shared" si="18"/>
        <v>0</v>
      </c>
      <c r="Z73" s="530">
        <f t="shared" si="20"/>
        <v>0</v>
      </c>
      <c r="AA73" s="530">
        <f t="shared" si="21"/>
        <v>0</v>
      </c>
      <c r="AB73" s="530">
        <f t="shared" si="22"/>
        <v>0</v>
      </c>
    </row>
    <row r="74" spans="1:28" customFormat="1" ht="15" hidden="1" customHeight="1" x14ac:dyDescent="0.25">
      <c r="A74" s="943" t="s">
        <v>583</v>
      </c>
      <c r="B74" s="250">
        <v>773.46</v>
      </c>
      <c r="C74" s="249">
        <v>0.26</v>
      </c>
      <c r="D74" s="250">
        <v>843.07</v>
      </c>
      <c r="E74" s="249">
        <v>0.26</v>
      </c>
      <c r="F74" s="250">
        <v>918.95</v>
      </c>
      <c r="G74" s="249">
        <v>0.26</v>
      </c>
      <c r="H74" s="938">
        <v>0</v>
      </c>
      <c r="I74" s="939">
        <f t="shared" si="23"/>
        <v>0</v>
      </c>
      <c r="J74" s="939">
        <f t="shared" si="27"/>
        <v>0</v>
      </c>
      <c r="K74" s="939">
        <f t="shared" si="28"/>
        <v>0</v>
      </c>
      <c r="L74" s="938">
        <v>0</v>
      </c>
      <c r="M74" s="939">
        <f t="shared" si="29"/>
        <v>0</v>
      </c>
      <c r="N74" s="939">
        <f t="shared" si="30"/>
        <v>0</v>
      </c>
      <c r="O74" s="938">
        <f t="shared" si="32"/>
        <v>0</v>
      </c>
      <c r="P74" s="939">
        <f t="shared" si="31"/>
        <v>0</v>
      </c>
      <c r="Q74" s="940">
        <f t="shared" si="24"/>
        <v>0</v>
      </c>
      <c r="R74" s="530">
        <f t="shared" si="13"/>
        <v>0</v>
      </c>
      <c r="S74" s="530">
        <f t="shared" si="14"/>
        <v>0</v>
      </c>
      <c r="T74" s="940">
        <f t="shared" si="25"/>
        <v>0</v>
      </c>
      <c r="U74" s="530">
        <f t="shared" si="15"/>
        <v>0</v>
      </c>
      <c r="V74" s="530">
        <f t="shared" si="16"/>
        <v>0</v>
      </c>
      <c r="W74" s="940">
        <f t="shared" si="26"/>
        <v>0</v>
      </c>
      <c r="X74" s="530">
        <f t="shared" si="17"/>
        <v>0</v>
      </c>
      <c r="Y74" s="530">
        <f t="shared" si="18"/>
        <v>0</v>
      </c>
      <c r="Z74" s="530">
        <f t="shared" si="20"/>
        <v>0</v>
      </c>
      <c r="AA74" s="530">
        <f t="shared" si="21"/>
        <v>0</v>
      </c>
      <c r="AB74" s="530">
        <f t="shared" si="22"/>
        <v>0</v>
      </c>
    </row>
    <row r="75" spans="1:28" x14ac:dyDescent="0.25">
      <c r="A75" s="251" t="s">
        <v>172</v>
      </c>
      <c r="B75" s="251"/>
      <c r="C75" s="251"/>
      <c r="D75" s="252"/>
      <c r="E75" s="251"/>
      <c r="F75" s="252"/>
      <c r="G75" s="251"/>
      <c r="H75" s="253">
        <f t="shared" ref="H75:Q75" si="33">SUM(H3:H74)</f>
        <v>1821</v>
      </c>
      <c r="I75" s="254">
        <f t="shared" si="33"/>
        <v>324.68</v>
      </c>
      <c r="J75" s="254">
        <f t="shared" si="33"/>
        <v>294.45999999999998</v>
      </c>
      <c r="K75" s="254">
        <f t="shared" si="33"/>
        <v>276.25</v>
      </c>
      <c r="L75" s="253">
        <f t="shared" si="33"/>
        <v>1821</v>
      </c>
      <c r="M75" s="254">
        <f t="shared" si="33"/>
        <v>549.0100000000001</v>
      </c>
      <c r="N75" s="254">
        <f t="shared" si="33"/>
        <v>549.0100000000001</v>
      </c>
      <c r="O75" s="253">
        <f t="shared" si="33"/>
        <v>0</v>
      </c>
      <c r="P75" s="254">
        <f t="shared" si="33"/>
        <v>254.55000000000013</v>
      </c>
      <c r="Q75" s="1436">
        <f t="shared" si="33"/>
        <v>2408065.8410239993</v>
      </c>
      <c r="R75" s="530">
        <f t="shared" si="13"/>
        <v>1881301.4382999993</v>
      </c>
      <c r="S75" s="530">
        <f t="shared" si="14"/>
        <v>526764.40272399981</v>
      </c>
      <c r="T75" s="985">
        <f>SUM(T3:T74)</f>
        <v>13776617.021824002</v>
      </c>
      <c r="U75" s="530">
        <f t="shared" si="15"/>
        <v>10762982.048300002</v>
      </c>
      <c r="V75" s="530">
        <f t="shared" si="16"/>
        <v>3013634.973524001</v>
      </c>
      <c r="W75" s="1436">
        <f>SUM(W3:W74)</f>
        <v>16480700.810496006</v>
      </c>
      <c r="X75" s="530">
        <f t="shared" si="17"/>
        <v>12875547.508200005</v>
      </c>
      <c r="Y75" s="530">
        <f t="shared" si="18"/>
        <v>3605153.3022960015</v>
      </c>
      <c r="Z75" s="530">
        <f t="shared" si="20"/>
        <v>2704083.7886720039</v>
      </c>
      <c r="AA75" s="530">
        <f t="shared" si="21"/>
        <v>2112565.4599000029</v>
      </c>
      <c r="AB75" s="530">
        <f t="shared" si="22"/>
        <v>591518.3287720005</v>
      </c>
    </row>
    <row r="76" spans="1:28" x14ac:dyDescent="0.25">
      <c r="A76" t="s">
        <v>584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6C9A3-88FB-49CA-9B84-DD2F7BA324BB}">
  <dimension ref="A1:AT11"/>
  <sheetViews>
    <sheetView showGridLines="0" workbookViewId="0">
      <pane xSplit="3" ySplit="3" topLeftCell="AM4" activePane="bottomRight" state="frozen"/>
      <selection pane="topRight" activeCell="D1" sqref="D1"/>
      <selection pane="bottomLeft" activeCell="A4" sqref="A4"/>
      <selection pane="bottomRight" activeCell="AP7" sqref="AP5:AS7"/>
    </sheetView>
  </sheetViews>
  <sheetFormatPr defaultColWidth="8.85546875" defaultRowHeight="15" outlineLevelRow="1" outlineLevelCol="1" x14ac:dyDescent="0.25"/>
  <cols>
    <col min="1" max="1" width="44.85546875" bestFit="1" customWidth="1"/>
    <col min="2" max="2" width="54.28515625" bestFit="1" customWidth="1"/>
    <col min="3" max="3" width="16.7109375" customWidth="1"/>
    <col min="7" max="7" width="14.42578125" customWidth="1"/>
    <col min="8" max="8" width="12.7109375" bestFit="1" customWidth="1" outlineLevel="1"/>
    <col min="9" max="9" width="14.28515625" bestFit="1" customWidth="1" outlineLevel="1"/>
    <col min="10" max="10" width="12.7109375" bestFit="1" customWidth="1" outlineLevel="1"/>
    <col min="11" max="11" width="15.28515625" bestFit="1" customWidth="1" outlineLevel="1"/>
    <col min="12" max="12" width="16.42578125" bestFit="1" customWidth="1" outlineLevel="1"/>
    <col min="13" max="15" width="15.28515625" bestFit="1" customWidth="1" outlineLevel="1"/>
    <col min="16" max="16" width="12.7109375" bestFit="1" customWidth="1" outlineLevel="1"/>
    <col min="17" max="17" width="15.28515625" bestFit="1" customWidth="1" outlineLevel="1"/>
    <col min="18" max="18" width="16.42578125" bestFit="1" customWidth="1" outlineLevel="1"/>
    <col min="19" max="19" width="16.85546875" bestFit="1" customWidth="1" outlineLevel="1"/>
    <col min="20" max="20" width="15.28515625" bestFit="1" customWidth="1"/>
    <col min="21" max="21" width="16.85546875" bestFit="1" customWidth="1"/>
    <col min="22" max="22" width="13.85546875" bestFit="1" customWidth="1"/>
    <col min="23" max="23" width="16.85546875" bestFit="1" customWidth="1"/>
    <col min="24" max="24" width="16.42578125" bestFit="1" customWidth="1"/>
    <col min="25" max="25" width="16.85546875" bestFit="1" customWidth="1"/>
    <col min="26" max="26" width="15.28515625" bestFit="1" customWidth="1"/>
    <col min="27" max="27" width="16.85546875" bestFit="1" customWidth="1"/>
    <col min="28" max="28" width="13.85546875" bestFit="1" customWidth="1"/>
    <col min="29" max="29" width="16.85546875" bestFit="1" customWidth="1"/>
    <col min="30" max="30" width="16.42578125" bestFit="1" customWidth="1"/>
    <col min="31" max="33" width="16.85546875" bestFit="1" customWidth="1"/>
    <col min="34" max="34" width="13.85546875" bestFit="1" customWidth="1"/>
    <col min="35" max="35" width="16.85546875" bestFit="1" customWidth="1"/>
    <col min="36" max="36" width="16.42578125" bestFit="1" customWidth="1"/>
    <col min="37" max="37" width="16.85546875" bestFit="1" customWidth="1"/>
    <col min="38" max="38" width="15.28515625" bestFit="1" customWidth="1"/>
    <col min="39" max="40" width="16.85546875" bestFit="1" customWidth="1"/>
    <col min="41" max="41" width="16.42578125" bestFit="1" customWidth="1"/>
    <col min="42" max="42" width="17" bestFit="1" customWidth="1"/>
    <col min="43" max="44" width="18.140625" bestFit="1" customWidth="1"/>
    <col min="45" max="45" width="19.42578125" customWidth="1"/>
    <col min="46" max="46" width="30.28515625" bestFit="1" customWidth="1"/>
  </cols>
  <sheetData>
    <row r="1" spans="1:46" x14ac:dyDescent="0.25">
      <c r="A1" s="221"/>
      <c r="B1" s="17"/>
      <c r="C1" s="1"/>
      <c r="D1" s="10"/>
      <c r="E1" s="10"/>
      <c r="F1" s="10"/>
      <c r="G1" s="11"/>
      <c r="H1" s="1">
        <f>SUBTOTAL(9,H5:H19)</f>
        <v>70499136.26239337</v>
      </c>
      <c r="I1" s="220">
        <f>SUBTOTAL(9,I5:I19)</f>
        <v>76570450.668140367</v>
      </c>
      <c r="J1" s="220"/>
      <c r="K1" s="220">
        <f>SUBTOTAL(9,K5:K19)</f>
        <v>162406332.73020139</v>
      </c>
      <c r="L1" s="220">
        <f>SUBTOTAL(9,L5:L19)</f>
        <v>5349701.5018864255</v>
      </c>
      <c r="M1" s="220">
        <f>SUBTOTAL(9,M5:M19)</f>
        <v>167756034.23208782</v>
      </c>
      <c r="N1" s="220">
        <f>SUBTOTAL(9,N5:N19)</f>
        <v>473905920.66880703</v>
      </c>
      <c r="O1" s="220">
        <f>SUBTOTAL(9,O5:O19)</f>
        <v>517057871.3518374</v>
      </c>
      <c r="P1" s="220"/>
      <c r="Q1" s="220">
        <f>SUBTOTAL(9,Q5:Q19)</f>
        <v>1094824425.9266341</v>
      </c>
      <c r="R1" s="220">
        <f>SUBTOTAL(9,R5:R19)</f>
        <v>34773059.762261763</v>
      </c>
      <c r="S1" s="220">
        <f>SUBTOTAL(9,S5:S19)</f>
        <v>1129597485.6888957</v>
      </c>
      <c r="T1" s="220">
        <f>SUBTOTAL(9,T5:T19)</f>
        <v>576915576.07770491</v>
      </c>
      <c r="U1" s="220">
        <f>SUBTOTAL(9,U5:U19)</f>
        <v>574781414.59936082</v>
      </c>
      <c r="V1" s="220"/>
      <c r="W1" s="220">
        <f>SUBTOTAL(9,W5:W19)</f>
        <v>1275998757.6249266</v>
      </c>
      <c r="X1" s="220">
        <f>SUBTOTAL(9,X5:X19)</f>
        <v>39104900.850781329</v>
      </c>
      <c r="Y1" s="220">
        <f>SUBTOTAL(9,Y5:Y19)</f>
        <v>1315103658.475708</v>
      </c>
      <c r="Z1" s="220">
        <f>SUBTOTAL(9,Z5:Z19)</f>
        <v>576915573.07770491</v>
      </c>
      <c r="AA1" s="220">
        <f>SUBTOTAL(9,AA5:AA19)</f>
        <v>574781411.59936082</v>
      </c>
      <c r="AB1" s="220"/>
      <c r="AC1" s="220">
        <f>SUBTOTAL(9,AC5:AC19)</f>
        <v>1275998748.6249266</v>
      </c>
      <c r="AD1" s="220">
        <f>SUBTOTAL(9,AD5:AD19)</f>
        <v>39104900.850781329</v>
      </c>
      <c r="AE1" s="220">
        <f>SUBTOTAL(9,AE5:AE19)</f>
        <v>1315103649.475708</v>
      </c>
      <c r="AF1" s="220">
        <f>SUBTOTAL(9,AF5:AF19)</f>
        <v>1050821493.7465121</v>
      </c>
      <c r="AG1" s="220">
        <f>SUBTOTAL(9,AG5:AG19)</f>
        <v>1091839282.9511981</v>
      </c>
      <c r="AH1" s="220"/>
      <c r="AI1" s="220">
        <f>SUBTOTAL(9,AI5:AI19)</f>
        <v>2370823174.5515604</v>
      </c>
      <c r="AJ1" s="220">
        <f>SUBTOTAL(9,AJ5:AJ19)</f>
        <v>73877960.6130431</v>
      </c>
      <c r="AK1" s="220">
        <f>SUBTOTAL(9,AK5:AK19)</f>
        <v>1315103649.475708</v>
      </c>
      <c r="AL1" s="220">
        <f>SUBTOTAL(9,AL5:AL19)</f>
        <v>1091839282.9511981</v>
      </c>
      <c r="AM1" s="220">
        <f>SUBTOTAL(9,AM5:AM19)</f>
        <v>2370823174.5515604</v>
      </c>
      <c r="AN1" s="220">
        <f>SUBTOTAL(9,AN5:AN19)</f>
        <v>73877960.6130431</v>
      </c>
      <c r="AO1" s="220">
        <f>SUBTOTAL(9,AO5:AO19)</f>
        <v>2444701135.1646037</v>
      </c>
      <c r="AP1" s="220">
        <f>SUBTOTAL(9,AP5:AP19)</f>
        <v>328387838.79502565</v>
      </c>
      <c r="AQ1" s="220">
        <f>SUBTOTAL(9,AQ5:AQ19)</f>
        <v>2173704215.3479915</v>
      </c>
      <c r="AR1" s="220">
        <f>SUBTOTAL(9,AR5:AR19)</f>
        <v>4708589339.3261805</v>
      </c>
      <c r="AS1" s="220">
        <f>SUBTOTAL(9,AS5:AS19)</f>
        <v>4708589339.3261805</v>
      </c>
      <c r="AT1" s="1"/>
    </row>
    <row r="2" spans="1:46" x14ac:dyDescent="0.25">
      <c r="A2" s="221"/>
      <c r="B2" s="1021" t="s">
        <v>24</v>
      </c>
      <c r="C2" s="1022" t="s">
        <v>25</v>
      </c>
      <c r="D2" s="1023" t="s">
        <v>26</v>
      </c>
      <c r="E2" s="1023"/>
      <c r="F2" s="1023"/>
      <c r="G2" s="1022" t="s">
        <v>27</v>
      </c>
      <c r="H2" s="1022" t="s">
        <v>28</v>
      </c>
      <c r="I2" s="1022"/>
      <c r="J2" s="1022"/>
      <c r="K2" s="1022"/>
      <c r="L2" s="1022"/>
      <c r="M2" s="1022"/>
      <c r="N2" s="1022"/>
      <c r="O2" s="1022"/>
      <c r="P2" s="1022"/>
      <c r="Q2" s="1022"/>
      <c r="R2" s="1022"/>
      <c r="S2" s="1022"/>
      <c r="T2" s="1022" t="s">
        <v>28</v>
      </c>
      <c r="U2" s="1022"/>
      <c r="V2" s="1022"/>
      <c r="W2" s="1022"/>
      <c r="X2" s="1022"/>
      <c r="Y2" s="1022"/>
      <c r="Z2" s="1022"/>
      <c r="AA2" s="1022"/>
      <c r="AB2" s="1022"/>
      <c r="AC2" s="1022"/>
      <c r="AD2" s="1022"/>
      <c r="AE2" s="1022"/>
      <c r="AF2" s="28"/>
      <c r="AG2" s="28"/>
      <c r="AH2" s="28"/>
      <c r="AI2" s="28"/>
      <c r="AJ2" s="28"/>
      <c r="AK2" s="28"/>
      <c r="AL2" s="1022" t="s">
        <v>28</v>
      </c>
      <c r="AM2" s="1022"/>
      <c r="AN2" s="1022"/>
      <c r="AO2" s="1022"/>
      <c r="AP2" s="1022"/>
      <c r="AQ2" s="1024" t="s">
        <v>2</v>
      </c>
      <c r="AR2" s="1024"/>
      <c r="AS2" s="1024"/>
      <c r="AT2" s="1"/>
    </row>
    <row r="3" spans="1:46" x14ac:dyDescent="0.25">
      <c r="A3" s="221"/>
      <c r="B3" s="1021"/>
      <c r="C3" s="1022"/>
      <c r="D3" s="2" t="s">
        <v>29</v>
      </c>
      <c r="E3" s="2" t="s">
        <v>30</v>
      </c>
      <c r="F3" s="2" t="s">
        <v>13</v>
      </c>
      <c r="G3" s="1022"/>
      <c r="H3" s="1025">
        <v>2025</v>
      </c>
      <c r="I3" s="1025"/>
      <c r="J3" s="1025"/>
      <c r="K3" s="1025"/>
      <c r="L3" s="1025"/>
      <c r="M3" s="1025"/>
      <c r="N3" s="1025" t="s">
        <v>31</v>
      </c>
      <c r="O3" s="1025"/>
      <c r="P3" s="1025"/>
      <c r="Q3" s="1025"/>
      <c r="R3" s="1025"/>
      <c r="S3" s="1025"/>
      <c r="T3" s="1026">
        <v>2026</v>
      </c>
      <c r="U3" s="1026"/>
      <c r="V3" s="1026"/>
      <c r="W3" s="1026"/>
      <c r="X3" s="1026"/>
      <c r="Y3" s="1026"/>
      <c r="Z3" s="1026" t="s">
        <v>31</v>
      </c>
      <c r="AA3" s="1026"/>
      <c r="AB3" s="1026"/>
      <c r="AC3" s="1026"/>
      <c r="AD3" s="1026"/>
      <c r="AE3" s="1026"/>
      <c r="AF3" s="1027">
        <v>2027</v>
      </c>
      <c r="AG3" s="1028"/>
      <c r="AH3" s="1028"/>
      <c r="AI3" s="1028"/>
      <c r="AJ3" s="1028"/>
      <c r="AK3" s="1029"/>
      <c r="AL3" s="1022" t="s">
        <v>13</v>
      </c>
      <c r="AM3" s="1022"/>
      <c r="AN3" s="1022"/>
      <c r="AO3" s="1022"/>
      <c r="AP3" s="1022"/>
      <c r="AQ3" s="3"/>
      <c r="AR3" s="3"/>
      <c r="AS3" s="3"/>
      <c r="AT3" s="3"/>
    </row>
    <row r="4" spans="1:46" x14ac:dyDescent="0.25">
      <c r="A4" s="221"/>
      <c r="B4" s="1021"/>
      <c r="C4" s="1022"/>
      <c r="D4" s="2"/>
      <c r="E4" s="2"/>
      <c r="F4" s="2"/>
      <c r="G4" s="1022"/>
      <c r="H4" s="4" t="s">
        <v>32</v>
      </c>
      <c r="I4" s="4" t="s">
        <v>30</v>
      </c>
      <c r="J4" s="4" t="s">
        <v>33</v>
      </c>
      <c r="K4" s="4" t="s">
        <v>34</v>
      </c>
      <c r="L4" s="4" t="s">
        <v>35</v>
      </c>
      <c r="M4" s="4" t="s">
        <v>13</v>
      </c>
      <c r="N4" s="4" t="s">
        <v>32</v>
      </c>
      <c r="O4" s="4" t="s">
        <v>30</v>
      </c>
      <c r="P4" s="4" t="s">
        <v>33</v>
      </c>
      <c r="Q4" s="4" t="s">
        <v>34</v>
      </c>
      <c r="R4" s="4" t="s">
        <v>35</v>
      </c>
      <c r="S4" s="4" t="s">
        <v>13</v>
      </c>
      <c r="T4" s="5" t="s">
        <v>32</v>
      </c>
      <c r="U4" s="5" t="s">
        <v>30</v>
      </c>
      <c r="V4" s="5" t="s">
        <v>36</v>
      </c>
      <c r="W4" s="5" t="s">
        <v>34</v>
      </c>
      <c r="X4" s="5" t="s">
        <v>35</v>
      </c>
      <c r="Y4" s="5" t="s">
        <v>13</v>
      </c>
      <c r="Z4" s="5" t="s">
        <v>32</v>
      </c>
      <c r="AA4" s="5" t="s">
        <v>30</v>
      </c>
      <c r="AB4" s="5" t="s">
        <v>33</v>
      </c>
      <c r="AC4" s="5" t="s">
        <v>34</v>
      </c>
      <c r="AD4" s="5" t="s">
        <v>35</v>
      </c>
      <c r="AE4" s="5" t="s">
        <v>13</v>
      </c>
      <c r="AF4" s="29" t="s">
        <v>32</v>
      </c>
      <c r="AG4" s="29" t="s">
        <v>30</v>
      </c>
      <c r="AH4" s="29" t="s">
        <v>33</v>
      </c>
      <c r="AI4" s="29" t="s">
        <v>34</v>
      </c>
      <c r="AJ4" s="29" t="s">
        <v>35</v>
      </c>
      <c r="AK4" s="29" t="s">
        <v>13</v>
      </c>
      <c r="AL4" s="6" t="s">
        <v>32</v>
      </c>
      <c r="AM4" s="6" t="s">
        <v>30</v>
      </c>
      <c r="AN4" s="6" t="s">
        <v>34</v>
      </c>
      <c r="AO4" s="6" t="s">
        <v>35</v>
      </c>
      <c r="AP4" s="6" t="s">
        <v>13</v>
      </c>
      <c r="AQ4" s="7">
        <v>2025</v>
      </c>
      <c r="AR4" s="8">
        <v>2026</v>
      </c>
      <c r="AS4" s="8" t="s">
        <v>705</v>
      </c>
      <c r="AT4" s="8" t="s">
        <v>38</v>
      </c>
    </row>
    <row r="5" spans="1:46" s="20" customFormat="1" ht="45" customHeight="1" outlineLevel="1" x14ac:dyDescent="0.2">
      <c r="A5" s="441" t="s">
        <v>1850</v>
      </c>
      <c r="B5" s="223" t="s">
        <v>73</v>
      </c>
      <c r="C5" s="22" t="s">
        <v>706</v>
      </c>
      <c r="D5" s="23">
        <v>17096</v>
      </c>
      <c r="E5" s="23">
        <v>20884</v>
      </c>
      <c r="F5" s="23">
        <f>SUM(D5:E5)</f>
        <v>37980</v>
      </c>
      <c r="G5" s="24" t="s">
        <v>43</v>
      </c>
      <c r="H5" s="219">
        <f>'23.2.PCPM-CBM-GDF-Reajus'!J29</f>
        <v>47999896.992322735</v>
      </c>
      <c r="I5" s="219">
        <f>'23.2.PCPM-CBM-GDF-Reajus'!K29</f>
        <v>50925902.361684501</v>
      </c>
      <c r="J5" s="219">
        <f>'23.2.PCPM-CBM-GDF-Reajus'!L29</f>
        <v>10293303.096732035</v>
      </c>
      <c r="K5" s="342">
        <f t="shared" ref="K5" si="0">H5+I5+J5</f>
        <v>109219102.45073928</v>
      </c>
      <c r="L5" s="219">
        <v>0</v>
      </c>
      <c r="M5" s="342">
        <f t="shared" ref="M5" si="1">K5+L5</f>
        <v>109219102.45073928</v>
      </c>
      <c r="N5" s="219">
        <f>'23.2.PCPM-CBM-GDF-Reajus'!J33</f>
        <v>311999330.4500978</v>
      </c>
      <c r="O5" s="219">
        <f>'23.2.PCPM-CBM-GDF-Reajus'!K33</f>
        <v>331018365.35094929</v>
      </c>
      <c r="P5" s="219">
        <f>'23.2.PCPM-CBM-GDF-Reajus'!L33</f>
        <v>66906470.128758229</v>
      </c>
      <c r="Q5" s="219">
        <f>N5+O5+P5</f>
        <v>709924165.92980528</v>
      </c>
      <c r="R5" s="219">
        <v>0</v>
      </c>
      <c r="S5" s="219">
        <f>Q5+R5</f>
        <v>709924165.92980528</v>
      </c>
      <c r="T5" s="219">
        <f>3+'23.2.PCPM-CBM-GDF-Reajus'!O29</f>
        <v>395166703.22060007</v>
      </c>
      <c r="U5" s="219">
        <f>3+'23.2.PCPM-CBM-GDF-Reajus'!P29</f>
        <v>365373725.4349699</v>
      </c>
      <c r="V5" s="219">
        <f>3+'23.2.PCPM-CBM-GDF-Reajus'!Q29</f>
        <v>82750231.107961953</v>
      </c>
      <c r="W5" s="219">
        <f t="shared" ref="W5:W7" si="2">T5+U5+V5</f>
        <v>843290659.76353192</v>
      </c>
      <c r="X5" s="219">
        <v>0</v>
      </c>
      <c r="Y5" s="219">
        <f>W5+X5</f>
        <v>843290659.76353192</v>
      </c>
      <c r="Z5" s="219">
        <f>'23.2.PCPM-CBM-GDF-Reajus'!O33</f>
        <v>395166700.22060007</v>
      </c>
      <c r="AA5" s="219">
        <f>'23.2.PCPM-CBM-GDF-Reajus'!P33</f>
        <v>365373722.4349699</v>
      </c>
      <c r="AB5" s="219">
        <f>'23.2.PCPM-CBM-GDF-Reajus'!Q33</f>
        <v>82750228.107961953</v>
      </c>
      <c r="AC5" s="73">
        <f t="shared" ref="AC5:AC7" si="3">Z5+AA5+AB5</f>
        <v>843290650.76353192</v>
      </c>
      <c r="AD5" s="219">
        <v>0</v>
      </c>
      <c r="AE5" s="219">
        <f>SUM(AC5:AD5)</f>
        <v>843290650.76353192</v>
      </c>
      <c r="AF5" s="219">
        <f t="shared" ref="AF5:AH7" si="4">Z5+N5</f>
        <v>707166030.67069793</v>
      </c>
      <c r="AG5" s="219">
        <f t="shared" si="4"/>
        <v>696392087.78591919</v>
      </c>
      <c r="AH5" s="219">
        <f t="shared" si="4"/>
        <v>149656698.23672017</v>
      </c>
      <c r="AI5" s="219">
        <f>AF5+AG5+AH5</f>
        <v>1553214816.6933372</v>
      </c>
      <c r="AJ5" s="219">
        <f>AD5+R5</f>
        <v>0</v>
      </c>
      <c r="AK5" s="219">
        <f t="shared" ref="AK5" si="5">AE5</f>
        <v>843290650.76353192</v>
      </c>
      <c r="AL5" s="71">
        <f>O5+AA5</f>
        <v>696392087.78591919</v>
      </c>
      <c r="AM5" s="71">
        <f t="shared" ref="AM5:AO7" si="6">Q5+AC5</f>
        <v>1553214816.6933372</v>
      </c>
      <c r="AN5" s="71">
        <f t="shared" si="6"/>
        <v>0</v>
      </c>
      <c r="AO5" s="71">
        <f t="shared" si="6"/>
        <v>1553214816.6933372</v>
      </c>
      <c r="AP5" s="1437">
        <f>M5</f>
        <v>109219102.45073928</v>
      </c>
      <c r="AQ5" s="1437">
        <f>S5</f>
        <v>709924165.92980528</v>
      </c>
      <c r="AR5" s="1437">
        <f>S5+Y5</f>
        <v>1553214825.6933372</v>
      </c>
      <c r="AS5" s="1437">
        <f>AR5</f>
        <v>1553214825.6933372</v>
      </c>
      <c r="AT5" s="20" t="s">
        <v>707</v>
      </c>
    </row>
    <row r="6" spans="1:46" s="20" customFormat="1" ht="45" customHeight="1" outlineLevel="1" x14ac:dyDescent="0.2">
      <c r="A6" s="441" t="s">
        <v>1852</v>
      </c>
      <c r="B6" s="223" t="s">
        <v>75</v>
      </c>
      <c r="C6" s="22" t="s">
        <v>710</v>
      </c>
      <c r="D6" s="23">
        <v>4567</v>
      </c>
      <c r="E6" s="23">
        <v>5547</v>
      </c>
      <c r="F6" s="23">
        <f>SUM(D6:E6)</f>
        <v>10114</v>
      </c>
      <c r="G6" s="24" t="s">
        <v>43</v>
      </c>
      <c r="H6" s="73">
        <f>'23.1.PCDF.Reajus'!J23</f>
        <v>19651687.458570644</v>
      </c>
      <c r="I6" s="73">
        <f>'23.1.PCDF.Reajus'!K23</f>
        <v>22126377.032105863</v>
      </c>
      <c r="J6" s="73">
        <f>'23.1.PCDF.Reajus'!L23</f>
        <v>4284936.1196356192</v>
      </c>
      <c r="K6" s="342">
        <f>H6+I6+J6</f>
        <v>46063000.610312127</v>
      </c>
      <c r="L6" s="73">
        <f>'23.1.PCDF.Reajus'!J25</f>
        <v>5349701.5018864255</v>
      </c>
      <c r="M6" s="342">
        <f>K6+L6</f>
        <v>51412702.112198554</v>
      </c>
      <c r="N6" s="73">
        <f>'23.1.PCDF.Reajus'!J27</f>
        <v>127735968.48070918</v>
      </c>
      <c r="O6" s="73">
        <f>'23.1.PCDF.Reajus'!K27</f>
        <v>143821450.70868811</v>
      </c>
      <c r="P6" s="73">
        <f>'23.1.PCDF.Reajus'!L27</f>
        <v>27852084.777631525</v>
      </c>
      <c r="Q6" s="219">
        <f>N6+O6+P6</f>
        <v>299409503.9670288</v>
      </c>
      <c r="R6" s="73">
        <f>'23.1.PCDF.Reajus'!J29</f>
        <v>34773059.762261763</v>
      </c>
      <c r="S6" s="219">
        <f>Q6+R6</f>
        <v>334182563.72929054</v>
      </c>
      <c r="T6" s="73">
        <f>+'23.1.PCDF.Reajus'!O23</f>
        <v>143648629.61923492</v>
      </c>
      <c r="U6" s="73">
        <f>+'23.1.PCDF.Reajus'!P23</f>
        <v>162334557.51358801</v>
      </c>
      <c r="V6" s="73">
        <f>+'23.1.PCDF.Reajus'!Q23</f>
        <v>31402717.755344659</v>
      </c>
      <c r="W6" s="219">
        <f>T6+U6+V6</f>
        <v>337385904.88816762</v>
      </c>
      <c r="X6" s="219">
        <f>'23.1.PCDF.Reajus'!O25</f>
        <v>39104900.850781329</v>
      </c>
      <c r="Y6" s="219">
        <f>W6+X6</f>
        <v>376490805.73894894</v>
      </c>
      <c r="Z6" s="73">
        <f>'23.1.PCDF.Reajus'!O27</f>
        <v>143648629.61923492</v>
      </c>
      <c r="AA6" s="73">
        <f>'23.1.PCDF.Reajus'!P27</f>
        <v>162334557.51358801</v>
      </c>
      <c r="AB6" s="73">
        <f>'23.1.PCDF.Reajus'!Q27</f>
        <v>31402717.755344659</v>
      </c>
      <c r="AC6" s="73">
        <f>Z6+AA6+AB6</f>
        <v>337385904.88816762</v>
      </c>
      <c r="AD6" s="73">
        <f>'23.1.PCDF.Reajus'!O29</f>
        <v>39104900.850781329</v>
      </c>
      <c r="AE6" s="73">
        <f>AC6+AD6</f>
        <v>376490805.73894894</v>
      </c>
      <c r="AF6" s="219">
        <f>Z6+N6</f>
        <v>271384598.09994411</v>
      </c>
      <c r="AG6" s="219">
        <f>AA6+O6</f>
        <v>306156008.22227609</v>
      </c>
      <c r="AH6" s="219">
        <f>AB6+P6</f>
        <v>59254802.53297618</v>
      </c>
      <c r="AI6" s="219">
        <f>AF6+AG6+AH6</f>
        <v>636795408.85519636</v>
      </c>
      <c r="AJ6" s="219">
        <f>AD6+R6</f>
        <v>73877960.6130431</v>
      </c>
      <c r="AK6" s="219">
        <f>AE6</f>
        <v>376490805.73894894</v>
      </c>
      <c r="AL6" s="71">
        <f>O6+AA6</f>
        <v>306156008.22227609</v>
      </c>
      <c r="AM6" s="71">
        <f>Q6+AC6</f>
        <v>636795408.85519648</v>
      </c>
      <c r="AN6" s="71">
        <f>R6+AD6</f>
        <v>73877960.6130431</v>
      </c>
      <c r="AO6" s="71">
        <f>S6+AE6</f>
        <v>710673369.46823955</v>
      </c>
      <c r="AP6" s="1437">
        <f>M6</f>
        <v>51412702.112198554</v>
      </c>
      <c r="AQ6" s="1437">
        <f>S6</f>
        <v>334182563.72929054</v>
      </c>
      <c r="AR6" s="1437">
        <f>S6+Y6</f>
        <v>710673369.46823955</v>
      </c>
      <c r="AS6" s="1437">
        <f>S6+AE6</f>
        <v>710673369.46823955</v>
      </c>
      <c r="AT6" s="20" t="s">
        <v>711</v>
      </c>
    </row>
    <row r="7" spans="1:46" s="20" customFormat="1" ht="45" customHeight="1" outlineLevel="1" x14ac:dyDescent="0.2">
      <c r="A7" s="441" t="s">
        <v>1851</v>
      </c>
      <c r="B7" s="223" t="s">
        <v>73</v>
      </c>
      <c r="C7" s="22" t="s">
        <v>708</v>
      </c>
      <c r="D7" s="23">
        <v>17096</v>
      </c>
      <c r="E7" s="23">
        <v>20884</v>
      </c>
      <c r="F7" s="23">
        <f>SUM(D7:E7)</f>
        <v>37980</v>
      </c>
      <c r="G7" s="24" t="s">
        <v>43</v>
      </c>
      <c r="H7" s="219">
        <f>'Item 24. PCPM-CBM-GDF - Aux.Mor'!BB27</f>
        <v>2847551.8115000017</v>
      </c>
      <c r="I7" s="219">
        <f>'Item 24. PCPM-CBM-GDF - Aux.Mor'!BC27</f>
        <v>3518171.2743499987</v>
      </c>
      <c r="J7" s="219">
        <f>'Item 24. PCPM-CBM-GDF - Aux.Mor'!BD27</f>
        <v>758506.58330000006</v>
      </c>
      <c r="K7" s="342">
        <f t="shared" ref="K7" si="7">H7+I7+J7</f>
        <v>7124229.6691500004</v>
      </c>
      <c r="L7" s="219">
        <v>0</v>
      </c>
      <c r="M7" s="342">
        <f t="shared" ref="M7" si="8">K7+L7</f>
        <v>7124229.6691500004</v>
      </c>
      <c r="N7" s="219">
        <f>'Item 24. PCPM-CBM-GDF - Aux.Mor'!BB31</f>
        <v>34170621.73800002</v>
      </c>
      <c r="O7" s="219">
        <f>'Item 24. PCPM-CBM-GDF - Aux.Mor'!BC31</f>
        <v>42218055.292199984</v>
      </c>
      <c r="P7" s="219">
        <f>'Item 24. PCPM-CBM-GDF - Aux.Mor'!BD31</f>
        <v>9102078.9996000007</v>
      </c>
      <c r="Q7" s="219">
        <f t="shared" ref="Q7" si="9">N7+O7+P7</f>
        <v>85490756.029799998</v>
      </c>
      <c r="R7" s="219">
        <v>0</v>
      </c>
      <c r="S7" s="219">
        <f t="shared" ref="S7" si="10">Q7+R7</f>
        <v>85490756.029799998</v>
      </c>
      <c r="T7" s="219">
        <f>'Item 24. PCPM-CBM-GDF - Aux.Mor'!BI33</f>
        <v>38100243.237869963</v>
      </c>
      <c r="U7" s="219">
        <f>'Item 24. PCPM-CBM-GDF - Aux.Mor'!BJ33</f>
        <v>47073131.65080294</v>
      </c>
      <c r="V7" s="219">
        <f>'Item 24. PCPM-CBM-GDF - Aux.Mor'!BK33</f>
        <v>10148818.084554009</v>
      </c>
      <c r="W7" s="219">
        <f t="shared" si="2"/>
        <v>95322192.973226905</v>
      </c>
      <c r="X7" s="219">
        <v>0</v>
      </c>
      <c r="Y7" s="219">
        <f>W7+X7</f>
        <v>95322192.973226905</v>
      </c>
      <c r="Z7" s="219">
        <f>'Item 24. PCPM-CBM-GDF - Aux.Mor'!BI35</f>
        <v>38100243.237869963</v>
      </c>
      <c r="AA7" s="219">
        <f>'Item 24. PCPM-CBM-GDF - Aux.Mor'!BJ35</f>
        <v>47073131.65080294</v>
      </c>
      <c r="AB7" s="219">
        <f>'Item 24. PCPM-CBM-GDF - Aux.Mor'!BK35</f>
        <v>10148818.084554009</v>
      </c>
      <c r="AC7" s="73">
        <f t="shared" si="3"/>
        <v>95322192.973226905</v>
      </c>
      <c r="AD7" s="219">
        <v>0</v>
      </c>
      <c r="AE7" s="219">
        <f>SUM(AC7:AD7)</f>
        <v>95322192.973226905</v>
      </c>
      <c r="AF7" s="219">
        <f t="shared" si="4"/>
        <v>72270864.975869983</v>
      </c>
      <c r="AG7" s="219">
        <f t="shared" si="4"/>
        <v>89291186.943002924</v>
      </c>
      <c r="AH7" s="219">
        <f t="shared" si="4"/>
        <v>19250897.08415401</v>
      </c>
      <c r="AI7" s="219">
        <f>AF7+AG7+AH7</f>
        <v>180812949.0030269</v>
      </c>
      <c r="AJ7" s="219">
        <f>AD7+R7</f>
        <v>0</v>
      </c>
      <c r="AK7" s="219">
        <f t="shared" ref="AK7" si="11">AE7</f>
        <v>95322192.973226905</v>
      </c>
      <c r="AL7" s="71">
        <f>O7+AA7</f>
        <v>89291186.943002924</v>
      </c>
      <c r="AM7" s="71">
        <f t="shared" si="6"/>
        <v>180812949.0030269</v>
      </c>
      <c r="AN7" s="71">
        <f t="shared" si="6"/>
        <v>0</v>
      </c>
      <c r="AO7" s="71">
        <f t="shared" si="6"/>
        <v>180812949.0030269</v>
      </c>
      <c r="AP7" s="1437">
        <f>M7</f>
        <v>7124229.6691500004</v>
      </c>
      <c r="AQ7" s="1437">
        <f>S7</f>
        <v>85490756.029799998</v>
      </c>
      <c r="AR7" s="1437">
        <f>S7+Y7</f>
        <v>180812949.0030269</v>
      </c>
      <c r="AS7" s="1437">
        <f t="shared" ref="AS7" si="12">S7+AE7</f>
        <v>180812949.0030269</v>
      </c>
      <c r="AT7" s="20" t="s">
        <v>709</v>
      </c>
    </row>
    <row r="11" spans="1:46" x14ac:dyDescent="0.25">
      <c r="AP11" s="1438">
        <f>AP5+AP6</f>
        <v>160631804.56293783</v>
      </c>
      <c r="AQ11" s="1438">
        <f>AQ5+AQ6</f>
        <v>1044106729.6590958</v>
      </c>
      <c r="AR11" s="1438">
        <f>AR5+AR6</f>
        <v>2263888195.1615767</v>
      </c>
      <c r="AS11" s="1438">
        <f>AS5+AS6</f>
        <v>2263888195.1615767</v>
      </c>
    </row>
  </sheetData>
  <mergeCells count="14">
    <mergeCell ref="AL2:AP2"/>
    <mergeCell ref="AQ2:AS2"/>
    <mergeCell ref="H3:M3"/>
    <mergeCell ref="N3:S3"/>
    <mergeCell ref="T3:Y3"/>
    <mergeCell ref="Z3:AE3"/>
    <mergeCell ref="AF3:AK3"/>
    <mergeCell ref="AL3:AP3"/>
    <mergeCell ref="T2:AE2"/>
    <mergeCell ref="B2:B4"/>
    <mergeCell ref="C2:C4"/>
    <mergeCell ref="D2:F2"/>
    <mergeCell ref="G2:G4"/>
    <mergeCell ref="H2:S2"/>
  </mergeCell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27170-71B7-4BA3-9B1E-3D9FC02A0D2E}">
  <dimension ref="A1:BK44"/>
  <sheetViews>
    <sheetView showGridLines="0" zoomScale="110" zoomScaleNormal="110" workbookViewId="0">
      <selection activeCell="E31" sqref="E31"/>
    </sheetView>
  </sheetViews>
  <sheetFormatPr defaultColWidth="11.42578125" defaultRowHeight="12.75" x14ac:dyDescent="0.25"/>
  <cols>
    <col min="1" max="1" width="12.7109375" style="596" customWidth="1"/>
    <col min="2" max="2" width="0.28515625" style="596" customWidth="1"/>
    <col min="3" max="3" width="14.7109375" style="596" customWidth="1"/>
    <col min="4" max="4" width="0.42578125" style="596" customWidth="1"/>
    <col min="5" max="5" width="14.7109375" style="596" customWidth="1"/>
    <col min="6" max="6" width="0.28515625" style="596" customWidth="1"/>
    <col min="7" max="7" width="14.7109375" style="596" customWidth="1"/>
    <col min="8" max="8" width="0.140625" style="596" customWidth="1"/>
    <col min="9" max="9" width="28.42578125" style="596" hidden="1" customWidth="1"/>
    <col min="10" max="10" width="0.7109375" style="596" hidden="1" customWidth="1"/>
    <col min="11" max="11" width="2.85546875" style="597" hidden="1" customWidth="1"/>
    <col min="12" max="12" width="1.42578125" style="596" hidden="1" customWidth="1"/>
    <col min="13" max="13" width="33.28515625" style="596" hidden="1" customWidth="1"/>
    <col min="14" max="14" width="17.85546875" style="596" hidden="1" customWidth="1"/>
    <col min="15" max="16" width="8.85546875" style="596" hidden="1" customWidth="1"/>
    <col min="17" max="17" width="11.85546875" style="596" hidden="1" customWidth="1"/>
    <col min="18" max="18" width="0.42578125" style="596" customWidth="1"/>
    <col min="19" max="19" width="9.7109375" style="594" customWidth="1"/>
    <col min="20" max="21" width="8.7109375" style="594" customWidth="1"/>
    <col min="22" max="22" width="9.7109375" style="595" customWidth="1"/>
    <col min="23" max="23" width="0.28515625" style="596" customWidth="1"/>
    <col min="24" max="24" width="3.140625" style="597" hidden="1" customWidth="1"/>
    <col min="25" max="25" width="2" style="596" hidden="1" customWidth="1"/>
    <col min="26" max="26" width="12.42578125" style="596" hidden="1" customWidth="1"/>
    <col min="27" max="27" width="14.7109375" style="596" customWidth="1"/>
    <col min="28" max="28" width="0.42578125" style="596" customWidth="1"/>
    <col min="29" max="29" width="13" style="596" hidden="1" customWidth="1"/>
    <col min="30" max="30" width="14.7109375" style="596" customWidth="1"/>
    <col min="31" max="31" width="0.28515625" style="596" customWidth="1"/>
    <col min="32" max="32" width="2" style="597" hidden="1" customWidth="1"/>
    <col min="33" max="33" width="1.85546875" style="596" hidden="1" customWidth="1"/>
    <col min="34" max="36" width="8.140625" style="596" customWidth="1"/>
    <col min="37" max="37" width="0.42578125" style="596" customWidth="1"/>
    <col min="38" max="38" width="13.42578125" style="596" hidden="1" customWidth="1"/>
    <col min="39" max="39" width="0.7109375" style="596" hidden="1" customWidth="1"/>
    <col min="40" max="40" width="16.42578125" style="596" hidden="1" customWidth="1"/>
    <col min="41" max="41" width="0.140625" style="596" customWidth="1"/>
    <col min="42" max="44" width="8.140625" style="596" customWidth="1"/>
    <col min="45" max="45" width="0.42578125" style="596" customWidth="1"/>
    <col min="46" max="46" width="11.140625" style="596" customWidth="1"/>
    <col min="47" max="47" width="1.85546875" style="596" customWidth="1"/>
    <col min="48" max="48" width="2" style="597" customWidth="1"/>
    <col min="49" max="49" width="1.42578125" style="596" customWidth="1"/>
    <col min="50" max="53" width="17" style="598" customWidth="1"/>
    <col min="54" max="54" width="1.7109375" style="596" customWidth="1"/>
    <col min="55" max="58" width="17" style="598" customWidth="1"/>
    <col min="59" max="59" width="1" style="596" customWidth="1"/>
    <col min="60" max="63" width="17" style="598" customWidth="1"/>
    <col min="64" max="64" width="11.42578125" style="596"/>
    <col min="65" max="65" width="14.140625" style="596" customWidth="1"/>
    <col min="66" max="16384" width="11.42578125" style="596"/>
  </cols>
  <sheetData>
    <row r="1" spans="1:63" x14ac:dyDescent="0.25">
      <c r="A1" s="591" t="s">
        <v>712</v>
      </c>
      <c r="B1" s="591"/>
      <c r="C1" s="591"/>
      <c r="D1" s="591"/>
      <c r="E1" s="591"/>
      <c r="F1" s="591"/>
      <c r="G1" s="592"/>
      <c r="H1" s="592"/>
      <c r="I1" s="592"/>
      <c r="J1" s="592"/>
      <c r="K1" s="593"/>
      <c r="L1" s="592"/>
      <c r="M1" s="592"/>
      <c r="N1" s="592"/>
      <c r="O1" s="592"/>
      <c r="P1" s="592"/>
      <c r="Q1" s="592"/>
      <c r="R1" s="592"/>
    </row>
    <row r="2" spans="1:63" x14ac:dyDescent="0.25">
      <c r="A2" s="599" t="s">
        <v>713</v>
      </c>
      <c r="B2" s="599"/>
      <c r="C2" s="599"/>
      <c r="D2" s="599"/>
      <c r="E2" s="599"/>
      <c r="F2" s="599"/>
      <c r="G2" s="592"/>
      <c r="H2" s="592"/>
      <c r="I2" s="592"/>
      <c r="J2" s="592"/>
      <c r="K2" s="593"/>
      <c r="L2" s="592"/>
      <c r="M2" s="592"/>
      <c r="N2" s="592"/>
      <c r="O2" s="592"/>
      <c r="P2" s="592"/>
      <c r="Q2" s="592"/>
      <c r="R2" s="592"/>
    </row>
    <row r="3" spans="1:63" x14ac:dyDescent="0.25">
      <c r="A3" s="599" t="s">
        <v>714</v>
      </c>
      <c r="B3" s="599"/>
      <c r="C3" s="599"/>
      <c r="D3" s="599"/>
      <c r="E3" s="599"/>
      <c r="F3" s="599"/>
      <c r="G3" s="600"/>
      <c r="H3" s="600"/>
      <c r="I3" s="600"/>
      <c r="J3" s="600"/>
      <c r="K3" s="601"/>
      <c r="L3" s="600"/>
      <c r="M3" s="600"/>
      <c r="N3" s="600"/>
      <c r="O3" s="600"/>
      <c r="P3" s="600"/>
      <c r="Q3" s="600"/>
      <c r="R3" s="600"/>
      <c r="S3" s="602"/>
    </row>
    <row r="4" spans="1:63" x14ac:dyDescent="0.25">
      <c r="A4" s="599" t="s">
        <v>715</v>
      </c>
      <c r="B4" s="599"/>
      <c r="C4" s="599"/>
      <c r="D4" s="599"/>
      <c r="E4" s="599"/>
      <c r="F4" s="599"/>
      <c r="G4" s="600"/>
      <c r="H4" s="600"/>
      <c r="I4" s="600"/>
      <c r="J4" s="600"/>
      <c r="K4" s="601"/>
      <c r="L4" s="600"/>
      <c r="M4" s="600"/>
      <c r="N4" s="600"/>
      <c r="O4" s="600"/>
      <c r="P4" s="600"/>
      <c r="Q4" s="600"/>
      <c r="R4" s="600"/>
      <c r="S4" s="602"/>
      <c r="T4" s="602"/>
    </row>
    <row r="5" spans="1:63" ht="15" customHeight="1" x14ac:dyDescent="0.25">
      <c r="A5" s="599" t="s">
        <v>716</v>
      </c>
      <c r="B5" s="599"/>
      <c r="C5" s="599"/>
      <c r="D5" s="599"/>
      <c r="E5" s="599"/>
      <c r="F5" s="599"/>
      <c r="G5" s="600"/>
      <c r="H5" s="600"/>
      <c r="I5" s="600"/>
      <c r="J5" s="600"/>
      <c r="K5" s="601"/>
      <c r="L5" s="600"/>
      <c r="M5" s="600"/>
      <c r="N5" s="600"/>
      <c r="O5" s="600"/>
      <c r="P5" s="600"/>
      <c r="Q5" s="600"/>
      <c r="R5" s="600"/>
      <c r="S5" s="602"/>
      <c r="T5" s="602"/>
    </row>
    <row r="6" spans="1:63" ht="15" customHeight="1" x14ac:dyDescent="0.25">
      <c r="A6" s="599" t="s">
        <v>717</v>
      </c>
      <c r="B6" s="599"/>
      <c r="C6" s="599"/>
      <c r="D6" s="599"/>
      <c r="E6" s="599"/>
      <c r="F6" s="599"/>
      <c r="G6" s="600"/>
      <c r="H6" s="600"/>
      <c r="I6" s="600"/>
      <c r="J6" s="600"/>
      <c r="K6" s="601"/>
      <c r="L6" s="600"/>
      <c r="M6" s="600"/>
      <c r="N6" s="600"/>
      <c r="O6" s="600"/>
      <c r="P6" s="600"/>
      <c r="Q6" s="600"/>
      <c r="R6" s="600"/>
      <c r="S6" s="602"/>
      <c r="T6" s="602"/>
      <c r="AC6" s="603"/>
    </row>
    <row r="7" spans="1:63" ht="15" hidden="1" customHeight="1" x14ac:dyDescent="0.25">
      <c r="A7" s="599"/>
      <c r="B7" s="599"/>
      <c r="C7" s="599"/>
      <c r="D7" s="599"/>
      <c r="E7" s="599"/>
      <c r="F7" s="599"/>
      <c r="G7" s="600"/>
      <c r="H7" s="600"/>
      <c r="I7" s="600"/>
      <c r="J7" s="600"/>
      <c r="K7" s="601"/>
      <c r="L7" s="600"/>
      <c r="M7" s="600"/>
      <c r="N7" s="600"/>
      <c r="O7" s="600"/>
      <c r="P7" s="600"/>
      <c r="Q7" s="600"/>
      <c r="R7" s="600"/>
      <c r="S7" s="602"/>
      <c r="T7" s="602"/>
      <c r="Z7" s="603" t="s">
        <v>718</v>
      </c>
      <c r="AA7" s="604" t="s">
        <v>719</v>
      </c>
      <c r="AC7" s="603"/>
      <c r="AD7" s="604" t="s">
        <v>719</v>
      </c>
    </row>
    <row r="8" spans="1:63" ht="15" hidden="1" customHeight="1" x14ac:dyDescent="0.25">
      <c r="A8" s="599"/>
      <c r="B8" s="599"/>
      <c r="C8" s="599"/>
      <c r="D8" s="599"/>
      <c r="E8" s="599"/>
      <c r="F8" s="599"/>
      <c r="G8" s="600"/>
      <c r="H8" s="600"/>
      <c r="I8" s="600"/>
      <c r="J8" s="600"/>
      <c r="K8" s="601"/>
      <c r="L8" s="600"/>
      <c r="M8" s="600"/>
      <c r="N8" s="600"/>
      <c r="O8" s="600"/>
      <c r="P8" s="600"/>
      <c r="Q8" s="600"/>
      <c r="R8" s="600"/>
      <c r="S8" s="602"/>
      <c r="T8" s="602"/>
      <c r="Z8" s="603"/>
      <c r="AA8" s="604"/>
      <c r="AC8" s="603"/>
      <c r="AD8" s="604"/>
    </row>
    <row r="9" spans="1:63" ht="9" customHeight="1" x14ac:dyDescent="0.25">
      <c r="A9" s="605"/>
      <c r="B9" s="605"/>
      <c r="K9" s="596"/>
      <c r="V9" s="594"/>
      <c r="AE9" s="606"/>
    </row>
    <row r="10" spans="1:63" s="409" customFormat="1" ht="12.75" customHeight="1" x14ac:dyDescent="0.25">
      <c r="A10" s="408"/>
      <c r="B10" s="408"/>
      <c r="C10" s="607" t="s">
        <v>720</v>
      </c>
      <c r="D10" s="605"/>
      <c r="E10" s="607" t="s">
        <v>721</v>
      </c>
      <c r="F10" s="605"/>
      <c r="G10" s="607" t="s">
        <v>722</v>
      </c>
      <c r="H10" s="608"/>
      <c r="I10" s="608"/>
      <c r="J10" s="608"/>
      <c r="K10" s="609"/>
      <c r="L10" s="608"/>
      <c r="M10" s="608"/>
      <c r="N10" s="608"/>
      <c r="O10" s="608"/>
      <c r="P10" s="608"/>
      <c r="Q10" s="608"/>
      <c r="R10" s="608"/>
      <c r="S10" s="610"/>
      <c r="T10" s="610"/>
      <c r="U10" s="611"/>
      <c r="V10" s="595"/>
      <c r="W10" s="596"/>
      <c r="X10" s="597"/>
      <c r="Y10" s="596"/>
      <c r="Z10" s="596"/>
      <c r="AA10" s="607" t="s">
        <v>723</v>
      </c>
      <c r="AB10" s="612"/>
      <c r="AC10" s="612"/>
      <c r="AD10" s="607" t="s">
        <v>724</v>
      </c>
      <c r="AF10" s="613"/>
      <c r="AV10" s="613"/>
      <c r="AX10" s="614"/>
      <c r="AY10" s="614"/>
      <c r="AZ10" s="614"/>
      <c r="BA10" s="614"/>
      <c r="BC10" s="614"/>
      <c r="BD10" s="614"/>
      <c r="BE10" s="614"/>
      <c r="BF10" s="614"/>
      <c r="BH10" s="614"/>
      <c r="BI10" s="614"/>
      <c r="BJ10" s="614"/>
      <c r="BK10" s="614"/>
    </row>
    <row r="11" spans="1:63" s="616" customFormat="1" ht="38.25" x14ac:dyDescent="0.25">
      <c r="A11" s="1370" t="s">
        <v>725</v>
      </c>
      <c r="B11" s="615"/>
      <c r="C11" s="1283" t="s">
        <v>726</v>
      </c>
      <c r="D11" s="615"/>
      <c r="E11" s="1283" t="s">
        <v>726</v>
      </c>
      <c r="F11" s="615"/>
      <c r="G11" s="1283" t="s">
        <v>726</v>
      </c>
      <c r="I11" s="617" t="s">
        <v>727</v>
      </c>
      <c r="J11" s="618"/>
      <c r="K11" s="619"/>
      <c r="L11" s="618"/>
      <c r="M11" s="618"/>
      <c r="N11" s="618"/>
      <c r="O11" s="618"/>
      <c r="P11" s="618"/>
      <c r="Q11" s="618"/>
      <c r="R11" s="618"/>
      <c r="S11" s="1374" t="s">
        <v>272</v>
      </c>
      <c r="T11" s="1374"/>
      <c r="U11" s="1374"/>
      <c r="V11" s="1374"/>
      <c r="X11" s="620"/>
      <c r="Z11" s="1370" t="s">
        <v>728</v>
      </c>
      <c r="AA11" s="1283" t="s">
        <v>726</v>
      </c>
      <c r="AC11" s="1370" t="s">
        <v>728</v>
      </c>
      <c r="AD11" s="1283" t="s">
        <v>726</v>
      </c>
      <c r="AF11" s="620"/>
      <c r="AH11" s="1372" t="s">
        <v>729</v>
      </c>
      <c r="AI11" s="1373"/>
      <c r="AJ11" s="1373"/>
      <c r="AL11" s="945" t="s">
        <v>730</v>
      </c>
      <c r="AN11" s="1372" t="s">
        <v>731</v>
      </c>
      <c r="AP11" s="1373" t="s">
        <v>732</v>
      </c>
      <c r="AQ11" s="1373"/>
      <c r="AR11" s="1373"/>
      <c r="AT11" s="1372" t="s">
        <v>733</v>
      </c>
      <c r="AV11" s="620"/>
      <c r="AX11" s="1376" t="s">
        <v>734</v>
      </c>
      <c r="AY11" s="1376"/>
      <c r="AZ11" s="1376"/>
      <c r="BA11" s="1376"/>
      <c r="BC11" s="1376" t="s">
        <v>735</v>
      </c>
      <c r="BD11" s="1376"/>
      <c r="BE11" s="1376"/>
      <c r="BF11" s="1376"/>
      <c r="BH11" s="1376" t="s">
        <v>736</v>
      </c>
      <c r="BI11" s="1376"/>
      <c r="BJ11" s="1376"/>
      <c r="BK11" s="1376"/>
    </row>
    <row r="12" spans="1:63" s="616" customFormat="1" ht="27.75" customHeight="1" x14ac:dyDescent="0.25">
      <c r="A12" s="1371"/>
      <c r="B12" s="615"/>
      <c r="C12" s="1369"/>
      <c r="D12" s="615"/>
      <c r="E12" s="1369"/>
      <c r="F12" s="615"/>
      <c r="G12" s="1369"/>
      <c r="I12" s="622" t="s">
        <v>737</v>
      </c>
      <c r="K12" s="620"/>
      <c r="M12" s="946" t="s">
        <v>738</v>
      </c>
      <c r="N12" s="946" t="s">
        <v>739</v>
      </c>
      <c r="O12" s="946" t="s">
        <v>740</v>
      </c>
      <c r="P12" s="946" t="s">
        <v>741</v>
      </c>
      <c r="Q12" s="946" t="s">
        <v>742</v>
      </c>
      <c r="S12" s="623" t="s">
        <v>32</v>
      </c>
      <c r="T12" s="623" t="s">
        <v>743</v>
      </c>
      <c r="U12" s="623" t="s">
        <v>744</v>
      </c>
      <c r="V12" s="623" t="s">
        <v>13</v>
      </c>
      <c r="X12" s="620"/>
      <c r="Z12" s="1371"/>
      <c r="AA12" s="1369"/>
      <c r="AC12" s="1371"/>
      <c r="AD12" s="1369"/>
      <c r="AF12" s="620"/>
      <c r="AH12" s="624" t="s">
        <v>745</v>
      </c>
      <c r="AI12" s="624" t="s">
        <v>746</v>
      </c>
      <c r="AJ12" s="624" t="s">
        <v>747</v>
      </c>
      <c r="AK12" s="625"/>
      <c r="AL12" s="624" t="s">
        <v>748</v>
      </c>
      <c r="AM12" s="625"/>
      <c r="AN12" s="1375"/>
      <c r="AO12" s="625"/>
      <c r="AP12" s="624" t="s">
        <v>749</v>
      </c>
      <c r="AQ12" s="624" t="s">
        <v>750</v>
      </c>
      <c r="AR12" s="626" t="s">
        <v>747</v>
      </c>
      <c r="AT12" s="1375"/>
      <c r="AV12" s="620"/>
      <c r="AX12" s="621" t="s">
        <v>32</v>
      </c>
      <c r="AY12" s="621" t="s">
        <v>283</v>
      </c>
      <c r="AZ12" s="621" t="s">
        <v>744</v>
      </c>
      <c r="BA12" s="621" t="s">
        <v>13</v>
      </c>
      <c r="BC12" s="621" t="s">
        <v>32</v>
      </c>
      <c r="BD12" s="621" t="s">
        <v>283</v>
      </c>
      <c r="BE12" s="621" t="s">
        <v>744</v>
      </c>
      <c r="BF12" s="621" t="s">
        <v>13</v>
      </c>
      <c r="BH12" s="621" t="s">
        <v>32</v>
      </c>
      <c r="BI12" s="621" t="s">
        <v>283</v>
      </c>
      <c r="BJ12" s="621" t="s">
        <v>744</v>
      </c>
      <c r="BK12" s="621" t="s">
        <v>13</v>
      </c>
    </row>
    <row r="13" spans="1:63" s="409" customFormat="1" ht="20.100000000000001" customHeight="1" x14ac:dyDescent="0.25">
      <c r="A13" s="409" t="s">
        <v>751</v>
      </c>
      <c r="C13" s="627">
        <v>24629.4</v>
      </c>
      <c r="E13" s="627">
        <v>27427.25</v>
      </c>
      <c r="G13" s="627">
        <v>30542.92</v>
      </c>
      <c r="H13" s="628"/>
      <c r="I13" s="947">
        <f>G13</f>
        <v>30542.92</v>
      </c>
      <c r="J13" s="376"/>
      <c r="K13" s="629"/>
      <c r="L13" s="376"/>
      <c r="M13" s="948" t="s">
        <v>752</v>
      </c>
      <c r="N13" s="948" t="s">
        <v>753</v>
      </c>
      <c r="O13" s="949">
        <v>293</v>
      </c>
      <c r="P13" s="949">
        <v>576</v>
      </c>
      <c r="Q13" s="949">
        <v>88</v>
      </c>
      <c r="R13" s="376"/>
      <c r="S13" s="630">
        <f>O13</f>
        <v>293</v>
      </c>
      <c r="T13" s="630">
        <f t="shared" ref="T13:U16" si="0">P13</f>
        <v>576</v>
      </c>
      <c r="U13" s="630">
        <f t="shared" si="0"/>
        <v>88</v>
      </c>
      <c r="V13" s="631">
        <f>S13+T13+U13</f>
        <v>957</v>
      </c>
      <c r="W13" s="632"/>
      <c r="X13" s="613"/>
      <c r="Z13" s="409" t="s">
        <v>751</v>
      </c>
      <c r="AA13" s="950">
        <f>G13*(1+AP13)</f>
        <v>34455.468051999997</v>
      </c>
      <c r="AC13" s="409" t="s">
        <v>751</v>
      </c>
      <c r="AD13" s="950">
        <f>AA13*(1+AQ13)</f>
        <v>38872.659056266399</v>
      </c>
      <c r="AF13" s="613"/>
      <c r="AH13" s="951">
        <f>E13/C13-1</f>
        <v>0.11359797640218594</v>
      </c>
      <c r="AI13" s="951">
        <f>G13/E13-1</f>
        <v>0.11359760821810427</v>
      </c>
      <c r="AJ13" s="951">
        <f>G13/C13-1</f>
        <v>0.24010004303799515</v>
      </c>
      <c r="AK13" s="633"/>
      <c r="AL13" s="952">
        <v>0.33659114630388109</v>
      </c>
      <c r="AM13" s="633"/>
      <c r="AN13" s="953">
        <f>((1+AL13)/(1+AJ13))-1</f>
        <v>7.7809128229285651E-2</v>
      </c>
      <c r="AO13" s="633"/>
      <c r="AP13" s="954">
        <v>0.12809999999999999</v>
      </c>
      <c r="AQ13" s="954">
        <v>0.12820000000000001</v>
      </c>
      <c r="AR13" s="954">
        <f>((1+AP13)*(1+AQ13))-1</f>
        <v>0.27272242000000002</v>
      </c>
      <c r="AS13" s="633"/>
      <c r="AT13" s="951">
        <f>(AD13/C13)-1</f>
        <v>0.57830312781742133</v>
      </c>
      <c r="AV13" s="634"/>
      <c r="AX13" s="614">
        <f t="shared" ref="AX13:AZ16" si="1">$G13*S13</f>
        <v>8949075.5599999987</v>
      </c>
      <c r="AY13" s="614">
        <f t="shared" si="1"/>
        <v>17592721.919999998</v>
      </c>
      <c r="AZ13" s="614">
        <f t="shared" si="1"/>
        <v>2687776.96</v>
      </c>
      <c r="BA13" s="614">
        <f>AX13+AY13+AZ13</f>
        <v>29229574.439999998</v>
      </c>
      <c r="BC13" s="614">
        <f t="shared" ref="BC13:BE16" si="2">$AA13*S13</f>
        <v>10095452.139235999</v>
      </c>
      <c r="BD13" s="614">
        <f t="shared" si="2"/>
        <v>19846349.597951997</v>
      </c>
      <c r="BE13" s="614">
        <f t="shared" si="2"/>
        <v>3032081.1885759998</v>
      </c>
      <c r="BF13" s="614">
        <f>BC13+BD13+BE13</f>
        <v>32973882.925763994</v>
      </c>
      <c r="BH13" s="614">
        <f t="shared" ref="BH13:BJ16" si="3">$AD13*S13</f>
        <v>11389689.103486056</v>
      </c>
      <c r="BI13" s="614">
        <f t="shared" si="3"/>
        <v>22390651.616409447</v>
      </c>
      <c r="BJ13" s="614">
        <f t="shared" si="3"/>
        <v>3420793.9969514431</v>
      </c>
      <c r="BK13" s="614">
        <f>BH13+BI13+BJ13</f>
        <v>37201134.71684695</v>
      </c>
    </row>
    <row r="14" spans="1:63" s="409" customFormat="1" ht="20.100000000000001" customHeight="1" x14ac:dyDescent="0.25">
      <c r="A14" s="409" t="s">
        <v>754</v>
      </c>
      <c r="C14" s="635">
        <v>21877.119999999999</v>
      </c>
      <c r="E14" s="635">
        <v>23764.63</v>
      </c>
      <c r="G14" s="635">
        <v>25815</v>
      </c>
      <c r="H14" s="628"/>
      <c r="I14" s="947">
        <f t="shared" ref="I14:I16" si="4">G14</f>
        <v>25815</v>
      </c>
      <c r="J14" s="376"/>
      <c r="K14" s="629"/>
      <c r="L14" s="376"/>
      <c r="M14" s="948" t="s">
        <v>752</v>
      </c>
      <c r="N14" s="948" t="s">
        <v>755</v>
      </c>
      <c r="O14" s="949">
        <v>109</v>
      </c>
      <c r="P14" s="949">
        <v>56</v>
      </c>
      <c r="Q14" s="949">
        <v>33</v>
      </c>
      <c r="R14" s="376"/>
      <c r="S14" s="630">
        <f t="shared" ref="S14:S16" si="5">O14</f>
        <v>109</v>
      </c>
      <c r="T14" s="630">
        <f t="shared" si="0"/>
        <v>56</v>
      </c>
      <c r="U14" s="630">
        <f t="shared" si="0"/>
        <v>33</v>
      </c>
      <c r="V14" s="631">
        <f t="shared" ref="V14:V16" si="6">S14+T14+U14</f>
        <v>198</v>
      </c>
      <c r="W14" s="632"/>
      <c r="X14" s="613"/>
      <c r="Z14" s="409" t="s">
        <v>754</v>
      </c>
      <c r="AA14" s="635">
        <f t="shared" ref="AA14:AA16" si="7">G14*(1+AP14)</f>
        <v>28912.800000000003</v>
      </c>
      <c r="AC14" s="409" t="s">
        <v>754</v>
      </c>
      <c r="AD14" s="635">
        <f t="shared" ref="AD14:AD16" si="8">AA14*(1+AQ14)</f>
        <v>32382.336000000007</v>
      </c>
      <c r="AF14" s="613"/>
      <c r="AH14" s="636">
        <f t="shared" ref="AH14:AH16" si="9">E14/C14-1</f>
        <v>8.6277809876254441E-2</v>
      </c>
      <c r="AI14" s="636">
        <f t="shared" ref="AI14:AI16" si="10">G14/E14-1</f>
        <v>8.6278221036893754E-2</v>
      </c>
      <c r="AJ14" s="636">
        <f t="shared" ref="AJ14:AJ16" si="11">G14/C14-1</f>
        <v>0.17999992686423072</v>
      </c>
      <c r="AK14" s="633"/>
      <c r="AL14" s="637">
        <v>0.27043057822926486</v>
      </c>
      <c r="AM14" s="633"/>
      <c r="AN14" s="638">
        <f t="shared" ref="AN14:AN15" si="12">((1+AL14)/(1+AJ14))-1</f>
        <v>7.6636149974472767E-2</v>
      </c>
      <c r="AO14" s="633"/>
      <c r="AP14" s="639">
        <v>0.12</v>
      </c>
      <c r="AQ14" s="639">
        <v>0.12</v>
      </c>
      <c r="AR14" s="639">
        <f t="shared" ref="AR14:AR16" si="13">((1+AP14)*(1+AQ14))-1</f>
        <v>0.25440000000000018</v>
      </c>
      <c r="AS14" s="633"/>
      <c r="AT14" s="636">
        <f t="shared" ref="AT14:AT16" si="14">(AD14/C14)-1</f>
        <v>0.48019190825849134</v>
      </c>
      <c r="AV14" s="634"/>
      <c r="AX14" s="614">
        <f t="shared" si="1"/>
        <v>2813835</v>
      </c>
      <c r="AY14" s="614">
        <f t="shared" si="1"/>
        <v>1445640</v>
      </c>
      <c r="AZ14" s="614">
        <f t="shared" si="1"/>
        <v>851895</v>
      </c>
      <c r="BA14" s="614">
        <f t="shared" ref="BA14:BA16" si="15">AX14+AY14+AZ14</f>
        <v>5111370</v>
      </c>
      <c r="BC14" s="614">
        <f t="shared" si="2"/>
        <v>3151495.2</v>
      </c>
      <c r="BD14" s="614">
        <f t="shared" si="2"/>
        <v>1619116.8000000003</v>
      </c>
      <c r="BE14" s="614">
        <f t="shared" si="2"/>
        <v>954122.40000000014</v>
      </c>
      <c r="BF14" s="614">
        <f t="shared" ref="BF14:BF16" si="16">BC14+BD14+BE14</f>
        <v>5724734.4000000004</v>
      </c>
      <c r="BH14" s="614">
        <f t="shared" si="3"/>
        <v>3529674.6240000008</v>
      </c>
      <c r="BI14" s="614">
        <f t="shared" si="3"/>
        <v>1813410.8160000003</v>
      </c>
      <c r="BJ14" s="614">
        <f t="shared" si="3"/>
        <v>1068617.0880000002</v>
      </c>
      <c r="BK14" s="614">
        <f t="shared" ref="BK14:BK16" si="17">BH14+BI14+BJ14</f>
        <v>6411702.5280000018</v>
      </c>
    </row>
    <row r="15" spans="1:63" s="409" customFormat="1" ht="20.100000000000001" customHeight="1" x14ac:dyDescent="0.25">
      <c r="A15" s="409" t="s">
        <v>756</v>
      </c>
      <c r="C15" s="635">
        <v>18716.77</v>
      </c>
      <c r="E15" s="635">
        <v>20331.29</v>
      </c>
      <c r="G15" s="635">
        <v>22085.08</v>
      </c>
      <c r="H15" s="628"/>
      <c r="I15" s="947">
        <f t="shared" si="4"/>
        <v>22085.08</v>
      </c>
      <c r="J15" s="376"/>
      <c r="K15" s="629"/>
      <c r="L15" s="376"/>
      <c r="M15" s="948" t="s">
        <v>752</v>
      </c>
      <c r="N15" s="948" t="s">
        <v>757</v>
      </c>
      <c r="O15" s="949">
        <v>266</v>
      </c>
      <c r="P15" s="949">
        <v>7</v>
      </c>
      <c r="Q15" s="949">
        <v>11</v>
      </c>
      <c r="R15" s="376"/>
      <c r="S15" s="630">
        <f t="shared" si="5"/>
        <v>266</v>
      </c>
      <c r="T15" s="630">
        <f t="shared" si="0"/>
        <v>7</v>
      </c>
      <c r="U15" s="630">
        <f t="shared" si="0"/>
        <v>11</v>
      </c>
      <c r="V15" s="631">
        <f t="shared" si="6"/>
        <v>284</v>
      </c>
      <c r="W15" s="632"/>
      <c r="X15" s="613"/>
      <c r="Z15" s="409" t="s">
        <v>756</v>
      </c>
      <c r="AA15" s="635">
        <f t="shared" si="7"/>
        <v>24735.289600000004</v>
      </c>
      <c r="AC15" s="409" t="s">
        <v>756</v>
      </c>
      <c r="AD15" s="635">
        <f t="shared" si="8"/>
        <v>27703.524352000008</v>
      </c>
      <c r="AF15" s="613"/>
      <c r="AH15" s="636">
        <f t="shared" si="9"/>
        <v>8.6260610137325999E-2</v>
      </c>
      <c r="AI15" s="636">
        <f t="shared" si="10"/>
        <v>8.626063569994824E-2</v>
      </c>
      <c r="AJ15" s="636">
        <f t="shared" si="11"/>
        <v>0.17996214090358542</v>
      </c>
      <c r="AK15" s="633"/>
      <c r="AL15" s="637">
        <v>0.27043075228759728</v>
      </c>
      <c r="AM15" s="633"/>
      <c r="AN15" s="638">
        <f t="shared" si="12"/>
        <v>7.6670774635814398E-2</v>
      </c>
      <c r="AO15" s="633"/>
      <c r="AP15" s="639">
        <v>0.12</v>
      </c>
      <c r="AQ15" s="639">
        <v>0.12</v>
      </c>
      <c r="AR15" s="639">
        <f t="shared" si="13"/>
        <v>0.25440000000000018</v>
      </c>
      <c r="AS15" s="633"/>
      <c r="AT15" s="636">
        <f t="shared" si="14"/>
        <v>0.48014450954945787</v>
      </c>
      <c r="AV15" s="634"/>
      <c r="AX15" s="614">
        <f t="shared" si="1"/>
        <v>5874631.2800000003</v>
      </c>
      <c r="AY15" s="614">
        <f t="shared" si="1"/>
        <v>154595.56</v>
      </c>
      <c r="AZ15" s="614">
        <f t="shared" si="1"/>
        <v>242935.88</v>
      </c>
      <c r="BA15" s="614">
        <f t="shared" si="15"/>
        <v>6272162.7199999997</v>
      </c>
      <c r="BC15" s="614">
        <f t="shared" si="2"/>
        <v>6579587.0336000007</v>
      </c>
      <c r="BD15" s="614">
        <f t="shared" si="2"/>
        <v>173147.02720000001</v>
      </c>
      <c r="BE15" s="614">
        <f t="shared" si="2"/>
        <v>272088.18560000003</v>
      </c>
      <c r="BF15" s="614">
        <f t="shared" si="16"/>
        <v>7024822.2464000015</v>
      </c>
      <c r="BH15" s="614">
        <f t="shared" si="3"/>
        <v>7369137.477632002</v>
      </c>
      <c r="BI15" s="614">
        <f t="shared" si="3"/>
        <v>193924.67046400005</v>
      </c>
      <c r="BJ15" s="614">
        <f t="shared" si="3"/>
        <v>304738.76787200011</v>
      </c>
      <c r="BK15" s="614">
        <f t="shared" si="17"/>
        <v>7867800.9159680018</v>
      </c>
    </row>
    <row r="16" spans="1:63" s="409" customFormat="1" ht="20.100000000000001" customHeight="1" x14ac:dyDescent="0.25">
      <c r="A16" s="410" t="s">
        <v>758</v>
      </c>
      <c r="C16" s="640">
        <v>18177.32</v>
      </c>
      <c r="E16" s="640">
        <v>19745.63</v>
      </c>
      <c r="G16" s="640">
        <v>21449.24</v>
      </c>
      <c r="H16" s="641"/>
      <c r="I16" s="947">
        <f t="shared" si="4"/>
        <v>21449.24</v>
      </c>
      <c r="K16" s="613"/>
      <c r="L16" s="389"/>
      <c r="M16" s="948" t="s">
        <v>752</v>
      </c>
      <c r="N16" s="948" t="s">
        <v>759</v>
      </c>
      <c r="O16" s="949">
        <v>2</v>
      </c>
      <c r="P16" s="949">
        <v>1</v>
      </c>
      <c r="Q16" s="949">
        <v>1</v>
      </c>
      <c r="R16" s="389"/>
      <c r="S16" s="630">
        <f t="shared" si="5"/>
        <v>2</v>
      </c>
      <c r="T16" s="630">
        <f t="shared" si="0"/>
        <v>1</v>
      </c>
      <c r="U16" s="630">
        <f t="shared" si="0"/>
        <v>1</v>
      </c>
      <c r="V16" s="631">
        <f t="shared" si="6"/>
        <v>4</v>
      </c>
      <c r="W16" s="632"/>
      <c r="X16" s="613"/>
      <c r="Z16" s="410" t="s">
        <v>758</v>
      </c>
      <c r="AA16" s="642">
        <f t="shared" si="7"/>
        <v>23926.627220000002</v>
      </c>
      <c r="AC16" s="410" t="s">
        <v>758</v>
      </c>
      <c r="AD16" s="642">
        <f t="shared" si="8"/>
        <v>26690.152663910001</v>
      </c>
      <c r="AF16" s="613"/>
      <c r="AH16" s="643">
        <f t="shared" si="9"/>
        <v>8.6278395274991038E-2</v>
      </c>
      <c r="AI16" s="643">
        <f t="shared" si="10"/>
        <v>8.6277824511043821E-2</v>
      </c>
      <c r="AJ16" s="643">
        <f t="shared" si="11"/>
        <v>0.18000013203266496</v>
      </c>
      <c r="AK16" s="633"/>
      <c r="AL16" s="644">
        <v>0.17469317605308632</v>
      </c>
      <c r="AM16" s="633"/>
      <c r="AN16" s="645">
        <v>0</v>
      </c>
      <c r="AO16" s="633"/>
      <c r="AP16" s="646">
        <v>0.11550000000000001</v>
      </c>
      <c r="AQ16" s="646">
        <v>0.11550000000000001</v>
      </c>
      <c r="AR16" s="646">
        <f t="shared" si="13"/>
        <v>0.24434024999999981</v>
      </c>
      <c r="AS16" s="633"/>
      <c r="AT16" s="643">
        <f t="shared" si="14"/>
        <v>0.46832165929355929</v>
      </c>
      <c r="AV16" s="634"/>
      <c r="AX16" s="614">
        <f t="shared" si="1"/>
        <v>42898.48</v>
      </c>
      <c r="AY16" s="614">
        <f t="shared" si="1"/>
        <v>21449.24</v>
      </c>
      <c r="AZ16" s="614">
        <f t="shared" si="1"/>
        <v>21449.24</v>
      </c>
      <c r="BA16" s="614">
        <f t="shared" si="15"/>
        <v>85796.96</v>
      </c>
      <c r="BC16" s="614">
        <f t="shared" si="2"/>
        <v>47853.254440000004</v>
      </c>
      <c r="BD16" s="614">
        <f t="shared" si="2"/>
        <v>23926.627220000002</v>
      </c>
      <c r="BE16" s="614">
        <f t="shared" si="2"/>
        <v>23926.627220000002</v>
      </c>
      <c r="BF16" s="614">
        <f t="shared" si="16"/>
        <v>95706.508880000009</v>
      </c>
      <c r="BH16" s="614">
        <f t="shared" si="3"/>
        <v>53380.305327820002</v>
      </c>
      <c r="BI16" s="614">
        <f t="shared" si="3"/>
        <v>26690.152663910001</v>
      </c>
      <c r="BJ16" s="614">
        <f t="shared" si="3"/>
        <v>26690.152663910001</v>
      </c>
      <c r="BK16" s="614">
        <f t="shared" si="17"/>
        <v>106760.61065564</v>
      </c>
    </row>
    <row r="17" spans="1:63" s="376" customFormat="1" ht="21.75" customHeight="1" x14ac:dyDescent="0.25">
      <c r="A17" s="1368" t="s">
        <v>760</v>
      </c>
      <c r="B17" s="1368"/>
      <c r="C17" s="1368"/>
      <c r="D17" s="1368"/>
      <c r="E17" s="1368"/>
      <c r="F17" s="1368"/>
      <c r="G17" s="1368"/>
      <c r="K17" s="629"/>
      <c r="S17" s="955">
        <f>SUM(S13:S16)</f>
        <v>670</v>
      </c>
      <c r="T17" s="955">
        <f t="shared" ref="T17:V17" si="18">SUM(T13:T16)</f>
        <v>640</v>
      </c>
      <c r="U17" s="955">
        <f t="shared" si="18"/>
        <v>133</v>
      </c>
      <c r="V17" s="955">
        <f t="shared" si="18"/>
        <v>1443</v>
      </c>
      <c r="W17" s="647"/>
      <c r="X17" s="629"/>
      <c r="AF17" s="629"/>
      <c r="AV17" s="648"/>
      <c r="AX17" s="956">
        <f>SUM(AX13:AX16)</f>
        <v>17680440.32</v>
      </c>
      <c r="AY17" s="956">
        <f t="shared" ref="AY17:BA17" si="19">SUM(AY13:AY16)</f>
        <v>19214406.719999995</v>
      </c>
      <c r="AZ17" s="956">
        <f t="shared" si="19"/>
        <v>3804057.08</v>
      </c>
      <c r="BA17" s="956">
        <f t="shared" si="19"/>
        <v>40698904.119999997</v>
      </c>
      <c r="BC17" s="956">
        <f>SUM(BC13:BC16)</f>
        <v>19874387.627276</v>
      </c>
      <c r="BD17" s="956">
        <f t="shared" ref="BD17:BF17" si="20">SUM(BD13:BD16)</f>
        <v>21662540.052371997</v>
      </c>
      <c r="BE17" s="956">
        <f t="shared" si="20"/>
        <v>4282218.4013960008</v>
      </c>
      <c r="BF17" s="956">
        <f t="shared" si="20"/>
        <v>45819146.081043988</v>
      </c>
      <c r="BH17" s="956">
        <f>SUM(BH13:BH16)</f>
        <v>22341881.510445878</v>
      </c>
      <c r="BI17" s="956">
        <f t="shared" ref="BI17:BK17" si="21">SUM(BI13:BI16)</f>
        <v>24424677.255537357</v>
      </c>
      <c r="BJ17" s="956">
        <f t="shared" si="21"/>
        <v>4820840.0054873535</v>
      </c>
      <c r="BK17" s="956">
        <f t="shared" si="21"/>
        <v>51587398.771470599</v>
      </c>
    </row>
    <row r="18" spans="1:63" ht="20.25" customHeight="1" x14ac:dyDescent="0.25">
      <c r="A18" s="1368" t="s">
        <v>761</v>
      </c>
      <c r="B18" s="1368"/>
      <c r="C18" s="1368"/>
      <c r="D18" s="1368"/>
      <c r="E18" s="1368"/>
      <c r="F18" s="1368"/>
      <c r="G18" s="1368"/>
      <c r="S18" s="649"/>
      <c r="T18" s="649"/>
      <c r="U18" s="649"/>
      <c r="V18" s="650"/>
      <c r="W18" s="651"/>
      <c r="AL18" s="652"/>
      <c r="AN18" s="652"/>
      <c r="AV18" s="653"/>
    </row>
    <row r="19" spans="1:63" s="654" customFormat="1" hidden="1" x14ac:dyDescent="0.25">
      <c r="A19" s="591" t="s">
        <v>712</v>
      </c>
      <c r="B19" s="591"/>
      <c r="C19" s="591"/>
      <c r="D19" s="591"/>
      <c r="E19" s="591"/>
      <c r="F19" s="591"/>
      <c r="K19" s="655"/>
      <c r="S19" s="656"/>
      <c r="T19" s="656"/>
      <c r="U19" s="656"/>
      <c r="V19" s="657"/>
      <c r="W19" s="658"/>
      <c r="X19" s="655"/>
      <c r="AF19" s="655"/>
      <c r="AL19" s="652"/>
      <c r="AM19" s="596"/>
      <c r="AN19" s="652"/>
      <c r="AV19" s="659"/>
      <c r="AX19" s="660"/>
      <c r="AY19" s="660"/>
      <c r="AZ19" s="660"/>
      <c r="BA19" s="660"/>
      <c r="BC19" s="660"/>
      <c r="BD19" s="660"/>
      <c r="BE19" s="660"/>
      <c r="BF19" s="660"/>
      <c r="BH19" s="660"/>
      <c r="BI19" s="660"/>
      <c r="BJ19" s="660"/>
      <c r="BK19" s="660"/>
    </row>
    <row r="20" spans="1:63" s="654" customFormat="1" ht="2.25" customHeight="1" x14ac:dyDescent="0.25">
      <c r="A20" s="591"/>
      <c r="B20" s="591"/>
      <c r="C20" s="591"/>
      <c r="D20" s="591"/>
      <c r="E20" s="591"/>
      <c r="F20" s="591"/>
      <c r="K20" s="655"/>
      <c r="S20" s="656"/>
      <c r="T20" s="656"/>
      <c r="U20" s="656"/>
      <c r="V20" s="657"/>
      <c r="W20" s="658"/>
      <c r="X20" s="655"/>
      <c r="AF20" s="655"/>
      <c r="AL20" s="661">
        <f>C13*(1+AL13)</f>
        <v>32919.437978776812</v>
      </c>
      <c r="AM20" s="662"/>
      <c r="AN20" s="661">
        <f>G13*(1+AN13)</f>
        <v>32919.437978776812</v>
      </c>
      <c r="AO20" s="662"/>
      <c r="AP20" s="663">
        <f>AD13</f>
        <v>38872.659056266399</v>
      </c>
      <c r="AV20" s="659"/>
      <c r="AX20" s="660"/>
      <c r="AY20" s="660"/>
      <c r="AZ20" s="660"/>
      <c r="BA20" s="660"/>
      <c r="BC20" s="660"/>
      <c r="BD20" s="660"/>
      <c r="BE20" s="660"/>
      <c r="BF20" s="660"/>
      <c r="BH20" s="660"/>
      <c r="BI20" s="660"/>
      <c r="BJ20" s="660"/>
      <c r="BK20" s="660"/>
    </row>
    <row r="21" spans="1:63" s="654" customFormat="1" x14ac:dyDescent="0.25">
      <c r="A21" s="599" t="s">
        <v>715</v>
      </c>
      <c r="B21" s="599"/>
      <c r="C21" s="599"/>
      <c r="D21" s="599"/>
      <c r="E21" s="599"/>
      <c r="F21" s="599"/>
      <c r="K21" s="655"/>
      <c r="S21" s="656"/>
      <c r="T21" s="656"/>
      <c r="U21" s="656"/>
      <c r="V21" s="657"/>
      <c r="W21" s="658"/>
      <c r="X21" s="655"/>
      <c r="AF21" s="655"/>
      <c r="AL21" s="661">
        <f t="shared" ref="AL21:AL23" si="22">C14*(1+AL14)</f>
        <v>27793.362211591015</v>
      </c>
      <c r="AM21" s="662"/>
      <c r="AN21" s="661">
        <f t="shared" ref="AN21:AN23" si="23">G14*(1+AN14)</f>
        <v>27793.362211591015</v>
      </c>
      <c r="AO21" s="662"/>
      <c r="AP21" s="663">
        <f t="shared" ref="AP21:AP23" si="24">AD14</f>
        <v>32382.336000000007</v>
      </c>
      <c r="AV21" s="659"/>
      <c r="AX21" s="660"/>
      <c r="AY21" s="660"/>
      <c r="AZ21" s="660"/>
      <c r="BA21" s="660"/>
      <c r="BC21" s="660"/>
      <c r="BD21" s="660"/>
      <c r="BE21" s="660"/>
      <c r="BF21" s="660"/>
      <c r="BH21" s="660"/>
      <c r="BI21" s="660"/>
      <c r="BJ21" s="660"/>
      <c r="BK21" s="660"/>
    </row>
    <row r="22" spans="1:63" s="654" customFormat="1" x14ac:dyDescent="0.25">
      <c r="A22" s="599" t="s">
        <v>762</v>
      </c>
      <c r="B22" s="599"/>
      <c r="C22" s="599"/>
      <c r="D22" s="599"/>
      <c r="E22" s="599"/>
      <c r="F22" s="599"/>
      <c r="G22" s="664"/>
      <c r="H22" s="664"/>
      <c r="I22" s="664"/>
      <c r="J22" s="664"/>
      <c r="K22" s="665"/>
      <c r="L22" s="664"/>
      <c r="M22" s="664"/>
      <c r="N22" s="664"/>
      <c r="O22" s="664"/>
      <c r="P22" s="664"/>
      <c r="Q22" s="664"/>
      <c r="R22" s="664"/>
      <c r="S22" s="666"/>
      <c r="T22" s="656"/>
      <c r="U22" s="656"/>
      <c r="V22" s="657"/>
      <c r="W22" s="658"/>
      <c r="X22" s="655"/>
      <c r="AF22" s="655"/>
      <c r="AL22" s="661">
        <f t="shared" si="22"/>
        <v>23778.360191493932</v>
      </c>
      <c r="AM22" s="662"/>
      <c r="AN22" s="661">
        <f t="shared" si="23"/>
        <v>23778.360191493935</v>
      </c>
      <c r="AO22" s="662"/>
      <c r="AP22" s="663">
        <f t="shared" si="24"/>
        <v>27703.524352000008</v>
      </c>
      <c r="AV22" s="659"/>
      <c r="AX22" s="660"/>
      <c r="AY22" s="660"/>
      <c r="AZ22" s="660"/>
      <c r="BA22" s="660"/>
      <c r="BC22" s="660"/>
      <c r="BD22" s="660"/>
      <c r="BE22" s="660"/>
      <c r="BF22" s="660"/>
      <c r="BH22" s="660"/>
      <c r="BI22" s="660"/>
      <c r="BJ22" s="660"/>
      <c r="BK22" s="660"/>
    </row>
    <row r="23" spans="1:63" s="654" customFormat="1" x14ac:dyDescent="0.25">
      <c r="A23" s="599" t="s">
        <v>763</v>
      </c>
      <c r="B23" s="599"/>
      <c r="C23" s="599"/>
      <c r="D23" s="599"/>
      <c r="E23" s="599"/>
      <c r="F23" s="599"/>
      <c r="G23" s="664"/>
      <c r="H23" s="664"/>
      <c r="I23" s="664"/>
      <c r="J23" s="664"/>
      <c r="K23" s="665"/>
      <c r="L23" s="664"/>
      <c r="M23" s="664"/>
      <c r="N23" s="664"/>
      <c r="O23" s="664"/>
      <c r="P23" s="664"/>
      <c r="Q23" s="664"/>
      <c r="R23" s="664"/>
      <c r="S23" s="666"/>
      <c r="T23" s="666"/>
      <c r="U23" s="656"/>
      <c r="V23" s="657"/>
      <c r="W23" s="658"/>
      <c r="X23" s="655"/>
      <c r="AF23" s="655"/>
      <c r="AL23" s="661">
        <f t="shared" si="22"/>
        <v>21352.773762933288</v>
      </c>
      <c r="AM23" s="662"/>
      <c r="AN23" s="667">
        <f t="shared" si="23"/>
        <v>21449.24</v>
      </c>
      <c r="AO23" s="662"/>
      <c r="AP23" s="663">
        <f t="shared" si="24"/>
        <v>26690.152663910001</v>
      </c>
      <c r="AV23" s="659"/>
      <c r="AX23" s="660"/>
      <c r="AY23" s="660"/>
      <c r="AZ23" s="660"/>
      <c r="BA23" s="660"/>
      <c r="BC23" s="660"/>
      <c r="BD23" s="660"/>
      <c r="BE23" s="660"/>
      <c r="BF23" s="660"/>
      <c r="BH23" s="660"/>
      <c r="BI23" s="660"/>
      <c r="BJ23" s="660"/>
      <c r="BK23" s="660"/>
    </row>
    <row r="24" spans="1:63" s="654" customFormat="1" x14ac:dyDescent="0.25">
      <c r="A24" s="599" t="s">
        <v>764</v>
      </c>
      <c r="B24" s="599"/>
      <c r="C24" s="599"/>
      <c r="D24" s="599"/>
      <c r="E24" s="599"/>
      <c r="F24" s="599"/>
      <c r="G24" s="664"/>
      <c r="H24" s="664"/>
      <c r="I24" s="664"/>
      <c r="J24" s="664"/>
      <c r="K24" s="665"/>
      <c r="L24" s="664"/>
      <c r="M24" s="664"/>
      <c r="N24" s="664"/>
      <c r="O24" s="664"/>
      <c r="P24" s="664"/>
      <c r="Q24" s="664"/>
      <c r="R24" s="664"/>
      <c r="S24" s="666"/>
      <c r="T24" s="666"/>
      <c r="U24" s="656"/>
      <c r="V24" s="657"/>
      <c r="W24" s="658"/>
      <c r="X24" s="655"/>
      <c r="AF24" s="655"/>
      <c r="AL24" s="662"/>
      <c r="AM24" s="662"/>
      <c r="AN24" s="662"/>
      <c r="AO24" s="662"/>
      <c r="AP24" s="662"/>
      <c r="AV24" s="659"/>
      <c r="AX24" s="660"/>
      <c r="AY24" s="660"/>
      <c r="AZ24" s="660"/>
      <c r="BA24" s="660"/>
      <c r="BC24" s="660"/>
      <c r="BD24" s="660"/>
      <c r="BE24" s="660"/>
      <c r="BF24" s="660"/>
      <c r="BH24" s="660"/>
      <c r="BI24" s="660"/>
      <c r="BJ24" s="660"/>
      <c r="BK24" s="660"/>
    </row>
    <row r="25" spans="1:63" s="654" customFormat="1" x14ac:dyDescent="0.25">
      <c r="A25" s="599" t="s">
        <v>765</v>
      </c>
      <c r="B25" s="599"/>
      <c r="C25" s="599"/>
      <c r="D25" s="599"/>
      <c r="E25" s="599"/>
      <c r="F25" s="599"/>
      <c r="G25" s="664"/>
      <c r="H25" s="664"/>
      <c r="I25" s="664"/>
      <c r="J25" s="664"/>
      <c r="K25" s="665"/>
      <c r="L25" s="664"/>
      <c r="M25" s="664"/>
      <c r="N25" s="664"/>
      <c r="O25" s="664"/>
      <c r="P25" s="664"/>
      <c r="Q25" s="664"/>
      <c r="R25" s="664"/>
      <c r="S25" s="666"/>
      <c r="T25" s="666"/>
      <c r="U25" s="656"/>
      <c r="V25" s="657"/>
      <c r="W25" s="658"/>
      <c r="X25" s="655"/>
      <c r="AF25" s="655"/>
      <c r="AV25" s="659"/>
      <c r="AX25" s="660"/>
      <c r="AY25" s="660"/>
      <c r="AZ25" s="660"/>
      <c r="BA25" s="660"/>
      <c r="BC25" s="660"/>
      <c r="BD25" s="660"/>
      <c r="BE25" s="660"/>
      <c r="BF25" s="660"/>
      <c r="BH25" s="660"/>
      <c r="BI25" s="660"/>
      <c r="BJ25" s="660"/>
      <c r="BK25" s="660"/>
    </row>
    <row r="26" spans="1:63" ht="6" customHeight="1" x14ac:dyDescent="0.25">
      <c r="A26" s="668"/>
      <c r="B26" s="668"/>
      <c r="K26" s="596"/>
      <c r="V26" s="594"/>
      <c r="AV26" s="653"/>
    </row>
    <row r="27" spans="1:63" s="409" customFormat="1" ht="12.75" customHeight="1" x14ac:dyDescent="0.25">
      <c r="A27" s="408"/>
      <c r="B27" s="408"/>
      <c r="C27" s="607" t="s">
        <v>720</v>
      </c>
      <c r="D27" s="605"/>
      <c r="E27" s="607" t="s">
        <v>721</v>
      </c>
      <c r="F27" s="605"/>
      <c r="G27" s="607" t="s">
        <v>722</v>
      </c>
      <c r="H27" s="608"/>
      <c r="I27" s="608"/>
      <c r="J27" s="608"/>
      <c r="K27" s="609"/>
      <c r="L27" s="608"/>
      <c r="M27" s="608"/>
      <c r="N27" s="608"/>
      <c r="O27" s="608"/>
      <c r="P27" s="608"/>
      <c r="Q27" s="608"/>
      <c r="R27" s="608"/>
      <c r="S27" s="610"/>
      <c r="T27" s="610"/>
      <c r="U27" s="611"/>
      <c r="V27" s="595"/>
      <c r="W27" s="596"/>
      <c r="X27" s="597"/>
      <c r="Y27" s="596"/>
      <c r="Z27" s="596"/>
      <c r="AA27" s="607" t="str">
        <f>AA10</f>
        <v>Dezembro/2025</v>
      </c>
      <c r="AB27" s="612"/>
      <c r="AC27" s="612"/>
      <c r="AD27" s="607" t="str">
        <f>AD10</f>
        <v>Janeiro/2026</v>
      </c>
      <c r="AF27" s="613"/>
      <c r="AV27" s="634"/>
      <c r="AX27" s="614"/>
      <c r="AY27" s="614"/>
      <c r="AZ27" s="614"/>
      <c r="BA27" s="614"/>
      <c r="BC27" s="614"/>
      <c r="BD27" s="614"/>
      <c r="BE27" s="614"/>
      <c r="BF27" s="614"/>
      <c r="BH27" s="614"/>
      <c r="BI27" s="614"/>
      <c r="BJ27" s="614"/>
      <c r="BK27" s="614"/>
    </row>
    <row r="28" spans="1:63" s="409" customFormat="1" ht="38.25" x14ac:dyDescent="0.25">
      <c r="A28" s="1370" t="str">
        <f>A11</f>
        <v>Categoria</v>
      </c>
      <c r="B28" s="615"/>
      <c r="C28" s="1283" t="s">
        <v>726</v>
      </c>
      <c r="D28" s="615"/>
      <c r="E28" s="1283" t="s">
        <v>726</v>
      </c>
      <c r="F28" s="615"/>
      <c r="G28" s="1283" t="s">
        <v>726</v>
      </c>
      <c r="H28" s="616"/>
      <c r="I28" s="617" t="s">
        <v>727</v>
      </c>
      <c r="J28" s="376"/>
      <c r="K28" s="629"/>
      <c r="L28" s="376"/>
      <c r="M28" s="376"/>
      <c r="N28" s="376"/>
      <c r="O28" s="376"/>
      <c r="P28" s="376"/>
      <c r="Q28" s="376"/>
      <c r="R28" s="376"/>
      <c r="S28" s="1377" t="s">
        <v>272</v>
      </c>
      <c r="T28" s="1377"/>
      <c r="U28" s="1377"/>
      <c r="V28" s="1377"/>
      <c r="W28" s="632"/>
      <c r="X28" s="613"/>
      <c r="Z28" s="1370" t="s">
        <v>728</v>
      </c>
      <c r="AA28" s="1283" t="s">
        <v>726</v>
      </c>
      <c r="AC28" s="1370" t="s">
        <v>728</v>
      </c>
      <c r="AD28" s="1283" t="s">
        <v>726</v>
      </c>
      <c r="AF28" s="613"/>
      <c r="AH28" s="1372" t="s">
        <v>729</v>
      </c>
      <c r="AI28" s="1373"/>
      <c r="AJ28" s="1373"/>
      <c r="AK28" s="618"/>
      <c r="AL28" s="945" t="s">
        <v>730</v>
      </c>
      <c r="AM28" s="618"/>
      <c r="AN28" s="1372" t="s">
        <v>731</v>
      </c>
      <c r="AO28" s="616"/>
      <c r="AP28" s="1373" t="s">
        <v>732</v>
      </c>
      <c r="AQ28" s="1373"/>
      <c r="AR28" s="1373"/>
      <c r="AS28" s="616"/>
      <c r="AT28" s="1372" t="s">
        <v>733</v>
      </c>
      <c r="AV28" s="634"/>
      <c r="AX28" s="1376" t="s">
        <v>734</v>
      </c>
      <c r="AY28" s="1376"/>
      <c r="AZ28" s="1376"/>
      <c r="BA28" s="1376"/>
      <c r="BC28" s="1376" t="s">
        <v>735</v>
      </c>
      <c r="BD28" s="1376"/>
      <c r="BE28" s="1376"/>
      <c r="BF28" s="1376"/>
      <c r="BH28" s="1376" t="s">
        <v>736</v>
      </c>
      <c r="BI28" s="1376"/>
      <c r="BJ28" s="1376"/>
      <c r="BK28" s="1376"/>
    </row>
    <row r="29" spans="1:63" s="616" customFormat="1" ht="30" customHeight="1" x14ac:dyDescent="0.25">
      <c r="A29" s="1371"/>
      <c r="B29" s="615"/>
      <c r="C29" s="1369"/>
      <c r="D29" s="615"/>
      <c r="E29" s="1369"/>
      <c r="F29" s="615"/>
      <c r="G29" s="1369"/>
      <c r="I29" s="622" t="s">
        <v>737</v>
      </c>
      <c r="K29" s="620"/>
      <c r="M29" s="946" t="s">
        <v>738</v>
      </c>
      <c r="N29" s="946" t="s">
        <v>739</v>
      </c>
      <c r="O29" s="946" t="s">
        <v>740</v>
      </c>
      <c r="P29" s="946" t="s">
        <v>741</v>
      </c>
      <c r="Q29" s="946" t="s">
        <v>742</v>
      </c>
      <c r="S29" s="669" t="s">
        <v>32</v>
      </c>
      <c r="T29" s="669" t="s">
        <v>743</v>
      </c>
      <c r="U29" s="669" t="s">
        <v>744</v>
      </c>
      <c r="V29" s="669" t="s">
        <v>13</v>
      </c>
      <c r="W29" s="670"/>
      <c r="X29" s="620"/>
      <c r="Z29" s="1371"/>
      <c r="AA29" s="1369"/>
      <c r="AC29" s="1371"/>
      <c r="AD29" s="1369"/>
      <c r="AF29" s="620"/>
      <c r="AH29" s="624" t="s">
        <v>745</v>
      </c>
      <c r="AI29" s="624" t="s">
        <v>746</v>
      </c>
      <c r="AJ29" s="624" t="s">
        <v>747</v>
      </c>
      <c r="AK29" s="625"/>
      <c r="AL29" s="624" t="s">
        <v>748</v>
      </c>
      <c r="AM29" s="625"/>
      <c r="AN29" s="1375"/>
      <c r="AO29" s="625"/>
      <c r="AP29" s="624" t="s">
        <v>749</v>
      </c>
      <c r="AQ29" s="624" t="s">
        <v>750</v>
      </c>
      <c r="AR29" s="626" t="s">
        <v>747</v>
      </c>
      <c r="AT29" s="1375"/>
      <c r="AV29" s="671"/>
      <c r="AX29" s="621" t="s">
        <v>32</v>
      </c>
      <c r="AY29" s="621" t="s">
        <v>283</v>
      </c>
      <c r="AZ29" s="621" t="s">
        <v>744</v>
      </c>
      <c r="BA29" s="621" t="s">
        <v>13</v>
      </c>
      <c r="BC29" s="621" t="s">
        <v>32</v>
      </c>
      <c r="BD29" s="621" t="s">
        <v>283</v>
      </c>
      <c r="BE29" s="621" t="s">
        <v>744</v>
      </c>
      <c r="BF29" s="621" t="s">
        <v>13</v>
      </c>
      <c r="BH29" s="621" t="s">
        <v>32</v>
      </c>
      <c r="BI29" s="621" t="s">
        <v>283</v>
      </c>
      <c r="BJ29" s="621" t="s">
        <v>744</v>
      </c>
      <c r="BK29" s="621" t="s">
        <v>13</v>
      </c>
    </row>
    <row r="30" spans="1:63" s="409" customFormat="1" ht="20.100000000000001" customHeight="1" x14ac:dyDescent="0.25">
      <c r="A30" s="409" t="s">
        <v>751</v>
      </c>
      <c r="C30" s="627">
        <v>14851.63</v>
      </c>
      <c r="E30" s="950">
        <v>16538.740000000002</v>
      </c>
      <c r="G30" s="627">
        <v>18417.509999999998</v>
      </c>
      <c r="H30" s="628"/>
      <c r="I30" s="947">
        <f>G30</f>
        <v>18417.509999999998</v>
      </c>
      <c r="J30" s="376"/>
      <c r="K30" s="629"/>
      <c r="L30" s="376"/>
      <c r="M30" s="948" t="s">
        <v>766</v>
      </c>
      <c r="N30" s="948" t="s">
        <v>753</v>
      </c>
      <c r="O30" s="949">
        <v>1852</v>
      </c>
      <c r="P30" s="949">
        <v>3651</v>
      </c>
      <c r="Q30" s="949">
        <v>838</v>
      </c>
      <c r="R30" s="376"/>
      <c r="S30" s="630">
        <f>O30</f>
        <v>1852</v>
      </c>
      <c r="T30" s="630">
        <f t="shared" ref="T30:U33" si="25">P30</f>
        <v>3651</v>
      </c>
      <c r="U30" s="630">
        <f t="shared" si="25"/>
        <v>838</v>
      </c>
      <c r="V30" s="631">
        <f>S30+T30+U30</f>
        <v>6341</v>
      </c>
      <c r="W30" s="632"/>
      <c r="X30" s="613"/>
      <c r="Z30" s="409" t="s">
        <v>751</v>
      </c>
      <c r="AA30" s="950">
        <f>G30*(1+AP30)</f>
        <v>20776.793030999997</v>
      </c>
      <c r="AC30" s="409" t="s">
        <v>751</v>
      </c>
      <c r="AD30" s="950">
        <f>AA30*(1+AQ30)</f>
        <v>23440.377897574199</v>
      </c>
      <c r="AF30" s="613"/>
      <c r="AH30" s="951">
        <f>E30/C30-1</f>
        <v>0.11359763204442896</v>
      </c>
      <c r="AI30" s="951">
        <f>G30/E30-1</f>
        <v>0.11359813383607187</v>
      </c>
      <c r="AJ30" s="951">
        <f>G30/C30-1</f>
        <v>0.24010024488894488</v>
      </c>
      <c r="AK30" s="633"/>
      <c r="AL30" s="952">
        <v>0.35375746778191264</v>
      </c>
      <c r="AM30" s="633"/>
      <c r="AN30" s="953">
        <f>((1+AL30)/(1+AJ30))-1</f>
        <v>9.1651641358353464E-2</v>
      </c>
      <c r="AO30" s="633"/>
      <c r="AP30" s="954">
        <f>AP13</f>
        <v>0.12809999999999999</v>
      </c>
      <c r="AQ30" s="954">
        <f>AQ13</f>
        <v>0.12820000000000001</v>
      </c>
      <c r="AR30" s="954">
        <f>((1+AP30)*(1+AQ30))-1</f>
        <v>0.27272242000000002</v>
      </c>
      <c r="AS30" s="633"/>
      <c r="AT30" s="951">
        <f>(AD30/C30)-1</f>
        <v>0.57830338471765064</v>
      </c>
      <c r="AV30" s="634"/>
      <c r="AX30" s="614">
        <f>$G30*S30</f>
        <v>34109228.519999996</v>
      </c>
      <c r="AY30" s="614">
        <f>$G30*T30</f>
        <v>67242329.00999999</v>
      </c>
      <c r="AZ30" s="614">
        <f t="shared" ref="AX30:AZ33" si="26">$G30*U30</f>
        <v>15433873.379999999</v>
      </c>
      <c r="BA30" s="614">
        <f>AX30+AY30+AZ30</f>
        <v>116785430.90999998</v>
      </c>
      <c r="BC30" s="614">
        <f t="shared" ref="BC30:BE33" si="27">$AA30*S30</f>
        <v>38478620.693411998</v>
      </c>
      <c r="BD30" s="614">
        <f t="shared" si="27"/>
        <v>75856071.356180996</v>
      </c>
      <c r="BE30" s="614">
        <f t="shared" si="27"/>
        <v>17410952.559977997</v>
      </c>
      <c r="BF30" s="614">
        <f>BC30+BD30+BE30</f>
        <v>131745644.60957099</v>
      </c>
      <c r="BH30" s="614">
        <f t="shared" ref="BH30:BJ33" si="28">$AD30*S30</f>
        <v>43411579.866307415</v>
      </c>
      <c r="BI30" s="614">
        <f t="shared" si="28"/>
        <v>85580819.704043403</v>
      </c>
      <c r="BJ30" s="614">
        <f t="shared" si="28"/>
        <v>19643036.678167179</v>
      </c>
      <c r="BK30" s="614">
        <f>BH30+BI30+BJ30</f>
        <v>148635436.24851799</v>
      </c>
    </row>
    <row r="31" spans="1:63" s="409" customFormat="1" ht="20.100000000000001" customHeight="1" x14ac:dyDescent="0.25">
      <c r="A31" s="409" t="s">
        <v>754</v>
      </c>
      <c r="C31" s="635">
        <v>11838.37</v>
      </c>
      <c r="E31" s="635">
        <v>12859.76</v>
      </c>
      <c r="G31" s="635">
        <v>13969.28</v>
      </c>
      <c r="H31" s="628"/>
      <c r="I31" s="947">
        <f t="shared" ref="I31:I33" si="29">G31</f>
        <v>13969.28</v>
      </c>
      <c r="J31" s="376"/>
      <c r="K31" s="629"/>
      <c r="L31" s="376"/>
      <c r="M31" s="948" t="s">
        <v>766</v>
      </c>
      <c r="N31" s="948" t="s">
        <v>755</v>
      </c>
      <c r="O31" s="949">
        <v>879</v>
      </c>
      <c r="P31" s="949">
        <v>58</v>
      </c>
      <c r="Q31" s="949">
        <v>138</v>
      </c>
      <c r="R31" s="376"/>
      <c r="S31" s="630">
        <f t="shared" ref="S31:S33" si="30">O31</f>
        <v>879</v>
      </c>
      <c r="T31" s="630">
        <f t="shared" si="25"/>
        <v>58</v>
      </c>
      <c r="U31" s="630">
        <f t="shared" si="25"/>
        <v>138</v>
      </c>
      <c r="V31" s="631">
        <f t="shared" ref="V31:V33" si="31">S31+T31+U31</f>
        <v>1075</v>
      </c>
      <c r="W31" s="632"/>
      <c r="X31" s="613"/>
      <c r="Z31" s="409" t="s">
        <v>754</v>
      </c>
      <c r="AA31" s="635">
        <f t="shared" ref="AA31:AA33" si="32">G31*(1+AP31)</f>
        <v>15645.593600000002</v>
      </c>
      <c r="AC31" s="409" t="s">
        <v>754</v>
      </c>
      <c r="AD31" s="635">
        <f t="shared" ref="AD31:AD33" si="33">AA31*(1+AQ31)</f>
        <v>17523.064832000004</v>
      </c>
      <c r="AF31" s="613"/>
      <c r="AH31" s="636">
        <f t="shared" ref="AH31:AH33" si="34">E31/C31-1</f>
        <v>8.6277925085970431E-2</v>
      </c>
      <c r="AI31" s="636">
        <f t="shared" ref="AI31:AI33" si="35">G31/E31-1</f>
        <v>8.6278437544713205E-2</v>
      </c>
      <c r="AJ31" s="636">
        <f t="shared" ref="AJ31:AJ33" si="36">G31/C31-1</f>
        <v>0.1800002872017008</v>
      </c>
      <c r="AK31" s="633"/>
      <c r="AL31" s="637">
        <v>0.28492978770926292</v>
      </c>
      <c r="AM31" s="633"/>
      <c r="AN31" s="638">
        <f t="shared" ref="AN31:AN32" si="37">((1+AL31)/(1+AJ31))-1</f>
        <v>8.8923283871731984E-2</v>
      </c>
      <c r="AO31" s="633"/>
      <c r="AP31" s="639">
        <f t="shared" ref="AP31:AQ33" si="38">AP14</f>
        <v>0.12</v>
      </c>
      <c r="AQ31" s="639">
        <f t="shared" si="38"/>
        <v>0.12</v>
      </c>
      <c r="AR31" s="639">
        <f t="shared" ref="AR31:AR33" si="39">((1+AP31)*(1+AQ31))-1</f>
        <v>0.25440000000000018</v>
      </c>
      <c r="AS31" s="633"/>
      <c r="AT31" s="636">
        <f t="shared" ref="AT31:AT33" si="40">(AD31/C31)-1</f>
        <v>0.4801923602658138</v>
      </c>
      <c r="AV31" s="634"/>
      <c r="AX31" s="614">
        <f t="shared" si="26"/>
        <v>12278997.120000001</v>
      </c>
      <c r="AY31" s="614">
        <f t="shared" si="26"/>
        <v>810218.24</v>
      </c>
      <c r="AZ31" s="614">
        <f t="shared" si="26"/>
        <v>1927760.6400000001</v>
      </c>
      <c r="BA31" s="614">
        <f t="shared" ref="BA31:BA33" si="41">AX31+AY31+AZ31</f>
        <v>15016976.000000002</v>
      </c>
      <c r="BC31" s="614">
        <f t="shared" si="27"/>
        <v>13752476.774400001</v>
      </c>
      <c r="BD31" s="614">
        <f t="shared" si="27"/>
        <v>907444.42880000011</v>
      </c>
      <c r="BE31" s="614">
        <f t="shared" si="27"/>
        <v>2159091.9168000002</v>
      </c>
      <c r="BF31" s="614">
        <f t="shared" ref="BF31:BF33" si="42">BC31+BD31+BE31</f>
        <v>16819013.120000001</v>
      </c>
      <c r="BH31" s="614">
        <f t="shared" si="28"/>
        <v>15402773.987328004</v>
      </c>
      <c r="BI31" s="614">
        <f t="shared" si="28"/>
        <v>1016337.7602560002</v>
      </c>
      <c r="BJ31" s="614">
        <f t="shared" si="28"/>
        <v>2418182.9468160006</v>
      </c>
      <c r="BK31" s="614">
        <f t="shared" ref="BK31:BK33" si="43">BH31+BI31+BJ31</f>
        <v>18837294.694400005</v>
      </c>
    </row>
    <row r="32" spans="1:63" s="409" customFormat="1" ht="20.100000000000001" customHeight="1" x14ac:dyDescent="0.25">
      <c r="A32" s="409" t="s">
        <v>756</v>
      </c>
      <c r="C32" s="635">
        <v>9859.33</v>
      </c>
      <c r="E32" s="635">
        <v>10709.97</v>
      </c>
      <c r="G32" s="635">
        <v>11634.01</v>
      </c>
      <c r="H32" s="628"/>
      <c r="I32" s="947">
        <f t="shared" si="29"/>
        <v>11634.01</v>
      </c>
      <c r="J32" s="376"/>
      <c r="K32" s="629"/>
      <c r="L32" s="376"/>
      <c r="M32" s="948" t="s">
        <v>766</v>
      </c>
      <c r="N32" s="948" t="s">
        <v>757</v>
      </c>
      <c r="O32" s="949">
        <v>153</v>
      </c>
      <c r="P32" s="949">
        <v>16</v>
      </c>
      <c r="Q32" s="949">
        <v>69</v>
      </c>
      <c r="R32" s="376"/>
      <c r="S32" s="630">
        <f t="shared" si="30"/>
        <v>153</v>
      </c>
      <c r="T32" s="630">
        <f t="shared" si="25"/>
        <v>16</v>
      </c>
      <c r="U32" s="630">
        <f t="shared" si="25"/>
        <v>69</v>
      </c>
      <c r="V32" s="631">
        <f t="shared" si="31"/>
        <v>238</v>
      </c>
      <c r="W32" s="632"/>
      <c r="X32" s="613"/>
      <c r="Z32" s="409" t="s">
        <v>756</v>
      </c>
      <c r="AA32" s="635">
        <f t="shared" si="32"/>
        <v>13030.091200000001</v>
      </c>
      <c r="AC32" s="409" t="s">
        <v>756</v>
      </c>
      <c r="AD32" s="635">
        <f t="shared" si="33"/>
        <v>14593.702144000003</v>
      </c>
      <c r="AF32" s="613"/>
      <c r="AH32" s="636">
        <f t="shared" si="34"/>
        <v>8.6277667955124704E-2</v>
      </c>
      <c r="AI32" s="636">
        <f t="shared" si="35"/>
        <v>8.627848630761803E-2</v>
      </c>
      <c r="AJ32" s="636">
        <f t="shared" si="36"/>
        <v>0.18000006085606235</v>
      </c>
      <c r="AK32" s="633"/>
      <c r="AL32" s="637">
        <v>0.28493047979939301</v>
      </c>
      <c r="AM32" s="633"/>
      <c r="AN32" s="638">
        <f t="shared" si="37"/>
        <v>8.8924079264204536E-2</v>
      </c>
      <c r="AO32" s="633"/>
      <c r="AP32" s="639">
        <f t="shared" si="38"/>
        <v>0.12</v>
      </c>
      <c r="AQ32" s="639">
        <f t="shared" si="38"/>
        <v>0.12</v>
      </c>
      <c r="AR32" s="639">
        <f t="shared" si="39"/>
        <v>0.25440000000000018</v>
      </c>
      <c r="AS32" s="633"/>
      <c r="AT32" s="636">
        <f t="shared" si="40"/>
        <v>0.48019207633784466</v>
      </c>
      <c r="AV32" s="634"/>
      <c r="AX32" s="614">
        <f t="shared" si="26"/>
        <v>1780003.53</v>
      </c>
      <c r="AY32" s="614">
        <f t="shared" si="26"/>
        <v>186144.16</v>
      </c>
      <c r="AZ32" s="614">
        <f t="shared" si="26"/>
        <v>802746.69000000006</v>
      </c>
      <c r="BA32" s="614">
        <f t="shared" si="41"/>
        <v>2768894.38</v>
      </c>
      <c r="BC32" s="614">
        <f t="shared" si="27"/>
        <v>1993603.9536000001</v>
      </c>
      <c r="BD32" s="614">
        <f t="shared" si="27"/>
        <v>208481.45920000001</v>
      </c>
      <c r="BE32" s="614">
        <f t="shared" si="27"/>
        <v>899076.29280000005</v>
      </c>
      <c r="BF32" s="614">
        <f t="shared" si="42"/>
        <v>3101161.7056</v>
      </c>
      <c r="BH32" s="614">
        <f t="shared" si="28"/>
        <v>2232836.4280320005</v>
      </c>
      <c r="BI32" s="614">
        <f t="shared" si="28"/>
        <v>233499.23430400004</v>
      </c>
      <c r="BJ32" s="614">
        <f t="shared" si="28"/>
        <v>1006965.4479360002</v>
      </c>
      <c r="BK32" s="614">
        <f t="shared" si="43"/>
        <v>3473301.110272001</v>
      </c>
    </row>
    <row r="33" spans="1:63" s="409" customFormat="1" ht="20.100000000000001" customHeight="1" x14ac:dyDescent="0.25">
      <c r="A33" s="410" t="s">
        <v>758</v>
      </c>
      <c r="C33" s="640">
        <v>9394.68</v>
      </c>
      <c r="E33" s="642">
        <v>10205.23</v>
      </c>
      <c r="G33" s="640">
        <v>11085.72</v>
      </c>
      <c r="H33" s="641"/>
      <c r="I33" s="947">
        <f t="shared" si="29"/>
        <v>11085.72</v>
      </c>
      <c r="K33" s="613"/>
      <c r="L33" s="389"/>
      <c r="M33" s="948" t="s">
        <v>766</v>
      </c>
      <c r="N33" s="948" t="s">
        <v>759</v>
      </c>
      <c r="O33" s="949">
        <v>1013</v>
      </c>
      <c r="P33" s="949">
        <v>3</v>
      </c>
      <c r="Q33" s="949">
        <v>1</v>
      </c>
      <c r="R33" s="389"/>
      <c r="S33" s="630">
        <f t="shared" si="30"/>
        <v>1013</v>
      </c>
      <c r="T33" s="630">
        <f t="shared" si="25"/>
        <v>3</v>
      </c>
      <c r="U33" s="630">
        <f t="shared" si="25"/>
        <v>1</v>
      </c>
      <c r="V33" s="631">
        <f t="shared" si="31"/>
        <v>1017</v>
      </c>
      <c r="W33" s="632"/>
      <c r="X33" s="613"/>
      <c r="Z33" s="410" t="s">
        <v>758</v>
      </c>
      <c r="AA33" s="642">
        <f t="shared" si="32"/>
        <v>12366.120659999999</v>
      </c>
      <c r="AC33" s="410" t="s">
        <v>758</v>
      </c>
      <c r="AD33" s="642">
        <f t="shared" si="33"/>
        <v>13794.407596229998</v>
      </c>
      <c r="AF33" s="613"/>
      <c r="AH33" s="643">
        <f t="shared" si="34"/>
        <v>8.6277552827770609E-2</v>
      </c>
      <c r="AI33" s="643">
        <f t="shared" si="35"/>
        <v>8.6278310238965705E-2</v>
      </c>
      <c r="AJ33" s="643">
        <f t="shared" si="36"/>
        <v>0.17999974453626932</v>
      </c>
      <c r="AK33" s="633"/>
      <c r="AL33" s="644">
        <v>0.17469355160710731</v>
      </c>
      <c r="AM33" s="633"/>
      <c r="AN33" s="645">
        <v>0</v>
      </c>
      <c r="AO33" s="633"/>
      <c r="AP33" s="646">
        <f t="shared" si="38"/>
        <v>0.11550000000000001</v>
      </c>
      <c r="AQ33" s="646">
        <f t="shared" si="38"/>
        <v>0.11550000000000001</v>
      </c>
      <c r="AR33" s="646">
        <f t="shared" si="39"/>
        <v>0.24434024999999981</v>
      </c>
      <c r="AS33" s="633"/>
      <c r="AT33" s="643">
        <f t="shared" si="40"/>
        <v>0.46832117711619747</v>
      </c>
      <c r="AV33" s="634"/>
      <c r="AX33" s="614">
        <f t="shared" si="26"/>
        <v>11229834.359999999</v>
      </c>
      <c r="AY33" s="614">
        <f t="shared" si="26"/>
        <v>33257.159999999996</v>
      </c>
      <c r="AZ33" s="614">
        <f t="shared" si="26"/>
        <v>11085.72</v>
      </c>
      <c r="BA33" s="614">
        <f t="shared" si="41"/>
        <v>11274177.24</v>
      </c>
      <c r="BC33" s="614">
        <f t="shared" si="27"/>
        <v>12526880.228579998</v>
      </c>
      <c r="BD33" s="614">
        <f t="shared" si="27"/>
        <v>37098.361979999994</v>
      </c>
      <c r="BE33" s="614">
        <f t="shared" si="27"/>
        <v>12366.120659999999</v>
      </c>
      <c r="BF33" s="614">
        <f t="shared" si="42"/>
        <v>12576344.711219998</v>
      </c>
      <c r="BH33" s="614">
        <f t="shared" si="28"/>
        <v>13973734.894980988</v>
      </c>
      <c r="BI33" s="614">
        <f t="shared" si="28"/>
        <v>41383.222788689993</v>
      </c>
      <c r="BJ33" s="614">
        <f t="shared" si="28"/>
        <v>13794.407596229998</v>
      </c>
      <c r="BK33" s="614">
        <f t="shared" si="43"/>
        <v>14028912.525365908</v>
      </c>
    </row>
    <row r="34" spans="1:63" ht="20.25" customHeight="1" x14ac:dyDescent="0.25">
      <c r="A34" s="1368" t="s">
        <v>760</v>
      </c>
      <c r="B34" s="1368"/>
      <c r="C34" s="1368"/>
      <c r="D34" s="1368"/>
      <c r="E34" s="1368"/>
      <c r="F34" s="1368"/>
      <c r="G34" s="1368"/>
      <c r="S34" s="955">
        <f>SUM(S30:S33)</f>
        <v>3897</v>
      </c>
      <c r="T34" s="955">
        <f t="shared" ref="T34:V34" si="44">SUM(T30:T33)</f>
        <v>3728</v>
      </c>
      <c r="U34" s="955">
        <f t="shared" si="44"/>
        <v>1046</v>
      </c>
      <c r="V34" s="955">
        <f t="shared" si="44"/>
        <v>8671</v>
      </c>
      <c r="W34" s="647"/>
      <c r="AX34" s="956">
        <f>SUM(AX30:AX33)</f>
        <v>59398063.530000001</v>
      </c>
      <c r="AY34" s="956">
        <f t="shared" ref="AY34:BA34" si="45">SUM(AY30:AY33)</f>
        <v>68271948.569999978</v>
      </c>
      <c r="AZ34" s="956">
        <f t="shared" si="45"/>
        <v>18175466.43</v>
      </c>
      <c r="BA34" s="956">
        <f t="shared" si="45"/>
        <v>145845478.53</v>
      </c>
      <c r="BC34" s="956">
        <f>SUM(BC30:BC33)</f>
        <v>66751581.649991997</v>
      </c>
      <c r="BD34" s="956">
        <f t="shared" ref="BD34:BF34" si="46">SUM(BD30:BD33)</f>
        <v>77009095.606160998</v>
      </c>
      <c r="BE34" s="956">
        <f t="shared" si="46"/>
        <v>20481486.890237998</v>
      </c>
      <c r="BF34" s="956">
        <f t="shared" si="46"/>
        <v>164242164.14639097</v>
      </c>
      <c r="BH34" s="956">
        <f>SUM(BH30:BH33)</f>
        <v>75020925.176648408</v>
      </c>
      <c r="BI34" s="956">
        <f t="shared" ref="BI34:BK34" si="47">SUM(BI30:BI33)</f>
        <v>86872039.921392098</v>
      </c>
      <c r="BJ34" s="956">
        <f t="shared" si="47"/>
        <v>23081979.480515409</v>
      </c>
      <c r="BK34" s="956">
        <f t="shared" si="47"/>
        <v>184974944.57855591</v>
      </c>
    </row>
    <row r="35" spans="1:63" hidden="1" x14ac:dyDescent="0.25"/>
    <row r="36" spans="1:63" hidden="1" x14ac:dyDescent="0.25"/>
    <row r="37" spans="1:63" hidden="1" x14ac:dyDescent="0.25"/>
    <row r="38" spans="1:63" hidden="1" x14ac:dyDescent="0.25"/>
    <row r="39" spans="1:63" ht="12.75" hidden="1" customHeight="1" x14ac:dyDescent="0.25"/>
    <row r="40" spans="1:63" ht="21.75" customHeight="1" x14ac:dyDescent="0.25">
      <c r="A40" s="1368" t="s">
        <v>761</v>
      </c>
      <c r="B40" s="1368"/>
      <c r="C40" s="1368"/>
      <c r="D40" s="1368"/>
      <c r="E40" s="1368"/>
      <c r="F40" s="1368"/>
      <c r="G40" s="1368"/>
    </row>
    <row r="41" spans="1:63" x14ac:dyDescent="0.25">
      <c r="G41" s="957" t="s">
        <v>596</v>
      </c>
      <c r="H41" s="958"/>
      <c r="I41" s="958"/>
      <c r="J41" s="958"/>
      <c r="S41" s="955">
        <f>S17+S34</f>
        <v>4567</v>
      </c>
      <c r="T41" s="955">
        <f>T17+T34</f>
        <v>4368</v>
      </c>
      <c r="U41" s="955">
        <f>U17+U34</f>
        <v>1179</v>
      </c>
      <c r="V41" s="955">
        <f>V17+V34</f>
        <v>10114</v>
      </c>
      <c r="AL41" s="661">
        <f>C30*(1+AL30)</f>
        <v>20105.505021233887</v>
      </c>
      <c r="AM41" s="662"/>
      <c r="AN41" s="663">
        <f>G30*(1+AN30)</f>
        <v>20105.505021233887</v>
      </c>
      <c r="AO41" s="662"/>
      <c r="AP41" s="663">
        <f>AD30</f>
        <v>23440.377897574199</v>
      </c>
      <c r="AX41" s="956">
        <f>AX17+AX34</f>
        <v>77078503.849999994</v>
      </c>
      <c r="AY41" s="956">
        <f>AY17+AY34</f>
        <v>87486355.289999977</v>
      </c>
      <c r="AZ41" s="956">
        <f>AZ17+AZ34</f>
        <v>21979523.509999998</v>
      </c>
      <c r="BA41" s="956">
        <f>BA17+BA34</f>
        <v>186544382.65000001</v>
      </c>
      <c r="BC41" s="956">
        <f>BC17+BC34</f>
        <v>86625969.277267992</v>
      </c>
      <c r="BD41" s="956">
        <f>BD17+BD34</f>
        <v>98671635.658532992</v>
      </c>
      <c r="BE41" s="956">
        <f>BE17+BE34</f>
        <v>24763705.291634001</v>
      </c>
      <c r="BF41" s="956">
        <f>BF17+BF34</f>
        <v>210061310.22743496</v>
      </c>
      <c r="BH41" s="956">
        <f>BH17+BH34</f>
        <v>97362806.687094286</v>
      </c>
      <c r="BI41" s="956">
        <f>BI17+BI34</f>
        <v>111296717.17692946</v>
      </c>
      <c r="BJ41" s="956">
        <f>BJ17+BJ34</f>
        <v>27902819.486002762</v>
      </c>
      <c r="BK41" s="956">
        <f>BK17+BK34</f>
        <v>236562343.35002652</v>
      </c>
    </row>
    <row r="42" spans="1:63" x14ac:dyDescent="0.25">
      <c r="AL42" s="661">
        <f t="shared" ref="AL42:AL44" si="48">C31*(1+AL31)</f>
        <v>15211.474250923708</v>
      </c>
      <c r="AM42" s="662"/>
      <c r="AN42" s="663">
        <f t="shared" ref="AN42:AN44" si="49">G31*(1+AN31)</f>
        <v>15211.474250923709</v>
      </c>
      <c r="AO42" s="662"/>
      <c r="AP42" s="663">
        <f>AD31</f>
        <v>17523.064832000004</v>
      </c>
    </row>
    <row r="43" spans="1:63" x14ac:dyDescent="0.25">
      <c r="AL43" s="661">
        <f t="shared" si="48"/>
        <v>12668.55362740055</v>
      </c>
      <c r="AM43" s="662"/>
      <c r="AN43" s="663">
        <f t="shared" si="49"/>
        <v>12668.553627400548</v>
      </c>
      <c r="AO43" s="662"/>
      <c r="AP43" s="663">
        <f>AD32</f>
        <v>14593.702144000003</v>
      </c>
    </row>
    <row r="44" spans="1:63" x14ac:dyDescent="0.25">
      <c r="AL44" s="661">
        <f t="shared" si="48"/>
        <v>11035.87001541226</v>
      </c>
      <c r="AM44" s="662"/>
      <c r="AN44" s="672">
        <f t="shared" si="49"/>
        <v>11085.72</v>
      </c>
      <c r="AO44" s="662"/>
      <c r="AP44" s="663">
        <f>AD33</f>
        <v>13794.407596229998</v>
      </c>
    </row>
  </sheetData>
  <mergeCells count="36">
    <mergeCell ref="AT28:AT29"/>
    <mergeCell ref="AX28:BA28"/>
    <mergeCell ref="BC28:BF28"/>
    <mergeCell ref="BH28:BK28"/>
    <mergeCell ref="A34:G34"/>
    <mergeCell ref="AN28:AN29"/>
    <mergeCell ref="AP28:AR28"/>
    <mergeCell ref="A40:G40"/>
    <mergeCell ref="AA28:AA29"/>
    <mergeCell ref="AC28:AC29"/>
    <mergeCell ref="AD28:AD29"/>
    <mergeCell ref="AH28:AJ28"/>
    <mergeCell ref="A28:A29"/>
    <mergeCell ref="C28:C29"/>
    <mergeCell ref="E28:E29"/>
    <mergeCell ref="G28:G29"/>
    <mergeCell ref="S28:V28"/>
    <mergeCell ref="Z28:Z29"/>
    <mergeCell ref="AT11:AT12"/>
    <mergeCell ref="AX11:BA11"/>
    <mergeCell ref="BC11:BF11"/>
    <mergeCell ref="BH11:BK11"/>
    <mergeCell ref="A17:G17"/>
    <mergeCell ref="AN11:AN12"/>
    <mergeCell ref="AP11:AR11"/>
    <mergeCell ref="A18:G18"/>
    <mergeCell ref="AA11:AA12"/>
    <mergeCell ref="AC11:AC12"/>
    <mergeCell ref="AD11:AD12"/>
    <mergeCell ref="AH11:AJ11"/>
    <mergeCell ref="A11:A12"/>
    <mergeCell ref="C11:C12"/>
    <mergeCell ref="E11:E12"/>
    <mergeCell ref="G11:G12"/>
    <mergeCell ref="S11:V11"/>
    <mergeCell ref="Z11:Z12"/>
  </mergeCells>
  <pageMargins left="0.19685039370078741" right="0.19685039370078741" top="0.59055118110236227" bottom="0.39370078740157483" header="0.31496062992125984" footer="0.31496062992125984"/>
  <pageSetup paperSize="9"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F1B16-611C-4155-B7FE-50E097A85F46}">
  <dimension ref="A2:S42"/>
  <sheetViews>
    <sheetView showGridLines="0" topLeftCell="F5" zoomScale="115" zoomScaleNormal="115" workbookViewId="0">
      <selection activeCell="H21" sqref="H21"/>
    </sheetView>
  </sheetViews>
  <sheetFormatPr defaultColWidth="8.85546875" defaultRowHeight="15" outlineLevelRow="1" x14ac:dyDescent="0.25"/>
  <cols>
    <col min="2" max="2" width="11.42578125" customWidth="1"/>
    <col min="3" max="3" width="22.42578125" customWidth="1"/>
    <col min="4" max="4" width="18.28515625" customWidth="1"/>
    <col min="5" max="8" width="15.42578125" customWidth="1"/>
    <col min="9" max="9" width="23.7109375" customWidth="1"/>
    <col min="10" max="10" width="21" customWidth="1"/>
    <col min="11" max="11" width="18.42578125" customWidth="1"/>
    <col min="12" max="12" width="17.85546875" bestFit="1" customWidth="1"/>
    <col min="13" max="13" width="19.42578125" customWidth="1"/>
    <col min="14" max="14" width="15.42578125" customWidth="1"/>
    <col min="15" max="16" width="16.85546875" bestFit="1" customWidth="1"/>
    <col min="17" max="20" width="15.42578125" customWidth="1"/>
  </cols>
  <sheetData>
    <row r="2" spans="1:19" x14ac:dyDescent="0.25">
      <c r="C2" s="296"/>
      <c r="D2" s="296" t="s">
        <v>27</v>
      </c>
      <c r="E2" s="297" t="s">
        <v>194</v>
      </c>
    </row>
    <row r="3" spans="1:19" x14ac:dyDescent="0.25">
      <c r="C3" s="298">
        <v>2025</v>
      </c>
      <c r="D3" s="299">
        <v>12</v>
      </c>
      <c r="E3" s="300"/>
      <c r="F3" t="s">
        <v>767</v>
      </c>
    </row>
    <row r="4" spans="1:19" x14ac:dyDescent="0.25">
      <c r="C4" s="298">
        <v>2026</v>
      </c>
      <c r="D4" s="299">
        <v>1</v>
      </c>
      <c r="E4" s="300"/>
      <c r="F4" t="s">
        <v>767</v>
      </c>
    </row>
    <row r="7" spans="1:19" outlineLevel="1" x14ac:dyDescent="0.25">
      <c r="A7" s="304"/>
      <c r="B7" s="304"/>
      <c r="C7" s="304"/>
      <c r="D7" s="304"/>
      <c r="E7" s="304"/>
      <c r="F7" s="305"/>
      <c r="G7" s="305"/>
      <c r="H7" s="305"/>
      <c r="I7" s="305"/>
      <c r="J7" s="305"/>
      <c r="K7" s="305"/>
      <c r="L7" s="304"/>
      <c r="M7" s="304"/>
      <c r="N7" s="304"/>
      <c r="O7" s="304"/>
      <c r="P7" s="304"/>
      <c r="Q7" s="304"/>
      <c r="R7" s="304"/>
      <c r="S7" s="304"/>
    </row>
    <row r="8" spans="1:19" outlineLevel="1" x14ac:dyDescent="0.25">
      <c r="A8" s="304" t="s">
        <v>197</v>
      </c>
      <c r="B8" s="304"/>
      <c r="C8" s="304"/>
      <c r="D8" s="304"/>
      <c r="E8" s="304"/>
    </row>
    <row r="9" spans="1:19" outlineLevel="1" x14ac:dyDescent="0.25">
      <c r="A9" s="307"/>
      <c r="B9" s="307"/>
      <c r="C9" s="307"/>
      <c r="D9" s="307"/>
      <c r="E9" s="308"/>
      <c r="F9" s="308"/>
      <c r="G9" s="308"/>
      <c r="H9" s="308"/>
      <c r="I9" s="306"/>
      <c r="J9" s="306"/>
      <c r="K9" s="306"/>
      <c r="L9" s="307"/>
      <c r="M9" s="307"/>
      <c r="N9" s="307"/>
      <c r="O9" s="307"/>
      <c r="P9" s="307"/>
      <c r="Q9" s="307"/>
      <c r="R9" s="307"/>
      <c r="S9" s="307"/>
    </row>
    <row r="10" spans="1:19" outlineLevel="1" x14ac:dyDescent="0.25">
      <c r="E10" s="1235" t="s">
        <v>297</v>
      </c>
      <c r="F10" s="1235"/>
      <c r="G10" s="1235"/>
      <c r="H10" s="1235"/>
      <c r="I10" s="311"/>
      <c r="J10" s="1235">
        <v>2025</v>
      </c>
      <c r="K10" s="1235"/>
      <c r="L10" s="1235"/>
      <c r="M10" s="1235"/>
      <c r="O10" s="1235">
        <v>2026</v>
      </c>
      <c r="P10" s="1235"/>
      <c r="Q10" s="1235"/>
      <c r="R10" s="1235"/>
    </row>
    <row r="11" spans="1:19" outlineLevel="1" x14ac:dyDescent="0.25">
      <c r="E11" s="312" t="s">
        <v>202</v>
      </c>
      <c r="F11" s="313" t="s">
        <v>203</v>
      </c>
      <c r="G11" s="313" t="s">
        <v>204</v>
      </c>
      <c r="H11" s="313" t="s">
        <v>205</v>
      </c>
      <c r="I11" s="311"/>
      <c r="J11" s="313" t="s">
        <v>202</v>
      </c>
      <c r="K11" s="313" t="s">
        <v>203</v>
      </c>
      <c r="L11" s="312" t="s">
        <v>204</v>
      </c>
      <c r="M11" s="312" t="s">
        <v>205</v>
      </c>
      <c r="O11" s="312" t="s">
        <v>202</v>
      </c>
      <c r="P11" s="312" t="s">
        <v>203</v>
      </c>
      <c r="Q11" s="312" t="s">
        <v>204</v>
      </c>
      <c r="R11" s="312" t="s">
        <v>205</v>
      </c>
    </row>
    <row r="12" spans="1:19" outlineLevel="1" x14ac:dyDescent="0.25">
      <c r="B12" s="1236" t="s">
        <v>768</v>
      </c>
      <c r="C12" s="1276" t="s">
        <v>207</v>
      </c>
      <c r="D12" s="1276"/>
      <c r="E12" s="673">
        <v>75989211.819999903</v>
      </c>
      <c r="F12" s="673">
        <v>86531406.390003204</v>
      </c>
      <c r="G12" s="673">
        <v>16913560.529999882</v>
      </c>
      <c r="H12" s="674">
        <f>E12+F12+G12</f>
        <v>179434178.74000299</v>
      </c>
      <c r="I12" s="318"/>
      <c r="J12" s="675">
        <v>85401750.160244212</v>
      </c>
      <c r="K12" s="675">
        <v>97594594.906056136</v>
      </c>
      <c r="L12" s="675">
        <v>19056028.589817692</v>
      </c>
      <c r="M12" s="673">
        <f>J12+K12+L12</f>
        <v>202052373.65611804</v>
      </c>
      <c r="N12" s="319">
        <f>M12/H12-1</f>
        <v>0.12605287952909139</v>
      </c>
      <c r="O12" s="675">
        <v>95986851.990969345</v>
      </c>
      <c r="P12" s="675">
        <v>110081868.56094752</v>
      </c>
      <c r="Q12" s="675">
        <v>21471622.263305742</v>
      </c>
      <c r="R12" s="673">
        <f>O12+P12+Q12</f>
        <v>227540342.81522262</v>
      </c>
      <c r="S12" s="319">
        <f>R12/M12-1</f>
        <v>0.12614535873992594</v>
      </c>
    </row>
    <row r="13" spans="1:19" outlineLevel="1" x14ac:dyDescent="0.25">
      <c r="B13" s="1236"/>
      <c r="C13" s="1277" t="s">
        <v>208</v>
      </c>
      <c r="D13" s="1277"/>
      <c r="E13" s="315">
        <v>0</v>
      </c>
      <c r="F13" s="315">
        <v>0</v>
      </c>
      <c r="G13" s="315">
        <v>0</v>
      </c>
      <c r="H13" s="316">
        <f>E13+F13+G13</f>
        <v>0</v>
      </c>
      <c r="I13" s="318"/>
      <c r="J13" s="320">
        <f>E13</f>
        <v>0</v>
      </c>
      <c r="K13" s="320">
        <f t="shared" ref="K13:L17" si="0">F13</f>
        <v>0</v>
      </c>
      <c r="L13" s="320">
        <f t="shared" si="0"/>
        <v>0</v>
      </c>
      <c r="M13" s="315">
        <f t="shared" ref="M13:M19" si="1">J13+K13+L13</f>
        <v>0</v>
      </c>
      <c r="N13" s="319" t="e">
        <f t="shared" ref="N13:N18" si="2">M13/H13-1</f>
        <v>#DIV/0!</v>
      </c>
      <c r="O13" s="320">
        <f>J13</f>
        <v>0</v>
      </c>
      <c r="P13" s="320">
        <f t="shared" ref="P13:Q17" si="3">K13</f>
        <v>0</v>
      </c>
      <c r="Q13" s="320">
        <f t="shared" si="3"/>
        <v>0</v>
      </c>
      <c r="R13" s="315">
        <f>O13+P13+Q13</f>
        <v>0</v>
      </c>
      <c r="S13" s="319" t="e">
        <f t="shared" ref="S13" si="4">R13/M13-1</f>
        <v>#DIV/0!</v>
      </c>
    </row>
    <row r="14" spans="1:19" outlineLevel="1" x14ac:dyDescent="0.25">
      <c r="B14" s="1236"/>
      <c r="C14" s="1278" t="s">
        <v>209</v>
      </c>
      <c r="D14" s="1278"/>
      <c r="E14" s="315">
        <v>0</v>
      </c>
      <c r="F14" s="315">
        <v>0</v>
      </c>
      <c r="G14" s="315">
        <v>0</v>
      </c>
      <c r="H14" s="316">
        <f t="shared" ref="H14:H19" si="5">E14+F14+G14</f>
        <v>0</v>
      </c>
      <c r="I14" s="318"/>
      <c r="J14" s="320">
        <f t="shared" ref="J14:J17" si="6">E14</f>
        <v>0</v>
      </c>
      <c r="K14" s="320">
        <f t="shared" si="0"/>
        <v>0</v>
      </c>
      <c r="L14" s="320">
        <f t="shared" si="0"/>
        <v>0</v>
      </c>
      <c r="M14" s="315">
        <f t="shared" si="1"/>
        <v>0</v>
      </c>
      <c r="N14" s="319"/>
      <c r="O14" s="320">
        <f t="shared" ref="O14:O17" si="7">J14</f>
        <v>0</v>
      </c>
      <c r="P14" s="320">
        <f t="shared" si="3"/>
        <v>0</v>
      </c>
      <c r="Q14" s="320">
        <f t="shared" si="3"/>
        <v>0</v>
      </c>
      <c r="R14" s="315">
        <f>O14+P14+Q14</f>
        <v>0</v>
      </c>
      <c r="S14" s="319" t="e">
        <f>R14/M14-1</f>
        <v>#DIV/0!</v>
      </c>
    </row>
    <row r="15" spans="1:19" outlineLevel="1" x14ac:dyDescent="0.25">
      <c r="B15" s="1236"/>
      <c r="C15" s="1279" t="s">
        <v>300</v>
      </c>
      <c r="D15" s="1280"/>
      <c r="E15" s="315">
        <v>0</v>
      </c>
      <c r="F15" s="315">
        <v>0</v>
      </c>
      <c r="G15" s="315">
        <v>0</v>
      </c>
      <c r="H15" s="316">
        <f t="shared" si="5"/>
        <v>0</v>
      </c>
      <c r="I15" s="318"/>
      <c r="J15" s="320">
        <f t="shared" si="6"/>
        <v>0</v>
      </c>
      <c r="K15" s="320">
        <f t="shared" si="0"/>
        <v>0</v>
      </c>
      <c r="L15" s="320">
        <f t="shared" si="0"/>
        <v>0</v>
      </c>
      <c r="M15" s="315">
        <f t="shared" si="1"/>
        <v>0</v>
      </c>
      <c r="N15" s="319" t="e">
        <f t="shared" si="2"/>
        <v>#DIV/0!</v>
      </c>
      <c r="O15" s="320">
        <f t="shared" si="7"/>
        <v>0</v>
      </c>
      <c r="P15" s="320">
        <f t="shared" si="3"/>
        <v>0</v>
      </c>
      <c r="Q15" s="320">
        <f t="shared" si="3"/>
        <v>0</v>
      </c>
      <c r="R15" s="315">
        <f t="shared" ref="R15:R19" si="8">O15+P15+Q15</f>
        <v>0</v>
      </c>
      <c r="S15" s="319" t="e">
        <f>R15/M15-1</f>
        <v>#DIV/0!</v>
      </c>
    </row>
    <row r="16" spans="1:19" outlineLevel="1" x14ac:dyDescent="0.25">
      <c r="B16" s="1236"/>
      <c r="C16" s="1378" t="s">
        <v>769</v>
      </c>
      <c r="D16" s="1280"/>
      <c r="E16" s="315">
        <v>0</v>
      </c>
      <c r="F16" s="315">
        <v>0</v>
      </c>
      <c r="G16" s="315">
        <v>0</v>
      </c>
      <c r="H16" s="316">
        <f t="shared" si="5"/>
        <v>0</v>
      </c>
      <c r="I16" s="318"/>
      <c r="J16" s="320">
        <f t="shared" si="6"/>
        <v>0</v>
      </c>
      <c r="K16" s="320">
        <f t="shared" si="0"/>
        <v>0</v>
      </c>
      <c r="L16" s="320">
        <f t="shared" si="0"/>
        <v>0</v>
      </c>
      <c r="M16" s="315">
        <f t="shared" si="1"/>
        <v>0</v>
      </c>
      <c r="N16" s="319"/>
      <c r="O16" s="320">
        <f t="shared" si="7"/>
        <v>0</v>
      </c>
      <c r="P16" s="320">
        <f t="shared" si="3"/>
        <v>0</v>
      </c>
      <c r="Q16" s="320">
        <f t="shared" si="3"/>
        <v>0</v>
      </c>
      <c r="R16" s="315">
        <f t="shared" si="8"/>
        <v>0</v>
      </c>
      <c r="S16" s="319"/>
    </row>
    <row r="17" spans="2:19" outlineLevel="1" x14ac:dyDescent="0.25">
      <c r="B17" s="1236"/>
      <c r="C17" s="1282" t="s">
        <v>212</v>
      </c>
      <c r="D17" s="1280"/>
      <c r="E17" s="315">
        <v>0</v>
      </c>
      <c r="F17" s="315">
        <v>0</v>
      </c>
      <c r="G17" s="315">
        <v>0</v>
      </c>
      <c r="H17" s="316">
        <f t="shared" si="5"/>
        <v>0</v>
      </c>
      <c r="I17" s="318"/>
      <c r="J17" s="320">
        <f t="shared" si="6"/>
        <v>0</v>
      </c>
      <c r="K17" s="320">
        <f t="shared" si="0"/>
        <v>0</v>
      </c>
      <c r="L17" s="320">
        <f t="shared" si="0"/>
        <v>0</v>
      </c>
      <c r="M17" s="315">
        <f>J17+K17+L17</f>
        <v>0</v>
      </c>
      <c r="N17" s="319" t="e">
        <f t="shared" si="2"/>
        <v>#DIV/0!</v>
      </c>
      <c r="O17" s="320">
        <f t="shared" si="7"/>
        <v>0</v>
      </c>
      <c r="P17" s="320">
        <f t="shared" si="3"/>
        <v>0</v>
      </c>
      <c r="Q17" s="320">
        <f t="shared" si="3"/>
        <v>0</v>
      </c>
      <c r="R17" s="315">
        <f t="shared" si="8"/>
        <v>0</v>
      </c>
      <c r="S17" s="319" t="e">
        <f>R17/M17-1</f>
        <v>#DIV/0!</v>
      </c>
    </row>
    <row r="18" spans="2:19" outlineLevel="1" x14ac:dyDescent="0.25">
      <c r="B18" s="1236"/>
      <c r="C18" s="1277" t="s">
        <v>213</v>
      </c>
      <c r="D18" s="1280"/>
      <c r="E18" s="315">
        <v>1372885.9000000099</v>
      </c>
      <c r="F18" s="315">
        <v>0</v>
      </c>
      <c r="G18" s="315">
        <v>0</v>
      </c>
      <c r="H18" s="316">
        <f t="shared" si="5"/>
        <v>1372885.9000000099</v>
      </c>
      <c r="I18" s="318"/>
      <c r="J18" s="320">
        <f>(J12+J15+J16)*E23</f>
        <v>1542940.8441299847</v>
      </c>
      <c r="K18" s="320">
        <f t="shared" ref="K18:L18" si="9">(K12+K15+K16)*F23</f>
        <v>0</v>
      </c>
      <c r="L18" s="320">
        <f t="shared" si="9"/>
        <v>0</v>
      </c>
      <c r="M18" s="315">
        <f t="shared" si="1"/>
        <v>1542940.8441299847</v>
      </c>
      <c r="N18" s="319">
        <f t="shared" si="2"/>
        <v>0.12386677154304926</v>
      </c>
      <c r="O18" s="320">
        <f>(O12+O15+O16)*E23</f>
        <v>1734180.3201741625</v>
      </c>
      <c r="P18" s="320">
        <f t="shared" ref="P18:Q18" si="10">(P12+P15+P16)*F23</f>
        <v>0</v>
      </c>
      <c r="Q18" s="320">
        <f t="shared" si="10"/>
        <v>0</v>
      </c>
      <c r="R18" s="315">
        <f t="shared" si="8"/>
        <v>1734180.3201741625</v>
      </c>
      <c r="S18" s="319">
        <f>R18/M18-1</f>
        <v>0.12394478814384602</v>
      </c>
    </row>
    <row r="19" spans="2:19" outlineLevel="1" x14ac:dyDescent="0.25">
      <c r="B19" s="1236"/>
      <c r="C19" s="1276" t="s">
        <v>214</v>
      </c>
      <c r="D19" s="1276"/>
      <c r="E19" s="315">
        <v>0</v>
      </c>
      <c r="F19" s="315">
        <v>30378.390000000596</v>
      </c>
      <c r="G19" s="315">
        <v>3036</v>
      </c>
      <c r="H19" s="316">
        <f t="shared" si="5"/>
        <v>33414.390000000596</v>
      </c>
      <c r="I19" s="318"/>
      <c r="J19" s="320">
        <f>E19</f>
        <v>0</v>
      </c>
      <c r="K19" s="320">
        <f t="shared" ref="K19:L19" si="11">F19</f>
        <v>30378.390000000596</v>
      </c>
      <c r="L19" s="320">
        <f t="shared" si="11"/>
        <v>3036</v>
      </c>
      <c r="M19" s="315">
        <f t="shared" si="1"/>
        <v>33414.390000000596</v>
      </c>
      <c r="N19" s="319"/>
      <c r="O19" s="320">
        <f>J19</f>
        <v>0</v>
      </c>
      <c r="P19" s="320">
        <f t="shared" ref="P19:Q19" si="12">K19</f>
        <v>30378.390000000596</v>
      </c>
      <c r="Q19" s="320">
        <f t="shared" si="12"/>
        <v>3036</v>
      </c>
      <c r="R19" s="315">
        <f t="shared" si="8"/>
        <v>33414.390000000596</v>
      </c>
      <c r="S19" s="319"/>
    </row>
    <row r="20" spans="2:19" outlineLevel="1" x14ac:dyDescent="0.25">
      <c r="B20" s="1236"/>
      <c r="C20" s="1244" t="s">
        <v>172</v>
      </c>
      <c r="D20" s="1244" t="s">
        <v>172</v>
      </c>
      <c r="E20" s="316">
        <f>SUM(E12:E19)</f>
        <v>77362097.719999909</v>
      </c>
      <c r="F20" s="316">
        <f>SUM(F12:F19)</f>
        <v>86561784.780003205</v>
      </c>
      <c r="G20" s="316">
        <f>SUM(G12:G19)</f>
        <v>16916596.529999882</v>
      </c>
      <c r="H20" s="316">
        <f>SUM(H12:H19)</f>
        <v>180840479.03000301</v>
      </c>
      <c r="I20" s="318"/>
      <c r="J20" s="323">
        <f>SUM(J12:J19)</f>
        <v>86944691.004374191</v>
      </c>
      <c r="K20" s="323">
        <f t="shared" ref="K20:M20" si="13">SUM(K12:K19)</f>
        <v>97624973.296056136</v>
      </c>
      <c r="L20" s="323">
        <f t="shared" si="13"/>
        <v>19059064.589817692</v>
      </c>
      <c r="M20" s="323">
        <f t="shared" si="13"/>
        <v>203628728.890248</v>
      </c>
      <c r="N20" s="324">
        <f>M20/H20-1</f>
        <v>0.12601299212696859</v>
      </c>
      <c r="O20" s="323">
        <f>SUM(O12:O19)</f>
        <v>97721032.311143503</v>
      </c>
      <c r="P20" s="323">
        <f t="shared" ref="P20:R20" si="14">SUM(P12:P19)</f>
        <v>110112246.95094752</v>
      </c>
      <c r="Q20" s="323">
        <f t="shared" si="14"/>
        <v>21474658.263305742</v>
      </c>
      <c r="R20" s="323">
        <f t="shared" si="14"/>
        <v>229307937.52539676</v>
      </c>
      <c r="S20" s="319">
        <f>R20/M20-1</f>
        <v>0.12610798473819163</v>
      </c>
    </row>
    <row r="21" spans="2:19" outlineLevel="1" x14ac:dyDescent="0.25">
      <c r="B21" s="1236"/>
      <c r="F21" s="318"/>
      <c r="G21" s="311"/>
      <c r="H21" s="311"/>
      <c r="I21" s="311"/>
      <c r="J21" s="306"/>
      <c r="K21" s="306"/>
      <c r="L21" s="325"/>
      <c r="M21" s="324">
        <f>M20/H20-1</f>
        <v>0.12601299212696859</v>
      </c>
      <c r="N21" s="325"/>
      <c r="O21" s="325"/>
      <c r="P21" s="325"/>
      <c r="Q21" s="325"/>
      <c r="R21" s="324">
        <f>R20/M20-1</f>
        <v>0.12610798473819163</v>
      </c>
    </row>
    <row r="22" spans="2:19" outlineLevel="1" x14ac:dyDescent="0.25">
      <c r="B22" s="1236"/>
      <c r="D22" s="326" t="s">
        <v>215</v>
      </c>
      <c r="E22" s="327">
        <v>0</v>
      </c>
      <c r="F22" s="327">
        <v>0</v>
      </c>
      <c r="G22" s="327">
        <v>0</v>
      </c>
      <c r="H22" s="311"/>
      <c r="I22" s="311"/>
      <c r="J22" s="328">
        <f>J20-E20</f>
        <v>9582593.2843742818</v>
      </c>
      <c r="K22" s="328">
        <f>K20-F20</f>
        <v>11063188.516052932</v>
      </c>
      <c r="L22" s="328">
        <f>L20-G20</f>
        <v>2142468.0598178096</v>
      </c>
      <c r="M22" s="329">
        <f>SUM(J22:L22)</f>
        <v>22788249.860245023</v>
      </c>
      <c r="O22" s="328">
        <f>O20-J20</f>
        <v>10776341.306769311</v>
      </c>
      <c r="P22" s="328">
        <f>P20-K20</f>
        <v>12487273.654891387</v>
      </c>
      <c r="Q22" s="328">
        <f>Q20-L20</f>
        <v>2415593.6734880507</v>
      </c>
      <c r="R22" s="329">
        <f t="shared" ref="R22:R29" si="15">SUM(O22:Q22)</f>
        <v>25679208.635148749</v>
      </c>
    </row>
    <row r="23" spans="2:19" outlineLevel="1" x14ac:dyDescent="0.25">
      <c r="B23" s="1236"/>
      <c r="D23" s="326" t="s">
        <v>216</v>
      </c>
      <c r="E23" s="327">
        <v>1.8066852742887309E-2</v>
      </c>
      <c r="F23" s="330"/>
      <c r="G23" s="330"/>
      <c r="H23" s="311"/>
      <c r="I23" s="331" t="s">
        <v>217</v>
      </c>
      <c r="J23" s="332">
        <f>J22*(14-$D$3)+J22*0.33*(14-$D$3)/13</f>
        <v>19651687.458570644</v>
      </c>
      <c r="K23" s="332">
        <f>K22*(14-$D$3)</f>
        <v>22126377.032105863</v>
      </c>
      <c r="L23" s="332">
        <f>L22*(14-$D$3)</f>
        <v>4284936.1196356192</v>
      </c>
      <c r="M23" s="333">
        <f t="shared" ref="M23:M29" si="16">SUM(J23:L23)</f>
        <v>46063000.610312127</v>
      </c>
      <c r="O23" s="332">
        <f>O22*(14-$D$4)+O22*0.33*(14-$D$4)/13</f>
        <v>143648629.61923492</v>
      </c>
      <c r="P23" s="332">
        <f>P22*(14-$D$4)</f>
        <v>162334557.51358801</v>
      </c>
      <c r="Q23" s="332">
        <f>Q22*(14-$D$4)</f>
        <v>31402717.755344659</v>
      </c>
      <c r="R23" s="333">
        <f t="shared" si="15"/>
        <v>337385904.88816762</v>
      </c>
    </row>
    <row r="24" spans="2:19" outlineLevel="1" x14ac:dyDescent="0.25">
      <c r="B24" s="1236"/>
      <c r="D24" s="326" t="s">
        <v>218</v>
      </c>
      <c r="E24" s="327">
        <v>0</v>
      </c>
      <c r="F24" s="330"/>
      <c r="G24" s="330"/>
      <c r="H24" s="311"/>
      <c r="I24" s="331" t="s">
        <v>219</v>
      </c>
      <c r="J24" s="332">
        <f>J23*$E$24</f>
        <v>0</v>
      </c>
      <c r="K24" s="332"/>
      <c r="L24" s="332"/>
      <c r="M24" s="333">
        <f t="shared" si="16"/>
        <v>0</v>
      </c>
      <c r="O24" s="332">
        <f>O23*$E$22</f>
        <v>0</v>
      </c>
      <c r="P24" s="332"/>
      <c r="Q24" s="332"/>
      <c r="R24" s="333">
        <f t="shared" si="15"/>
        <v>0</v>
      </c>
    </row>
    <row r="25" spans="2:19" outlineLevel="1" x14ac:dyDescent="0.25">
      <c r="B25" s="1236"/>
      <c r="D25" s="326" t="s">
        <v>220</v>
      </c>
      <c r="E25" s="327">
        <v>0.27222606268110949</v>
      </c>
      <c r="F25" s="330"/>
      <c r="G25" s="330"/>
      <c r="H25" s="311"/>
      <c r="I25" s="331" t="s">
        <v>221</v>
      </c>
      <c r="J25" s="332">
        <f>J23*$E$25</f>
        <v>5349701.5018864255</v>
      </c>
      <c r="K25" s="332"/>
      <c r="L25" s="332"/>
      <c r="M25" s="333">
        <f t="shared" si="16"/>
        <v>5349701.5018864255</v>
      </c>
      <c r="O25" s="332">
        <f>O23*$E$25</f>
        <v>39104900.850781329</v>
      </c>
      <c r="P25" s="332"/>
      <c r="Q25" s="332"/>
      <c r="R25" s="333">
        <f t="shared" si="15"/>
        <v>39104900.850781329</v>
      </c>
    </row>
    <row r="26" spans="2:19" outlineLevel="1" x14ac:dyDescent="0.25">
      <c r="B26" s="1236"/>
      <c r="E26" t="s">
        <v>770</v>
      </c>
      <c r="F26" s="318">
        <v>0</v>
      </c>
      <c r="G26" s="318">
        <v>0</v>
      </c>
      <c r="H26" s="311"/>
      <c r="I26" s="334" t="s">
        <v>222</v>
      </c>
      <c r="J26" s="333">
        <f>SUM(J23:J25)</f>
        <v>25001388.960457072</v>
      </c>
      <c r="K26" s="333">
        <f>SUM(K23:K25)</f>
        <v>22126377.032105863</v>
      </c>
      <c r="L26" s="333">
        <f>SUM(L23:L25)</f>
        <v>4284936.1196356192</v>
      </c>
      <c r="M26" s="335">
        <f>SUM(J26:L26)</f>
        <v>51412702.112198554</v>
      </c>
      <c r="O26" s="333">
        <f>SUM(O23:O25)</f>
        <v>182753530.47001624</v>
      </c>
      <c r="P26" s="333">
        <f>SUM(P23:P25)</f>
        <v>162334557.51358801</v>
      </c>
      <c r="Q26" s="333">
        <f>SUM(Q23:Q25)</f>
        <v>31402717.755344659</v>
      </c>
      <c r="R26" s="335">
        <f>SUM(O26:Q26)</f>
        <v>376490805.73894894</v>
      </c>
    </row>
    <row r="27" spans="2:19" outlineLevel="1" x14ac:dyDescent="0.25">
      <c r="B27" s="1236"/>
      <c r="F27" s="336">
        <v>0</v>
      </c>
      <c r="G27" s="336">
        <v>0</v>
      </c>
      <c r="H27" s="311"/>
      <c r="I27" s="404" t="s">
        <v>302</v>
      </c>
      <c r="J27" s="337">
        <f>J22*13.33</f>
        <v>127735968.48070918</v>
      </c>
      <c r="K27" s="337">
        <f>K22*13</f>
        <v>143821450.70868811</v>
      </c>
      <c r="L27" s="337">
        <f>L22*13</f>
        <v>27852084.777631525</v>
      </c>
      <c r="M27" s="338">
        <f t="shared" si="16"/>
        <v>299409503.9670288</v>
      </c>
      <c r="O27" s="337">
        <f>O22*13.33</f>
        <v>143648629.61923492</v>
      </c>
      <c r="P27" s="337">
        <f>P22*13</f>
        <v>162334557.51358801</v>
      </c>
      <c r="Q27" s="337">
        <f>Q22*13</f>
        <v>31402717.755344659</v>
      </c>
      <c r="R27" s="338">
        <f t="shared" si="15"/>
        <v>337385904.88816762</v>
      </c>
    </row>
    <row r="28" spans="2:19" outlineLevel="1" x14ac:dyDescent="0.25">
      <c r="B28" s="1236"/>
      <c r="D28" s="576" t="s">
        <v>771</v>
      </c>
      <c r="E28" s="577">
        <v>0.98586775851124553</v>
      </c>
      <c r="F28" s="577">
        <v>0.98908459614266353</v>
      </c>
      <c r="G28" s="577">
        <v>0.76951443111606765</v>
      </c>
      <c r="H28" s="311"/>
      <c r="I28" s="404" t="s">
        <v>303</v>
      </c>
      <c r="J28" s="337">
        <f>J27*$E$24</f>
        <v>0</v>
      </c>
      <c r="K28" s="337"/>
      <c r="L28" s="337"/>
      <c r="M28" s="338">
        <f t="shared" si="16"/>
        <v>0</v>
      </c>
      <c r="O28" s="337">
        <f>O27*$E$22</f>
        <v>0</v>
      </c>
      <c r="P28" s="337"/>
      <c r="Q28" s="337"/>
      <c r="R28" s="338">
        <f t="shared" si="15"/>
        <v>0</v>
      </c>
    </row>
    <row r="29" spans="2:19" outlineLevel="1" x14ac:dyDescent="0.25">
      <c r="B29" s="1236"/>
      <c r="F29" s="311"/>
      <c r="G29" s="311"/>
      <c r="H29" s="311"/>
      <c r="I29" s="404" t="s">
        <v>304</v>
      </c>
      <c r="J29" s="337">
        <f>J27*$E$25</f>
        <v>34773059.762261763</v>
      </c>
      <c r="K29" s="337"/>
      <c r="L29" s="337"/>
      <c r="M29" s="338">
        <f t="shared" si="16"/>
        <v>34773059.762261763</v>
      </c>
      <c r="O29" s="337">
        <f>O27*$E$25</f>
        <v>39104900.850781329</v>
      </c>
      <c r="P29" s="337"/>
      <c r="Q29" s="337"/>
      <c r="R29" s="338">
        <f t="shared" si="15"/>
        <v>39104900.850781329</v>
      </c>
    </row>
    <row r="30" spans="2:19" outlineLevel="1" x14ac:dyDescent="0.25">
      <c r="B30" s="1236"/>
      <c r="F30" s="311"/>
      <c r="G30" s="311"/>
      <c r="H30" s="311"/>
      <c r="I30" s="405" t="s">
        <v>305</v>
      </c>
      <c r="J30" s="338">
        <f>SUM(J27:J29)</f>
        <v>162509028.24297094</v>
      </c>
      <c r="K30" s="338">
        <f>SUM(K27:K29)</f>
        <v>143821450.70868811</v>
      </c>
      <c r="L30" s="338">
        <f>SUM(L27:L29)</f>
        <v>27852084.777631525</v>
      </c>
      <c r="M30" s="335">
        <f>SUM(M27:M29)</f>
        <v>334182563.72929054</v>
      </c>
      <c r="O30" s="338">
        <f>SUM(O27:O29)</f>
        <v>182753530.47001624</v>
      </c>
      <c r="P30" s="338">
        <f>SUM(P27:P29)</f>
        <v>162334557.51358801</v>
      </c>
      <c r="Q30" s="338">
        <f>SUM(Q27:Q29)</f>
        <v>31402717.755344659</v>
      </c>
      <c r="R30" s="335">
        <f>SUM(R27:R29)</f>
        <v>376490805.73894894</v>
      </c>
    </row>
    <row r="31" spans="2:19" outlineLevel="1" x14ac:dyDescent="0.25">
      <c r="F31" s="311"/>
      <c r="G31" s="311"/>
      <c r="H31" s="311"/>
      <c r="I31" s="311"/>
      <c r="J31" s="311"/>
      <c r="K31" s="311"/>
    </row>
    <row r="32" spans="2:19" outlineLevel="1" x14ac:dyDescent="0.25">
      <c r="F32" s="311"/>
      <c r="G32" s="311"/>
      <c r="H32" s="311"/>
      <c r="I32" s="340" t="s">
        <v>306</v>
      </c>
      <c r="J32" s="328">
        <f>E20</f>
        <v>77362097.719999909</v>
      </c>
      <c r="K32" s="328">
        <f t="shared" ref="K32:L32" si="17">F20</f>
        <v>86561784.780003205</v>
      </c>
      <c r="L32" s="328">
        <f t="shared" si="17"/>
        <v>16916596.529999882</v>
      </c>
      <c r="M32" s="329">
        <f t="shared" ref="M32" si="18">SUM(J32:L32)</f>
        <v>180840479.03000298</v>
      </c>
      <c r="O32" s="339"/>
      <c r="P32" s="339"/>
      <c r="Q32" s="339"/>
      <c r="R32" s="339"/>
      <c r="S32" s="339"/>
    </row>
    <row r="33" spans="9:15" outlineLevel="1" x14ac:dyDescent="0.25">
      <c r="I33" s="331" t="s">
        <v>217</v>
      </c>
      <c r="J33" s="332">
        <f>J32*(14-1)+J32*0.33*(14-1)/13</f>
        <v>1031236762.6075988</v>
      </c>
      <c r="K33" s="332">
        <f>K32*(14-1)</f>
        <v>1125303202.1400416</v>
      </c>
      <c r="L33" s="332">
        <f>L32*(14-1)</f>
        <v>219915754.88999847</v>
      </c>
      <c r="M33" s="333">
        <f>SUM(J33:L33)</f>
        <v>2376455719.637639</v>
      </c>
      <c r="O33" s="339"/>
    </row>
    <row r="34" spans="9:15" outlineLevel="1" x14ac:dyDescent="0.25">
      <c r="I34" s="331" t="s">
        <v>219</v>
      </c>
      <c r="J34" s="332">
        <f>J33*$E$22</f>
        <v>0</v>
      </c>
      <c r="K34" s="332"/>
      <c r="L34" s="332"/>
      <c r="M34" s="333">
        <f t="shared" ref="M34:M35" si="19">SUM(J34:L34)</f>
        <v>0</v>
      </c>
      <c r="O34" s="339"/>
    </row>
    <row r="35" spans="9:15" outlineLevel="1" x14ac:dyDescent="0.25">
      <c r="I35" s="331" t="s">
        <v>221</v>
      </c>
      <c r="J35" s="332">
        <f>J33*$E$25</f>
        <v>280729523.5766806</v>
      </c>
      <c r="K35" s="332"/>
      <c r="L35" s="332"/>
      <c r="M35" s="333">
        <f t="shared" si="19"/>
        <v>280729523.5766806</v>
      </c>
      <c r="O35" s="339"/>
    </row>
    <row r="36" spans="9:15" outlineLevel="1" x14ac:dyDescent="0.25">
      <c r="I36" s="334" t="s">
        <v>222</v>
      </c>
      <c r="J36" s="333">
        <f>SUM(J33:J35)</f>
        <v>1311966286.1842794</v>
      </c>
      <c r="K36" s="333">
        <f>SUM(K33:K35)</f>
        <v>1125303202.1400416</v>
      </c>
      <c r="L36" s="333">
        <f>SUM(L33:L35)</f>
        <v>219915754.88999847</v>
      </c>
      <c r="M36" s="341">
        <f>SUM(J36:L36)</f>
        <v>2657185243.2143192</v>
      </c>
    </row>
    <row r="37" spans="9:15" x14ac:dyDescent="0.25">
      <c r="O37" s="339"/>
    </row>
    <row r="39" spans="9:15" x14ac:dyDescent="0.25">
      <c r="J39" s="339">
        <f>J23</f>
        <v>19651687.458570644</v>
      </c>
      <c r="K39" s="339">
        <f>K23+L23</f>
        <v>26411313.151741482</v>
      </c>
      <c r="L39" s="339">
        <f>M24</f>
        <v>0</v>
      </c>
      <c r="M39" s="339">
        <f>J39+K39+L39</f>
        <v>46063000.610312127</v>
      </c>
      <c r="N39" s="339">
        <f>M25</f>
        <v>5349701.5018864255</v>
      </c>
      <c r="O39" s="339">
        <f>M26</f>
        <v>51412702.112198554</v>
      </c>
    </row>
    <row r="40" spans="9:15" x14ac:dyDescent="0.25">
      <c r="J40" s="339">
        <f>J27</f>
        <v>127735968.48070918</v>
      </c>
      <c r="K40" s="339">
        <f>K27+L27</f>
        <v>171673535.48631963</v>
      </c>
      <c r="L40" s="339">
        <f>M28</f>
        <v>0</v>
      </c>
      <c r="M40" s="339">
        <f>J40+K40+L40</f>
        <v>299409503.9670288</v>
      </c>
      <c r="N40" s="339">
        <f>M29</f>
        <v>34773059.762261763</v>
      </c>
      <c r="O40" s="339">
        <f>M30</f>
        <v>334182563.72929054</v>
      </c>
    </row>
    <row r="41" spans="9:15" x14ac:dyDescent="0.25">
      <c r="J41" s="339"/>
      <c r="K41" s="339"/>
      <c r="L41" s="339"/>
      <c r="M41" s="339"/>
      <c r="N41" s="339"/>
      <c r="O41" s="339"/>
    </row>
    <row r="42" spans="9:15" x14ac:dyDescent="0.25">
      <c r="J42" s="339">
        <f>J36</f>
        <v>1311966286.1842794</v>
      </c>
      <c r="K42" s="339">
        <f>K36+L36</f>
        <v>1345218957.03004</v>
      </c>
      <c r="L42" s="339">
        <f>M36</f>
        <v>2657185243.2143192</v>
      </c>
      <c r="M42" s="339"/>
      <c r="N42" s="339"/>
      <c r="O42" s="339"/>
    </row>
  </sheetData>
  <mergeCells count="13">
    <mergeCell ref="O10:R10"/>
    <mergeCell ref="B12:B30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E10:H10"/>
    <mergeCell ref="J10:M10"/>
  </mergeCell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DD4CC-CED6-4A34-B185-192C8F0DB78B}">
  <sheetPr>
    <tabColor theme="8" tint="-0.499984740745262"/>
  </sheetPr>
  <dimension ref="A1:S41"/>
  <sheetViews>
    <sheetView showGridLines="0" topLeftCell="G16" zoomScale="130" zoomScaleNormal="130" workbookViewId="0">
      <selection activeCell="M29" sqref="M29"/>
    </sheetView>
  </sheetViews>
  <sheetFormatPr defaultColWidth="9.140625" defaultRowHeight="15.75" outlineLevelRow="1" x14ac:dyDescent="0.25"/>
  <cols>
    <col min="1" max="1" width="0.42578125" style="548" customWidth="1"/>
    <col min="2" max="2" width="10.140625" style="548" customWidth="1"/>
    <col min="3" max="3" width="14.28515625" style="548" customWidth="1"/>
    <col min="4" max="4" width="14" style="548" bestFit="1" customWidth="1"/>
    <col min="5" max="5" width="21" style="548" bestFit="1" customWidth="1"/>
    <col min="6" max="6" width="16.7109375" style="548" bestFit="1" customWidth="1"/>
    <col min="7" max="7" width="15.42578125" style="548" bestFit="1" customWidth="1"/>
    <col min="8" max="8" width="16.7109375" style="548" bestFit="1" customWidth="1"/>
    <col min="9" max="9" width="16.42578125" style="548" bestFit="1" customWidth="1"/>
    <col min="10" max="11" width="18.7109375" style="548" bestFit="1" customWidth="1"/>
    <col min="12" max="12" width="15.42578125" style="548" bestFit="1" customWidth="1"/>
    <col min="13" max="13" width="19.28515625" style="548" customWidth="1"/>
    <col min="14" max="14" width="7.85546875" style="548" bestFit="1" customWidth="1"/>
    <col min="15" max="15" width="16.7109375" style="548" bestFit="1" customWidth="1"/>
    <col min="16" max="16" width="18.7109375" style="548" bestFit="1" customWidth="1"/>
    <col min="17" max="17" width="15.42578125" style="548" bestFit="1" customWidth="1"/>
    <col min="18" max="18" width="16.7109375" style="548" bestFit="1" customWidth="1"/>
    <col min="19" max="19" width="10.85546875" style="548" customWidth="1"/>
    <col min="20" max="20" width="14.7109375" style="548" customWidth="1"/>
    <col min="21" max="16384" width="9.140625" style="548"/>
  </cols>
  <sheetData>
    <row r="1" spans="1:19" x14ac:dyDescent="0.25">
      <c r="A1" s="304" t="s">
        <v>823</v>
      </c>
      <c r="B1" s="304"/>
      <c r="C1" s="304"/>
      <c r="D1" s="304"/>
      <c r="E1" s="304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5"/>
      <c r="R1" s="705"/>
      <c r="S1" s="705"/>
    </row>
    <row r="2" spans="1:19" x14ac:dyDescent="0.25">
      <c r="A2" s="549"/>
      <c r="B2" s="549"/>
      <c r="C2" s="550"/>
      <c r="D2" s="746" t="s">
        <v>27</v>
      </c>
      <c r="E2" s="746" t="s">
        <v>824</v>
      </c>
      <c r="F2" s="746" t="s">
        <v>825</v>
      </c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/>
      <c r="S2" s="705"/>
    </row>
    <row r="3" spans="1:19" ht="31.5" customHeight="1" x14ac:dyDescent="0.25">
      <c r="A3" s="549"/>
      <c r="B3" s="549"/>
      <c r="C3" s="551">
        <v>2025</v>
      </c>
      <c r="D3" s="747">
        <v>12</v>
      </c>
      <c r="E3" s="747">
        <v>1</v>
      </c>
      <c r="F3" s="748">
        <v>0.115</v>
      </c>
      <c r="G3" s="705"/>
      <c r="H3" s="705"/>
      <c r="I3" s="705"/>
      <c r="J3" s="705"/>
      <c r="K3" s="705"/>
      <c r="L3" s="705"/>
      <c r="M3" s="705"/>
      <c r="N3" s="705"/>
      <c r="O3" s="705"/>
      <c r="P3" s="705"/>
      <c r="Q3" s="705"/>
      <c r="R3" s="705"/>
      <c r="S3" s="705"/>
    </row>
    <row r="4" spans="1:19" ht="31.5" customHeight="1" x14ac:dyDescent="0.25">
      <c r="A4" s="549"/>
      <c r="B4" s="549"/>
      <c r="C4" s="551">
        <v>2026</v>
      </c>
      <c r="D4" s="747">
        <v>1</v>
      </c>
      <c r="E4" s="749"/>
      <c r="F4" s="748">
        <v>0.115</v>
      </c>
      <c r="G4" s="705"/>
      <c r="H4" s="705"/>
      <c r="I4" s="705"/>
      <c r="J4" s="705"/>
      <c r="K4" s="705"/>
      <c r="L4" s="705"/>
      <c r="M4" s="705"/>
      <c r="N4" s="705"/>
      <c r="O4" s="705"/>
      <c r="P4" s="705"/>
      <c r="Q4" s="705"/>
      <c r="R4" s="705"/>
      <c r="S4" s="705"/>
    </row>
    <row r="5" spans="1:19" x14ac:dyDescent="0.25">
      <c r="A5" s="549"/>
      <c r="B5" s="549"/>
      <c r="C5" s="549"/>
      <c r="D5" s="549"/>
      <c r="E5" s="549"/>
      <c r="F5" s="705"/>
      <c r="G5" s="705"/>
      <c r="H5" s="705"/>
      <c r="I5" s="705"/>
      <c r="J5" s="705"/>
      <c r="K5" s="705"/>
      <c r="L5" s="705"/>
      <c r="M5" s="705"/>
      <c r="N5" s="705"/>
      <c r="O5" s="705"/>
      <c r="P5" s="705"/>
      <c r="Q5" s="705"/>
      <c r="R5" s="705"/>
      <c r="S5" s="705"/>
    </row>
    <row r="7" spans="1:19" x14ac:dyDescent="0.25">
      <c r="A7" s="705"/>
      <c r="B7" s="705"/>
      <c r="C7" s="705"/>
      <c r="D7" s="705"/>
      <c r="E7" s="705"/>
      <c r="F7" s="705"/>
      <c r="G7" s="705"/>
      <c r="H7" s="705"/>
      <c r="I7" s="705"/>
      <c r="J7" s="706"/>
      <c r="K7" s="705"/>
      <c r="L7" s="705"/>
      <c r="M7" s="705"/>
      <c r="N7" s="705"/>
      <c r="O7" s="705"/>
      <c r="P7" s="705"/>
      <c r="Q7" s="705"/>
      <c r="R7" s="705"/>
      <c r="S7" s="705"/>
    </row>
    <row r="8" spans="1:19" x14ac:dyDescent="0.25">
      <c r="A8" s="705"/>
      <c r="B8" s="705"/>
      <c r="C8" s="705"/>
      <c r="D8" s="705"/>
      <c r="E8" s="705"/>
      <c r="F8" s="705"/>
      <c r="G8" s="705"/>
      <c r="H8" s="705"/>
      <c r="I8" s="705"/>
      <c r="J8" s="706"/>
      <c r="K8" s="706"/>
      <c r="L8" s="706"/>
      <c r="M8" s="705"/>
      <c r="N8" s="705"/>
      <c r="O8" s="705"/>
      <c r="P8" s="705"/>
      <c r="Q8" s="705"/>
      <c r="R8" s="705"/>
      <c r="S8" s="705"/>
    </row>
    <row r="9" spans="1:19" x14ac:dyDescent="0.25">
      <c r="A9" s="705"/>
      <c r="B9" s="705"/>
      <c r="C9" s="705"/>
      <c r="D9" s="705"/>
      <c r="E9" s="705"/>
      <c r="F9" s="705"/>
      <c r="G9" s="705"/>
      <c r="H9" s="705"/>
      <c r="I9" s="705"/>
      <c r="J9" s="706"/>
      <c r="K9" s="706"/>
      <c r="L9" s="706"/>
      <c r="M9" s="705"/>
      <c r="N9" s="705"/>
      <c r="O9" s="705"/>
      <c r="P9" s="705"/>
      <c r="Q9" s="705"/>
      <c r="R9" s="705"/>
      <c r="S9" s="705"/>
    </row>
    <row r="11" spans="1:19" customFormat="1" ht="15" outlineLevel="1" x14ac:dyDescent="0.25">
      <c r="A11" s="304" t="s">
        <v>197</v>
      </c>
      <c r="B11" s="304"/>
      <c r="C11" s="304"/>
      <c r="D11" s="304"/>
      <c r="E11" s="304"/>
      <c r="F11" s="305"/>
      <c r="G11" s="305"/>
      <c r="H11" s="305"/>
      <c r="I11" s="305"/>
      <c r="J11" s="305"/>
      <c r="K11" s="305"/>
      <c r="L11" s="304"/>
      <c r="M11" s="304"/>
      <c r="N11" s="304"/>
      <c r="O11" s="304"/>
      <c r="P11" s="304"/>
      <c r="Q11" s="304"/>
      <c r="R11" s="304"/>
      <c r="S11" s="307"/>
    </row>
    <row r="12" spans="1:19" customFormat="1" ht="15" outlineLevel="1" x14ac:dyDescent="0.25">
      <c r="A12" s="307"/>
      <c r="B12" s="307"/>
      <c r="C12" s="307"/>
      <c r="D12" s="307"/>
      <c r="E12" s="308"/>
      <c r="F12" s="308"/>
      <c r="G12" s="308"/>
      <c r="H12" s="308"/>
      <c r="I12" s="306"/>
      <c r="J12" s="306"/>
      <c r="K12" s="306"/>
      <c r="L12" s="307"/>
      <c r="M12" s="307"/>
      <c r="N12" s="307"/>
      <c r="O12" s="307"/>
      <c r="P12" s="307"/>
      <c r="Q12" s="307"/>
      <c r="R12" s="307"/>
      <c r="S12" s="307"/>
    </row>
    <row r="13" spans="1:19" customFormat="1" ht="15" outlineLevel="1" x14ac:dyDescent="0.25">
      <c r="E13" s="1385" t="s">
        <v>297</v>
      </c>
      <c r="F13" s="1385"/>
      <c r="G13" s="1385"/>
      <c r="H13" s="1385"/>
      <c r="I13" s="311"/>
      <c r="J13" s="1385">
        <v>2025</v>
      </c>
      <c r="K13" s="1385"/>
      <c r="L13" s="1385"/>
      <c r="M13" s="1385"/>
      <c r="O13" s="1385">
        <v>2026</v>
      </c>
      <c r="P13" s="1385"/>
      <c r="Q13" s="1385"/>
      <c r="R13" s="1385"/>
      <c r="S13" s="162"/>
    </row>
    <row r="14" spans="1:19" customFormat="1" ht="15" outlineLevel="1" x14ac:dyDescent="0.25">
      <c r="E14" s="312" t="s">
        <v>202</v>
      </c>
      <c r="F14" s="313" t="s">
        <v>203</v>
      </c>
      <c r="G14" s="313" t="s">
        <v>204</v>
      </c>
      <c r="H14" s="313" t="s">
        <v>205</v>
      </c>
      <c r="I14" s="311"/>
      <c r="J14" s="313" t="s">
        <v>202</v>
      </c>
      <c r="K14" s="313" t="s">
        <v>203</v>
      </c>
      <c r="L14" s="312" t="s">
        <v>204</v>
      </c>
      <c r="M14" s="312" t="s">
        <v>205</v>
      </c>
      <c r="O14" s="312" t="s">
        <v>202</v>
      </c>
      <c r="P14" s="312" t="s">
        <v>203</v>
      </c>
      <c r="Q14" s="312" t="s">
        <v>204</v>
      </c>
      <c r="R14" s="552" t="s">
        <v>205</v>
      </c>
      <c r="S14" s="162"/>
    </row>
    <row r="15" spans="1:19" customFormat="1" ht="15" outlineLevel="1" x14ac:dyDescent="0.25">
      <c r="B15" s="1236" t="s">
        <v>826</v>
      </c>
      <c r="C15" s="1386" t="s">
        <v>207</v>
      </c>
      <c r="D15" s="1386"/>
      <c r="E15" s="315">
        <v>21546173.299999997</v>
      </c>
      <c r="F15" s="315">
        <v>26652448.710000001</v>
      </c>
      <c r="G15" s="315">
        <v>5574217.1200000001</v>
      </c>
      <c r="H15" s="315">
        <f t="shared" ref="H15:H22" si="0">E15+F15+G15</f>
        <v>53772839.129999995</v>
      </c>
      <c r="I15" s="318"/>
      <c r="J15" s="553">
        <v>199080350.24186358</v>
      </c>
      <c r="K15" s="553">
        <v>238233606.91199225</v>
      </c>
      <c r="L15" s="553">
        <v>52078726.858766012</v>
      </c>
      <c r="M15" s="554">
        <f>J15+K15+L15</f>
        <v>489392684.01262182</v>
      </c>
      <c r="N15" s="319">
        <f>M15/H15-1</f>
        <v>8.1011129769338979</v>
      </c>
      <c r="O15" s="554">
        <v>222411809.30789292</v>
      </c>
      <c r="P15" s="554">
        <v>265783975.14456066</v>
      </c>
      <c r="Q15" s="554">
        <v>58285619.194162935</v>
      </c>
      <c r="R15" s="555">
        <f>O15+P15++Q15</f>
        <v>546481403.64661658</v>
      </c>
      <c r="S15" s="339"/>
    </row>
    <row r="16" spans="1:19" customFormat="1" ht="15" outlineLevel="1" x14ac:dyDescent="0.25">
      <c r="B16" s="1236"/>
      <c r="C16" s="1387" t="s">
        <v>208</v>
      </c>
      <c r="D16" s="1387"/>
      <c r="E16" s="315">
        <v>386586.31</v>
      </c>
      <c r="F16" s="315">
        <v>4330689.99</v>
      </c>
      <c r="G16" s="315">
        <v>1236185.04</v>
      </c>
      <c r="H16" s="315">
        <f t="shared" si="0"/>
        <v>5953461.3399999999</v>
      </c>
      <c r="I16" s="318"/>
      <c r="J16" s="553">
        <f>(E16+(E16*$F$3))</f>
        <v>431043.73564999999</v>
      </c>
      <c r="K16" s="553">
        <f>(F16+(F16*$F$3))</f>
        <v>4828719.3388499999</v>
      </c>
      <c r="L16" s="553">
        <f>(G16+(G16*$F$3))</f>
        <v>1378346.3196</v>
      </c>
      <c r="M16" s="554">
        <f t="shared" ref="M16:M22" si="1">J16+K16+L16</f>
        <v>6638109.3941000002</v>
      </c>
      <c r="N16" s="319">
        <f>M16/H16-1</f>
        <v>0.11499999999999999</v>
      </c>
      <c r="O16" s="554">
        <f>(J16+(J16*$F$4))</f>
        <v>480613.76524974999</v>
      </c>
      <c r="P16" s="554">
        <f>(K16+(K16*$F$4))</f>
        <v>5384022.0628177496</v>
      </c>
      <c r="Q16" s="554">
        <f t="shared" ref="Q16" si="2">(L16+(L16*$F$4))</f>
        <v>1536856.1463540001</v>
      </c>
      <c r="R16" s="555">
        <f t="shared" ref="R16:R22" si="3">O16+P16++Q16</f>
        <v>7401491.9744214993</v>
      </c>
      <c r="S16" s="339"/>
    </row>
    <row r="17" spans="2:19" customFormat="1" ht="15" outlineLevel="1" x14ac:dyDescent="0.25">
      <c r="B17" s="1236"/>
      <c r="C17" s="556"/>
      <c r="D17" s="557" t="s">
        <v>209</v>
      </c>
      <c r="E17" s="315">
        <v>38548858.899999999</v>
      </c>
      <c r="F17" s="315">
        <v>44880237.710000008</v>
      </c>
      <c r="G17" s="315">
        <v>9838803.0299999993</v>
      </c>
      <c r="H17" s="315">
        <f t="shared" si="0"/>
        <v>93267899.640000015</v>
      </c>
      <c r="I17" s="318"/>
      <c r="J17" s="553"/>
      <c r="K17" s="553"/>
      <c r="L17" s="553"/>
      <c r="M17" s="554">
        <f t="shared" si="1"/>
        <v>0</v>
      </c>
      <c r="N17" s="319"/>
      <c r="O17" s="554"/>
      <c r="P17" s="554"/>
      <c r="Q17" s="554"/>
      <c r="R17" s="555">
        <f t="shared" si="3"/>
        <v>0</v>
      </c>
      <c r="S17" s="339"/>
    </row>
    <row r="18" spans="2:19" customFormat="1" ht="15" outlineLevel="1" x14ac:dyDescent="0.25">
      <c r="B18" s="1236"/>
      <c r="C18" s="1388" t="s">
        <v>827</v>
      </c>
      <c r="D18" s="1388"/>
      <c r="E18" s="315">
        <v>120569552.42999999</v>
      </c>
      <c r="F18" s="315">
        <v>141735998.66</v>
      </c>
      <c r="G18" s="315">
        <v>31661216.439999998</v>
      </c>
      <c r="H18" s="315">
        <f t="shared" si="0"/>
        <v>293966767.52999997</v>
      </c>
      <c r="I18" s="318"/>
      <c r="J18" s="553"/>
      <c r="K18" s="553"/>
      <c r="L18" s="553"/>
      <c r="M18" s="554">
        <f t="shared" si="1"/>
        <v>0</v>
      </c>
      <c r="N18" s="319"/>
      <c r="O18" s="554"/>
      <c r="P18" s="554"/>
      <c r="Q18" s="554"/>
      <c r="R18" s="555">
        <f t="shared" si="3"/>
        <v>0</v>
      </c>
      <c r="S18" s="339"/>
    </row>
    <row r="19" spans="2:19" customFormat="1" ht="15.75" hidden="1" customHeight="1" outlineLevel="1" x14ac:dyDescent="0.25">
      <c r="B19" s="1236"/>
      <c r="C19" s="1389" t="s">
        <v>828</v>
      </c>
      <c r="D19" s="1389"/>
      <c r="E19" s="315">
        <v>0</v>
      </c>
      <c r="F19" s="315">
        <v>0</v>
      </c>
      <c r="G19" s="315">
        <v>0</v>
      </c>
      <c r="H19" s="315">
        <f t="shared" si="0"/>
        <v>0</v>
      </c>
      <c r="I19" s="318"/>
      <c r="J19" s="553">
        <f>E19</f>
        <v>0</v>
      </c>
      <c r="K19" s="553">
        <f t="shared" ref="K19:L20" si="4">F19</f>
        <v>0</v>
      </c>
      <c r="L19" s="553">
        <f t="shared" si="4"/>
        <v>0</v>
      </c>
      <c r="M19" s="554">
        <f t="shared" si="1"/>
        <v>0</v>
      </c>
      <c r="N19" s="319"/>
      <c r="O19" s="554">
        <f>J19</f>
        <v>0</v>
      </c>
      <c r="P19" s="554">
        <f t="shared" ref="P19:Q20" si="5">K19</f>
        <v>0</v>
      </c>
      <c r="Q19" s="554">
        <f t="shared" si="5"/>
        <v>0</v>
      </c>
      <c r="R19" s="555">
        <f t="shared" si="3"/>
        <v>0</v>
      </c>
      <c r="S19" s="339"/>
    </row>
    <row r="20" spans="2:19" customFormat="1" ht="15" outlineLevel="1" x14ac:dyDescent="0.25">
      <c r="B20" s="1236"/>
      <c r="C20" s="1390" t="s">
        <v>212</v>
      </c>
      <c r="D20" s="1390"/>
      <c r="E20" s="315">
        <v>0</v>
      </c>
      <c r="F20" s="315">
        <v>1044.3699999999999</v>
      </c>
      <c r="G20" s="315">
        <v>0</v>
      </c>
      <c r="H20" s="315">
        <f t="shared" si="0"/>
        <v>1044.3699999999999</v>
      </c>
      <c r="I20" s="318"/>
      <c r="J20" s="553">
        <f>E20</f>
        <v>0</v>
      </c>
      <c r="K20" s="553">
        <f t="shared" si="4"/>
        <v>1044.3699999999999</v>
      </c>
      <c r="L20" s="553">
        <f t="shared" si="4"/>
        <v>0</v>
      </c>
      <c r="M20" s="554">
        <f t="shared" si="1"/>
        <v>1044.3699999999999</v>
      </c>
      <c r="N20" s="319">
        <f>M20/H20-1</f>
        <v>0</v>
      </c>
      <c r="O20" s="554">
        <f>J20</f>
        <v>0</v>
      </c>
      <c r="P20" s="554">
        <f t="shared" si="5"/>
        <v>1044.3699999999999</v>
      </c>
      <c r="Q20" s="554">
        <f t="shared" si="5"/>
        <v>0</v>
      </c>
      <c r="R20" s="555">
        <f t="shared" si="3"/>
        <v>1044.3699999999999</v>
      </c>
      <c r="S20" s="339"/>
    </row>
    <row r="21" spans="2:19" customFormat="1" ht="15" outlineLevel="1" x14ac:dyDescent="0.25">
      <c r="B21" s="1236"/>
      <c r="C21" s="1391" t="s">
        <v>213</v>
      </c>
      <c r="D21" s="1391"/>
      <c r="E21" s="315">
        <v>0</v>
      </c>
      <c r="F21" s="315">
        <v>0</v>
      </c>
      <c r="G21" s="315">
        <v>0</v>
      </c>
      <c r="H21" s="315">
        <f t="shared" si="0"/>
        <v>0</v>
      </c>
      <c r="I21" s="318"/>
      <c r="J21" s="553">
        <f>(J15+J18+J19)*$E$26</f>
        <v>0</v>
      </c>
      <c r="K21" s="553"/>
      <c r="L21" s="554"/>
      <c r="M21" s="554">
        <f t="shared" si="1"/>
        <v>0</v>
      </c>
      <c r="N21" s="319"/>
      <c r="O21" s="553">
        <f>(O15+O18+O19)*$E$26</f>
        <v>0</v>
      </c>
      <c r="P21" s="554"/>
      <c r="Q21" s="554"/>
      <c r="R21" s="555">
        <f t="shared" si="3"/>
        <v>0</v>
      </c>
      <c r="S21" s="339"/>
    </row>
    <row r="22" spans="2:19" customFormat="1" ht="15" outlineLevel="1" x14ac:dyDescent="0.25">
      <c r="B22" s="1236"/>
      <c r="C22" s="1389" t="s">
        <v>214</v>
      </c>
      <c r="D22" s="1389"/>
      <c r="E22" s="315">
        <v>16394127.739999995</v>
      </c>
      <c r="F22" s="315">
        <v>3987462.2099999832</v>
      </c>
      <c r="G22" s="315">
        <v>3757.3900000080466</v>
      </c>
      <c r="H22" s="315">
        <f t="shared" si="0"/>
        <v>20385347.339999985</v>
      </c>
      <c r="I22" s="318"/>
      <c r="J22" s="553">
        <f>E22</f>
        <v>16394127.739999995</v>
      </c>
      <c r="K22" s="553">
        <f t="shared" ref="K22:L22" si="6">F22</f>
        <v>3987462.2099999832</v>
      </c>
      <c r="L22" s="553">
        <f t="shared" si="6"/>
        <v>3757.3900000080466</v>
      </c>
      <c r="M22" s="554">
        <f t="shared" si="1"/>
        <v>20385347.339999985</v>
      </c>
      <c r="N22" s="319">
        <f>M22/H22-1</f>
        <v>0</v>
      </c>
      <c r="O22" s="554">
        <f>J22</f>
        <v>16394127.739999995</v>
      </c>
      <c r="P22" s="554">
        <f t="shared" ref="P22:Q22" si="7">K22</f>
        <v>3987462.2099999832</v>
      </c>
      <c r="Q22" s="554">
        <f t="shared" si="7"/>
        <v>3757.3900000080466</v>
      </c>
      <c r="R22" s="555">
        <f t="shared" si="3"/>
        <v>20385347.339999985</v>
      </c>
      <c r="S22" s="339"/>
    </row>
    <row r="23" spans="2:19" customFormat="1" ht="15" outlineLevel="1" x14ac:dyDescent="0.25">
      <c r="B23" s="1236"/>
      <c r="C23" s="1244" t="s">
        <v>172</v>
      </c>
      <c r="D23" s="1244" t="s">
        <v>172</v>
      </c>
      <c r="E23" s="558">
        <f>SUM(E15:E22)</f>
        <v>197445298.68000001</v>
      </c>
      <c r="F23" s="558">
        <f>SUM(F15:F22)</f>
        <v>221587881.64999998</v>
      </c>
      <c r="G23" s="558">
        <f>SUM(G15:G22)</f>
        <v>48314179.020000003</v>
      </c>
      <c r="H23" s="558">
        <f t="shared" ref="H23" si="8">SUM(H15:H22)</f>
        <v>467347359.34999996</v>
      </c>
      <c r="I23" s="318"/>
      <c r="J23" s="558">
        <f>SUM(J15:J22)</f>
        <v>215905521.71751356</v>
      </c>
      <c r="K23" s="558">
        <f>SUM(K15:K22)</f>
        <v>247050832.83084223</v>
      </c>
      <c r="L23" s="558">
        <f>SUM(L15:L22)</f>
        <v>53460830.568366021</v>
      </c>
      <c r="M23" s="558">
        <f>SUM(M15:M22)</f>
        <v>516417185.11672181</v>
      </c>
      <c r="N23" s="319">
        <f>M23/H23-1</f>
        <v>0.10499647592953032</v>
      </c>
      <c r="O23" s="559">
        <f>SUM(O15:O22)</f>
        <v>239286550.81314266</v>
      </c>
      <c r="P23" s="559">
        <f t="shared" ref="P23:Q23" si="9">SUM(P15:P22)</f>
        <v>275156503.78737837</v>
      </c>
      <c r="Q23" s="559">
        <f t="shared" si="9"/>
        <v>59826232.73051694</v>
      </c>
      <c r="R23" s="560">
        <f>SUM(R15:R22)</f>
        <v>574269287.33103812</v>
      </c>
      <c r="S23" s="327">
        <f>R23/M23-1</f>
        <v>0.11202590440757776</v>
      </c>
    </row>
    <row r="24" spans="2:19" customFormat="1" outlineLevel="1" x14ac:dyDescent="0.25">
      <c r="B24" s="1236"/>
      <c r="F24" s="311"/>
      <c r="G24" s="311"/>
      <c r="H24" s="311"/>
      <c r="I24" s="311"/>
      <c r="J24" s="311"/>
      <c r="K24" s="311"/>
      <c r="M24" s="327">
        <f>M23/H23-1</f>
        <v>0.10499647592953032</v>
      </c>
      <c r="R24" s="705"/>
      <c r="S24" s="561"/>
    </row>
    <row r="25" spans="2:19" customFormat="1" ht="15" outlineLevel="1" x14ac:dyDescent="0.25">
      <c r="B25" s="1236"/>
      <c r="D25" s="326" t="s">
        <v>215</v>
      </c>
      <c r="E25" s="562">
        <v>1.7942225963623899E-2</v>
      </c>
      <c r="F25" s="562">
        <v>0.16248750863837608</v>
      </c>
      <c r="G25" s="562">
        <v>0.22176836915172046</v>
      </c>
      <c r="H25" s="311"/>
      <c r="I25" s="311"/>
      <c r="J25" s="328">
        <f>J23-E23</f>
        <v>18460223.037513554</v>
      </c>
      <c r="K25" s="328">
        <f>K23-F23</f>
        <v>25462951.180842251</v>
      </c>
      <c r="L25" s="328">
        <f>L23-G23</f>
        <v>5146651.5483660176</v>
      </c>
      <c r="M25" s="329">
        <f>SUM(J25:L25)</f>
        <v>49069825.766721822</v>
      </c>
      <c r="O25" s="328">
        <f>O23-J23</f>
        <v>23381029.095629096</v>
      </c>
      <c r="P25" s="328">
        <f>P23-K23</f>
        <v>28105670.956536144</v>
      </c>
      <c r="Q25" s="328">
        <f>Q23-L23</f>
        <v>6365402.1621509194</v>
      </c>
      <c r="R25" s="563">
        <f>SUM(O25:Q25)</f>
        <v>57852102.214316159</v>
      </c>
      <c r="S25" s="564"/>
    </row>
    <row r="26" spans="2:19" customFormat="1" ht="15" outlineLevel="1" x14ac:dyDescent="0.25">
      <c r="B26" s="1236"/>
      <c r="D26" s="326" t="s">
        <v>216</v>
      </c>
      <c r="E26" s="562">
        <v>0</v>
      </c>
      <c r="F26" s="565"/>
      <c r="G26" s="565"/>
      <c r="H26" s="311"/>
      <c r="I26" s="331" t="s">
        <v>217</v>
      </c>
      <c r="J26" s="566">
        <f>J25*(14-$D$3)+J25*0.33*(14-$D$3)/13</f>
        <v>37857657.398470104</v>
      </c>
      <c r="K26" s="566">
        <f>K25*(14-$D$3)</f>
        <v>50925902.361684501</v>
      </c>
      <c r="L26" s="566">
        <f>L25*(14-$D$3)</f>
        <v>10293303.096732035</v>
      </c>
      <c r="M26" s="567">
        <f>SUM(J26:L26)</f>
        <v>99076862.85688664</v>
      </c>
      <c r="O26" s="566">
        <f>O25*(14-$D$4)+O25*0.33*(14-$D$4)/13</f>
        <v>311669117.84473586</v>
      </c>
      <c r="P26" s="566">
        <f>P25*(14-$D$4)</f>
        <v>365373722.4349699</v>
      </c>
      <c r="Q26" s="566">
        <f>Q25*(14-$D$4)</f>
        <v>82750228.107961953</v>
      </c>
      <c r="R26" s="568">
        <f>SUM(O26:Q26)</f>
        <v>759793068.38766766</v>
      </c>
      <c r="S26" s="569"/>
    </row>
    <row r="27" spans="2:19" customFormat="1" ht="15" outlineLevel="1" x14ac:dyDescent="0.25">
      <c r="B27" s="1236"/>
      <c r="D27" s="326" t="s">
        <v>218</v>
      </c>
      <c r="E27" s="562">
        <v>0</v>
      </c>
      <c r="F27" s="565"/>
      <c r="G27" s="565"/>
      <c r="H27" s="311"/>
      <c r="I27" s="331" t="s">
        <v>219</v>
      </c>
      <c r="J27" s="566">
        <f>J26*$E$27</f>
        <v>0</v>
      </c>
      <c r="K27" s="566"/>
      <c r="L27" s="566"/>
      <c r="M27" s="567">
        <f t="shared" ref="M27:M32" si="10">SUM(J27:L27)</f>
        <v>0</v>
      </c>
      <c r="O27" s="566">
        <f>O26*$E$27</f>
        <v>0</v>
      </c>
      <c r="P27" s="566"/>
      <c r="Q27" s="566"/>
      <c r="R27" s="568">
        <f t="shared" ref="R27:R32" si="11">SUM(O27:Q27)</f>
        <v>0</v>
      </c>
      <c r="S27" s="569"/>
    </row>
    <row r="28" spans="2:19" customFormat="1" ht="15" outlineLevel="1" x14ac:dyDescent="0.25">
      <c r="B28" s="1236"/>
      <c r="D28" s="326" t="s">
        <v>220</v>
      </c>
      <c r="E28" s="562">
        <v>0.2679045744194013</v>
      </c>
      <c r="F28" s="565"/>
      <c r="G28" s="565"/>
      <c r="H28" s="311"/>
      <c r="I28" s="331" t="s">
        <v>221</v>
      </c>
      <c r="J28" s="566">
        <f>J26*$E$28</f>
        <v>10142239.593852632</v>
      </c>
      <c r="K28" s="566"/>
      <c r="L28" s="566"/>
      <c r="M28" s="567">
        <f t="shared" si="10"/>
        <v>10142239.593852632</v>
      </c>
      <c r="O28" s="566">
        <f>O26*$E$28</f>
        <v>83497582.375864193</v>
      </c>
      <c r="P28" s="566"/>
      <c r="Q28" s="566"/>
      <c r="R28" s="568">
        <f t="shared" si="11"/>
        <v>83497582.375864193</v>
      </c>
      <c r="S28" s="569"/>
    </row>
    <row r="29" spans="2:19" customFormat="1" ht="15" outlineLevel="1" x14ac:dyDescent="0.25">
      <c r="B29" s="1236"/>
      <c r="E29" s="570" t="s">
        <v>770</v>
      </c>
      <c r="F29" s="571"/>
      <c r="G29" s="571"/>
      <c r="H29" s="311"/>
      <c r="I29" s="334" t="s">
        <v>222</v>
      </c>
      <c r="J29" s="567">
        <f>SUM(J26:J28)</f>
        <v>47999896.992322735</v>
      </c>
      <c r="K29" s="567">
        <f>SUM(K26:K28)</f>
        <v>50925902.361684501</v>
      </c>
      <c r="L29" s="567">
        <f>SUM(L26:L28)</f>
        <v>10293303.096732035</v>
      </c>
      <c r="M29" s="572">
        <f t="shared" si="10"/>
        <v>109219102.45073928</v>
      </c>
      <c r="O29" s="567">
        <f>SUM(O26:O28)</f>
        <v>395166700.22060007</v>
      </c>
      <c r="P29" s="567">
        <f>SUM(P26:P28)</f>
        <v>365373722.4349699</v>
      </c>
      <c r="Q29" s="567">
        <f>SUM(Q26:Q28)</f>
        <v>82750228.107961953</v>
      </c>
      <c r="R29" s="573">
        <f t="shared" si="11"/>
        <v>843290650.76353192</v>
      </c>
      <c r="S29" s="569"/>
    </row>
    <row r="30" spans="2:19" customFormat="1" ht="15" outlineLevel="1" x14ac:dyDescent="0.25">
      <c r="B30" s="1236"/>
      <c r="E30" s="570"/>
      <c r="F30" s="510"/>
      <c r="G30" s="510"/>
      <c r="H30" s="311"/>
      <c r="I30" s="404" t="s">
        <v>302</v>
      </c>
      <c r="J30" s="574">
        <f>J25*13.33</f>
        <v>246074773.09005567</v>
      </c>
      <c r="K30" s="574">
        <f>K25*13</f>
        <v>331018365.35094929</v>
      </c>
      <c r="L30" s="574">
        <f>L25*13</f>
        <v>66906470.128758229</v>
      </c>
      <c r="M30" s="567">
        <f t="shared" si="10"/>
        <v>643999608.56976318</v>
      </c>
      <c r="O30" s="574">
        <f>O25*13.33</f>
        <v>311669117.84473586</v>
      </c>
      <c r="P30" s="574">
        <f>P25*13</f>
        <v>365373722.4349699</v>
      </c>
      <c r="Q30" s="574">
        <f>Q25*13</f>
        <v>82750228.107961953</v>
      </c>
      <c r="R30" s="575">
        <f t="shared" si="11"/>
        <v>759793068.38766766</v>
      </c>
      <c r="S30" s="569"/>
    </row>
    <row r="31" spans="2:19" customFormat="1" ht="15" outlineLevel="1" x14ac:dyDescent="0.25">
      <c r="B31" s="1236"/>
      <c r="D31" s="576" t="s">
        <v>771</v>
      </c>
      <c r="E31" s="577">
        <v>0.98909547681068166</v>
      </c>
      <c r="F31" s="577">
        <v>0.99647047139071188</v>
      </c>
      <c r="G31" s="577">
        <v>0.99716870795940171</v>
      </c>
      <c r="H31" s="311"/>
      <c r="I31" s="404" t="s">
        <v>303</v>
      </c>
      <c r="J31" s="574">
        <f>J30*$E$27</f>
        <v>0</v>
      </c>
      <c r="K31" s="574"/>
      <c r="L31" s="574"/>
      <c r="M31" s="567">
        <f t="shared" si="10"/>
        <v>0</v>
      </c>
      <c r="O31" s="574">
        <f>O30*$E$27</f>
        <v>0</v>
      </c>
      <c r="P31" s="574"/>
      <c r="Q31" s="574"/>
      <c r="R31" s="575">
        <f t="shared" si="11"/>
        <v>0</v>
      </c>
      <c r="S31" s="569"/>
    </row>
    <row r="32" spans="2:19" customFormat="1" ht="15" outlineLevel="1" x14ac:dyDescent="0.25">
      <c r="B32" s="1236"/>
      <c r="E32" s="339"/>
      <c r="F32" s="318"/>
      <c r="G32" s="318"/>
      <c r="H32" s="318"/>
      <c r="I32" s="404" t="s">
        <v>304</v>
      </c>
      <c r="J32" s="574">
        <f>J30*$E$28</f>
        <v>65924557.36004211</v>
      </c>
      <c r="K32" s="574"/>
      <c r="L32" s="574"/>
      <c r="M32" s="567">
        <f t="shared" si="10"/>
        <v>65924557.36004211</v>
      </c>
      <c r="O32" s="574">
        <f>O30*$E$28</f>
        <v>83497582.375864193</v>
      </c>
      <c r="P32" s="574"/>
      <c r="Q32" s="574"/>
      <c r="R32" s="575">
        <f t="shared" si="11"/>
        <v>83497582.375864193</v>
      </c>
      <c r="S32" s="569"/>
    </row>
    <row r="33" spans="2:19" customFormat="1" outlineLevel="1" x14ac:dyDescent="0.25">
      <c r="B33" s="1236"/>
      <c r="D33" s="705"/>
      <c r="E33" s="706"/>
      <c r="F33" s="706"/>
      <c r="G33" s="706"/>
      <c r="H33" s="705"/>
      <c r="I33" s="405" t="s">
        <v>305</v>
      </c>
      <c r="J33" s="578">
        <f>SUM(J30:J32)</f>
        <v>311999330.4500978</v>
      </c>
      <c r="K33" s="578">
        <f>SUM(K30:K32)</f>
        <v>331018365.35094929</v>
      </c>
      <c r="L33" s="578">
        <f>SUM(L30:L32)</f>
        <v>66906470.128758229</v>
      </c>
      <c r="M33" s="572">
        <f>SUM(J33:L33)</f>
        <v>709924165.92980528</v>
      </c>
      <c r="O33" s="578">
        <f>SUM(O30:O32)</f>
        <v>395166700.22060007</v>
      </c>
      <c r="P33" s="578">
        <f t="shared" ref="P33:R33" si="12">SUM(P30:P32)</f>
        <v>365373722.4349699</v>
      </c>
      <c r="Q33" s="578">
        <f t="shared" si="12"/>
        <v>82750228.107961953</v>
      </c>
      <c r="R33" s="573">
        <f t="shared" si="12"/>
        <v>843290650.7635318</v>
      </c>
      <c r="S33" s="569"/>
    </row>
    <row r="34" spans="2:19" customFormat="1" outlineLevel="1" x14ac:dyDescent="0.25">
      <c r="D34" s="705"/>
      <c r="E34" s="705"/>
      <c r="F34" s="705"/>
      <c r="G34" s="705"/>
      <c r="H34" s="705"/>
      <c r="I34" s="311"/>
      <c r="J34" s="311"/>
      <c r="K34" s="318">
        <f>+K26+L26</f>
        <v>61219205.458416536</v>
      </c>
      <c r="P34" s="339"/>
    </row>
    <row r="35" spans="2:19" x14ac:dyDescent="0.25">
      <c r="B35" s="705"/>
      <c r="C35" s="705"/>
      <c r="D35" s="705"/>
      <c r="E35" s="705"/>
      <c r="F35" s="706"/>
      <c r="G35" s="706"/>
      <c r="H35" s="705"/>
      <c r="I35" s="705"/>
      <c r="J35" s="705"/>
      <c r="K35" s="705"/>
      <c r="L35" s="705"/>
      <c r="M35" s="705"/>
      <c r="N35" s="705"/>
      <c r="O35" s="705"/>
      <c r="P35" s="706"/>
      <c r="Q35" s="705"/>
      <c r="R35" s="705"/>
      <c r="S35" s="705"/>
    </row>
    <row r="36" spans="2:19" x14ac:dyDescent="0.25">
      <c r="B36" s="705"/>
      <c r="C36" s="705"/>
      <c r="D36" s="705"/>
      <c r="E36" s="706"/>
      <c r="F36" s="706"/>
      <c r="G36" s="706"/>
      <c r="H36" s="706"/>
      <c r="I36" s="705"/>
      <c r="J36" s="705"/>
      <c r="K36" s="705"/>
      <c r="L36" s="705"/>
      <c r="M36" s="705"/>
      <c r="N36" s="705"/>
      <c r="O36" s="705"/>
      <c r="P36" s="706"/>
      <c r="Q36" s="705"/>
      <c r="R36" s="705"/>
      <c r="S36" s="705"/>
    </row>
    <row r="37" spans="2:19" x14ac:dyDescent="0.25">
      <c r="B37" s="705"/>
      <c r="C37" s="705"/>
      <c r="D37" s="705"/>
      <c r="E37" s="705"/>
      <c r="F37" s="705"/>
      <c r="G37" s="705"/>
      <c r="H37" s="705"/>
      <c r="I37" s="340" t="s">
        <v>829</v>
      </c>
      <c r="J37" s="328">
        <f>E23</f>
        <v>197445298.68000001</v>
      </c>
      <c r="K37" s="328">
        <f t="shared" ref="K37:L37" si="13">F23</f>
        <v>221587881.64999998</v>
      </c>
      <c r="L37" s="328">
        <f t="shared" si="13"/>
        <v>48314179.020000003</v>
      </c>
      <c r="M37" s="329">
        <f t="shared" ref="M37" si="14">SUM(J37:L37)</f>
        <v>467347359.34999996</v>
      </c>
      <c r="N37" s="705"/>
      <c r="O37" s="707" t="s">
        <v>749</v>
      </c>
      <c r="P37" s="706">
        <f>M29</f>
        <v>109219102.45073928</v>
      </c>
      <c r="Q37" s="705"/>
      <c r="R37" s="706"/>
      <c r="S37" s="705"/>
    </row>
    <row r="38" spans="2:19" x14ac:dyDescent="0.25">
      <c r="B38" s="705"/>
      <c r="C38" s="705"/>
      <c r="D38" s="705"/>
      <c r="E38" s="162"/>
      <c r="F38" s="314"/>
      <c r="G38" s="314"/>
      <c r="H38" s="314"/>
      <c r="I38" s="579" t="s">
        <v>217</v>
      </c>
      <c r="J38" s="332">
        <f>J37*(14-$E$3)+J37*0.33*(14-$E$3)/13</f>
        <v>2631945831.4044003</v>
      </c>
      <c r="K38" s="332">
        <f>K37*(14-$E$3)</f>
        <v>2880642461.4499998</v>
      </c>
      <c r="L38" s="332">
        <f>L37*(14-$E$3)</f>
        <v>628084327.25999999</v>
      </c>
      <c r="M38" s="333">
        <f>SUM(J38:L38)</f>
        <v>6140672620.1144009</v>
      </c>
      <c r="N38" s="705"/>
      <c r="O38" s="707" t="s">
        <v>750</v>
      </c>
      <c r="P38" s="706">
        <f>M33+R29</f>
        <v>1553214816.6933372</v>
      </c>
      <c r="Q38" s="705"/>
      <c r="R38" s="705"/>
      <c r="S38" s="705"/>
    </row>
    <row r="39" spans="2:19" x14ac:dyDescent="0.25">
      <c r="B39" s="705"/>
      <c r="C39" s="705"/>
      <c r="D39" s="705"/>
      <c r="E39" s="706"/>
      <c r="F39" s="706"/>
      <c r="G39" s="706"/>
      <c r="H39" s="706"/>
      <c r="I39" s="579" t="s">
        <v>219</v>
      </c>
      <c r="J39" s="332">
        <f>J38*$E$27</f>
        <v>0</v>
      </c>
      <c r="K39" s="332"/>
      <c r="L39" s="332"/>
      <c r="M39" s="333">
        <f t="shared" ref="M39:M41" si="15">SUM(J39:L39)</f>
        <v>0</v>
      </c>
      <c r="N39" s="705"/>
      <c r="O39" s="707" t="s">
        <v>830</v>
      </c>
      <c r="P39" s="706">
        <f>M33+R33</f>
        <v>1553214816.693337</v>
      </c>
      <c r="Q39" s="705"/>
      <c r="R39" s="705"/>
      <c r="S39" s="705"/>
    </row>
    <row r="40" spans="2:19" x14ac:dyDescent="0.25">
      <c r="B40" s="705"/>
      <c r="C40" s="705"/>
      <c r="D40" s="705"/>
      <c r="E40" s="706"/>
      <c r="F40" s="706"/>
      <c r="G40" s="706"/>
      <c r="H40" s="706"/>
      <c r="I40" s="579" t="s">
        <v>221</v>
      </c>
      <c r="J40" s="332">
        <f>J38*$E$28</f>
        <v>705110327.85731316</v>
      </c>
      <c r="K40" s="332"/>
      <c r="L40" s="332"/>
      <c r="M40" s="333">
        <f t="shared" si="15"/>
        <v>705110327.85731316</v>
      </c>
      <c r="N40" s="705"/>
      <c r="O40" s="705"/>
      <c r="P40" s="705"/>
      <c r="Q40" s="708"/>
      <c r="R40" s="705"/>
      <c r="S40" s="705"/>
    </row>
    <row r="41" spans="2:19" x14ac:dyDescent="0.25">
      <c r="B41" s="705"/>
      <c r="C41" s="705"/>
      <c r="D41" s="705"/>
      <c r="E41" s="706"/>
      <c r="F41" s="706"/>
      <c r="G41" s="706"/>
      <c r="H41" s="706"/>
      <c r="I41" s="580" t="s">
        <v>222</v>
      </c>
      <c r="J41" s="333">
        <f>SUM(J38:J40)</f>
        <v>3337056159.2617135</v>
      </c>
      <c r="K41" s="333">
        <f>SUM(K38:K40)</f>
        <v>2880642461.4499998</v>
      </c>
      <c r="L41" s="333">
        <f>SUM(L38:L40)</f>
        <v>628084327.25999999</v>
      </c>
      <c r="M41" s="341">
        <f t="shared" si="15"/>
        <v>6845782947.971714</v>
      </c>
      <c r="N41" s="708"/>
      <c r="O41" s="705"/>
      <c r="P41" s="705"/>
      <c r="Q41" s="708"/>
      <c r="R41" s="705"/>
      <c r="S41" s="705"/>
    </row>
  </sheetData>
  <mergeCells count="12">
    <mergeCell ref="E13:H13"/>
    <mergeCell ref="J13:M13"/>
    <mergeCell ref="O13:R13"/>
    <mergeCell ref="B15:B33"/>
    <mergeCell ref="C15:D15"/>
    <mergeCell ref="C16:D16"/>
    <mergeCell ref="C18:D18"/>
    <mergeCell ref="C19:D19"/>
    <mergeCell ref="C20:D20"/>
    <mergeCell ref="C21:D21"/>
    <mergeCell ref="C22:D22"/>
    <mergeCell ref="C23:D23"/>
  </mergeCells>
  <pageMargins left="0.19685039370078741" right="0.19685039370078741" top="0.78740157480314965" bottom="0.78740157480314965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B8880-FFD6-4F60-8305-A8B48E00B210}">
  <sheetPr>
    <tabColor rgb="FFFFC000"/>
  </sheetPr>
  <dimension ref="A1:AU11"/>
  <sheetViews>
    <sheetView showGridLines="0" zoomScaleNormal="100" workbookViewId="0">
      <pane xSplit="2" ySplit="4" topLeftCell="AP5" activePane="bottomRight" state="frozen"/>
      <selection activeCell="AR6" sqref="AR6"/>
      <selection pane="topRight" activeCell="AR6" sqref="AR6"/>
      <selection pane="bottomLeft" activeCell="AR6" sqref="AR6"/>
      <selection pane="bottomRight" activeCell="B5" sqref="B5"/>
    </sheetView>
  </sheetViews>
  <sheetFormatPr defaultColWidth="9.140625" defaultRowHeight="15" outlineLevelRow="1" outlineLevelCol="2" x14ac:dyDescent="0.25"/>
  <cols>
    <col min="1" max="1" width="39.85546875" style="221" customWidth="1"/>
    <col min="2" max="2" width="54.7109375" style="17" customWidth="1"/>
    <col min="3" max="3" width="12.42578125" style="1" customWidth="1" outlineLevel="1"/>
    <col min="4" max="6" width="15" style="10" customWidth="1" outlineLevel="2"/>
    <col min="7" max="7" width="15" style="11" customWidth="1" outlineLevel="1"/>
    <col min="8" max="10" width="18.28515625" style="1" customWidth="1" outlineLevel="2"/>
    <col min="11" max="13" width="18.28515625" style="1" customWidth="1" outlineLevel="1"/>
    <col min="14" max="16" width="18.28515625" style="1" customWidth="1" outlineLevel="2"/>
    <col min="17" max="19" width="15" style="1" customWidth="1" outlineLevel="1"/>
    <col min="20" max="20" width="16.85546875" style="1" customWidth="1" outlineLevel="2"/>
    <col min="21" max="21" width="16.7109375" style="1" customWidth="1" outlineLevel="2"/>
    <col min="22" max="22" width="19.140625" style="1" customWidth="1" outlineLevel="2"/>
    <col min="23" max="23" width="20.28515625" style="1" customWidth="1" outlineLevel="1"/>
    <col min="24" max="25" width="18.28515625" style="1" customWidth="1" outlineLevel="1"/>
    <col min="26" max="26" width="19.28515625" style="1" customWidth="1" outlineLevel="2"/>
    <col min="27" max="27" width="16.42578125" style="1" customWidth="1" outlineLevel="2"/>
    <col min="28" max="28" width="19.140625" style="1" customWidth="1" outlineLevel="2"/>
    <col min="29" max="29" width="17.85546875" style="1" customWidth="1" outlineLevel="1"/>
    <col min="30" max="30" width="16.42578125" style="1" customWidth="1" outlineLevel="1"/>
    <col min="31" max="31" width="17.85546875" style="1" customWidth="1" outlineLevel="1"/>
    <col min="32" max="33" width="15" style="1" customWidth="1" outlineLevel="1"/>
    <col min="34" max="34" width="16.85546875" style="1" bestFit="1" customWidth="1" outlineLevel="1"/>
    <col min="35" max="35" width="15" style="1" customWidth="1" outlineLevel="1"/>
    <col min="36" max="36" width="16.85546875" style="1" bestFit="1" customWidth="1" outlineLevel="1"/>
    <col min="37" max="37" width="19.140625" style="1" customWidth="1" outlineLevel="2"/>
    <col min="38" max="39" width="18" style="1" customWidth="1" outlineLevel="2"/>
    <col min="40" max="40" width="18.7109375" style="1" customWidth="1" outlineLevel="1"/>
    <col min="41" max="41" width="17" style="1" customWidth="1" outlineLevel="1"/>
    <col min="42" max="42" width="21" style="1" customWidth="1" outlineLevel="1"/>
    <col min="43" max="43" width="18.7109375" style="15" bestFit="1" customWidth="1"/>
    <col min="44" max="44" width="20.42578125" style="16" bestFit="1" customWidth="1"/>
    <col min="45" max="46" width="22.28515625" style="16" customWidth="1"/>
    <col min="47" max="47" width="35.42578125" style="1" bestFit="1" customWidth="1"/>
    <col min="48" max="49" width="19.42578125" style="1" bestFit="1" customWidth="1"/>
    <col min="50" max="16384" width="9.140625" style="1"/>
  </cols>
  <sheetData>
    <row r="1" spans="1:47" x14ac:dyDescent="0.25">
      <c r="H1" s="1">
        <f>SUBTOTAL(9,H5:H6)</f>
        <v>2847551.8115000017</v>
      </c>
      <c r="I1" s="220">
        <f>SUBTOTAL(9,I5:I6)</f>
        <v>3518171.2743499987</v>
      </c>
      <c r="J1" s="220"/>
      <c r="K1" s="220">
        <f>SUBTOTAL(9,K5:K6)</f>
        <v>7124229.6691500004</v>
      </c>
      <c r="L1" s="220">
        <f>SUBTOTAL(9,L5:L6)</f>
        <v>0</v>
      </c>
      <c r="M1" s="220">
        <f>SUBTOTAL(9,M5:M6)</f>
        <v>7124229.6691500004</v>
      </c>
      <c r="N1" s="220">
        <f>SUBTOTAL(9,N5:N6)</f>
        <v>34170621.73800002</v>
      </c>
      <c r="O1" s="220">
        <f>SUBTOTAL(9,O5:O6)</f>
        <v>42218055.292199984</v>
      </c>
      <c r="P1" s="220"/>
      <c r="Q1" s="220">
        <f>SUBTOTAL(9,Q5:Q6)</f>
        <v>85490756.029799998</v>
      </c>
      <c r="R1" s="220">
        <f>SUBTOTAL(9,R5:R6)</f>
        <v>0</v>
      </c>
      <c r="S1" s="220">
        <f>SUBTOTAL(9,S5:S6)</f>
        <v>85490756.029799998</v>
      </c>
      <c r="T1" s="220">
        <f>SUBTOTAL(9,T5:T6)</f>
        <v>45649785.237869963</v>
      </c>
      <c r="U1" s="220">
        <f>SUBTOTAL(9,U5:U6)</f>
        <v>47073131.65080294</v>
      </c>
      <c r="V1" s="220"/>
      <c r="W1" s="220">
        <f>SUBTOTAL(9,W5:W6)</f>
        <v>102871734.9732269</v>
      </c>
      <c r="X1" s="220">
        <f>SUBTOTAL(9,X5:X6)</f>
        <v>0</v>
      </c>
      <c r="Y1" s="220">
        <f>SUBTOTAL(9,Y5:Y6)</f>
        <v>102871734.9732269</v>
      </c>
      <c r="Z1" s="220">
        <f>SUBTOTAL(9,Z5:Z6)</f>
        <v>47327461.237869963</v>
      </c>
      <c r="AA1" s="220">
        <f>SUBTOTAL(9,AA5:AA6)</f>
        <v>47073131.65080294</v>
      </c>
      <c r="AB1" s="220"/>
      <c r="AC1" s="220">
        <f t="shared" ref="AC1:AL1" si="0">SUBTOTAL(9,AC5:AC6)</f>
        <v>104549410.9732269</v>
      </c>
      <c r="AD1" s="220">
        <f t="shared" si="0"/>
        <v>0</v>
      </c>
      <c r="AE1" s="220">
        <f t="shared" si="0"/>
        <v>104549410.9732269</v>
      </c>
      <c r="AF1" s="220">
        <f t="shared" si="0"/>
        <v>47327461.237869963</v>
      </c>
      <c r="AG1" s="220">
        <f t="shared" si="0"/>
        <v>57221949.735356949</v>
      </c>
      <c r="AH1" s="220">
        <f t="shared" si="0"/>
        <v>104549410.9732269</v>
      </c>
      <c r="AI1" s="220">
        <f t="shared" si="0"/>
        <v>0</v>
      </c>
      <c r="AJ1" s="220">
        <f t="shared" si="0"/>
        <v>95322192.973226905</v>
      </c>
      <c r="AK1" s="220">
        <f t="shared" si="0"/>
        <v>81498082.975869983</v>
      </c>
      <c r="AL1" s="220">
        <f t="shared" si="0"/>
        <v>89291186.943002924</v>
      </c>
      <c r="AM1" s="220"/>
      <c r="AN1" s="220">
        <f t="shared" ref="AN1:AS1" si="1">SUBTOTAL(9,AN5:AN6)</f>
        <v>190040167.0030269</v>
      </c>
      <c r="AO1" s="220">
        <f t="shared" si="1"/>
        <v>0</v>
      </c>
      <c r="AP1" s="220">
        <f>SUBTOTAL(9,AP5:AP6)</f>
        <v>190040167.0030269</v>
      </c>
      <c r="AQ1" s="220">
        <f t="shared" si="1"/>
        <v>7124229.6691500004</v>
      </c>
      <c r="AR1" s="220">
        <f t="shared" si="1"/>
        <v>188362491.0030269</v>
      </c>
      <c r="AS1" s="220">
        <f t="shared" si="1"/>
        <v>190040167.0030269</v>
      </c>
      <c r="AT1" s="220"/>
    </row>
    <row r="2" spans="1:47" ht="15" customHeight="1" x14ac:dyDescent="0.25">
      <c r="B2" s="1021" t="s">
        <v>24</v>
      </c>
      <c r="C2" s="1022" t="s">
        <v>25</v>
      </c>
      <c r="D2" s="1023" t="s">
        <v>26</v>
      </c>
      <c r="E2" s="1023"/>
      <c r="F2" s="1023"/>
      <c r="G2" s="1022" t="s">
        <v>27</v>
      </c>
      <c r="H2" s="1022" t="s">
        <v>28</v>
      </c>
      <c r="I2" s="1022"/>
      <c r="J2" s="1022"/>
      <c r="K2" s="1022"/>
      <c r="L2" s="1022"/>
      <c r="M2" s="1022"/>
      <c r="N2" s="1022"/>
      <c r="O2" s="1022"/>
      <c r="P2" s="1022"/>
      <c r="Q2" s="1022"/>
      <c r="R2" s="1022"/>
      <c r="S2" s="1022"/>
      <c r="T2" s="1022" t="s">
        <v>28</v>
      </c>
      <c r="U2" s="1022"/>
      <c r="V2" s="1022"/>
      <c r="W2" s="1022"/>
      <c r="X2" s="1022"/>
      <c r="Y2" s="1022"/>
      <c r="Z2" s="1022"/>
      <c r="AA2" s="1022"/>
      <c r="AB2" s="1022"/>
      <c r="AC2" s="1022"/>
      <c r="AD2" s="1022"/>
      <c r="AE2" s="1022"/>
      <c r="AF2" s="28"/>
      <c r="AG2" s="28"/>
      <c r="AH2" s="28"/>
      <c r="AI2" s="28"/>
      <c r="AJ2" s="28"/>
      <c r="AK2" s="1022" t="s">
        <v>28</v>
      </c>
      <c r="AL2" s="1022"/>
      <c r="AM2" s="1022"/>
      <c r="AN2" s="1022"/>
      <c r="AO2" s="1022"/>
      <c r="AP2" s="1022"/>
      <c r="AQ2" s="1024" t="s">
        <v>2</v>
      </c>
      <c r="AR2" s="1024"/>
      <c r="AS2" s="1024"/>
      <c r="AT2" s="1452"/>
    </row>
    <row r="3" spans="1:47" x14ac:dyDescent="0.25">
      <c r="B3" s="1021"/>
      <c r="C3" s="1022"/>
      <c r="D3" s="2" t="s">
        <v>29</v>
      </c>
      <c r="E3" s="2" t="s">
        <v>30</v>
      </c>
      <c r="F3" s="2" t="s">
        <v>13</v>
      </c>
      <c r="G3" s="1022"/>
      <c r="H3" s="1025">
        <v>2025</v>
      </c>
      <c r="I3" s="1025"/>
      <c r="J3" s="1025"/>
      <c r="K3" s="1025"/>
      <c r="L3" s="1025"/>
      <c r="M3" s="1025"/>
      <c r="N3" s="1025" t="s">
        <v>31</v>
      </c>
      <c r="O3" s="1025"/>
      <c r="P3" s="1025"/>
      <c r="Q3" s="1025"/>
      <c r="R3" s="1025"/>
      <c r="S3" s="1025"/>
      <c r="T3" s="1026">
        <v>2026</v>
      </c>
      <c r="U3" s="1026"/>
      <c r="V3" s="1026"/>
      <c r="W3" s="1026"/>
      <c r="X3" s="1026"/>
      <c r="Y3" s="1026"/>
      <c r="Z3" s="1026" t="s">
        <v>31</v>
      </c>
      <c r="AA3" s="1026"/>
      <c r="AB3" s="1026"/>
      <c r="AC3" s="1026"/>
      <c r="AD3" s="1026"/>
      <c r="AE3" s="1026"/>
      <c r="AF3" s="1027">
        <v>2027</v>
      </c>
      <c r="AG3" s="1028"/>
      <c r="AH3" s="1028"/>
      <c r="AI3" s="1028"/>
      <c r="AJ3" s="1029"/>
      <c r="AK3" s="1022" t="s">
        <v>13</v>
      </c>
      <c r="AL3" s="1022"/>
      <c r="AM3" s="1022"/>
      <c r="AN3" s="1022"/>
      <c r="AO3" s="1022"/>
      <c r="AP3" s="1022"/>
      <c r="AQ3" s="3"/>
      <c r="AR3" s="3"/>
      <c r="AS3" s="3"/>
      <c r="AT3" s="3"/>
      <c r="AU3" s="3"/>
    </row>
    <row r="4" spans="1:47" x14ac:dyDescent="0.25">
      <c r="B4" s="1021"/>
      <c r="C4" s="1022"/>
      <c r="D4" s="2"/>
      <c r="E4" s="2"/>
      <c r="F4" s="2"/>
      <c r="G4" s="1022"/>
      <c r="H4" s="4" t="s">
        <v>32</v>
      </c>
      <c r="I4" s="4" t="s">
        <v>30</v>
      </c>
      <c r="J4" s="4" t="s">
        <v>33</v>
      </c>
      <c r="K4" s="4" t="s">
        <v>34</v>
      </c>
      <c r="L4" s="4" t="s">
        <v>35</v>
      </c>
      <c r="M4" s="4" t="s">
        <v>13</v>
      </c>
      <c r="N4" s="4" t="s">
        <v>32</v>
      </c>
      <c r="O4" s="4" t="s">
        <v>30</v>
      </c>
      <c r="P4" s="4" t="s">
        <v>33</v>
      </c>
      <c r="Q4" s="4" t="s">
        <v>34</v>
      </c>
      <c r="R4" s="4" t="s">
        <v>35</v>
      </c>
      <c r="S4" s="4" t="s">
        <v>13</v>
      </c>
      <c r="T4" s="5" t="s">
        <v>32</v>
      </c>
      <c r="U4" s="5" t="s">
        <v>30</v>
      </c>
      <c r="V4" s="5" t="s">
        <v>36</v>
      </c>
      <c r="W4" s="5" t="s">
        <v>34</v>
      </c>
      <c r="X4" s="5" t="s">
        <v>35</v>
      </c>
      <c r="Y4" s="5" t="s">
        <v>13</v>
      </c>
      <c r="Z4" s="5" t="s">
        <v>32</v>
      </c>
      <c r="AA4" s="5" t="s">
        <v>30</v>
      </c>
      <c r="AB4" s="5" t="s">
        <v>33</v>
      </c>
      <c r="AC4" s="5" t="s">
        <v>34</v>
      </c>
      <c r="AD4" s="5" t="s">
        <v>35</v>
      </c>
      <c r="AE4" s="5" t="s">
        <v>13</v>
      </c>
      <c r="AF4" s="29" t="s">
        <v>32</v>
      </c>
      <c r="AG4" s="29" t="s">
        <v>30</v>
      </c>
      <c r="AH4" s="29" t="s">
        <v>34</v>
      </c>
      <c r="AI4" s="29" t="s">
        <v>35</v>
      </c>
      <c r="AJ4" s="29" t="s">
        <v>13</v>
      </c>
      <c r="AK4" s="6" t="s">
        <v>32</v>
      </c>
      <c r="AL4" s="6" t="s">
        <v>30</v>
      </c>
      <c r="AM4" s="6" t="s">
        <v>33</v>
      </c>
      <c r="AN4" s="6" t="s">
        <v>34</v>
      </c>
      <c r="AO4" s="6" t="s">
        <v>35</v>
      </c>
      <c r="AP4" s="6" t="s">
        <v>13</v>
      </c>
      <c r="AQ4" s="7">
        <v>2025</v>
      </c>
      <c r="AR4" s="8">
        <v>2026</v>
      </c>
      <c r="AS4" s="8" t="s">
        <v>37</v>
      </c>
      <c r="AT4" s="8">
        <v>2028</v>
      </c>
      <c r="AU4" s="8" t="s">
        <v>38</v>
      </c>
    </row>
    <row r="5" spans="1:47" s="20" customFormat="1" ht="38.25" customHeight="1" outlineLevel="1" x14ac:dyDescent="0.2">
      <c r="A5" s="441" t="s">
        <v>1854</v>
      </c>
      <c r="B5" s="224" t="s">
        <v>39</v>
      </c>
      <c r="C5" s="22"/>
      <c r="D5" s="23"/>
      <c r="E5" s="23"/>
      <c r="F5" s="23"/>
      <c r="G5" s="24">
        <v>46113</v>
      </c>
      <c r="H5" s="73">
        <v>0</v>
      </c>
      <c r="I5" s="73">
        <v>0</v>
      </c>
      <c r="J5" s="73">
        <v>0</v>
      </c>
      <c r="K5" s="73">
        <f t="shared" ref="K5:K6" si="2">H5+I5+J5</f>
        <v>0</v>
      </c>
      <c r="L5" s="73">
        <v>0</v>
      </c>
      <c r="M5" s="73">
        <v>0</v>
      </c>
      <c r="N5" s="73">
        <v>0</v>
      </c>
      <c r="O5" s="73">
        <v>0</v>
      </c>
      <c r="P5" s="73">
        <v>0</v>
      </c>
      <c r="Q5" s="73">
        <f t="shared" ref="Q5:Q6" si="3">N5+O5+P5</f>
        <v>0</v>
      </c>
      <c r="R5" s="73">
        <v>0</v>
      </c>
      <c r="S5" s="73">
        <f t="shared" ref="S5:S6" si="4">SUM(Q5:R5)</f>
        <v>0</v>
      </c>
      <c r="T5" s="73">
        <f>'Item9-Loc Estrategica'!F19</f>
        <v>7549542</v>
      </c>
      <c r="U5" s="73">
        <v>0</v>
      </c>
      <c r="V5" s="73">
        <v>0</v>
      </c>
      <c r="W5" s="73">
        <f t="shared" ref="W5:W6" si="5">T5+U5+V5</f>
        <v>7549542</v>
      </c>
      <c r="X5" s="73">
        <v>0</v>
      </c>
      <c r="Y5" s="73">
        <f t="shared" ref="Y5:Y6" si="6">W5+X5</f>
        <v>7549542</v>
      </c>
      <c r="Z5" s="73">
        <f>'Item9-Loc Estrategica'!E19*11</f>
        <v>9227218</v>
      </c>
      <c r="AA5" s="73">
        <v>0</v>
      </c>
      <c r="AB5" s="73">
        <v>0</v>
      </c>
      <c r="AC5" s="73">
        <f t="shared" ref="AC5:AC6" si="7">Z5+AA5+AB5</f>
        <v>9227218</v>
      </c>
      <c r="AD5" s="73">
        <v>0</v>
      </c>
      <c r="AE5" s="968">
        <f t="shared" ref="AE5:AE6" si="8">SUM(AC5:AD5)</f>
        <v>9227218</v>
      </c>
      <c r="AF5" s="73">
        <f>Z5</f>
        <v>9227218</v>
      </c>
      <c r="AG5" s="73">
        <f>AA5+AB5</f>
        <v>0</v>
      </c>
      <c r="AH5" s="73">
        <f t="shared" ref="AH5:AH6" si="9">AF5+AG5</f>
        <v>9227218</v>
      </c>
      <c r="AI5" s="73">
        <f>AD5</f>
        <v>0</v>
      </c>
      <c r="AJ5" s="73"/>
      <c r="AK5" s="71">
        <f t="shared" ref="AK5:AP7" si="10">N5+Z5</f>
        <v>9227218</v>
      </c>
      <c r="AL5" s="71">
        <f t="shared" si="10"/>
        <v>0</v>
      </c>
      <c r="AM5" s="71">
        <f t="shared" si="10"/>
        <v>0</v>
      </c>
      <c r="AN5" s="71">
        <f t="shared" si="10"/>
        <v>9227218</v>
      </c>
      <c r="AO5" s="71">
        <f t="shared" si="10"/>
        <v>0</v>
      </c>
      <c r="AP5" s="71">
        <f t="shared" si="10"/>
        <v>9227218</v>
      </c>
      <c r="AQ5" s="1437">
        <f>M5</f>
        <v>0</v>
      </c>
      <c r="AR5" s="1437">
        <f>S5+Y5</f>
        <v>7549542</v>
      </c>
      <c r="AS5" s="1445">
        <f>S5+AE5</f>
        <v>9227218</v>
      </c>
      <c r="AT5" s="1455">
        <f>AS5+AR5</f>
        <v>16776760</v>
      </c>
      <c r="AU5" s="20" t="s">
        <v>40</v>
      </c>
    </row>
    <row r="6" spans="1:47" s="20" customFormat="1" ht="22.5" outlineLevel="1" x14ac:dyDescent="0.2">
      <c r="A6" s="441" t="s">
        <v>1855</v>
      </c>
      <c r="B6" s="224" t="s">
        <v>42</v>
      </c>
      <c r="C6" s="22"/>
      <c r="D6" s="23">
        <v>17096</v>
      </c>
      <c r="E6" s="23">
        <v>20884</v>
      </c>
      <c r="F6" s="23">
        <f>SUM(D6:E6)</f>
        <v>37980</v>
      </c>
      <c r="G6" s="24" t="s">
        <v>43</v>
      </c>
      <c r="H6" s="73">
        <f>'Item23-24-25.1-FCDFGeral'!H7</f>
        <v>2847551.8115000017</v>
      </c>
      <c r="I6" s="73">
        <f>'Item23-24-25.1-FCDFGeral'!I7</f>
        <v>3518171.2743499987</v>
      </c>
      <c r="J6" s="73">
        <f>'Item23-24-25.1-FCDFGeral'!J7</f>
        <v>758506.58330000006</v>
      </c>
      <c r="K6" s="73">
        <f t="shared" si="2"/>
        <v>7124229.6691500004</v>
      </c>
      <c r="L6" s="73">
        <f>'Item23-24-25.1-FCDFGeral'!L7</f>
        <v>0</v>
      </c>
      <c r="M6" s="73">
        <f>'Item23-24-25.1-FCDFGeral'!M7</f>
        <v>7124229.6691500004</v>
      </c>
      <c r="N6" s="73">
        <f>'Item23-24-25.1-FCDFGeral'!N7</f>
        <v>34170621.73800002</v>
      </c>
      <c r="O6" s="73">
        <f>'Item23-24-25.1-FCDFGeral'!O7</f>
        <v>42218055.292199984</v>
      </c>
      <c r="P6" s="73">
        <f>'Item23-24-25.1-FCDFGeral'!P7</f>
        <v>9102078.9996000007</v>
      </c>
      <c r="Q6" s="73">
        <f t="shared" si="3"/>
        <v>85490756.029799998</v>
      </c>
      <c r="R6" s="73">
        <f>'Item23-24-25.1-FCDFGeral'!R7</f>
        <v>0</v>
      </c>
      <c r="S6" s="73">
        <f t="shared" si="4"/>
        <v>85490756.029799998</v>
      </c>
      <c r="T6" s="73">
        <f>'Item23-24-25.1-FCDFGeral'!T7</f>
        <v>38100243.237869963</v>
      </c>
      <c r="U6" s="73">
        <f>'Item23-24-25.1-FCDFGeral'!U7</f>
        <v>47073131.65080294</v>
      </c>
      <c r="V6" s="73">
        <f>'Item23-24-25.1-FCDFGeral'!V7</f>
        <v>10148818.084554009</v>
      </c>
      <c r="W6" s="73">
        <f t="shared" si="5"/>
        <v>95322192.973226905</v>
      </c>
      <c r="X6" s="73">
        <f>'Item23-24-25.1-FCDFGeral'!X7</f>
        <v>0</v>
      </c>
      <c r="Y6" s="73">
        <f t="shared" si="6"/>
        <v>95322192.973226905</v>
      </c>
      <c r="Z6" s="73">
        <f>'Item23-24-25.1-FCDFGeral'!Z7</f>
        <v>38100243.237869963</v>
      </c>
      <c r="AA6" s="73">
        <f>'Item23-24-25.1-FCDFGeral'!AA7</f>
        <v>47073131.65080294</v>
      </c>
      <c r="AB6" s="73">
        <f>'Item23-24-25.1-FCDFGeral'!AB7</f>
        <v>10148818.084554009</v>
      </c>
      <c r="AC6" s="73">
        <f t="shared" si="7"/>
        <v>95322192.973226905</v>
      </c>
      <c r="AD6" s="73">
        <f>'Item23-24-25.1-FCDFGeral'!AD7</f>
        <v>0</v>
      </c>
      <c r="AE6" s="73">
        <f t="shared" si="8"/>
        <v>95322192.973226905</v>
      </c>
      <c r="AF6" s="73">
        <f t="shared" ref="AF6:AF7" si="11">Z6</f>
        <v>38100243.237869963</v>
      </c>
      <c r="AG6" s="73">
        <f t="shared" ref="AG6:AG7" si="12">AA6+AB6</f>
        <v>57221949.735356949</v>
      </c>
      <c r="AH6" s="73">
        <f t="shared" si="9"/>
        <v>95322192.973226905</v>
      </c>
      <c r="AI6" s="73">
        <f t="shared" ref="AI6:AI8" si="13">AD6</f>
        <v>0</v>
      </c>
      <c r="AJ6" s="73">
        <f>AH6+AI6</f>
        <v>95322192.973226905</v>
      </c>
      <c r="AK6" s="71">
        <f t="shared" si="10"/>
        <v>72270864.975869983</v>
      </c>
      <c r="AL6" s="71">
        <f t="shared" si="10"/>
        <v>89291186.943002924</v>
      </c>
      <c r="AM6" s="71">
        <f t="shared" si="10"/>
        <v>19250897.08415401</v>
      </c>
      <c r="AN6" s="71">
        <f t="shared" si="10"/>
        <v>180812949.0030269</v>
      </c>
      <c r="AO6" s="71">
        <f t="shared" si="10"/>
        <v>0</v>
      </c>
      <c r="AP6" s="71">
        <f t="shared" si="10"/>
        <v>180812949.0030269</v>
      </c>
      <c r="AQ6" s="1437">
        <f>M6</f>
        <v>7124229.6691500004</v>
      </c>
      <c r="AR6" s="1437">
        <f>S6+Y6</f>
        <v>180812949.0030269</v>
      </c>
      <c r="AS6" s="1445">
        <f>S6+AE6</f>
        <v>180812949.0030269</v>
      </c>
      <c r="AT6" s="1455">
        <f t="shared" ref="AT6:AT8" si="14">AS6+AR6</f>
        <v>361625898.00605381</v>
      </c>
    </row>
    <row r="7" spans="1:47" s="9" customFormat="1" ht="22.5" outlineLevel="1" x14ac:dyDescent="0.2">
      <c r="A7" s="359" t="s">
        <v>1856</v>
      </c>
      <c r="B7" s="226" t="s">
        <v>45</v>
      </c>
      <c r="C7" s="22"/>
      <c r="D7" s="67">
        <v>154</v>
      </c>
      <c r="E7" s="67">
        <v>10687</v>
      </c>
      <c r="F7" s="23">
        <f>SUM(D7:E7)</f>
        <v>10841</v>
      </c>
      <c r="G7" s="24" t="s">
        <v>43</v>
      </c>
      <c r="H7" s="73">
        <v>29900.336949999997</v>
      </c>
      <c r="I7" s="73">
        <v>981626.31</v>
      </c>
      <c r="J7" s="73"/>
      <c r="K7" s="73">
        <f>H7+I7+J7</f>
        <v>1011526.6469500001</v>
      </c>
      <c r="L7" s="73">
        <v>0</v>
      </c>
      <c r="M7" s="73">
        <f>SUM(K7:L7)</f>
        <v>1011526.6469500001</v>
      </c>
      <c r="N7" s="73">
        <f>'Item 26. MoradiaEXT'!BB31</f>
        <v>358804.04339999997</v>
      </c>
      <c r="O7" s="73">
        <f>'Item 26. MoradiaEXT'!BC31</f>
        <v>11420018.300400004</v>
      </c>
      <c r="P7" s="73">
        <f>'Item 26. MoradiaEXT'!BD31</f>
        <v>359497.43820000056</v>
      </c>
      <c r="Q7" s="73">
        <f>N7+O7+P7</f>
        <v>12138319.782000005</v>
      </c>
      <c r="R7" s="73">
        <v>0</v>
      </c>
      <c r="S7" s="73">
        <f>SUM(Q7:R7)</f>
        <v>12138319.782000005</v>
      </c>
      <c r="T7" s="73">
        <f>'Item 26. MoradiaEXT'!BI33</f>
        <v>400066.50839099963</v>
      </c>
      <c r="U7" s="73">
        <f>'Item 26. MoradiaEXT'!BJ33</f>
        <v>12733320.404946037</v>
      </c>
      <c r="V7" s="73">
        <f>'Item 26. MoradiaEXT'!BK33</f>
        <v>400839.64359299932</v>
      </c>
      <c r="W7" s="73">
        <f>T7+U7+V7</f>
        <v>13534226.556930035</v>
      </c>
      <c r="X7" s="73">
        <v>0</v>
      </c>
      <c r="Y7" s="73">
        <f>W7+X7</f>
        <v>13534226.556930035</v>
      </c>
      <c r="Z7" s="73">
        <f>'Item 26. MoradiaEXT'!BI35</f>
        <v>400066.50839099963</v>
      </c>
      <c r="AA7" s="73">
        <f>'Item 26. MoradiaEXT'!BJ35</f>
        <v>12733320.404946037</v>
      </c>
      <c r="AB7" s="73">
        <f>'Item 26. MoradiaEXT'!BK35</f>
        <v>400839.64359299932</v>
      </c>
      <c r="AC7" s="73">
        <f>Z7+AA7+AB7</f>
        <v>13534226.556930035</v>
      </c>
      <c r="AD7" s="73">
        <v>0</v>
      </c>
      <c r="AE7" s="968">
        <f>SUM(AC7:AD7)</f>
        <v>13534226.556930035</v>
      </c>
      <c r="AF7" s="73">
        <f t="shared" si="11"/>
        <v>400066.50839099963</v>
      </c>
      <c r="AG7" s="73">
        <f t="shared" si="12"/>
        <v>13134160.048539035</v>
      </c>
      <c r="AH7" s="73">
        <f>AF7+AG7</f>
        <v>13534226.556930035</v>
      </c>
      <c r="AI7" s="73">
        <f t="shared" si="13"/>
        <v>0</v>
      </c>
      <c r="AJ7" s="73">
        <f>AH7+AI7</f>
        <v>13534226.556930035</v>
      </c>
      <c r="AK7" s="71">
        <f t="shared" si="10"/>
        <v>758870.5517909996</v>
      </c>
      <c r="AL7" s="71">
        <f t="shared" si="10"/>
        <v>24153338.70534604</v>
      </c>
      <c r="AM7" s="71">
        <f t="shared" si="10"/>
        <v>760337.08179299987</v>
      </c>
      <c r="AN7" s="71">
        <f t="shared" si="10"/>
        <v>25672546.338930041</v>
      </c>
      <c r="AO7" s="71">
        <f t="shared" si="10"/>
        <v>0</v>
      </c>
      <c r="AP7" s="71">
        <f t="shared" si="10"/>
        <v>25672546.338930041</v>
      </c>
      <c r="AQ7" s="1437">
        <f>M7</f>
        <v>1011526.6469500001</v>
      </c>
      <c r="AR7" s="1437">
        <f>S7+Y7</f>
        <v>25672546.338930041</v>
      </c>
      <c r="AS7" s="1445">
        <f>S7+AE7</f>
        <v>25672546.338930041</v>
      </c>
      <c r="AT7" s="1455">
        <f t="shared" si="14"/>
        <v>51345092.677860081</v>
      </c>
    </row>
    <row r="8" spans="1:47" s="529" customFormat="1" ht="18.75" outlineLevel="1" x14ac:dyDescent="0.25">
      <c r="A8" s="525"/>
      <c r="B8" s="526"/>
      <c r="C8" s="387"/>
      <c r="D8" s="527"/>
      <c r="E8" s="527"/>
      <c r="F8" s="527"/>
      <c r="G8" s="528"/>
      <c r="H8" s="790">
        <f t="shared" ref="H8:AS8" si="15">SUM(H5:H7)</f>
        <v>2877452.1484500016</v>
      </c>
      <c r="I8" s="790">
        <f t="shared" si="15"/>
        <v>4499797.5843499992</v>
      </c>
      <c r="J8" s="790">
        <f t="shared" si="15"/>
        <v>758506.58330000006</v>
      </c>
      <c r="K8" s="790">
        <f t="shared" si="15"/>
        <v>8135756.3161000004</v>
      </c>
      <c r="L8" s="790">
        <f t="shared" si="15"/>
        <v>0</v>
      </c>
      <c r="M8" s="790">
        <f t="shared" si="15"/>
        <v>8135756.3161000004</v>
      </c>
      <c r="N8" s="790">
        <f t="shared" si="15"/>
        <v>34529425.781400017</v>
      </c>
      <c r="O8" s="790">
        <f t="shared" si="15"/>
        <v>53638073.592599988</v>
      </c>
      <c r="P8" s="790">
        <f t="shared" si="15"/>
        <v>9461576.4378000014</v>
      </c>
      <c r="Q8" s="790">
        <f t="shared" si="15"/>
        <v>97629075.811800003</v>
      </c>
      <c r="R8" s="790">
        <f t="shared" si="15"/>
        <v>0</v>
      </c>
      <c r="S8" s="790">
        <f t="shared" si="15"/>
        <v>97629075.811800003</v>
      </c>
      <c r="T8" s="790">
        <f t="shared" si="15"/>
        <v>46049851.746260963</v>
      </c>
      <c r="U8" s="790">
        <f t="shared" si="15"/>
        <v>59806452.055748977</v>
      </c>
      <c r="V8" s="790">
        <f t="shared" si="15"/>
        <v>10549657.728147008</v>
      </c>
      <c r="W8" s="790">
        <f t="shared" si="15"/>
        <v>116405961.53015694</v>
      </c>
      <c r="X8" s="790">
        <f t="shared" si="15"/>
        <v>0</v>
      </c>
      <c r="Y8" s="790">
        <f t="shared" si="15"/>
        <v>116405961.53015694</v>
      </c>
      <c r="Z8" s="790">
        <f t="shared" si="15"/>
        <v>47727527.746260963</v>
      </c>
      <c r="AA8" s="790">
        <f t="shared" si="15"/>
        <v>59806452.055748977</v>
      </c>
      <c r="AB8" s="790">
        <f t="shared" si="15"/>
        <v>10549657.728147008</v>
      </c>
      <c r="AC8" s="790">
        <f t="shared" si="15"/>
        <v>118083637.53015694</v>
      </c>
      <c r="AD8" s="790">
        <f t="shared" si="15"/>
        <v>0</v>
      </c>
      <c r="AE8" s="790">
        <f t="shared" si="15"/>
        <v>118083637.53015694</v>
      </c>
      <c r="AF8" s="790">
        <f t="shared" si="15"/>
        <v>47727527.746260963</v>
      </c>
      <c r="AG8" s="790">
        <f t="shared" si="15"/>
        <v>70356109.783895984</v>
      </c>
      <c r="AH8" s="790">
        <f t="shared" si="15"/>
        <v>118083637.53015694</v>
      </c>
      <c r="AI8" s="73">
        <f t="shared" si="13"/>
        <v>0</v>
      </c>
      <c r="AJ8" s="790">
        <f t="shared" si="15"/>
        <v>108856419.53015694</v>
      </c>
      <c r="AK8" s="790">
        <f t="shared" si="15"/>
        <v>82256953.527660981</v>
      </c>
      <c r="AL8" s="790">
        <f t="shared" si="15"/>
        <v>113444525.64834896</v>
      </c>
      <c r="AM8" s="790">
        <f t="shared" si="15"/>
        <v>20011234.165947009</v>
      </c>
      <c r="AN8" s="790">
        <f t="shared" si="15"/>
        <v>215712713.34195694</v>
      </c>
      <c r="AO8" s="790">
        <f t="shared" si="15"/>
        <v>0</v>
      </c>
      <c r="AP8" s="790">
        <f t="shared" si="15"/>
        <v>215712713.34195694</v>
      </c>
      <c r="AQ8" s="790">
        <f t="shared" si="15"/>
        <v>8135756.3161000004</v>
      </c>
      <c r="AR8" s="790">
        <f t="shared" si="15"/>
        <v>214035037.34195694</v>
      </c>
      <c r="AS8" s="790">
        <f t="shared" si="15"/>
        <v>215712713.34195694</v>
      </c>
      <c r="AT8" s="1455">
        <f t="shared" si="14"/>
        <v>429747750.68391389</v>
      </c>
    </row>
    <row r="9" spans="1:47" ht="14.25" customHeight="1" x14ac:dyDescent="0.25">
      <c r="C9"/>
      <c r="D9"/>
      <c r="E9"/>
      <c r="F9"/>
      <c r="N9" s="14"/>
    </row>
    <row r="10" spans="1:47" s="17" customFormat="1" ht="14.25" customHeight="1" x14ac:dyDescent="0.25">
      <c r="A10" s="221"/>
      <c r="C10"/>
      <c r="D10"/>
      <c r="E10"/>
      <c r="F10"/>
      <c r="G10" s="1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5"/>
      <c r="AR10" s="16"/>
      <c r="AS10" s="16"/>
      <c r="AT10" s="16"/>
      <c r="AU10" s="1"/>
    </row>
    <row r="11" spans="1:47" s="17" customFormat="1" ht="14.25" customHeight="1" x14ac:dyDescent="0.25">
      <c r="A11" s="221"/>
      <c r="C11"/>
      <c r="D11"/>
      <c r="E11"/>
      <c r="F11"/>
      <c r="G11" s="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685"/>
      <c r="AD11" s="972" t="s">
        <v>46</v>
      </c>
      <c r="AE11" s="973">
        <f>AC7+AC5</f>
        <v>22761444.556930035</v>
      </c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5"/>
      <c r="AR11" s="16"/>
      <c r="AS11" s="16"/>
      <c r="AT11" s="16"/>
      <c r="AU11" s="1"/>
    </row>
  </sheetData>
  <mergeCells count="14">
    <mergeCell ref="AK2:AP2"/>
    <mergeCell ref="AQ2:AS2"/>
    <mergeCell ref="H3:M3"/>
    <mergeCell ref="N3:S3"/>
    <mergeCell ref="T3:Y3"/>
    <mergeCell ref="Z3:AE3"/>
    <mergeCell ref="AF3:AJ3"/>
    <mergeCell ref="AK3:AP3"/>
    <mergeCell ref="T2:AE2"/>
    <mergeCell ref="B2:B4"/>
    <mergeCell ref="C2:C4"/>
    <mergeCell ref="D2:F2"/>
    <mergeCell ref="G2:G4"/>
    <mergeCell ref="H2:S2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EAF27-1913-4E56-89ED-8BCC1F95BC58}">
  <sheetPr>
    <tabColor rgb="FF7030A0"/>
  </sheetPr>
  <dimension ref="A1:E17"/>
  <sheetViews>
    <sheetView showGridLines="0" topLeftCell="A4" zoomScale="115" zoomScaleNormal="115" workbookViewId="0">
      <selection activeCell="F13" sqref="F13"/>
    </sheetView>
  </sheetViews>
  <sheetFormatPr defaultColWidth="9.140625" defaultRowHeight="23.25" x14ac:dyDescent="0.25"/>
  <cols>
    <col min="1" max="1" width="23.28515625" style="581" customWidth="1"/>
    <col min="2" max="5" width="24.85546875" style="581" customWidth="1"/>
    <col min="6" max="16384" width="9.140625" style="581"/>
  </cols>
  <sheetData>
    <row r="1" spans="1:5" ht="65.25" customHeight="1" x14ac:dyDescent="0.25">
      <c r="A1" s="1392" t="s">
        <v>831</v>
      </c>
      <c r="B1" s="1392"/>
      <c r="C1" s="1392"/>
      <c r="D1" s="1392"/>
      <c r="E1" s="1392"/>
    </row>
    <row r="2" spans="1:5" s="582" customFormat="1" ht="9.75" customHeight="1" x14ac:dyDescent="0.25"/>
    <row r="3" spans="1:5" s="582" customFormat="1" x14ac:dyDescent="0.25"/>
    <row r="4" spans="1:5" s="585" customFormat="1" ht="46.5" customHeight="1" x14ac:dyDescent="0.25">
      <c r="A4" s="583"/>
      <c r="B4" s="583" t="s">
        <v>276</v>
      </c>
      <c r="C4" s="584" t="s">
        <v>749</v>
      </c>
      <c r="D4" s="584" t="s">
        <v>750</v>
      </c>
      <c r="E4" s="583" t="s">
        <v>832</v>
      </c>
    </row>
    <row r="5" spans="1:5" ht="3" customHeight="1" x14ac:dyDescent="0.25">
      <c r="A5" s="586"/>
      <c r="B5" s="586"/>
      <c r="C5" s="587"/>
      <c r="D5" s="587"/>
      <c r="E5" s="588"/>
    </row>
    <row r="6" spans="1:5" ht="71.25" customHeight="1" x14ac:dyDescent="0.25">
      <c r="A6" s="1393" t="s">
        <v>833</v>
      </c>
      <c r="B6" s="1394"/>
      <c r="C6" s="1394"/>
      <c r="D6" s="1394"/>
      <c r="E6" s="1395"/>
    </row>
    <row r="7" spans="1:5" ht="26.25" customHeight="1" x14ac:dyDescent="0.25">
      <c r="A7" s="750" t="s">
        <v>834</v>
      </c>
      <c r="B7" s="751">
        <f>'23.2.PCPM-CBM-GDF-Reajus'!M41</f>
        <v>6845782947.971714</v>
      </c>
      <c r="C7" s="751">
        <f>B7+C8</f>
        <v>6962126280.0916033</v>
      </c>
      <c r="D7" s="751">
        <f>B7+D8</f>
        <v>8579810713.6680775</v>
      </c>
      <c r="E7" s="751">
        <f>B7+E8</f>
        <v>8494319957.638278</v>
      </c>
    </row>
    <row r="8" spans="1:5" ht="26.25" customHeight="1" x14ac:dyDescent="0.25">
      <c r="A8" s="750" t="s">
        <v>835</v>
      </c>
      <c r="B8" s="752"/>
      <c r="C8" s="751">
        <f>'23.2.PCPM-CBM-GDF-Reajus'!M29+'Item 24. PCPM-CBM-GDF - Aux.Mor'!BE29</f>
        <v>116343332.11988927</v>
      </c>
      <c r="D8" s="751">
        <f>'23.2.PCPM-CBM-GDF-Reajus'!R29+'23.2.PCPM-CBM-GDF-Reajus'!M33+'Item 24. PCPM-CBM-GDF - Aux.Mor'!BE31+'Item 24. PCPM-CBM-GDF - Aux.Mor'!BL33</f>
        <v>1734027765.6963639</v>
      </c>
      <c r="E8" s="751">
        <f>'23.2.PCPM-CBM-GDF-Reajus'!R33+'23.2.PCPM-CBM-GDF-Reajus'!M33+'Item 24. PCPM-CBM-GDF - Aux.Mor'!BL35</f>
        <v>1648537009.666564</v>
      </c>
    </row>
    <row r="9" spans="1:5" ht="26.25" customHeight="1" x14ac:dyDescent="0.25">
      <c r="A9" s="750" t="s">
        <v>836</v>
      </c>
      <c r="B9" s="752"/>
      <c r="C9" s="753">
        <f>(C7/B7)-1</f>
        <v>1.6994890577762156E-2</v>
      </c>
      <c r="D9" s="753">
        <f>(D7/B7)-1</f>
        <v>0.25329867728425803</v>
      </c>
      <c r="E9" s="753">
        <f>(E7/B7)-1</f>
        <v>0.24081058692563384</v>
      </c>
    </row>
    <row r="10" spans="1:5" ht="23.25" customHeight="1" x14ac:dyDescent="0.25">
      <c r="A10" s="1382" t="s">
        <v>817</v>
      </c>
      <c r="B10" s="1382"/>
      <c r="C10" s="1382"/>
      <c r="D10" s="1382"/>
      <c r="E10" s="1382"/>
    </row>
    <row r="11" spans="1:5" x14ac:dyDescent="0.25">
      <c r="C11" s="589"/>
      <c r="D11" s="589"/>
      <c r="E11" s="589"/>
    </row>
    <row r="12" spans="1:5" x14ac:dyDescent="0.25">
      <c r="C12" s="589"/>
      <c r="D12" s="590"/>
      <c r="E12" s="589"/>
    </row>
    <row r="13" spans="1:5" x14ac:dyDescent="0.25">
      <c r="D13" s="590"/>
      <c r="E13" s="589"/>
    </row>
    <row r="14" spans="1:5" x14ac:dyDescent="0.25">
      <c r="C14" s="581" t="s">
        <v>837</v>
      </c>
      <c r="D14" s="590">
        <v>532308999.24000001</v>
      </c>
    </row>
    <row r="15" spans="1:5" x14ac:dyDescent="0.25">
      <c r="C15" s="581" t="s">
        <v>838</v>
      </c>
      <c r="D15" s="590">
        <v>1198016116.52</v>
      </c>
    </row>
    <row r="16" spans="1:5" x14ac:dyDescent="0.25">
      <c r="C16" s="581" t="s">
        <v>172</v>
      </c>
      <c r="D16" s="590">
        <f>SUM(D13:D15)</f>
        <v>1730325115.76</v>
      </c>
    </row>
    <row r="17" spans="3:4" x14ac:dyDescent="0.25">
      <c r="C17" s="581" t="s">
        <v>509</v>
      </c>
      <c r="D17" s="589">
        <f>D16-D8</f>
        <v>-3702649.9363639355</v>
      </c>
    </row>
  </sheetData>
  <mergeCells count="3">
    <mergeCell ref="A1:E1"/>
    <mergeCell ref="A6:E6"/>
    <mergeCell ref="A10:E10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7ABA0-DB35-4632-874D-DF5C28679812}">
  <sheetPr>
    <tabColor theme="2"/>
  </sheetPr>
  <dimension ref="A1:BN35"/>
  <sheetViews>
    <sheetView showGridLines="0" topLeftCell="AS8" zoomScale="110" zoomScaleNormal="110" workbookViewId="0">
      <selection activeCell="BB39" sqref="BB39"/>
    </sheetView>
  </sheetViews>
  <sheetFormatPr defaultColWidth="9.140625" defaultRowHeight="15" x14ac:dyDescent="0.25"/>
  <cols>
    <col min="1" max="1" width="24.42578125" style="537" customWidth="1"/>
    <col min="2" max="2" width="23" style="537" customWidth="1"/>
    <col min="3" max="4" width="14" style="537" customWidth="1"/>
    <col min="5" max="5" width="0.85546875" style="537" customWidth="1"/>
    <col min="6" max="7" width="14" style="537" customWidth="1"/>
    <col min="8" max="8" width="0.85546875" style="537" customWidth="1"/>
    <col min="9" max="10" width="14" style="537" customWidth="1"/>
    <col min="11" max="11" width="0.85546875" style="537" customWidth="1"/>
    <col min="12" max="12" width="1.85546875" style="538" customWidth="1"/>
    <col min="13" max="13" width="1.42578125" style="537" customWidth="1"/>
    <col min="14" max="14" width="20.28515625" style="539" hidden="1" customWidth="1"/>
    <col min="15" max="15" width="36.42578125" style="539" hidden="1" customWidth="1"/>
    <col min="16" max="16" width="18" style="537" hidden="1" customWidth="1"/>
    <col min="17" max="18" width="14.85546875" style="537" hidden="1" customWidth="1"/>
    <col min="19" max="19" width="17.42578125" style="537" hidden="1" customWidth="1"/>
    <col min="20" max="20" width="1" style="537" hidden="1" customWidth="1"/>
    <col min="21" max="21" width="20.28515625" style="537" hidden="1" customWidth="1"/>
    <col min="22" max="22" width="27.42578125" style="539" hidden="1" customWidth="1"/>
    <col min="23" max="23" width="19.42578125" style="539" hidden="1" customWidth="1"/>
    <col min="24" max="24" width="5.7109375" style="537" hidden="1" customWidth="1"/>
    <col min="25" max="25" width="11.7109375" style="537" hidden="1" customWidth="1"/>
    <col min="26" max="26" width="17.42578125" style="537" hidden="1" customWidth="1"/>
    <col min="27" max="27" width="0.7109375" style="537" hidden="1" customWidth="1"/>
    <col min="28" max="28" width="11" style="538" customWidth="1"/>
    <col min="29" max="29" width="0.85546875" style="537" customWidth="1"/>
    <col min="30" max="32" width="9" style="537" customWidth="1"/>
    <col min="33" max="33" width="9" style="540" customWidth="1"/>
    <col min="34" max="34" width="0.42578125" style="537" customWidth="1"/>
    <col min="35" max="37" width="9" style="537" customWidth="1"/>
    <col min="38" max="38" width="9" style="540" customWidth="1"/>
    <col min="39" max="39" width="0.42578125" style="537" customWidth="1"/>
    <col min="40" max="42" width="9" style="537" customWidth="1"/>
    <col min="43" max="43" width="9" style="540" customWidth="1"/>
    <col min="44" max="44" width="1.140625" style="537" customWidth="1"/>
    <col min="45" max="45" width="24.42578125" style="538" customWidth="1"/>
    <col min="46" max="46" width="1.28515625" style="537" customWidth="1"/>
    <col min="47" max="47" width="18" style="537" customWidth="1"/>
    <col min="48" max="48" width="14.140625" style="537" customWidth="1"/>
    <col min="49" max="49" width="13.28515625" style="537" bestFit="1" customWidth="1"/>
    <col min="50" max="50" width="16.42578125" style="537" customWidth="1"/>
    <col min="51" max="51" width="0.42578125" style="537" customWidth="1"/>
    <col min="52" max="52" width="9.140625" style="538"/>
    <col min="53" max="53" width="1" style="537" customWidth="1"/>
    <col min="54" max="54" width="18" style="537" customWidth="1"/>
    <col min="55" max="55" width="14.140625" style="537" customWidth="1"/>
    <col min="56" max="56" width="15.28515625" style="537" customWidth="1"/>
    <col min="57" max="57" width="16.42578125" style="537" customWidth="1"/>
    <col min="58" max="58" width="0.42578125" style="537" customWidth="1"/>
    <col min="59" max="59" width="9.140625" style="538"/>
    <col min="60" max="60" width="1" style="537" customWidth="1"/>
    <col min="61" max="61" width="18" style="537" customWidth="1"/>
    <col min="62" max="62" width="14.140625" style="537" customWidth="1"/>
    <col min="63" max="63" width="16.140625" style="537" customWidth="1"/>
    <col min="64" max="64" width="16.42578125" style="537" customWidth="1"/>
    <col min="65" max="65" width="0.42578125" style="537" customWidth="1"/>
    <col min="66" max="66" width="9.140625" style="538"/>
    <col min="67" max="16384" width="9.140625" style="537"/>
  </cols>
  <sheetData>
    <row r="1" spans="1:64" x14ac:dyDescent="0.25">
      <c r="A1" s="536" t="s">
        <v>772</v>
      </c>
    </row>
    <row r="2" spans="1:64" ht="15" customHeight="1" x14ac:dyDescent="0.25">
      <c r="A2" s="536" t="s">
        <v>773</v>
      </c>
    </row>
    <row r="3" spans="1:64" ht="15" customHeight="1" x14ac:dyDescent="0.25">
      <c r="A3" s="536"/>
    </row>
    <row r="4" spans="1:64" ht="15" customHeight="1" x14ac:dyDescent="0.25">
      <c r="F4" s="537" t="s">
        <v>774</v>
      </c>
      <c r="G4" s="541">
        <f>'23.2.PCPM-CBM-GDF-Reajus'!F3</f>
        <v>0.115</v>
      </c>
      <c r="I4" s="537" t="s">
        <v>774</v>
      </c>
      <c r="J4" s="541">
        <f>'23.2.PCPM-CBM-GDF-Reajus'!F4</f>
        <v>0.115</v>
      </c>
    </row>
    <row r="5" spans="1:64" ht="30.75" customHeight="1" x14ac:dyDescent="0.25">
      <c r="C5" s="1383" t="s">
        <v>775</v>
      </c>
      <c r="D5" s="1384"/>
      <c r="F5" s="1383" t="s">
        <v>776</v>
      </c>
      <c r="G5" s="1384"/>
      <c r="I5" s="1383" t="s">
        <v>777</v>
      </c>
      <c r="J5" s="1384"/>
      <c r="AD5" s="1379" t="s">
        <v>778</v>
      </c>
      <c r="AE5" s="1380"/>
      <c r="AF5" s="1380"/>
      <c r="AG5" s="1381"/>
      <c r="AI5" s="1379" t="s">
        <v>779</v>
      </c>
      <c r="AJ5" s="1380"/>
      <c r="AK5" s="1380"/>
      <c r="AL5" s="1381"/>
      <c r="AN5" s="1379" t="s">
        <v>780</v>
      </c>
      <c r="AO5" s="1380"/>
      <c r="AP5" s="1380"/>
      <c r="AQ5" s="1381"/>
      <c r="AU5" s="1379" t="s">
        <v>781</v>
      </c>
      <c r="AV5" s="1380"/>
      <c r="AW5" s="1380"/>
      <c r="AX5" s="1381"/>
      <c r="BB5" s="1379" t="s">
        <v>782</v>
      </c>
      <c r="BC5" s="1380"/>
      <c r="BD5" s="1380"/>
      <c r="BE5" s="1381"/>
      <c r="BI5" s="1379" t="s">
        <v>783</v>
      </c>
      <c r="BJ5" s="1380"/>
      <c r="BK5" s="1380"/>
      <c r="BL5" s="1381"/>
    </row>
    <row r="6" spans="1:64" ht="2.25" customHeight="1" x14ac:dyDescent="0.25">
      <c r="AX6" s="540"/>
      <c r="BE6" s="540"/>
      <c r="BL6" s="540"/>
    </row>
    <row r="7" spans="1:64" s="542" customFormat="1" ht="45" customHeight="1" x14ac:dyDescent="0.25">
      <c r="A7" s="959" t="s">
        <v>784</v>
      </c>
      <c r="B7" s="959" t="s">
        <v>785</v>
      </c>
      <c r="C7" s="960" t="s">
        <v>786</v>
      </c>
      <c r="D7" s="961" t="s">
        <v>787</v>
      </c>
      <c r="F7" s="962" t="s">
        <v>786</v>
      </c>
      <c r="G7" s="961" t="s">
        <v>787</v>
      </c>
      <c r="I7" s="962" t="s">
        <v>786</v>
      </c>
      <c r="J7" s="961" t="s">
        <v>787</v>
      </c>
      <c r="L7" s="543"/>
      <c r="N7" s="721" t="s">
        <v>788</v>
      </c>
      <c r="O7" s="722" t="s">
        <v>789</v>
      </c>
      <c r="P7" s="721" t="s">
        <v>790</v>
      </c>
      <c r="Q7" s="721" t="s">
        <v>32</v>
      </c>
      <c r="R7" s="721" t="s">
        <v>283</v>
      </c>
      <c r="S7" s="721" t="s">
        <v>791</v>
      </c>
      <c r="U7" s="721" t="s">
        <v>788</v>
      </c>
      <c r="V7" s="722" t="s">
        <v>789</v>
      </c>
      <c r="W7" s="722" t="s">
        <v>790</v>
      </c>
      <c r="X7" s="721" t="s">
        <v>32</v>
      </c>
      <c r="Y7" s="721" t="s">
        <v>283</v>
      </c>
      <c r="Z7" s="721" t="s">
        <v>791</v>
      </c>
      <c r="AB7" s="543"/>
      <c r="AD7" s="723" t="s">
        <v>32</v>
      </c>
      <c r="AE7" s="724" t="s">
        <v>743</v>
      </c>
      <c r="AF7" s="724" t="s">
        <v>792</v>
      </c>
      <c r="AG7" s="725" t="s">
        <v>13</v>
      </c>
      <c r="AI7" s="723" t="s">
        <v>32</v>
      </c>
      <c r="AJ7" s="724" t="s">
        <v>743</v>
      </c>
      <c r="AK7" s="724" t="s">
        <v>792</v>
      </c>
      <c r="AL7" s="725" t="s">
        <v>13</v>
      </c>
      <c r="AN7" s="723" t="s">
        <v>32</v>
      </c>
      <c r="AO7" s="724" t="s">
        <v>743</v>
      </c>
      <c r="AP7" s="724" t="s">
        <v>792</v>
      </c>
      <c r="AQ7" s="725" t="s">
        <v>13</v>
      </c>
      <c r="AS7" s="543"/>
      <c r="AU7" s="723" t="s">
        <v>32</v>
      </c>
      <c r="AV7" s="724" t="s">
        <v>283</v>
      </c>
      <c r="AW7" s="724" t="s">
        <v>792</v>
      </c>
      <c r="AX7" s="725" t="s">
        <v>13</v>
      </c>
      <c r="AZ7" s="543"/>
      <c r="BB7" s="723" t="s">
        <v>32</v>
      </c>
      <c r="BC7" s="724" t="s">
        <v>283</v>
      </c>
      <c r="BD7" s="724" t="s">
        <v>792</v>
      </c>
      <c r="BE7" s="725" t="s">
        <v>13</v>
      </c>
      <c r="BG7" s="543"/>
      <c r="BI7" s="723" t="s">
        <v>32</v>
      </c>
      <c r="BJ7" s="724" t="s">
        <v>283</v>
      </c>
      <c r="BK7" s="724" t="s">
        <v>792</v>
      </c>
      <c r="BL7" s="725" t="s">
        <v>13</v>
      </c>
    </row>
    <row r="8" spans="1:64" ht="15" customHeight="1" x14ac:dyDescent="0.25">
      <c r="A8" s="726" t="s">
        <v>793</v>
      </c>
      <c r="B8" s="726" t="s">
        <v>794</v>
      </c>
      <c r="C8" s="727">
        <v>3600</v>
      </c>
      <c r="D8" s="728">
        <v>1200</v>
      </c>
      <c r="F8" s="729">
        <f>C8*(1+$G$4)</f>
        <v>4014</v>
      </c>
      <c r="G8" s="728">
        <f>D8*(1+$G$4)</f>
        <v>1338</v>
      </c>
      <c r="I8" s="729">
        <f>F8*(1+$J$4)</f>
        <v>4475.6099999999997</v>
      </c>
      <c r="J8" s="728">
        <f>G8*(1+$J$4)</f>
        <v>1491.87</v>
      </c>
      <c r="N8" s="730" t="s">
        <v>793</v>
      </c>
      <c r="O8" s="731" t="s">
        <v>794</v>
      </c>
      <c r="P8" s="730" t="s">
        <v>795</v>
      </c>
      <c r="Q8" s="732">
        <v>95</v>
      </c>
      <c r="R8" s="732">
        <v>545</v>
      </c>
      <c r="S8" s="732">
        <v>103</v>
      </c>
      <c r="U8" s="730" t="s">
        <v>793</v>
      </c>
      <c r="V8" s="731" t="s">
        <v>794</v>
      </c>
      <c r="W8" s="731" t="s">
        <v>796</v>
      </c>
      <c r="X8" s="732">
        <v>3</v>
      </c>
      <c r="Y8" s="732">
        <v>41</v>
      </c>
      <c r="Z8" s="732">
        <v>14</v>
      </c>
      <c r="AD8" s="733">
        <f>Q8</f>
        <v>95</v>
      </c>
      <c r="AE8" s="733">
        <f t="shared" ref="AE8:AF23" si="0">R8</f>
        <v>545</v>
      </c>
      <c r="AF8" s="733">
        <f t="shared" si="0"/>
        <v>103</v>
      </c>
      <c r="AG8" s="734">
        <f>AD8+AE8+AF8</f>
        <v>743</v>
      </c>
      <c r="AI8" s="733">
        <f>X8</f>
        <v>3</v>
      </c>
      <c r="AJ8" s="733">
        <f t="shared" ref="AJ8:AK23" si="1">Y8</f>
        <v>41</v>
      </c>
      <c r="AK8" s="733">
        <f t="shared" si="1"/>
        <v>14</v>
      </c>
      <c r="AL8" s="734">
        <f>AI8+AJ8+AK8</f>
        <v>58</v>
      </c>
      <c r="AN8" s="733">
        <f>AD8+AI8</f>
        <v>98</v>
      </c>
      <c r="AO8" s="733">
        <f t="shared" ref="AO8:AP23" si="2">AE8+AJ8</f>
        <v>586</v>
      </c>
      <c r="AP8" s="733">
        <f t="shared" si="2"/>
        <v>117</v>
      </c>
      <c r="AQ8" s="734">
        <f>AN8+AO8+AP8</f>
        <v>801</v>
      </c>
      <c r="AU8" s="735">
        <f>((AD8*$C8)+(AI8*$D8))</f>
        <v>345600</v>
      </c>
      <c r="AV8" s="735">
        <f>((AE8*$C8)+(AJ8*$D8))</f>
        <v>2011200</v>
      </c>
      <c r="AW8" s="735">
        <f>((AF8*$C8)+(AK8*$D8))</f>
        <v>387600</v>
      </c>
      <c r="AX8" s="736">
        <f>AU8+AV8+AW8</f>
        <v>2744400</v>
      </c>
      <c r="BB8" s="735">
        <f>((AD8*$F8)+(AI8*$G8))</f>
        <v>385344</v>
      </c>
      <c r="BC8" s="735">
        <f>((AE8*$F8)+(AJ8*$G8))</f>
        <v>2242488</v>
      </c>
      <c r="BD8" s="735">
        <f>((AF8*$F8)+(AK8*$G8))</f>
        <v>432174</v>
      </c>
      <c r="BE8" s="736">
        <f>BB8+BC8+BD8</f>
        <v>3060006</v>
      </c>
      <c r="BI8" s="735">
        <f>((AD8*$I8)+(AI8*$J8))</f>
        <v>429658.55999999994</v>
      </c>
      <c r="BJ8" s="735">
        <f>((AE8*$I8)+(AJ8*$J8))</f>
        <v>2500374.1199999996</v>
      </c>
      <c r="BK8" s="735">
        <f>((AF8*$I8)+(AK8*$J8))</f>
        <v>481874.00999999995</v>
      </c>
      <c r="BL8" s="736">
        <f>BI8+BJ8+BK8</f>
        <v>3411906.6899999995</v>
      </c>
    </row>
    <row r="9" spans="1:64" x14ac:dyDescent="0.25">
      <c r="A9" s="726" t="s">
        <v>793</v>
      </c>
      <c r="B9" s="726" t="s">
        <v>797</v>
      </c>
      <c r="C9" s="727">
        <v>3473.61</v>
      </c>
      <c r="D9" s="728">
        <v>1157.8699999999999</v>
      </c>
      <c r="F9" s="729">
        <f t="shared" ref="F9:G23" si="3">C9*(1+$G$4)</f>
        <v>3873.0751500000001</v>
      </c>
      <c r="G9" s="728">
        <f t="shared" si="3"/>
        <v>1291.02505</v>
      </c>
      <c r="I9" s="729">
        <f t="shared" ref="I9:J23" si="4">F9*(1+$J$4)</f>
        <v>4318.47879225</v>
      </c>
      <c r="J9" s="728">
        <f t="shared" si="4"/>
        <v>1439.4929307499999</v>
      </c>
      <c r="N9" s="730" t="s">
        <v>793</v>
      </c>
      <c r="O9" s="731" t="s">
        <v>797</v>
      </c>
      <c r="P9" s="730" t="s">
        <v>795</v>
      </c>
      <c r="Q9" s="732">
        <v>248</v>
      </c>
      <c r="R9" s="732">
        <v>485</v>
      </c>
      <c r="S9" s="732">
        <v>36</v>
      </c>
      <c r="U9" s="730" t="s">
        <v>793</v>
      </c>
      <c r="V9" s="731" t="s">
        <v>797</v>
      </c>
      <c r="W9" s="731" t="s">
        <v>796</v>
      </c>
      <c r="X9" s="732">
        <v>17</v>
      </c>
      <c r="Y9" s="732">
        <v>39</v>
      </c>
      <c r="Z9" s="732">
        <v>2</v>
      </c>
      <c r="AD9" s="733">
        <f t="shared" ref="AD9:AD23" si="5">Q9</f>
        <v>248</v>
      </c>
      <c r="AE9" s="733">
        <f t="shared" si="0"/>
        <v>485</v>
      </c>
      <c r="AF9" s="733">
        <f t="shared" si="0"/>
        <v>36</v>
      </c>
      <c r="AG9" s="734">
        <f t="shared" ref="AG9:AG23" si="6">AD9+AE9+AF9</f>
        <v>769</v>
      </c>
      <c r="AI9" s="733">
        <f t="shared" ref="AI9:AI23" si="7">X9</f>
        <v>17</v>
      </c>
      <c r="AJ9" s="733">
        <f t="shared" si="1"/>
        <v>39</v>
      </c>
      <c r="AK9" s="733">
        <f t="shared" si="1"/>
        <v>2</v>
      </c>
      <c r="AL9" s="734">
        <f t="shared" ref="AL9:AL23" si="8">AI9+AJ9+AK9</f>
        <v>58</v>
      </c>
      <c r="AN9" s="733">
        <f t="shared" ref="AN9:AN23" si="9">AD9+AI9</f>
        <v>265</v>
      </c>
      <c r="AO9" s="733">
        <f t="shared" si="2"/>
        <v>524</v>
      </c>
      <c r="AP9" s="733">
        <f t="shared" si="2"/>
        <v>38</v>
      </c>
      <c r="AQ9" s="734">
        <f t="shared" ref="AQ9:AQ23" si="10">AN9+AO9+AP9</f>
        <v>827</v>
      </c>
      <c r="AU9" s="735">
        <f t="shared" ref="AU9:AW23" si="11">((AD9*$C9)+(AI9*$D9))</f>
        <v>881139.07000000007</v>
      </c>
      <c r="AV9" s="735">
        <f t="shared" si="11"/>
        <v>1729857.78</v>
      </c>
      <c r="AW9" s="735">
        <f t="shared" si="11"/>
        <v>127365.70000000001</v>
      </c>
      <c r="AX9" s="736">
        <f t="shared" ref="AX9:AX23" si="12">AU9+AV9+AW9</f>
        <v>2738362.5500000003</v>
      </c>
      <c r="BB9" s="735">
        <f t="shared" ref="BB9:BD23" si="13">((AD9*$F9)+(AI9*$G9))</f>
        <v>982470.06305</v>
      </c>
      <c r="BC9" s="735">
        <f t="shared" si="13"/>
        <v>1928791.4247000001</v>
      </c>
      <c r="BD9" s="735">
        <f t="shared" si="13"/>
        <v>142012.7555</v>
      </c>
      <c r="BE9" s="736">
        <f t="shared" ref="BE9:BE23" si="14">BB9+BC9+BD9</f>
        <v>3053274.2432500003</v>
      </c>
      <c r="BI9" s="735">
        <f t="shared" ref="BI9:BK23" si="15">((AD9*$I9)+(AI9*$J9))</f>
        <v>1095454.12030075</v>
      </c>
      <c r="BJ9" s="735">
        <f t="shared" si="15"/>
        <v>2150602.4385405001</v>
      </c>
      <c r="BK9" s="735">
        <f t="shared" si="15"/>
        <v>158344.22238249998</v>
      </c>
      <c r="BL9" s="736">
        <f t="shared" ref="BL9:BL23" si="16">BI9+BJ9+BK9</f>
        <v>3404400.7812237497</v>
      </c>
    </row>
    <row r="10" spans="1:64" x14ac:dyDescent="0.25">
      <c r="A10" s="726" t="s">
        <v>793</v>
      </c>
      <c r="B10" s="726" t="s">
        <v>798</v>
      </c>
      <c r="C10" s="727">
        <v>3256.66</v>
      </c>
      <c r="D10" s="728">
        <v>1085.55</v>
      </c>
      <c r="F10" s="729">
        <f t="shared" si="3"/>
        <v>3631.1758999999997</v>
      </c>
      <c r="G10" s="728">
        <f t="shared" si="3"/>
        <v>1210.38825</v>
      </c>
      <c r="I10" s="729">
        <f t="shared" si="4"/>
        <v>4048.7611284999998</v>
      </c>
      <c r="J10" s="728">
        <f t="shared" si="4"/>
        <v>1349.5828987499999</v>
      </c>
      <c r="N10" s="730" t="s">
        <v>793</v>
      </c>
      <c r="O10" s="731" t="s">
        <v>798</v>
      </c>
      <c r="P10" s="730" t="s">
        <v>795</v>
      </c>
      <c r="Q10" s="732">
        <v>400</v>
      </c>
      <c r="R10" s="732">
        <v>941</v>
      </c>
      <c r="S10" s="732">
        <v>111</v>
      </c>
      <c r="U10" s="730" t="s">
        <v>793</v>
      </c>
      <c r="V10" s="731" t="s">
        <v>798</v>
      </c>
      <c r="W10" s="731" t="s">
        <v>796</v>
      </c>
      <c r="X10" s="732">
        <v>23</v>
      </c>
      <c r="Y10" s="732">
        <v>66</v>
      </c>
      <c r="Z10" s="732">
        <v>8</v>
      </c>
      <c r="AD10" s="733">
        <f t="shared" si="5"/>
        <v>400</v>
      </c>
      <c r="AE10" s="733">
        <f t="shared" si="0"/>
        <v>941</v>
      </c>
      <c r="AF10" s="733">
        <f t="shared" si="0"/>
        <v>111</v>
      </c>
      <c r="AG10" s="734">
        <f t="shared" si="6"/>
        <v>1452</v>
      </c>
      <c r="AI10" s="733">
        <f t="shared" si="7"/>
        <v>23</v>
      </c>
      <c r="AJ10" s="733">
        <f t="shared" si="1"/>
        <v>66</v>
      </c>
      <c r="AK10" s="733">
        <f t="shared" si="1"/>
        <v>8</v>
      </c>
      <c r="AL10" s="734">
        <f t="shared" si="8"/>
        <v>97</v>
      </c>
      <c r="AN10" s="733">
        <f t="shared" si="9"/>
        <v>423</v>
      </c>
      <c r="AO10" s="733">
        <f t="shared" si="2"/>
        <v>1007</v>
      </c>
      <c r="AP10" s="733">
        <f t="shared" si="2"/>
        <v>119</v>
      </c>
      <c r="AQ10" s="734">
        <f t="shared" si="10"/>
        <v>1549</v>
      </c>
      <c r="AU10" s="735">
        <f t="shared" si="11"/>
        <v>1327631.6499999999</v>
      </c>
      <c r="AV10" s="735">
        <f t="shared" si="11"/>
        <v>3136163.36</v>
      </c>
      <c r="AW10" s="735">
        <f t="shared" si="11"/>
        <v>370173.66000000003</v>
      </c>
      <c r="AX10" s="736">
        <f t="shared" si="12"/>
        <v>4833968.67</v>
      </c>
      <c r="BB10" s="735">
        <f t="shared" si="13"/>
        <v>1480309.2897499998</v>
      </c>
      <c r="BC10" s="735">
        <f t="shared" si="13"/>
        <v>3496822.1463999995</v>
      </c>
      <c r="BD10" s="735">
        <f t="shared" si="13"/>
        <v>412743.63089999999</v>
      </c>
      <c r="BE10" s="736">
        <f t="shared" si="14"/>
        <v>5389875.0670499997</v>
      </c>
      <c r="BI10" s="735">
        <f t="shared" si="15"/>
        <v>1650544.8580712499</v>
      </c>
      <c r="BJ10" s="735">
        <f t="shared" si="15"/>
        <v>3898956.6932359999</v>
      </c>
      <c r="BK10" s="735">
        <f t="shared" si="15"/>
        <v>460209.14845349995</v>
      </c>
      <c r="BL10" s="736">
        <f t="shared" si="16"/>
        <v>6009710.6997607499</v>
      </c>
    </row>
    <row r="11" spans="1:64" ht="30" x14ac:dyDescent="0.25">
      <c r="A11" s="726" t="s">
        <v>799</v>
      </c>
      <c r="B11" s="726" t="s">
        <v>800</v>
      </c>
      <c r="C11" s="727">
        <v>2613.52</v>
      </c>
      <c r="D11" s="728">
        <v>871.17</v>
      </c>
      <c r="F11" s="729">
        <f t="shared" si="3"/>
        <v>2914.0747999999999</v>
      </c>
      <c r="G11" s="728">
        <f t="shared" si="3"/>
        <v>971.3545499999999</v>
      </c>
      <c r="I11" s="729">
        <f t="shared" si="4"/>
        <v>3249.1934019999999</v>
      </c>
      <c r="J11" s="728">
        <f t="shared" si="4"/>
        <v>1083.0603232499998</v>
      </c>
      <c r="N11" s="730" t="s">
        <v>799</v>
      </c>
      <c r="O11" s="731" t="s">
        <v>800</v>
      </c>
      <c r="P11" s="730" t="s">
        <v>795</v>
      </c>
      <c r="Q11" s="732">
        <v>508</v>
      </c>
      <c r="R11" s="732">
        <v>370</v>
      </c>
      <c r="S11" s="732">
        <v>85</v>
      </c>
      <c r="U11" s="730" t="s">
        <v>799</v>
      </c>
      <c r="V11" s="731" t="s">
        <v>800</v>
      </c>
      <c r="W11" s="731" t="s">
        <v>796</v>
      </c>
      <c r="X11" s="732">
        <v>35</v>
      </c>
      <c r="Y11" s="732">
        <v>40</v>
      </c>
      <c r="Z11" s="732">
        <v>4</v>
      </c>
      <c r="AD11" s="733">
        <f t="shared" si="5"/>
        <v>508</v>
      </c>
      <c r="AE11" s="733">
        <f t="shared" si="0"/>
        <v>370</v>
      </c>
      <c r="AF11" s="733">
        <f t="shared" si="0"/>
        <v>85</v>
      </c>
      <c r="AG11" s="734">
        <f t="shared" si="6"/>
        <v>963</v>
      </c>
      <c r="AI11" s="733">
        <f t="shared" si="7"/>
        <v>35</v>
      </c>
      <c r="AJ11" s="733">
        <f t="shared" si="1"/>
        <v>40</v>
      </c>
      <c r="AK11" s="733">
        <f t="shared" si="1"/>
        <v>4</v>
      </c>
      <c r="AL11" s="734">
        <f t="shared" si="8"/>
        <v>79</v>
      </c>
      <c r="AN11" s="733">
        <f t="shared" si="9"/>
        <v>543</v>
      </c>
      <c r="AO11" s="733">
        <f t="shared" si="2"/>
        <v>410</v>
      </c>
      <c r="AP11" s="733">
        <f t="shared" si="2"/>
        <v>89</v>
      </c>
      <c r="AQ11" s="734">
        <f t="shared" si="10"/>
        <v>1042</v>
      </c>
      <c r="AU11" s="735">
        <f t="shared" si="11"/>
        <v>1358159.1099999999</v>
      </c>
      <c r="AV11" s="735">
        <f t="shared" si="11"/>
        <v>1001849.2000000001</v>
      </c>
      <c r="AW11" s="735">
        <f t="shared" si="11"/>
        <v>225633.88</v>
      </c>
      <c r="AX11" s="736">
        <f t="shared" si="12"/>
        <v>2585642.19</v>
      </c>
      <c r="BB11" s="735">
        <f t="shared" si="13"/>
        <v>1514347.40765</v>
      </c>
      <c r="BC11" s="735">
        <f t="shared" si="13"/>
        <v>1117061.858</v>
      </c>
      <c r="BD11" s="735">
        <f t="shared" si="13"/>
        <v>251581.77619999996</v>
      </c>
      <c r="BE11" s="736">
        <f t="shared" si="14"/>
        <v>2882991.0418499997</v>
      </c>
      <c r="BI11" s="735">
        <f t="shared" si="15"/>
        <v>1688497.35952975</v>
      </c>
      <c r="BJ11" s="735">
        <f t="shared" si="15"/>
        <v>1245523.9716699999</v>
      </c>
      <c r="BK11" s="735">
        <f t="shared" si="15"/>
        <v>280513.68046299997</v>
      </c>
      <c r="BL11" s="736">
        <f t="shared" si="16"/>
        <v>3214535.0116627496</v>
      </c>
    </row>
    <row r="12" spans="1:64" x14ac:dyDescent="0.25">
      <c r="A12" s="726" t="s">
        <v>801</v>
      </c>
      <c r="B12" s="726" t="s">
        <v>802</v>
      </c>
      <c r="C12" s="727">
        <v>2284.63</v>
      </c>
      <c r="D12" s="728">
        <v>761.54</v>
      </c>
      <c r="F12" s="729">
        <f t="shared" si="3"/>
        <v>2547.3624500000001</v>
      </c>
      <c r="G12" s="728">
        <f t="shared" si="3"/>
        <v>849.11709999999994</v>
      </c>
      <c r="I12" s="729">
        <f t="shared" si="4"/>
        <v>2840.3091317500002</v>
      </c>
      <c r="J12" s="728">
        <f t="shared" si="4"/>
        <v>946.76556649999998</v>
      </c>
      <c r="N12" s="730" t="s">
        <v>801</v>
      </c>
      <c r="O12" s="731" t="s">
        <v>802</v>
      </c>
      <c r="P12" s="730" t="s">
        <v>795</v>
      </c>
      <c r="Q12" s="732">
        <v>364</v>
      </c>
      <c r="R12" s="732">
        <v>282</v>
      </c>
      <c r="S12" s="732">
        <v>87</v>
      </c>
      <c r="U12" s="730" t="s">
        <v>801</v>
      </c>
      <c r="V12" s="731" t="s">
        <v>802</v>
      </c>
      <c r="W12" s="731" t="s">
        <v>796</v>
      </c>
      <c r="X12" s="732">
        <v>58</v>
      </c>
      <c r="Y12" s="732">
        <v>24</v>
      </c>
      <c r="Z12" s="732">
        <v>9</v>
      </c>
      <c r="AD12" s="733">
        <f t="shared" si="5"/>
        <v>364</v>
      </c>
      <c r="AE12" s="733">
        <f t="shared" si="0"/>
        <v>282</v>
      </c>
      <c r="AF12" s="733">
        <f t="shared" si="0"/>
        <v>87</v>
      </c>
      <c r="AG12" s="734">
        <f t="shared" si="6"/>
        <v>733</v>
      </c>
      <c r="AI12" s="733">
        <f t="shared" si="7"/>
        <v>58</v>
      </c>
      <c r="AJ12" s="733">
        <f t="shared" si="1"/>
        <v>24</v>
      </c>
      <c r="AK12" s="733">
        <f t="shared" si="1"/>
        <v>9</v>
      </c>
      <c r="AL12" s="734">
        <f t="shared" si="8"/>
        <v>91</v>
      </c>
      <c r="AN12" s="733">
        <f t="shared" si="9"/>
        <v>422</v>
      </c>
      <c r="AO12" s="733">
        <f t="shared" si="2"/>
        <v>306</v>
      </c>
      <c r="AP12" s="733">
        <f t="shared" si="2"/>
        <v>96</v>
      </c>
      <c r="AQ12" s="734">
        <f t="shared" si="10"/>
        <v>824</v>
      </c>
      <c r="AU12" s="735">
        <f t="shared" si="11"/>
        <v>875774.64</v>
      </c>
      <c r="AV12" s="735">
        <f t="shared" si="11"/>
        <v>662542.62</v>
      </c>
      <c r="AW12" s="735">
        <f t="shared" si="11"/>
        <v>205616.66999999998</v>
      </c>
      <c r="AX12" s="736">
        <f t="shared" si="12"/>
        <v>1743933.93</v>
      </c>
      <c r="BB12" s="735">
        <f t="shared" si="13"/>
        <v>976488.72360000003</v>
      </c>
      <c r="BC12" s="735">
        <f t="shared" si="13"/>
        <v>738735.02130000002</v>
      </c>
      <c r="BD12" s="735">
        <f t="shared" si="13"/>
        <v>229262.58705</v>
      </c>
      <c r="BE12" s="736">
        <f t="shared" si="14"/>
        <v>1944486.33195</v>
      </c>
      <c r="BI12" s="735">
        <f t="shared" si="15"/>
        <v>1088784.9268140001</v>
      </c>
      <c r="BJ12" s="735">
        <f t="shared" si="15"/>
        <v>823689.54874950007</v>
      </c>
      <c r="BK12" s="735">
        <f t="shared" si="15"/>
        <v>255627.78456075003</v>
      </c>
      <c r="BL12" s="736">
        <f t="shared" si="16"/>
        <v>2168102.2601242503</v>
      </c>
    </row>
    <row r="13" spans="1:64" x14ac:dyDescent="0.25">
      <c r="A13" s="726" t="s">
        <v>801</v>
      </c>
      <c r="B13" s="726" t="s">
        <v>803</v>
      </c>
      <c r="C13" s="727">
        <v>2153.71</v>
      </c>
      <c r="D13" s="728">
        <v>717.9</v>
      </c>
      <c r="F13" s="729">
        <f t="shared" si="3"/>
        <v>2401.3866499999999</v>
      </c>
      <c r="G13" s="728">
        <f t="shared" si="3"/>
        <v>800.45849999999996</v>
      </c>
      <c r="I13" s="729">
        <f t="shared" si="4"/>
        <v>2677.54611475</v>
      </c>
      <c r="J13" s="728">
        <f t="shared" si="4"/>
        <v>892.5112274999999</v>
      </c>
      <c r="N13" s="730" t="s">
        <v>801</v>
      </c>
      <c r="O13" s="731" t="s">
        <v>803</v>
      </c>
      <c r="P13" s="730" t="s">
        <v>795</v>
      </c>
      <c r="Q13" s="732">
        <v>363</v>
      </c>
      <c r="R13" s="732">
        <v>633</v>
      </c>
      <c r="S13" s="732">
        <v>305</v>
      </c>
      <c r="U13" s="730" t="s">
        <v>801</v>
      </c>
      <c r="V13" s="731" t="s">
        <v>803</v>
      </c>
      <c r="W13" s="731" t="s">
        <v>796</v>
      </c>
      <c r="X13" s="732">
        <v>39</v>
      </c>
      <c r="Y13" s="732">
        <v>76</v>
      </c>
      <c r="Z13" s="732">
        <v>43</v>
      </c>
      <c r="AD13" s="733">
        <f t="shared" si="5"/>
        <v>363</v>
      </c>
      <c r="AE13" s="733">
        <f t="shared" si="0"/>
        <v>633</v>
      </c>
      <c r="AF13" s="733">
        <f t="shared" si="0"/>
        <v>305</v>
      </c>
      <c r="AG13" s="734">
        <f t="shared" si="6"/>
        <v>1301</v>
      </c>
      <c r="AI13" s="733">
        <f t="shared" si="7"/>
        <v>39</v>
      </c>
      <c r="AJ13" s="733">
        <f t="shared" si="1"/>
        <v>76</v>
      </c>
      <c r="AK13" s="733">
        <f t="shared" si="1"/>
        <v>43</v>
      </c>
      <c r="AL13" s="734">
        <f t="shared" si="8"/>
        <v>158</v>
      </c>
      <c r="AN13" s="733">
        <f t="shared" si="9"/>
        <v>402</v>
      </c>
      <c r="AO13" s="733">
        <f t="shared" si="2"/>
        <v>709</v>
      </c>
      <c r="AP13" s="733">
        <f t="shared" si="2"/>
        <v>348</v>
      </c>
      <c r="AQ13" s="734">
        <f t="shared" si="10"/>
        <v>1459</v>
      </c>
      <c r="AU13" s="735">
        <f t="shared" si="11"/>
        <v>809794.83</v>
      </c>
      <c r="AV13" s="735">
        <f t="shared" si="11"/>
        <v>1417858.8299999998</v>
      </c>
      <c r="AW13" s="735">
        <f t="shared" si="11"/>
        <v>687751.25</v>
      </c>
      <c r="AX13" s="736">
        <f t="shared" si="12"/>
        <v>2915404.9099999997</v>
      </c>
      <c r="BB13" s="735">
        <f t="shared" si="13"/>
        <v>902921.23545000004</v>
      </c>
      <c r="BC13" s="735">
        <f t="shared" si="13"/>
        <v>1580912.5954499999</v>
      </c>
      <c r="BD13" s="735">
        <f t="shared" si="13"/>
        <v>766842.64375000005</v>
      </c>
      <c r="BE13" s="736">
        <f t="shared" si="14"/>
        <v>3250676.4746500002</v>
      </c>
      <c r="BI13" s="735">
        <f t="shared" si="15"/>
        <v>1006757.17752675</v>
      </c>
      <c r="BJ13" s="735">
        <f t="shared" si="15"/>
        <v>1762717.5439267501</v>
      </c>
      <c r="BK13" s="735">
        <f t="shared" si="15"/>
        <v>855029.54778124997</v>
      </c>
      <c r="BL13" s="736">
        <f t="shared" si="16"/>
        <v>3624504.26923475</v>
      </c>
    </row>
    <row r="14" spans="1:64" x14ac:dyDescent="0.25">
      <c r="A14" s="726" t="s">
        <v>804</v>
      </c>
      <c r="B14" s="726" t="s">
        <v>805</v>
      </c>
      <c r="C14" s="737">
        <v>1813.48</v>
      </c>
      <c r="D14" s="738">
        <v>604.49</v>
      </c>
      <c r="F14" s="729">
        <f t="shared" si="3"/>
        <v>2022.0301999999999</v>
      </c>
      <c r="G14" s="728">
        <f t="shared" si="3"/>
        <v>674.00635</v>
      </c>
      <c r="I14" s="729">
        <f t="shared" si="4"/>
        <v>2254.5636730000001</v>
      </c>
      <c r="J14" s="728">
        <f t="shared" si="4"/>
        <v>751.51708024999994</v>
      </c>
      <c r="N14" s="730" t="s">
        <v>804</v>
      </c>
      <c r="O14" s="731" t="s">
        <v>805</v>
      </c>
      <c r="P14" s="730" t="s">
        <v>795</v>
      </c>
      <c r="Q14" s="732">
        <v>47</v>
      </c>
      <c r="R14" s="732">
        <v>2</v>
      </c>
      <c r="S14" s="464"/>
      <c r="U14" s="730" t="s">
        <v>804</v>
      </c>
      <c r="V14" s="731" t="s">
        <v>805</v>
      </c>
      <c r="W14" s="731" t="s">
        <v>796</v>
      </c>
      <c r="X14" s="732">
        <v>42</v>
      </c>
      <c r="Y14" s="732">
        <v>1</v>
      </c>
      <c r="Z14" s="464"/>
      <c r="AD14" s="733">
        <f t="shared" si="5"/>
        <v>47</v>
      </c>
      <c r="AE14" s="733">
        <f t="shared" si="0"/>
        <v>2</v>
      </c>
      <c r="AF14" s="733">
        <f t="shared" si="0"/>
        <v>0</v>
      </c>
      <c r="AG14" s="734">
        <f t="shared" si="6"/>
        <v>49</v>
      </c>
      <c r="AI14" s="733">
        <f t="shared" si="7"/>
        <v>42</v>
      </c>
      <c r="AJ14" s="733">
        <f t="shared" si="1"/>
        <v>1</v>
      </c>
      <c r="AK14" s="733">
        <f t="shared" si="1"/>
        <v>0</v>
      </c>
      <c r="AL14" s="734">
        <f t="shared" si="8"/>
        <v>43</v>
      </c>
      <c r="AN14" s="733">
        <f t="shared" si="9"/>
        <v>89</v>
      </c>
      <c r="AO14" s="733">
        <f t="shared" si="2"/>
        <v>3</v>
      </c>
      <c r="AP14" s="733">
        <f t="shared" si="2"/>
        <v>0</v>
      </c>
      <c r="AQ14" s="734">
        <f t="shared" si="10"/>
        <v>92</v>
      </c>
      <c r="AU14" s="735">
        <f t="shared" si="11"/>
        <v>110622.14</v>
      </c>
      <c r="AV14" s="735">
        <f t="shared" si="11"/>
        <v>4231.45</v>
      </c>
      <c r="AW14" s="735">
        <f t="shared" si="11"/>
        <v>0</v>
      </c>
      <c r="AX14" s="736">
        <f t="shared" si="12"/>
        <v>114853.59</v>
      </c>
      <c r="BB14" s="735">
        <f t="shared" si="13"/>
        <v>123343.68609999999</v>
      </c>
      <c r="BC14" s="735">
        <f t="shared" si="13"/>
        <v>4718.06675</v>
      </c>
      <c r="BD14" s="735">
        <f t="shared" si="13"/>
        <v>0</v>
      </c>
      <c r="BE14" s="736">
        <f t="shared" si="14"/>
        <v>128061.75284999999</v>
      </c>
      <c r="BI14" s="735">
        <f t="shared" si="15"/>
        <v>137528.2100015</v>
      </c>
      <c r="BJ14" s="735">
        <f t="shared" si="15"/>
        <v>5260.6444262499999</v>
      </c>
      <c r="BK14" s="735">
        <f t="shared" si="15"/>
        <v>0</v>
      </c>
      <c r="BL14" s="736">
        <f t="shared" si="16"/>
        <v>142788.85442774999</v>
      </c>
    </row>
    <row r="15" spans="1:64" x14ac:dyDescent="0.25">
      <c r="A15" s="726" t="s">
        <v>804</v>
      </c>
      <c r="B15" s="726" t="s">
        <v>806</v>
      </c>
      <c r="C15" s="737">
        <v>1027.8599999999999</v>
      </c>
      <c r="D15" s="738">
        <v>342.62</v>
      </c>
      <c r="F15" s="729">
        <f t="shared" si="3"/>
        <v>1146.0638999999999</v>
      </c>
      <c r="G15" s="728">
        <f t="shared" si="3"/>
        <v>382.0213</v>
      </c>
      <c r="I15" s="729">
        <f t="shared" si="4"/>
        <v>1277.8612484999999</v>
      </c>
      <c r="J15" s="728">
        <f t="shared" si="4"/>
        <v>425.95374950000001</v>
      </c>
      <c r="N15" s="730" t="s">
        <v>804</v>
      </c>
      <c r="O15" s="731" t="s">
        <v>806</v>
      </c>
      <c r="P15" s="730" t="s">
        <v>795</v>
      </c>
      <c r="Q15" s="732">
        <v>4</v>
      </c>
      <c r="R15" s="464"/>
      <c r="S15" s="732">
        <v>1</v>
      </c>
      <c r="U15" s="730" t="s">
        <v>804</v>
      </c>
      <c r="V15" s="731" t="s">
        <v>806</v>
      </c>
      <c r="W15" s="731" t="s">
        <v>796</v>
      </c>
      <c r="X15" s="732">
        <v>1</v>
      </c>
      <c r="Y15" s="464"/>
      <c r="Z15" s="464"/>
      <c r="AD15" s="733">
        <f t="shared" si="5"/>
        <v>4</v>
      </c>
      <c r="AE15" s="733">
        <f t="shared" si="0"/>
        <v>0</v>
      </c>
      <c r="AF15" s="733">
        <f t="shared" si="0"/>
        <v>1</v>
      </c>
      <c r="AG15" s="734">
        <f t="shared" si="6"/>
        <v>5</v>
      </c>
      <c r="AI15" s="733">
        <f t="shared" si="7"/>
        <v>1</v>
      </c>
      <c r="AJ15" s="733">
        <f t="shared" si="1"/>
        <v>0</v>
      </c>
      <c r="AK15" s="733">
        <f t="shared" si="1"/>
        <v>0</v>
      </c>
      <c r="AL15" s="734">
        <f t="shared" si="8"/>
        <v>1</v>
      </c>
      <c r="AN15" s="733">
        <f t="shared" si="9"/>
        <v>5</v>
      </c>
      <c r="AO15" s="733">
        <f t="shared" si="2"/>
        <v>0</v>
      </c>
      <c r="AP15" s="733">
        <f t="shared" si="2"/>
        <v>1</v>
      </c>
      <c r="AQ15" s="734">
        <f t="shared" si="10"/>
        <v>6</v>
      </c>
      <c r="AU15" s="735">
        <f t="shared" si="11"/>
        <v>4454.0599999999995</v>
      </c>
      <c r="AV15" s="735">
        <f t="shared" si="11"/>
        <v>0</v>
      </c>
      <c r="AW15" s="735">
        <f t="shared" si="11"/>
        <v>1027.8599999999999</v>
      </c>
      <c r="AX15" s="736">
        <f t="shared" si="12"/>
        <v>5481.9199999999992</v>
      </c>
      <c r="BB15" s="735">
        <f t="shared" si="13"/>
        <v>4966.2768999999998</v>
      </c>
      <c r="BC15" s="735">
        <f t="shared" si="13"/>
        <v>0</v>
      </c>
      <c r="BD15" s="735">
        <f t="shared" si="13"/>
        <v>1146.0638999999999</v>
      </c>
      <c r="BE15" s="736">
        <f t="shared" si="14"/>
        <v>6112.3407999999999</v>
      </c>
      <c r="BI15" s="735">
        <f t="shared" si="15"/>
        <v>5537.3987434999999</v>
      </c>
      <c r="BJ15" s="735">
        <f t="shared" si="15"/>
        <v>0</v>
      </c>
      <c r="BK15" s="735">
        <f t="shared" si="15"/>
        <v>1277.8612484999999</v>
      </c>
      <c r="BL15" s="736">
        <f t="shared" si="16"/>
        <v>6815.2599919999993</v>
      </c>
    </row>
    <row r="16" spans="1:64" x14ac:dyDescent="0.25">
      <c r="A16" s="726" t="s">
        <v>804</v>
      </c>
      <c r="B16" s="726" t="s">
        <v>807</v>
      </c>
      <c r="C16" s="737">
        <v>850.59</v>
      </c>
      <c r="D16" s="738">
        <v>283.52999999999997</v>
      </c>
      <c r="F16" s="729">
        <f t="shared" si="3"/>
        <v>948.40785000000005</v>
      </c>
      <c r="G16" s="728">
        <f t="shared" si="3"/>
        <v>316.13594999999998</v>
      </c>
      <c r="I16" s="729">
        <f t="shared" si="4"/>
        <v>1057.4747527500001</v>
      </c>
      <c r="J16" s="728">
        <f t="shared" si="4"/>
        <v>352.49158424999996</v>
      </c>
      <c r="AD16" s="733">
        <f t="shared" si="5"/>
        <v>0</v>
      </c>
      <c r="AE16" s="733">
        <f t="shared" si="0"/>
        <v>0</v>
      </c>
      <c r="AF16" s="733">
        <f t="shared" si="0"/>
        <v>0</v>
      </c>
      <c r="AG16" s="734">
        <f t="shared" si="6"/>
        <v>0</v>
      </c>
      <c r="AI16" s="733">
        <f t="shared" si="7"/>
        <v>0</v>
      </c>
      <c r="AJ16" s="733">
        <f t="shared" si="1"/>
        <v>0</v>
      </c>
      <c r="AK16" s="733">
        <f t="shared" si="1"/>
        <v>0</v>
      </c>
      <c r="AL16" s="734">
        <f t="shared" si="8"/>
        <v>0</v>
      </c>
      <c r="AN16" s="733">
        <f t="shared" si="9"/>
        <v>0</v>
      </c>
      <c r="AO16" s="733">
        <f t="shared" si="2"/>
        <v>0</v>
      </c>
      <c r="AP16" s="733">
        <f t="shared" si="2"/>
        <v>0</v>
      </c>
      <c r="AQ16" s="734">
        <f t="shared" si="10"/>
        <v>0</v>
      </c>
      <c r="AU16" s="735">
        <f t="shared" si="11"/>
        <v>0</v>
      </c>
      <c r="AV16" s="735">
        <f t="shared" si="11"/>
        <v>0</v>
      </c>
      <c r="AW16" s="735">
        <f t="shared" si="11"/>
        <v>0</v>
      </c>
      <c r="AX16" s="736">
        <f t="shared" si="12"/>
        <v>0</v>
      </c>
      <c r="BB16" s="735">
        <f t="shared" si="13"/>
        <v>0</v>
      </c>
      <c r="BC16" s="735">
        <f t="shared" si="13"/>
        <v>0</v>
      </c>
      <c r="BD16" s="735">
        <f t="shared" si="13"/>
        <v>0</v>
      </c>
      <c r="BE16" s="736">
        <f t="shared" si="14"/>
        <v>0</v>
      </c>
      <c r="BI16" s="735">
        <f t="shared" si="15"/>
        <v>0</v>
      </c>
      <c r="BJ16" s="735">
        <f t="shared" si="15"/>
        <v>0</v>
      </c>
      <c r="BK16" s="735">
        <f t="shared" si="15"/>
        <v>0</v>
      </c>
      <c r="BL16" s="736">
        <f t="shared" si="16"/>
        <v>0</v>
      </c>
    </row>
    <row r="17" spans="1:64" x14ac:dyDescent="0.25">
      <c r="A17" s="726" t="s">
        <v>808</v>
      </c>
      <c r="B17" s="726" t="s">
        <v>809</v>
      </c>
      <c r="C17" s="737">
        <v>1942.54</v>
      </c>
      <c r="D17" s="738">
        <v>647.51</v>
      </c>
      <c r="F17" s="729">
        <f t="shared" si="3"/>
        <v>2165.9321</v>
      </c>
      <c r="G17" s="728">
        <f t="shared" si="3"/>
        <v>721.97365000000002</v>
      </c>
      <c r="I17" s="729">
        <f t="shared" si="4"/>
        <v>2415.0142915000001</v>
      </c>
      <c r="J17" s="728">
        <f t="shared" si="4"/>
        <v>805.00061975000006</v>
      </c>
      <c r="N17" s="730" t="s">
        <v>808</v>
      </c>
      <c r="O17" s="731" t="s">
        <v>809</v>
      </c>
      <c r="P17" s="730" t="s">
        <v>795</v>
      </c>
      <c r="Q17" s="732">
        <v>1022</v>
      </c>
      <c r="R17" s="732">
        <v>2623</v>
      </c>
      <c r="S17" s="732">
        <v>247</v>
      </c>
      <c r="U17" s="730" t="s">
        <v>808</v>
      </c>
      <c r="V17" s="731" t="s">
        <v>809</v>
      </c>
      <c r="W17" s="731" t="s">
        <v>796</v>
      </c>
      <c r="X17" s="732">
        <v>37</v>
      </c>
      <c r="Y17" s="732">
        <v>170</v>
      </c>
      <c r="Z17" s="732">
        <v>37</v>
      </c>
      <c r="AD17" s="733">
        <f t="shared" si="5"/>
        <v>1022</v>
      </c>
      <c r="AE17" s="733">
        <f t="shared" si="0"/>
        <v>2623</v>
      </c>
      <c r="AF17" s="733">
        <f t="shared" si="0"/>
        <v>247</v>
      </c>
      <c r="AG17" s="734">
        <f t="shared" si="6"/>
        <v>3892</v>
      </c>
      <c r="AI17" s="733">
        <f t="shared" si="7"/>
        <v>37</v>
      </c>
      <c r="AJ17" s="733">
        <f t="shared" si="1"/>
        <v>170</v>
      </c>
      <c r="AK17" s="733">
        <f t="shared" si="1"/>
        <v>37</v>
      </c>
      <c r="AL17" s="734">
        <f t="shared" si="8"/>
        <v>244</v>
      </c>
      <c r="AN17" s="733">
        <f t="shared" si="9"/>
        <v>1059</v>
      </c>
      <c r="AO17" s="733">
        <f t="shared" si="2"/>
        <v>2793</v>
      </c>
      <c r="AP17" s="733">
        <f t="shared" si="2"/>
        <v>284</v>
      </c>
      <c r="AQ17" s="734">
        <f t="shared" si="10"/>
        <v>4136</v>
      </c>
      <c r="AU17" s="735">
        <f t="shared" si="11"/>
        <v>2009233.75</v>
      </c>
      <c r="AV17" s="735">
        <f t="shared" si="11"/>
        <v>5205359.12</v>
      </c>
      <c r="AW17" s="735">
        <f t="shared" si="11"/>
        <v>503765.25</v>
      </c>
      <c r="AX17" s="736">
        <f t="shared" si="12"/>
        <v>7718358.1200000001</v>
      </c>
      <c r="BB17" s="735">
        <f t="shared" si="13"/>
        <v>2240295.6312499996</v>
      </c>
      <c r="BC17" s="735">
        <f t="shared" si="13"/>
        <v>5803975.4187999992</v>
      </c>
      <c r="BD17" s="735">
        <f t="shared" si="13"/>
        <v>561698.25375000003</v>
      </c>
      <c r="BE17" s="736">
        <f t="shared" si="14"/>
        <v>8605969.303799998</v>
      </c>
      <c r="BI17" s="735">
        <f t="shared" si="15"/>
        <v>2497929.6288437503</v>
      </c>
      <c r="BJ17" s="735">
        <f t="shared" si="15"/>
        <v>6471432.5919620004</v>
      </c>
      <c r="BK17" s="735">
        <f t="shared" si="15"/>
        <v>626293.55293125007</v>
      </c>
      <c r="BL17" s="736">
        <f t="shared" si="16"/>
        <v>9595655.7737370022</v>
      </c>
    </row>
    <row r="18" spans="1:64" x14ac:dyDescent="0.25">
      <c r="A18" s="726" t="s">
        <v>808</v>
      </c>
      <c r="B18" s="726" t="s">
        <v>810</v>
      </c>
      <c r="C18" s="737">
        <v>1763.5</v>
      </c>
      <c r="D18" s="738">
        <v>587.83000000000004</v>
      </c>
      <c r="F18" s="729">
        <f t="shared" si="3"/>
        <v>1966.3025</v>
      </c>
      <c r="G18" s="728">
        <f t="shared" si="3"/>
        <v>655.43045000000006</v>
      </c>
      <c r="I18" s="729">
        <f t="shared" si="4"/>
        <v>2192.4272875000001</v>
      </c>
      <c r="J18" s="728">
        <f t="shared" si="4"/>
        <v>730.8049517500001</v>
      </c>
      <c r="N18" s="730" t="s">
        <v>808</v>
      </c>
      <c r="O18" s="731" t="s">
        <v>810</v>
      </c>
      <c r="P18" s="730" t="s">
        <v>795</v>
      </c>
      <c r="Q18" s="732">
        <v>3078</v>
      </c>
      <c r="R18" s="732">
        <v>5285</v>
      </c>
      <c r="S18" s="732">
        <v>409</v>
      </c>
      <c r="U18" s="730" t="s">
        <v>808</v>
      </c>
      <c r="V18" s="731" t="s">
        <v>810</v>
      </c>
      <c r="W18" s="731" t="s">
        <v>796</v>
      </c>
      <c r="X18" s="732">
        <v>156</v>
      </c>
      <c r="Y18" s="732">
        <v>395</v>
      </c>
      <c r="Z18" s="732">
        <v>23</v>
      </c>
      <c r="AD18" s="733">
        <f t="shared" si="5"/>
        <v>3078</v>
      </c>
      <c r="AE18" s="733">
        <f t="shared" si="0"/>
        <v>5285</v>
      </c>
      <c r="AF18" s="733">
        <f t="shared" si="0"/>
        <v>409</v>
      </c>
      <c r="AG18" s="734">
        <f t="shared" si="6"/>
        <v>8772</v>
      </c>
      <c r="AI18" s="733">
        <f t="shared" si="7"/>
        <v>156</v>
      </c>
      <c r="AJ18" s="733">
        <f t="shared" si="1"/>
        <v>395</v>
      </c>
      <c r="AK18" s="733">
        <f t="shared" si="1"/>
        <v>23</v>
      </c>
      <c r="AL18" s="734">
        <f t="shared" si="8"/>
        <v>574</v>
      </c>
      <c r="AN18" s="733">
        <f t="shared" si="9"/>
        <v>3234</v>
      </c>
      <c r="AO18" s="733">
        <f t="shared" si="2"/>
        <v>5680</v>
      </c>
      <c r="AP18" s="733">
        <f t="shared" si="2"/>
        <v>432</v>
      </c>
      <c r="AQ18" s="734">
        <f t="shared" si="10"/>
        <v>9346</v>
      </c>
      <c r="AU18" s="735">
        <f t="shared" si="11"/>
        <v>5519754.4800000004</v>
      </c>
      <c r="AV18" s="735">
        <f t="shared" si="11"/>
        <v>9552290.3499999996</v>
      </c>
      <c r="AW18" s="735">
        <f t="shared" si="11"/>
        <v>734791.59</v>
      </c>
      <c r="AX18" s="736">
        <f t="shared" si="12"/>
        <v>15806836.42</v>
      </c>
      <c r="BB18" s="735">
        <f t="shared" si="13"/>
        <v>6154526.2451999998</v>
      </c>
      <c r="BC18" s="735">
        <f t="shared" si="13"/>
        <v>10650803.740250001</v>
      </c>
      <c r="BD18" s="735">
        <f t="shared" si="13"/>
        <v>819292.62285000004</v>
      </c>
      <c r="BE18" s="736">
        <f t="shared" si="14"/>
        <v>17624622.6083</v>
      </c>
      <c r="BI18" s="735">
        <f t="shared" si="15"/>
        <v>6862296.763398</v>
      </c>
      <c r="BJ18" s="735">
        <f t="shared" si="15"/>
        <v>11875646.170378752</v>
      </c>
      <c r="BK18" s="735">
        <f t="shared" si="15"/>
        <v>913511.27447775006</v>
      </c>
      <c r="BL18" s="736">
        <f t="shared" si="16"/>
        <v>19651454.208254501</v>
      </c>
    </row>
    <row r="19" spans="1:64" x14ac:dyDescent="0.25">
      <c r="A19" s="726" t="s">
        <v>808</v>
      </c>
      <c r="B19" s="726" t="s">
        <v>811</v>
      </c>
      <c r="C19" s="737">
        <v>1516.07</v>
      </c>
      <c r="D19" s="738">
        <v>505.36</v>
      </c>
      <c r="F19" s="729">
        <f t="shared" si="3"/>
        <v>1690.41805</v>
      </c>
      <c r="G19" s="728">
        <f t="shared" si="3"/>
        <v>563.47640000000001</v>
      </c>
      <c r="I19" s="729">
        <f t="shared" si="4"/>
        <v>1884.8161257500001</v>
      </c>
      <c r="J19" s="728">
        <f t="shared" si="4"/>
        <v>628.27618600000005</v>
      </c>
      <c r="N19" s="730" t="s">
        <v>808</v>
      </c>
      <c r="O19" s="731" t="s">
        <v>811</v>
      </c>
      <c r="P19" s="730" t="s">
        <v>795</v>
      </c>
      <c r="Q19" s="732">
        <v>2896</v>
      </c>
      <c r="R19" s="732">
        <v>2053</v>
      </c>
      <c r="S19" s="732">
        <v>441</v>
      </c>
      <c r="U19" s="730" t="s">
        <v>808</v>
      </c>
      <c r="V19" s="731" t="s">
        <v>811</v>
      </c>
      <c r="W19" s="731" t="s">
        <v>796</v>
      </c>
      <c r="X19" s="732">
        <v>259</v>
      </c>
      <c r="Y19" s="732">
        <v>163</v>
      </c>
      <c r="Z19" s="732">
        <v>23</v>
      </c>
      <c r="AD19" s="733">
        <f t="shared" si="5"/>
        <v>2896</v>
      </c>
      <c r="AE19" s="733">
        <f t="shared" si="0"/>
        <v>2053</v>
      </c>
      <c r="AF19" s="733">
        <f t="shared" si="0"/>
        <v>441</v>
      </c>
      <c r="AG19" s="734">
        <f t="shared" si="6"/>
        <v>5390</v>
      </c>
      <c r="AI19" s="733">
        <f t="shared" si="7"/>
        <v>259</v>
      </c>
      <c r="AJ19" s="733">
        <f t="shared" si="1"/>
        <v>163</v>
      </c>
      <c r="AK19" s="733">
        <f t="shared" si="1"/>
        <v>23</v>
      </c>
      <c r="AL19" s="734">
        <f t="shared" si="8"/>
        <v>445</v>
      </c>
      <c r="AN19" s="733">
        <f t="shared" si="9"/>
        <v>3155</v>
      </c>
      <c r="AO19" s="733">
        <f t="shared" si="2"/>
        <v>2216</v>
      </c>
      <c r="AP19" s="733">
        <f t="shared" si="2"/>
        <v>464</v>
      </c>
      <c r="AQ19" s="734">
        <f t="shared" si="10"/>
        <v>5835</v>
      </c>
      <c r="AU19" s="735">
        <f t="shared" si="11"/>
        <v>4521426.96</v>
      </c>
      <c r="AV19" s="735">
        <f t="shared" si="11"/>
        <v>3194865.39</v>
      </c>
      <c r="AW19" s="735">
        <f t="shared" si="11"/>
        <v>680210.15</v>
      </c>
      <c r="AX19" s="736">
        <f t="shared" si="12"/>
        <v>8396502.5</v>
      </c>
      <c r="BB19" s="735">
        <f t="shared" si="13"/>
        <v>5041391.0603999998</v>
      </c>
      <c r="BC19" s="735">
        <f t="shared" si="13"/>
        <v>3562274.9098499999</v>
      </c>
      <c r="BD19" s="735">
        <f t="shared" si="13"/>
        <v>758434.31724999996</v>
      </c>
      <c r="BE19" s="736">
        <f t="shared" si="14"/>
        <v>9362100.2874999996</v>
      </c>
      <c r="BI19" s="735">
        <f t="shared" si="15"/>
        <v>5621151.032346</v>
      </c>
      <c r="BJ19" s="735">
        <f t="shared" si="15"/>
        <v>3971936.5244827499</v>
      </c>
      <c r="BK19" s="735">
        <f t="shared" si="15"/>
        <v>845654.26373374998</v>
      </c>
      <c r="BL19" s="736">
        <f t="shared" si="16"/>
        <v>10438741.820562501</v>
      </c>
    </row>
    <row r="20" spans="1:64" x14ac:dyDescent="0.25">
      <c r="A20" s="726" t="s">
        <v>808</v>
      </c>
      <c r="B20" s="726" t="s">
        <v>812</v>
      </c>
      <c r="C20" s="737">
        <v>1398.52</v>
      </c>
      <c r="D20" s="738">
        <v>466.17</v>
      </c>
      <c r="F20" s="729">
        <f t="shared" si="3"/>
        <v>1559.3498</v>
      </c>
      <c r="G20" s="728">
        <f t="shared" si="3"/>
        <v>519.77954999999997</v>
      </c>
      <c r="I20" s="729">
        <f t="shared" si="4"/>
        <v>1738.675027</v>
      </c>
      <c r="J20" s="728">
        <f t="shared" si="4"/>
        <v>579.55419825000001</v>
      </c>
      <c r="N20" s="730" t="s">
        <v>808</v>
      </c>
      <c r="O20" s="731" t="s">
        <v>812</v>
      </c>
      <c r="P20" s="730" t="s">
        <v>795</v>
      </c>
      <c r="Q20" s="732">
        <v>2390</v>
      </c>
      <c r="R20" s="732">
        <v>1165</v>
      </c>
      <c r="S20" s="732">
        <v>850</v>
      </c>
      <c r="U20" s="730" t="s">
        <v>808</v>
      </c>
      <c r="V20" s="731" t="s">
        <v>812</v>
      </c>
      <c r="W20" s="731" t="s">
        <v>796</v>
      </c>
      <c r="X20" s="732">
        <v>396</v>
      </c>
      <c r="Y20" s="732">
        <v>189</v>
      </c>
      <c r="Z20" s="732">
        <v>84</v>
      </c>
      <c r="AD20" s="733">
        <f t="shared" si="5"/>
        <v>2390</v>
      </c>
      <c r="AE20" s="733">
        <f t="shared" si="0"/>
        <v>1165</v>
      </c>
      <c r="AF20" s="733">
        <f t="shared" si="0"/>
        <v>850</v>
      </c>
      <c r="AG20" s="734">
        <f t="shared" si="6"/>
        <v>4405</v>
      </c>
      <c r="AI20" s="733">
        <f t="shared" si="7"/>
        <v>396</v>
      </c>
      <c r="AJ20" s="733">
        <f t="shared" si="1"/>
        <v>189</v>
      </c>
      <c r="AK20" s="733">
        <f t="shared" si="1"/>
        <v>84</v>
      </c>
      <c r="AL20" s="734">
        <f t="shared" si="8"/>
        <v>669</v>
      </c>
      <c r="AN20" s="733">
        <f t="shared" si="9"/>
        <v>2786</v>
      </c>
      <c r="AO20" s="733">
        <f t="shared" si="2"/>
        <v>1354</v>
      </c>
      <c r="AP20" s="733">
        <f t="shared" si="2"/>
        <v>934</v>
      </c>
      <c r="AQ20" s="734">
        <f t="shared" si="10"/>
        <v>5074</v>
      </c>
      <c r="AU20" s="735">
        <f t="shared" si="11"/>
        <v>3527066.1199999996</v>
      </c>
      <c r="AV20" s="735">
        <f t="shared" si="11"/>
        <v>1717381.9300000002</v>
      </c>
      <c r="AW20" s="735">
        <f t="shared" si="11"/>
        <v>1227900.28</v>
      </c>
      <c r="AX20" s="736">
        <f t="shared" si="12"/>
        <v>6472348.3300000001</v>
      </c>
      <c r="BB20" s="735">
        <f t="shared" si="13"/>
        <v>3932678.7237999998</v>
      </c>
      <c r="BC20" s="735">
        <f t="shared" si="13"/>
        <v>1914880.85195</v>
      </c>
      <c r="BD20" s="735">
        <f t="shared" si="13"/>
        <v>1369108.8122</v>
      </c>
      <c r="BE20" s="736">
        <f t="shared" si="14"/>
        <v>7216668.3879499994</v>
      </c>
      <c r="BI20" s="735">
        <f t="shared" si="15"/>
        <v>4384936.7770370003</v>
      </c>
      <c r="BJ20" s="735">
        <f t="shared" si="15"/>
        <v>2135092.1499242499</v>
      </c>
      <c r="BK20" s="735">
        <f t="shared" si="15"/>
        <v>1526556.3256029999</v>
      </c>
      <c r="BL20" s="736">
        <f t="shared" si="16"/>
        <v>8046585.2525642505</v>
      </c>
    </row>
    <row r="21" spans="1:64" x14ac:dyDescent="0.25">
      <c r="A21" s="726" t="s">
        <v>808</v>
      </c>
      <c r="B21" s="726" t="s">
        <v>813</v>
      </c>
      <c r="C21" s="737">
        <v>1157.83</v>
      </c>
      <c r="D21" s="738">
        <v>385.94</v>
      </c>
      <c r="F21" s="729">
        <f t="shared" si="3"/>
        <v>1290.98045</v>
      </c>
      <c r="G21" s="728">
        <f t="shared" si="3"/>
        <v>430.32310000000001</v>
      </c>
      <c r="I21" s="729">
        <f t="shared" si="4"/>
        <v>1439.4432017500001</v>
      </c>
      <c r="J21" s="728">
        <f t="shared" si="4"/>
        <v>479.81025649999998</v>
      </c>
      <c r="N21" s="730" t="s">
        <v>808</v>
      </c>
      <c r="O21" s="731" t="s">
        <v>813</v>
      </c>
      <c r="P21" s="730" t="s">
        <v>795</v>
      </c>
      <c r="Q21" s="732">
        <v>473</v>
      </c>
      <c r="R21" s="732">
        <v>288</v>
      </c>
      <c r="S21" s="732">
        <v>427</v>
      </c>
      <c r="U21" s="730" t="s">
        <v>808</v>
      </c>
      <c r="V21" s="731" t="s">
        <v>813</v>
      </c>
      <c r="W21" s="731" t="s">
        <v>796</v>
      </c>
      <c r="X21" s="732">
        <v>135</v>
      </c>
      <c r="Y21" s="732">
        <v>53</v>
      </c>
      <c r="Z21" s="732">
        <v>48</v>
      </c>
      <c r="AD21" s="733">
        <f t="shared" si="5"/>
        <v>473</v>
      </c>
      <c r="AE21" s="733">
        <f t="shared" si="0"/>
        <v>288</v>
      </c>
      <c r="AF21" s="733">
        <f t="shared" si="0"/>
        <v>427</v>
      </c>
      <c r="AG21" s="734">
        <f t="shared" si="6"/>
        <v>1188</v>
      </c>
      <c r="AI21" s="733">
        <f t="shared" si="7"/>
        <v>135</v>
      </c>
      <c r="AJ21" s="733">
        <f t="shared" si="1"/>
        <v>53</v>
      </c>
      <c r="AK21" s="733">
        <f t="shared" si="1"/>
        <v>48</v>
      </c>
      <c r="AL21" s="734">
        <f t="shared" si="8"/>
        <v>236</v>
      </c>
      <c r="AN21" s="733">
        <f t="shared" si="9"/>
        <v>608</v>
      </c>
      <c r="AO21" s="733">
        <f t="shared" si="2"/>
        <v>341</v>
      </c>
      <c r="AP21" s="733">
        <f t="shared" si="2"/>
        <v>475</v>
      </c>
      <c r="AQ21" s="734">
        <f t="shared" si="10"/>
        <v>1424</v>
      </c>
      <c r="AU21" s="735">
        <f t="shared" si="11"/>
        <v>599755.49</v>
      </c>
      <c r="AV21" s="735">
        <f t="shared" si="11"/>
        <v>353909.86</v>
      </c>
      <c r="AW21" s="735">
        <f t="shared" si="11"/>
        <v>512918.52999999997</v>
      </c>
      <c r="AX21" s="736">
        <f t="shared" si="12"/>
        <v>1466583.88</v>
      </c>
      <c r="BB21" s="735">
        <f t="shared" si="13"/>
        <v>668727.37135000003</v>
      </c>
      <c r="BC21" s="735">
        <f t="shared" si="13"/>
        <v>394609.4939</v>
      </c>
      <c r="BD21" s="735">
        <f t="shared" si="13"/>
        <v>571904.16094999993</v>
      </c>
      <c r="BE21" s="736">
        <f t="shared" si="14"/>
        <v>1635241.0262</v>
      </c>
      <c r="BI21" s="735">
        <f t="shared" si="15"/>
        <v>745631.01905524998</v>
      </c>
      <c r="BJ21" s="735">
        <f t="shared" si="15"/>
        <v>439989.58569850004</v>
      </c>
      <c r="BK21" s="735">
        <f t="shared" si="15"/>
        <v>637673.13945925003</v>
      </c>
      <c r="BL21" s="736">
        <f t="shared" si="16"/>
        <v>1823293.7442129999</v>
      </c>
    </row>
    <row r="22" spans="1:64" x14ac:dyDescent="0.25">
      <c r="A22" s="726" t="s">
        <v>814</v>
      </c>
      <c r="B22" s="726" t="s">
        <v>815</v>
      </c>
      <c r="C22" s="737">
        <v>1095.58</v>
      </c>
      <c r="D22" s="738">
        <v>365.19</v>
      </c>
      <c r="F22" s="729">
        <f t="shared" si="3"/>
        <v>1221.5717</v>
      </c>
      <c r="G22" s="728">
        <f t="shared" si="3"/>
        <v>407.18684999999999</v>
      </c>
      <c r="I22" s="729">
        <f t="shared" si="4"/>
        <v>1362.0524455</v>
      </c>
      <c r="J22" s="728">
        <f t="shared" si="4"/>
        <v>454.01333775000001</v>
      </c>
      <c r="N22" s="730" t="s">
        <v>814</v>
      </c>
      <c r="O22" s="731" t="s">
        <v>815</v>
      </c>
      <c r="P22" s="730" t="s">
        <v>795</v>
      </c>
      <c r="Q22" s="732">
        <v>1871</v>
      </c>
      <c r="R22" s="732">
        <v>521</v>
      </c>
      <c r="S22" s="732">
        <v>819</v>
      </c>
      <c r="U22" s="730" t="s">
        <v>814</v>
      </c>
      <c r="V22" s="731" t="s">
        <v>815</v>
      </c>
      <c r="W22" s="731" t="s">
        <v>796</v>
      </c>
      <c r="X22" s="732">
        <v>583</v>
      </c>
      <c r="Y22" s="732">
        <v>89</v>
      </c>
      <c r="Z22" s="732">
        <v>86</v>
      </c>
      <c r="AD22" s="733">
        <f t="shared" si="5"/>
        <v>1871</v>
      </c>
      <c r="AE22" s="733">
        <f t="shared" si="0"/>
        <v>521</v>
      </c>
      <c r="AF22" s="733">
        <f t="shared" si="0"/>
        <v>819</v>
      </c>
      <c r="AG22" s="734">
        <f t="shared" si="6"/>
        <v>3211</v>
      </c>
      <c r="AI22" s="733">
        <f t="shared" si="7"/>
        <v>583</v>
      </c>
      <c r="AJ22" s="733">
        <f t="shared" si="1"/>
        <v>89</v>
      </c>
      <c r="AK22" s="733">
        <f t="shared" si="1"/>
        <v>86</v>
      </c>
      <c r="AL22" s="734">
        <f t="shared" si="8"/>
        <v>758</v>
      </c>
      <c r="AN22" s="733">
        <f t="shared" si="9"/>
        <v>2454</v>
      </c>
      <c r="AO22" s="733">
        <f t="shared" si="2"/>
        <v>610</v>
      </c>
      <c r="AP22" s="733">
        <f t="shared" si="2"/>
        <v>905</v>
      </c>
      <c r="AQ22" s="734">
        <f t="shared" si="10"/>
        <v>3969</v>
      </c>
      <c r="AU22" s="735">
        <f t="shared" si="11"/>
        <v>2262735.9499999997</v>
      </c>
      <c r="AV22" s="735">
        <f t="shared" si="11"/>
        <v>603299.09</v>
      </c>
      <c r="AW22" s="735">
        <f t="shared" si="11"/>
        <v>928686.35999999987</v>
      </c>
      <c r="AX22" s="736">
        <f t="shared" si="12"/>
        <v>3794721.3999999994</v>
      </c>
      <c r="BB22" s="735">
        <f t="shared" si="13"/>
        <v>2522950.5842500003</v>
      </c>
      <c r="BC22" s="735">
        <f t="shared" si="13"/>
        <v>672678.48534999997</v>
      </c>
      <c r="BD22" s="735">
        <f t="shared" si="13"/>
        <v>1035485.2914</v>
      </c>
      <c r="BE22" s="736">
        <f t="shared" si="14"/>
        <v>4231114.3609999996</v>
      </c>
      <c r="BI22" s="735">
        <f t="shared" si="15"/>
        <v>2813089.9014387499</v>
      </c>
      <c r="BJ22" s="735">
        <f t="shared" si="15"/>
        <v>750036.51116524998</v>
      </c>
      <c r="BK22" s="735">
        <f t="shared" si="15"/>
        <v>1154566.0999110001</v>
      </c>
      <c r="BL22" s="736">
        <f t="shared" si="16"/>
        <v>4717692.5125150001</v>
      </c>
    </row>
    <row r="23" spans="1:64" x14ac:dyDescent="0.25">
      <c r="A23" s="726" t="s">
        <v>814</v>
      </c>
      <c r="B23" s="726" t="s">
        <v>816</v>
      </c>
      <c r="C23" s="737">
        <v>850.59</v>
      </c>
      <c r="D23" s="738">
        <v>283.52999999999997</v>
      </c>
      <c r="F23" s="729">
        <f t="shared" si="3"/>
        <v>948.40785000000005</v>
      </c>
      <c r="G23" s="728">
        <f t="shared" si="3"/>
        <v>316.13594999999998</v>
      </c>
      <c r="I23" s="729">
        <f t="shared" si="4"/>
        <v>1057.4747527500001</v>
      </c>
      <c r="J23" s="728">
        <f t="shared" si="4"/>
        <v>352.49158424999996</v>
      </c>
      <c r="N23" s="730" t="s">
        <v>814</v>
      </c>
      <c r="O23" s="731" t="s">
        <v>816</v>
      </c>
      <c r="P23" s="730" t="s">
        <v>795</v>
      </c>
      <c r="Q23" s="732">
        <v>433</v>
      </c>
      <c r="R23" s="732">
        <v>2</v>
      </c>
      <c r="S23" s="732">
        <v>2</v>
      </c>
      <c r="U23" s="730" t="s">
        <v>814</v>
      </c>
      <c r="V23" s="731" t="s">
        <v>816</v>
      </c>
      <c r="W23" s="731" t="s">
        <v>796</v>
      </c>
      <c r="X23" s="732">
        <v>846</v>
      </c>
      <c r="Y23" s="732">
        <v>1</v>
      </c>
      <c r="Z23" s="732">
        <v>2</v>
      </c>
      <c r="AD23" s="733">
        <f t="shared" si="5"/>
        <v>433</v>
      </c>
      <c r="AE23" s="733">
        <f t="shared" si="0"/>
        <v>2</v>
      </c>
      <c r="AF23" s="733">
        <f t="shared" si="0"/>
        <v>2</v>
      </c>
      <c r="AG23" s="734">
        <f t="shared" si="6"/>
        <v>437</v>
      </c>
      <c r="AI23" s="733">
        <f t="shared" si="7"/>
        <v>846</v>
      </c>
      <c r="AJ23" s="733">
        <f t="shared" si="1"/>
        <v>1</v>
      </c>
      <c r="AK23" s="733">
        <f t="shared" si="1"/>
        <v>2</v>
      </c>
      <c r="AL23" s="734">
        <f t="shared" si="8"/>
        <v>849</v>
      </c>
      <c r="AN23" s="733">
        <f t="shared" si="9"/>
        <v>1279</v>
      </c>
      <c r="AO23" s="733">
        <f t="shared" si="2"/>
        <v>3</v>
      </c>
      <c r="AP23" s="733">
        <f t="shared" si="2"/>
        <v>4</v>
      </c>
      <c r="AQ23" s="734">
        <f t="shared" si="10"/>
        <v>1286</v>
      </c>
      <c r="AU23" s="735">
        <f t="shared" si="11"/>
        <v>608171.85</v>
      </c>
      <c r="AV23" s="735">
        <f t="shared" si="11"/>
        <v>1984.71</v>
      </c>
      <c r="AW23" s="735">
        <f t="shared" si="11"/>
        <v>2268.2399999999998</v>
      </c>
      <c r="AX23" s="736">
        <f t="shared" si="12"/>
        <v>612424.79999999993</v>
      </c>
      <c r="BB23" s="735">
        <f t="shared" si="13"/>
        <v>678111.61275000009</v>
      </c>
      <c r="BC23" s="735">
        <f t="shared" si="13"/>
        <v>2212.95165</v>
      </c>
      <c r="BD23" s="735">
        <f t="shared" si="13"/>
        <v>2529.0875999999998</v>
      </c>
      <c r="BE23" s="736">
        <f t="shared" si="14"/>
        <v>682853.652</v>
      </c>
      <c r="BI23" s="735">
        <f t="shared" si="15"/>
        <v>756094.44821624993</v>
      </c>
      <c r="BJ23" s="735">
        <f t="shared" si="15"/>
        <v>2467.4410897500002</v>
      </c>
      <c r="BK23" s="735">
        <f t="shared" si="15"/>
        <v>2819.9326740000001</v>
      </c>
      <c r="BL23" s="736">
        <f t="shared" si="16"/>
        <v>761381.82198000001</v>
      </c>
    </row>
    <row r="24" spans="1:64" ht="27" customHeight="1" x14ac:dyDescent="0.25">
      <c r="A24" s="1382" t="s">
        <v>817</v>
      </c>
      <c r="B24" s="1382"/>
      <c r="C24" s="1382"/>
      <c r="D24" s="1382"/>
      <c r="AD24" s="739">
        <f>SUM(AD8:AD23)</f>
        <v>14192</v>
      </c>
      <c r="AE24" s="740">
        <f t="shared" ref="AE24:AG24" si="17">SUM(AE8:AE23)</f>
        <v>15195</v>
      </c>
      <c r="AF24" s="740">
        <f t="shared" si="17"/>
        <v>3923</v>
      </c>
      <c r="AG24" s="741">
        <f t="shared" si="17"/>
        <v>33310</v>
      </c>
      <c r="AI24" s="739">
        <f>SUM(AI8:AI23)</f>
        <v>2630</v>
      </c>
      <c r="AJ24" s="740">
        <f t="shared" ref="AJ24:AL24" si="18">SUM(AJ8:AJ23)</f>
        <v>1347</v>
      </c>
      <c r="AK24" s="740">
        <f t="shared" si="18"/>
        <v>383</v>
      </c>
      <c r="AL24" s="741">
        <f t="shared" si="18"/>
        <v>4360</v>
      </c>
      <c r="AN24" s="739">
        <f>SUM(AN8:AN23)</f>
        <v>16822</v>
      </c>
      <c r="AO24" s="740">
        <f t="shared" ref="AO24:AQ24" si="19">SUM(AO8:AO23)</f>
        <v>16542</v>
      </c>
      <c r="AP24" s="740">
        <f t="shared" si="19"/>
        <v>4306</v>
      </c>
      <c r="AQ24" s="741">
        <f t="shared" si="19"/>
        <v>37670</v>
      </c>
      <c r="AU24" s="742">
        <f>SUM(AU8:AU23)</f>
        <v>24761320.100000001</v>
      </c>
      <c r="AV24" s="743">
        <f t="shared" ref="AV24:AX24" si="20">SUM(AV8:AV23)</f>
        <v>30592793.690000001</v>
      </c>
      <c r="AW24" s="743">
        <f t="shared" si="20"/>
        <v>6595709.4199999999</v>
      </c>
      <c r="AX24" s="744">
        <f t="shared" si="20"/>
        <v>61949823.210000001</v>
      </c>
      <c r="BB24" s="742">
        <f>SUM(BB8:BB23)</f>
        <v>27608871.911500003</v>
      </c>
      <c r="BC24" s="743">
        <f t="shared" ref="BC24:BE24" si="21">SUM(BC8:BC23)</f>
        <v>34110964.96435</v>
      </c>
      <c r="BD24" s="743">
        <f t="shared" si="21"/>
        <v>7354216.0033</v>
      </c>
      <c r="BE24" s="744">
        <f t="shared" si="21"/>
        <v>69074052.879149988</v>
      </c>
      <c r="BI24" s="742">
        <f>SUM(BI8:BI23)</f>
        <v>30783892.1813225</v>
      </c>
      <c r="BJ24" s="743">
        <f t="shared" ref="BJ24:BL24" si="22">SUM(BJ8:BJ23)</f>
        <v>38033725.935250245</v>
      </c>
      <c r="BK24" s="743">
        <f t="shared" si="22"/>
        <v>8199950.8436795007</v>
      </c>
      <c r="BL24" s="744">
        <f t="shared" si="22"/>
        <v>77017568.96025224</v>
      </c>
    </row>
    <row r="26" spans="1:64" x14ac:dyDescent="0.25">
      <c r="AN26" s="544"/>
      <c r="AO26" s="544"/>
      <c r="AP26" s="544"/>
      <c r="AQ26" s="544"/>
      <c r="AU26" s="545">
        <v>25105302.810000002</v>
      </c>
      <c r="AV26" s="545">
        <v>30617869.66</v>
      </c>
      <c r="AW26" s="545">
        <v>6609252.8500000006</v>
      </c>
    </row>
    <row r="27" spans="1:64" x14ac:dyDescent="0.25">
      <c r="AN27" s="546"/>
      <c r="AO27" s="546"/>
      <c r="AP27" s="546"/>
      <c r="AQ27" s="546"/>
      <c r="AR27" s="546">
        <f t="shared" ref="AR27" si="23">AR26-AR24</f>
        <v>0</v>
      </c>
      <c r="AS27" s="538" t="s">
        <v>818</v>
      </c>
      <c r="AU27" s="545">
        <f>AU26-AU24</f>
        <v>343982.71000000089</v>
      </c>
      <c r="AV27" s="545">
        <f t="shared" ref="AV27:AW27" si="24">AV26-AV24</f>
        <v>25075.969999998808</v>
      </c>
      <c r="AW27" s="545">
        <f t="shared" si="24"/>
        <v>13543.430000000633</v>
      </c>
      <c r="BB27" s="745">
        <f>BB24-AU24</f>
        <v>2847551.8115000017</v>
      </c>
      <c r="BC27" s="745">
        <f t="shared" ref="BC27:BD27" si="25">BC24-AV24</f>
        <v>3518171.2743499987</v>
      </c>
      <c r="BD27" s="745">
        <f t="shared" si="25"/>
        <v>758506.58330000006</v>
      </c>
      <c r="BE27" s="745">
        <f>BB27+BC27+BD27</f>
        <v>7124229.6691500004</v>
      </c>
      <c r="BI27" s="745">
        <f>BI24-BB24</f>
        <v>3175020.2698224969</v>
      </c>
      <c r="BJ27" s="745">
        <f t="shared" ref="BJ27:BK27" si="26">BJ24-BC24</f>
        <v>3922760.970900245</v>
      </c>
      <c r="BK27" s="745">
        <f t="shared" si="26"/>
        <v>845734.84037950076</v>
      </c>
      <c r="BL27" s="745">
        <f>BI27+BJ27+BK27</f>
        <v>7943516.0811022427</v>
      </c>
    </row>
    <row r="28" spans="1:64" ht="2.25" customHeight="1" x14ac:dyDescent="0.25"/>
    <row r="29" spans="1:64" x14ac:dyDescent="0.25">
      <c r="AS29" s="538" t="s">
        <v>819</v>
      </c>
      <c r="BB29" s="745">
        <f>BB27*1</f>
        <v>2847551.8115000017</v>
      </c>
      <c r="BC29" s="745">
        <f>BC27*1</f>
        <v>3518171.2743499987</v>
      </c>
      <c r="BD29" s="745">
        <f>BD27*1</f>
        <v>758506.58330000006</v>
      </c>
      <c r="BE29" s="745">
        <f>BB29+BC29+BD29</f>
        <v>7124229.6691500004</v>
      </c>
      <c r="BI29" s="547"/>
      <c r="BJ29" s="547"/>
      <c r="BK29" s="547"/>
      <c r="BL29" s="547"/>
    </row>
    <row r="30" spans="1:64" ht="3" customHeight="1" x14ac:dyDescent="0.25"/>
    <row r="31" spans="1:64" x14ac:dyDescent="0.25">
      <c r="AS31" s="538" t="s">
        <v>820</v>
      </c>
      <c r="BB31" s="745">
        <f>BB27*12</f>
        <v>34170621.73800002</v>
      </c>
      <c r="BC31" s="745">
        <f t="shared" ref="BC31:BD31" si="27">BC27*12</f>
        <v>42218055.292199984</v>
      </c>
      <c r="BD31" s="745">
        <f t="shared" si="27"/>
        <v>9102078.9996000007</v>
      </c>
      <c r="BE31" s="745">
        <f>BB31+BC31+BD31</f>
        <v>85490756.029799998</v>
      </c>
      <c r="BI31" s="547"/>
      <c r="BJ31" s="547"/>
      <c r="BK31" s="547"/>
      <c r="BL31" s="547"/>
    </row>
    <row r="33" spans="45:64" x14ac:dyDescent="0.25">
      <c r="AS33" s="538" t="s">
        <v>821</v>
      </c>
      <c r="BI33" s="745">
        <f>BI27*12</f>
        <v>38100243.237869963</v>
      </c>
      <c r="BJ33" s="745">
        <f t="shared" ref="BJ33:BK33" si="28">BJ27*12</f>
        <v>47073131.65080294</v>
      </c>
      <c r="BK33" s="745">
        <f t="shared" si="28"/>
        <v>10148818.084554009</v>
      </c>
      <c r="BL33" s="745">
        <f>BI33+BJ33+BK33</f>
        <v>95322192.973226905</v>
      </c>
    </row>
    <row r="34" spans="45:64" ht="2.25" customHeight="1" x14ac:dyDescent="0.25"/>
    <row r="35" spans="45:64" x14ac:dyDescent="0.25">
      <c r="AS35" s="538" t="s">
        <v>822</v>
      </c>
      <c r="BI35" s="745">
        <f>BI27*12</f>
        <v>38100243.237869963</v>
      </c>
      <c r="BJ35" s="745">
        <f t="shared" ref="BJ35:BK35" si="29">BJ27*12</f>
        <v>47073131.65080294</v>
      </c>
      <c r="BK35" s="745">
        <f t="shared" si="29"/>
        <v>10148818.084554009</v>
      </c>
      <c r="BL35" s="745">
        <f>BI35+BJ35+BK35</f>
        <v>95322192.973226905</v>
      </c>
    </row>
  </sheetData>
  <mergeCells count="10">
    <mergeCell ref="AU5:AX5"/>
    <mergeCell ref="BB5:BE5"/>
    <mergeCell ref="BI5:BL5"/>
    <mergeCell ref="A24:D24"/>
    <mergeCell ref="C5:D5"/>
    <mergeCell ref="F5:G5"/>
    <mergeCell ref="I5:J5"/>
    <mergeCell ref="AD5:AG5"/>
    <mergeCell ref="AI5:AL5"/>
    <mergeCell ref="AN5:AQ5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8156-4D32-4521-BB81-9F37858027A8}">
  <dimension ref="A1:G20"/>
  <sheetViews>
    <sheetView showGridLines="0" zoomScale="70" zoomScaleNormal="70" workbookViewId="0">
      <selection activeCell="K23" sqref="K23"/>
    </sheetView>
  </sheetViews>
  <sheetFormatPr defaultColWidth="9.140625" defaultRowHeight="23.25" x14ac:dyDescent="0.25"/>
  <cols>
    <col min="1" max="2" width="23.28515625" style="443" customWidth="1"/>
    <col min="3" max="6" width="24.85546875" style="443" customWidth="1"/>
    <col min="7" max="7" width="24.85546875" style="443" hidden="1" customWidth="1"/>
    <col min="8" max="16384" width="9.140625" style="443"/>
  </cols>
  <sheetData>
    <row r="1" spans="1:7" ht="63.75" customHeight="1" x14ac:dyDescent="0.25">
      <c r="A1" s="1401" t="s">
        <v>839</v>
      </c>
      <c r="B1" s="1401"/>
      <c r="C1" s="1401"/>
      <c r="D1" s="1401"/>
      <c r="E1" s="1401"/>
      <c r="F1" s="1401"/>
      <c r="G1" s="1401"/>
    </row>
    <row r="2" spans="1:7" s="444" customFormat="1" x14ac:dyDescent="0.25"/>
    <row r="3" spans="1:7" s="444" customFormat="1" ht="28.5" x14ac:dyDescent="0.25">
      <c r="D3" s="445"/>
      <c r="E3" s="445"/>
      <c r="F3" s="445"/>
      <c r="G3" s="445"/>
    </row>
    <row r="4" spans="1:7" s="448" customFormat="1" ht="46.5" x14ac:dyDescent="0.25">
      <c r="A4" s="446"/>
      <c r="B4" s="446"/>
      <c r="C4" s="446" t="s">
        <v>840</v>
      </c>
      <c r="D4" s="447" t="s">
        <v>749</v>
      </c>
      <c r="E4" s="447" t="s">
        <v>841</v>
      </c>
      <c r="F4" s="447" t="s">
        <v>842</v>
      </c>
      <c r="G4" s="446" t="s">
        <v>832</v>
      </c>
    </row>
    <row r="5" spans="1:7" ht="2.25" customHeight="1" x14ac:dyDescent="0.25">
      <c r="A5" s="449"/>
      <c r="B5" s="449"/>
      <c r="C5" s="449"/>
      <c r="D5" s="450"/>
      <c r="E5" s="450"/>
      <c r="F5" s="450"/>
      <c r="G5" s="451"/>
    </row>
    <row r="6" spans="1:7" ht="58.5" customHeight="1" x14ac:dyDescent="0.25">
      <c r="A6" s="1402" t="s">
        <v>843</v>
      </c>
      <c r="B6" s="1403"/>
      <c r="C6" s="1403"/>
      <c r="D6" s="1403"/>
      <c r="E6" s="1403"/>
      <c r="F6" s="1403"/>
      <c r="G6" s="1404"/>
    </row>
    <row r="7" spans="1:7" x14ac:dyDescent="0.25">
      <c r="A7" s="754" t="s">
        <v>834</v>
      </c>
      <c r="B7" s="754"/>
      <c r="C7" s="755">
        <f>'Item 25. ReajEXT'!M46+'Item 26. MoradiaEXT'!AX31</f>
        <v>2345723672.4861989</v>
      </c>
      <c r="D7" s="755">
        <f>C7+D8</f>
        <v>2381050672.3088617</v>
      </c>
      <c r="E7" s="755">
        <f>C7+D8</f>
        <v>2381050672.3088617</v>
      </c>
      <c r="F7" s="755">
        <f>C7+F8</f>
        <v>2877139872.5077357</v>
      </c>
      <c r="G7" s="755">
        <f>C7+G8</f>
        <v>2865001552.7257357</v>
      </c>
    </row>
    <row r="8" spans="1:7" x14ac:dyDescent="0.25">
      <c r="A8" s="756" t="s">
        <v>835</v>
      </c>
      <c r="B8" s="756"/>
      <c r="C8" s="757"/>
      <c r="D8" s="758">
        <f>'Item 25. ReajEXT'!M34+'Item 26. MoradiaEXT'!BE29</f>
        <v>35326999.822662599</v>
      </c>
      <c r="E8" s="758">
        <f>E16+E20</f>
        <v>235188895.4140569</v>
      </c>
      <c r="F8" s="758">
        <f>F16+F20</f>
        <v>531416200.02153671</v>
      </c>
      <c r="G8" s="755">
        <f>'Item 25. ReajEXT'!R38+'Item 25. ReajEXT'!M38+'Item 26. MoradiaEXT'!BL35</f>
        <v>519277880.23953676</v>
      </c>
    </row>
    <row r="10" spans="1:7" ht="28.5" x14ac:dyDescent="0.25">
      <c r="C10" s="452"/>
      <c r="D10" s="1405" t="s">
        <v>844</v>
      </c>
      <c r="E10" s="1405"/>
      <c r="F10" s="1405"/>
      <c r="G10" s="1405"/>
    </row>
    <row r="11" spans="1:7" ht="46.5" x14ac:dyDescent="0.25">
      <c r="A11" s="446"/>
      <c r="B11" s="446"/>
      <c r="C11" s="446" t="s">
        <v>840</v>
      </c>
      <c r="D11" s="447" t="s">
        <v>749</v>
      </c>
      <c r="E11" s="447" t="s">
        <v>841</v>
      </c>
      <c r="F11" s="447" t="s">
        <v>842</v>
      </c>
      <c r="G11" s="446" t="s">
        <v>832</v>
      </c>
    </row>
    <row r="12" spans="1:7" ht="59.25" customHeight="1" x14ac:dyDescent="0.25">
      <c r="A12" s="1402" t="s">
        <v>843</v>
      </c>
      <c r="B12" s="1403"/>
      <c r="C12" s="1403"/>
      <c r="D12" s="1403"/>
      <c r="E12" s="1403"/>
      <c r="F12" s="1403"/>
      <c r="G12" s="1404"/>
    </row>
    <row r="13" spans="1:7" x14ac:dyDescent="0.25">
      <c r="A13" s="1396" t="s">
        <v>708</v>
      </c>
      <c r="B13" s="759" t="s">
        <v>29</v>
      </c>
      <c r="C13" s="755">
        <f>'Item 26. MoradiaEXT'!AU24*12</f>
        <v>3120035.16</v>
      </c>
      <c r="D13" s="755">
        <f>'Item 26. MoradiaEXT'!BB27</f>
        <v>29900.336949999997</v>
      </c>
      <c r="E13" s="755">
        <f>D13*12</f>
        <v>358804.04339999997</v>
      </c>
      <c r="F13" s="755">
        <f>'Item 26. MoradiaEXT'!BI33+E13</f>
        <v>758870.5517909996</v>
      </c>
      <c r="G13" s="755">
        <f>F13</f>
        <v>758870.5517909996</v>
      </c>
    </row>
    <row r="14" spans="1:7" x14ac:dyDescent="0.25">
      <c r="A14" s="1397"/>
      <c r="B14" s="759" t="s">
        <v>30</v>
      </c>
      <c r="C14" s="755">
        <f>'Item 26. MoradiaEXT'!AV24*12</f>
        <v>99304506.959999979</v>
      </c>
      <c r="D14" s="755">
        <f>'Item 26. MoradiaEXT'!BC29</f>
        <v>951668.19170000032</v>
      </c>
      <c r="E14" s="755">
        <f t="shared" ref="E14:E15" si="0">D14*12</f>
        <v>11420018.300400004</v>
      </c>
      <c r="F14" s="755">
        <f>'Item 26. MoradiaEXT'!BJ35+E14</f>
        <v>24153338.70534604</v>
      </c>
      <c r="G14" s="755"/>
    </row>
    <row r="15" spans="1:7" x14ac:dyDescent="0.25">
      <c r="A15" s="1398"/>
      <c r="B15" s="759" t="s">
        <v>33</v>
      </c>
      <c r="C15" s="755">
        <f>'Item 26. MoradiaEXT'!AW24*12</f>
        <v>3126064.6799999997</v>
      </c>
      <c r="D15" s="755">
        <f>'Item 26. MoradiaEXT'!BD29</f>
        <v>29958.119850000046</v>
      </c>
      <c r="E15" s="755">
        <f t="shared" si="0"/>
        <v>359497.43820000056</v>
      </c>
      <c r="F15" s="755">
        <f>'Item 26. MoradiaEXT'!BK35+E15</f>
        <v>760337.08179299987</v>
      </c>
      <c r="G15" s="755"/>
    </row>
    <row r="16" spans="1:7" x14ac:dyDescent="0.25">
      <c r="A16" s="1399" t="s">
        <v>13</v>
      </c>
      <c r="B16" s="1400"/>
      <c r="C16" s="963">
        <f>SUM(C13:C15)</f>
        <v>105550606.79999998</v>
      </c>
      <c r="D16" s="963">
        <f>SUM(D13:D15)</f>
        <v>1011526.6485000004</v>
      </c>
      <c r="E16" s="963">
        <f>SUM(E13:E15)</f>
        <v>12138319.782000005</v>
      </c>
      <c r="F16" s="963">
        <f t="shared" ref="F16:G16" si="1">SUM(F13:F15)</f>
        <v>25672546.338930041</v>
      </c>
      <c r="G16" s="755">
        <f t="shared" si="1"/>
        <v>758870.5517909996</v>
      </c>
    </row>
    <row r="17" spans="1:7" x14ac:dyDescent="0.25">
      <c r="A17" s="1396" t="s">
        <v>845</v>
      </c>
      <c r="B17" s="759" t="s">
        <v>29</v>
      </c>
      <c r="C17" s="755">
        <f>'Item 25. ReajEXT'!J46</f>
        <v>27854420.526198499</v>
      </c>
      <c r="D17" s="755">
        <f>'Item 25. ReajEXT'!J34</f>
        <v>470826.76461455517</v>
      </c>
      <c r="E17" s="755">
        <f>'Item 25. ReajEXT'!J38</f>
        <v>3060373.9699946088</v>
      </c>
      <c r="F17" s="755">
        <f>'Item 25. ReajEXT'!J38+'Item 25. ReajEXT'!O38</f>
        <v>6472689.9360542921</v>
      </c>
      <c r="G17" s="755"/>
    </row>
    <row r="18" spans="1:7" x14ac:dyDescent="0.25">
      <c r="A18" s="1397"/>
      <c r="B18" s="759" t="s">
        <v>30</v>
      </c>
      <c r="C18" s="755">
        <f>'Item 25. ReajEXT'!K46</f>
        <v>1191258439.6700001</v>
      </c>
      <c r="D18" s="755">
        <f>'Item 25. ReajEXT'!K34</f>
        <v>20764252.905145109</v>
      </c>
      <c r="E18" s="755">
        <f>'Item 25. ReajEXT'!K38</f>
        <v>134967643.88344321</v>
      </c>
      <c r="F18" s="755">
        <f>'Item 25. ReajEXT'!K38+'Item 25. ReajEXT'!P38</f>
        <v>287257952.98460865</v>
      </c>
      <c r="G18" s="755"/>
    </row>
    <row r="19" spans="1:7" x14ac:dyDescent="0.25">
      <c r="A19" s="1398"/>
      <c r="B19" s="759" t="s">
        <v>33</v>
      </c>
      <c r="C19" s="755">
        <f>'Item 25. ReajEXT'!L46</f>
        <v>1021060205.4900002</v>
      </c>
      <c r="D19" s="755">
        <f>'Item 25. ReajEXT'!L34</f>
        <v>13080393.504402936</v>
      </c>
      <c r="E19" s="755">
        <f>'Item 25. ReajEXT'!L38</f>
        <v>85022557.778619081</v>
      </c>
      <c r="F19" s="755">
        <f>'Item 25. ReajEXT'!L38+'Item 25. ReajEXT'!Q38</f>
        <v>212013010.76194379</v>
      </c>
      <c r="G19" s="755"/>
    </row>
    <row r="20" spans="1:7" x14ac:dyDescent="0.25">
      <c r="A20" s="1399" t="s">
        <v>13</v>
      </c>
      <c r="B20" s="1400"/>
      <c r="C20" s="963">
        <f>SUM(C17:C19)</f>
        <v>2240173065.6861987</v>
      </c>
      <c r="D20" s="963">
        <f>SUM(D17:D19)</f>
        <v>34315473.174162596</v>
      </c>
      <c r="E20" s="963">
        <f>SUM(E17:E19)</f>
        <v>223050575.63205689</v>
      </c>
      <c r="F20" s="963">
        <f>SUM(F17:F19)</f>
        <v>505743653.6826067</v>
      </c>
      <c r="G20" s="758"/>
    </row>
  </sheetData>
  <mergeCells count="8">
    <mergeCell ref="A17:A19"/>
    <mergeCell ref="A20:B20"/>
    <mergeCell ref="A1:G1"/>
    <mergeCell ref="A6:G6"/>
    <mergeCell ref="D10:G10"/>
    <mergeCell ref="A12:G12"/>
    <mergeCell ref="A13:A15"/>
    <mergeCell ref="A16:B16"/>
  </mergeCells>
  <pageMargins left="0.78740157480314965" right="0.59055118110236227" top="0.78740157480314965" bottom="0.78740157480314965" header="0.31496062992125984" footer="0.31496062992125984"/>
  <pageSetup paperSize="9" scale="9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8F148-0A57-40C7-AE90-4EE01B3C70B5}">
  <dimension ref="A1:T47"/>
  <sheetViews>
    <sheetView showGridLines="0" topLeftCell="I15" workbookViewId="0">
      <selection activeCell="M34" sqref="M34"/>
    </sheetView>
  </sheetViews>
  <sheetFormatPr defaultColWidth="9.140625" defaultRowHeight="15.75" outlineLevelRow="1" x14ac:dyDescent="0.25"/>
  <cols>
    <col min="1" max="1" width="9.140625" style="471"/>
    <col min="2" max="2" width="23.7109375" style="471" customWidth="1"/>
    <col min="3" max="3" width="34.28515625" style="471" customWidth="1"/>
    <col min="4" max="4" width="13.7109375" style="471" bestFit="1" customWidth="1"/>
    <col min="5" max="5" width="20.42578125" style="471" bestFit="1" customWidth="1"/>
    <col min="6" max="6" width="18.42578125" style="471" bestFit="1" customWidth="1"/>
    <col min="7" max="7" width="16.85546875" style="471" bestFit="1" customWidth="1"/>
    <col min="8" max="8" width="19.42578125" style="471" customWidth="1"/>
    <col min="9" max="9" width="20.28515625" style="471" customWidth="1"/>
    <col min="10" max="10" width="16.42578125" style="471" bestFit="1" customWidth="1"/>
    <col min="11" max="11" width="18.42578125" style="471" bestFit="1" customWidth="1"/>
    <col min="12" max="12" width="20.85546875" style="471" customWidth="1"/>
    <col min="13" max="13" width="18.28515625" style="471" customWidth="1"/>
    <col min="14" max="14" width="15.140625" style="471" customWidth="1"/>
    <col min="15" max="15" width="19.28515625" style="471" customWidth="1"/>
    <col min="16" max="16" width="22.85546875" style="471" customWidth="1"/>
    <col min="17" max="18" width="18" style="471" customWidth="1"/>
    <col min="19" max="19" width="17" style="471" customWidth="1"/>
    <col min="20" max="20" width="16.140625" style="471" customWidth="1"/>
    <col min="21" max="16384" width="9.140625" style="471"/>
  </cols>
  <sheetData>
    <row r="1" spans="1:17" x14ac:dyDescent="0.25">
      <c r="A1" s="470" t="s">
        <v>823</v>
      </c>
      <c r="B1" s="470"/>
      <c r="C1" s="470"/>
      <c r="D1" s="470"/>
      <c r="E1" s="47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  <c r="Q1" s="710"/>
    </row>
    <row r="2" spans="1:17" x14ac:dyDescent="0.25">
      <c r="A2" s="472"/>
      <c r="B2" s="472"/>
      <c r="C2" s="473"/>
      <c r="D2" s="787" t="s">
        <v>27</v>
      </c>
      <c r="E2" s="788" t="s">
        <v>848</v>
      </c>
      <c r="F2" s="787" t="s">
        <v>825</v>
      </c>
      <c r="G2" s="710"/>
      <c r="H2" s="710"/>
      <c r="I2" s="710"/>
      <c r="J2" s="710"/>
      <c r="K2" s="710"/>
      <c r="L2" s="710"/>
      <c r="M2" s="710"/>
      <c r="N2" s="710"/>
      <c r="O2" s="710"/>
      <c r="P2" s="710"/>
      <c r="Q2" s="710"/>
    </row>
    <row r="3" spans="1:17" x14ac:dyDescent="0.25">
      <c r="A3" s="472"/>
      <c r="B3" s="472"/>
      <c r="C3" s="474">
        <v>2025</v>
      </c>
      <c r="D3" s="789">
        <v>12</v>
      </c>
      <c r="E3" s="789">
        <v>1</v>
      </c>
      <c r="F3" s="748">
        <v>0.115</v>
      </c>
      <c r="G3" s="710"/>
      <c r="H3" s="710"/>
      <c r="I3" s="710"/>
      <c r="J3" s="710"/>
      <c r="K3" s="710"/>
      <c r="L3" s="710"/>
      <c r="M3" s="710"/>
      <c r="N3" s="710"/>
      <c r="O3" s="710"/>
      <c r="P3" s="710"/>
      <c r="Q3" s="710"/>
    </row>
    <row r="4" spans="1:17" x14ac:dyDescent="0.25">
      <c r="A4" s="472"/>
      <c r="B4" s="472"/>
      <c r="C4" s="474">
        <v>2026</v>
      </c>
      <c r="D4" s="789">
        <v>1</v>
      </c>
      <c r="E4" s="749"/>
      <c r="F4" s="748">
        <v>0.115</v>
      </c>
      <c r="G4" s="710"/>
      <c r="H4" s="710"/>
      <c r="I4" s="710"/>
      <c r="J4" s="710"/>
      <c r="K4" s="710"/>
      <c r="L4" s="710"/>
      <c r="M4" s="710"/>
      <c r="N4" s="710"/>
      <c r="O4" s="710"/>
      <c r="P4" s="710"/>
      <c r="Q4" s="710"/>
    </row>
    <row r="5" spans="1:17" x14ac:dyDescent="0.25">
      <c r="A5" s="472"/>
      <c r="B5" s="472"/>
      <c r="C5" s="472"/>
      <c r="D5" s="472"/>
      <c r="E5" s="472"/>
      <c r="F5" s="710"/>
      <c r="G5" s="710"/>
      <c r="H5" s="710"/>
      <c r="I5" s="710"/>
      <c r="J5" s="710"/>
      <c r="K5" s="710"/>
      <c r="L5" s="710"/>
      <c r="M5" s="710"/>
      <c r="N5" s="710"/>
      <c r="O5" s="710"/>
      <c r="P5" s="710"/>
      <c r="Q5" s="710"/>
    </row>
    <row r="7" spans="1:17" ht="15.75" customHeight="1" x14ac:dyDescent="0.25">
      <c r="A7" s="710"/>
      <c r="B7" s="710"/>
      <c r="C7" s="710"/>
      <c r="D7" s="1411" t="s">
        <v>849</v>
      </c>
      <c r="E7" s="1411"/>
      <c r="F7" s="1411"/>
      <c r="G7" s="1411"/>
      <c r="H7" s="710"/>
      <c r="I7" s="1411" t="s">
        <v>850</v>
      </c>
      <c r="J7" s="1411"/>
      <c r="K7" s="1411"/>
      <c r="L7" s="1411"/>
      <c r="M7" s="710"/>
      <c r="N7" s="1411" t="s">
        <v>172</v>
      </c>
      <c r="O7" s="1411"/>
      <c r="P7" s="1411"/>
      <c r="Q7" s="1411"/>
    </row>
    <row r="8" spans="1:17" s="475" customFormat="1" x14ac:dyDescent="0.25">
      <c r="A8" s="711"/>
      <c r="B8" s="711"/>
      <c r="C8" s="711"/>
      <c r="D8" s="1412" t="s">
        <v>851</v>
      </c>
      <c r="E8" s="1412" t="s">
        <v>852</v>
      </c>
      <c r="F8" s="1412"/>
      <c r="G8" s="1412"/>
      <c r="H8" s="711"/>
      <c r="I8" s="1412" t="s">
        <v>851</v>
      </c>
      <c r="J8" s="1412" t="s">
        <v>852</v>
      </c>
      <c r="K8" s="1412"/>
      <c r="L8" s="1412"/>
      <c r="M8" s="711"/>
      <c r="N8" s="1412" t="s">
        <v>851</v>
      </c>
      <c r="O8" s="1412" t="s">
        <v>852</v>
      </c>
      <c r="P8" s="1412"/>
      <c r="Q8" s="1412"/>
    </row>
    <row r="9" spans="1:17" s="475" customFormat="1" x14ac:dyDescent="0.25">
      <c r="A9" s="711"/>
      <c r="B9" s="711"/>
      <c r="C9" s="711"/>
      <c r="D9" s="1412"/>
      <c r="E9" s="712" t="s">
        <v>276</v>
      </c>
      <c r="F9" s="713" t="s">
        <v>853</v>
      </c>
      <c r="G9" s="713" t="s">
        <v>854</v>
      </c>
      <c r="H9" s="711"/>
      <c r="I9" s="1412"/>
      <c r="J9" s="712" t="s">
        <v>276</v>
      </c>
      <c r="K9" s="713" t="s">
        <v>853</v>
      </c>
      <c r="L9" s="713" t="s">
        <v>854</v>
      </c>
      <c r="M9" s="711"/>
      <c r="N9" s="1412"/>
      <c r="O9" s="712" t="s">
        <v>276</v>
      </c>
      <c r="P9" s="713" t="s">
        <v>853</v>
      </c>
      <c r="Q9" s="713" t="s">
        <v>854</v>
      </c>
    </row>
    <row r="10" spans="1:17" x14ac:dyDescent="0.25">
      <c r="A10" s="710"/>
      <c r="B10" s="710"/>
      <c r="C10" s="710" t="s">
        <v>740</v>
      </c>
      <c r="D10" s="714">
        <v>83</v>
      </c>
      <c r="E10" s="715">
        <v>1136952.33635</v>
      </c>
      <c r="F10" s="715">
        <v>1267701.88030275</v>
      </c>
      <c r="G10" s="715">
        <v>1413487.6578861787</v>
      </c>
      <c r="H10" s="710"/>
      <c r="I10" s="714">
        <v>154</v>
      </c>
      <c r="J10" s="715">
        <v>902310.71920000005</v>
      </c>
      <c r="K10" s="715">
        <v>1006076.89457</v>
      </c>
      <c r="L10" s="715">
        <v>1121776.06212567</v>
      </c>
      <c r="M10" s="710"/>
      <c r="N10" s="714">
        <f>D10+I10</f>
        <v>237</v>
      </c>
      <c r="O10" s="715">
        <f>J10+E10</f>
        <v>2039263.0555500002</v>
      </c>
      <c r="P10" s="715">
        <f>K10+F10</f>
        <v>2273778.77487275</v>
      </c>
      <c r="Q10" s="715">
        <f>L10+G10</f>
        <v>2535263.720011849</v>
      </c>
    </row>
    <row r="11" spans="1:17" x14ac:dyDescent="0.25">
      <c r="A11" s="710"/>
      <c r="B11" s="710"/>
      <c r="C11" s="710" t="s">
        <v>727</v>
      </c>
      <c r="D11" s="714">
        <v>2270</v>
      </c>
      <c r="E11" s="715">
        <v>31049222.094600003</v>
      </c>
      <c r="F11" s="715">
        <v>34619879.870134003</v>
      </c>
      <c r="G11" s="715">
        <v>38601167.988181479</v>
      </c>
      <c r="H11" s="710"/>
      <c r="I11" s="714">
        <v>1996</v>
      </c>
      <c r="J11" s="715">
        <v>16546990.287799999</v>
      </c>
      <c r="K11" s="715">
        <v>18270690.254084997</v>
      </c>
      <c r="L11" s="715">
        <v>20371819.795959115</v>
      </c>
      <c r="M11" s="710"/>
      <c r="N11" s="714">
        <f t="shared" ref="N11:N12" si="0">D11+I11</f>
        <v>4266</v>
      </c>
      <c r="O11" s="715">
        <f t="shared" ref="O11:Q12" si="1">J11+E11</f>
        <v>47596212.382400006</v>
      </c>
      <c r="P11" s="715">
        <f t="shared" si="1"/>
        <v>52890570.124219</v>
      </c>
      <c r="Q11" s="715">
        <f t="shared" si="1"/>
        <v>58972987.784140594</v>
      </c>
    </row>
    <row r="12" spans="1:17" x14ac:dyDescent="0.25">
      <c r="A12" s="710"/>
      <c r="B12" s="710"/>
      <c r="C12" s="710" t="s">
        <v>742</v>
      </c>
      <c r="D12" s="714">
        <v>637</v>
      </c>
      <c r="E12" s="715">
        <v>5984210.6832500007</v>
      </c>
      <c r="F12" s="715">
        <v>6672395.17877525</v>
      </c>
      <c r="G12" s="715">
        <v>7439720.9813352562</v>
      </c>
      <c r="H12" s="710"/>
      <c r="I12" s="714">
        <v>8691</v>
      </c>
      <c r="J12" s="715">
        <v>59479773.543749996</v>
      </c>
      <c r="K12" s="715">
        <v>63470416.351538509</v>
      </c>
      <c r="L12" s="715">
        <v>70769517.232086867</v>
      </c>
      <c r="M12" s="710"/>
      <c r="N12" s="714">
        <f t="shared" si="0"/>
        <v>9328</v>
      </c>
      <c r="O12" s="715">
        <f t="shared" si="1"/>
        <v>65463984.226999998</v>
      </c>
      <c r="P12" s="715">
        <f t="shared" si="1"/>
        <v>70142811.53031376</v>
      </c>
      <c r="Q12" s="715">
        <f t="shared" si="1"/>
        <v>78209238.21342212</v>
      </c>
    </row>
    <row r="13" spans="1:17" x14ac:dyDescent="0.25">
      <c r="A13" s="710"/>
      <c r="B13" s="710"/>
      <c r="C13" s="710" t="s">
        <v>172</v>
      </c>
      <c r="D13" s="716">
        <f>SUM(D10:D12)</f>
        <v>2990</v>
      </c>
      <c r="E13" s="717">
        <f>SUM(E10:E12)</f>
        <v>38170385.114200003</v>
      </c>
      <c r="F13" s="717">
        <f t="shared" ref="F13:G13" si="2">SUM(F10:F12)</f>
        <v>42559976.929212004</v>
      </c>
      <c r="G13" s="717">
        <f t="shared" si="2"/>
        <v>47454376.627402917</v>
      </c>
      <c r="H13" s="710"/>
      <c r="I13" s="716">
        <f>SUM(I10:I12)</f>
        <v>10841</v>
      </c>
      <c r="J13" s="717">
        <f>SUM(J10:J12)</f>
        <v>76929074.550749987</v>
      </c>
      <c r="K13" s="717">
        <f t="shared" ref="K13:L13" si="3">SUM(K10:K12)</f>
        <v>82747183.500193506</v>
      </c>
      <c r="L13" s="717">
        <f t="shared" si="3"/>
        <v>92263113.09017165</v>
      </c>
      <c r="M13" s="710"/>
      <c r="N13" s="716">
        <f>SUM(N10:N12)</f>
        <v>13831</v>
      </c>
      <c r="O13" s="717">
        <f>SUM(O10:O12)</f>
        <v>115099459.66495001</v>
      </c>
      <c r="P13" s="717">
        <f t="shared" ref="P13:Q13" si="4">SUM(P10:P12)</f>
        <v>125307160.42940551</v>
      </c>
      <c r="Q13" s="717">
        <f t="shared" si="4"/>
        <v>139717489.71757457</v>
      </c>
    </row>
    <row r="14" spans="1:17" x14ac:dyDescent="0.25">
      <c r="A14" s="710"/>
      <c r="B14" s="710"/>
      <c r="C14" s="710"/>
      <c r="D14" s="710"/>
      <c r="E14" s="710"/>
      <c r="F14" s="710"/>
      <c r="G14" s="710"/>
      <c r="H14" s="710"/>
      <c r="I14" s="710"/>
      <c r="J14" s="718"/>
      <c r="K14" s="718"/>
      <c r="L14" s="718"/>
      <c r="M14" s="710"/>
      <c r="N14" s="710"/>
      <c r="O14" s="710"/>
      <c r="P14" s="710"/>
      <c r="Q14" s="710"/>
    </row>
    <row r="16" spans="1:17" s="477" customFormat="1" ht="15" outlineLevel="1" x14ac:dyDescent="0.25">
      <c r="A16" s="470" t="s">
        <v>197</v>
      </c>
      <c r="B16" s="470"/>
      <c r="C16" s="470"/>
      <c r="D16" s="470"/>
      <c r="E16" s="470"/>
      <c r="F16" s="476"/>
      <c r="G16" s="476"/>
      <c r="H16" s="476"/>
      <c r="I16" s="476"/>
      <c r="J16" s="476"/>
      <c r="K16" s="476"/>
      <c r="L16" s="470"/>
      <c r="M16" s="470"/>
      <c r="N16" s="470"/>
      <c r="O16" s="470"/>
      <c r="P16" s="470"/>
      <c r="Q16" s="470"/>
    </row>
    <row r="17" spans="2:18" s="477" customFormat="1" ht="15" outlineLevel="1" x14ac:dyDescent="0.25"/>
    <row r="18" spans="2:18" s="477" customFormat="1" ht="15" outlineLevel="1" x14ac:dyDescent="0.25">
      <c r="E18" s="1413" t="s">
        <v>297</v>
      </c>
      <c r="F18" s="1413"/>
      <c r="G18" s="1413"/>
      <c r="H18" s="1413"/>
      <c r="I18" s="479"/>
      <c r="J18" s="1413">
        <v>2025</v>
      </c>
      <c r="K18" s="1413"/>
      <c r="L18" s="1413"/>
      <c r="M18" s="1413"/>
      <c r="O18" s="1413">
        <v>2026</v>
      </c>
      <c r="P18" s="1413"/>
      <c r="Q18" s="1413"/>
      <c r="R18" s="1413"/>
    </row>
    <row r="19" spans="2:18" s="477" customFormat="1" ht="15" outlineLevel="1" x14ac:dyDescent="0.25">
      <c r="E19" s="478" t="s">
        <v>202</v>
      </c>
      <c r="F19" s="481" t="s">
        <v>203</v>
      </c>
      <c r="G19" s="481" t="s">
        <v>204</v>
      </c>
      <c r="H19" s="481" t="s">
        <v>205</v>
      </c>
      <c r="I19" s="479"/>
      <c r="J19" s="481" t="s">
        <v>202</v>
      </c>
      <c r="K19" s="481" t="s">
        <v>203</v>
      </c>
      <c r="L19" s="478" t="s">
        <v>204</v>
      </c>
      <c r="M19" s="478" t="s">
        <v>205</v>
      </c>
      <c r="O19" s="478" t="s">
        <v>202</v>
      </c>
      <c r="P19" s="478" t="s">
        <v>203</v>
      </c>
      <c r="Q19" s="478" t="s">
        <v>204</v>
      </c>
      <c r="R19" s="482" t="s">
        <v>205</v>
      </c>
    </row>
    <row r="20" spans="2:18" s="477" customFormat="1" ht="15" outlineLevel="1" x14ac:dyDescent="0.25">
      <c r="B20" s="1414" t="s">
        <v>855</v>
      </c>
      <c r="C20" s="1415" t="s">
        <v>856</v>
      </c>
      <c r="D20" s="1415"/>
      <c r="E20" s="483">
        <v>359037.84</v>
      </c>
      <c r="F20" s="483">
        <v>11361531.07</v>
      </c>
      <c r="G20" s="483">
        <v>19749939.479999997</v>
      </c>
      <c r="H20" s="483">
        <f t="shared" ref="H20:H27" si="5">E20+F20+G20</f>
        <v>31470508.389999997</v>
      </c>
      <c r="I20" s="484"/>
      <c r="J20" s="485">
        <f>P10*E36</f>
        <v>1904455.6816792972</v>
      </c>
      <c r="K20" s="485">
        <f>P11*F36</f>
        <v>52068954.673922554</v>
      </c>
      <c r="L20" s="485">
        <f>P12*G36</f>
        <v>64417035.315901466</v>
      </c>
      <c r="M20" s="486">
        <f>J20+K20+L20</f>
        <v>118390445.67150331</v>
      </c>
      <c r="N20" s="487"/>
      <c r="O20" s="486">
        <f>Q10*E36</f>
        <v>2123468.4083996555</v>
      </c>
      <c r="P20" s="486">
        <f>Q11*F36</f>
        <v>58056886.524505913</v>
      </c>
      <c r="Q20" s="486">
        <f>Q12*G36</f>
        <v>71824997.46030964</v>
      </c>
      <c r="R20" s="488">
        <f>O20+P20++Q20</f>
        <v>132005352.39321521</v>
      </c>
    </row>
    <row r="21" spans="2:18" s="477" customFormat="1" ht="15" outlineLevel="1" x14ac:dyDescent="0.25">
      <c r="B21" s="1414"/>
      <c r="C21" s="1416" t="s">
        <v>857</v>
      </c>
      <c r="D21" s="1416"/>
      <c r="E21" s="483">
        <v>59446.159999999996</v>
      </c>
      <c r="F21" s="483">
        <v>2282833.67</v>
      </c>
      <c r="G21" s="483">
        <v>6382508.1999999993</v>
      </c>
      <c r="H21" s="483">
        <f t="shared" si="5"/>
        <v>8724788.0299999993</v>
      </c>
      <c r="I21" s="484"/>
      <c r="J21" s="485">
        <f>E21*((1+$F$3))</f>
        <v>66282.468399999998</v>
      </c>
      <c r="K21" s="485">
        <f t="shared" ref="K21:L21" si="6">F21*((1+$F$3))</f>
        <v>2545359.5420499998</v>
      </c>
      <c r="L21" s="485">
        <f t="shared" si="6"/>
        <v>7116496.6429999992</v>
      </c>
      <c r="M21" s="486">
        <f t="shared" ref="M21:M27" si="7">J21+K21+L21</f>
        <v>9728138.6534499992</v>
      </c>
      <c r="N21" s="487"/>
      <c r="O21" s="485">
        <f>J21*((1+$F$4))</f>
        <v>73904.952265999993</v>
      </c>
      <c r="P21" s="485">
        <f t="shared" ref="P21:Q21" si="8">K21*((1+$F$4))</f>
        <v>2838075.8893857496</v>
      </c>
      <c r="Q21" s="485">
        <f t="shared" si="8"/>
        <v>7934893.7569449991</v>
      </c>
      <c r="R21" s="488">
        <f t="shared" ref="R21:R27" si="9">O21+P21++Q21</f>
        <v>10846874.598596748</v>
      </c>
    </row>
    <row r="22" spans="2:18" s="477" customFormat="1" ht="15" outlineLevel="1" x14ac:dyDescent="0.25">
      <c r="B22" s="1414"/>
      <c r="C22" s="1417" t="s">
        <v>858</v>
      </c>
      <c r="D22" s="1417"/>
      <c r="E22" s="483">
        <v>1348993.81</v>
      </c>
      <c r="F22" s="483">
        <v>35461357.520000003</v>
      </c>
      <c r="G22" s="483">
        <v>40243970.149999999</v>
      </c>
      <c r="H22" s="483">
        <f t="shared" si="5"/>
        <v>77054321.480000004</v>
      </c>
      <c r="I22" s="484"/>
      <c r="J22" s="485"/>
      <c r="K22" s="485"/>
      <c r="L22" s="485"/>
      <c r="M22" s="486">
        <f t="shared" si="7"/>
        <v>0</v>
      </c>
      <c r="N22" s="487"/>
      <c r="O22" s="486"/>
      <c r="P22" s="486"/>
      <c r="Q22" s="486"/>
      <c r="R22" s="488">
        <f t="shared" si="9"/>
        <v>0</v>
      </c>
    </row>
    <row r="23" spans="2:18" s="477" customFormat="1" ht="15" outlineLevel="1" x14ac:dyDescent="0.25">
      <c r="B23" s="1414"/>
      <c r="C23" s="1418" t="s">
        <v>859</v>
      </c>
      <c r="D23" s="1418"/>
      <c r="E23" s="483">
        <v>0</v>
      </c>
      <c r="F23" s="483">
        <v>33952.230000000003</v>
      </c>
      <c r="G23" s="483">
        <v>126232.29</v>
      </c>
      <c r="H23" s="483">
        <f t="shared" si="5"/>
        <v>160184.51999999999</v>
      </c>
      <c r="I23" s="484"/>
      <c r="J23" s="485">
        <f>E23*((1+$F$3))</f>
        <v>0</v>
      </c>
      <c r="K23" s="485">
        <f t="shared" ref="K23:L23" si="10">F23*((1+$F$3))</f>
        <v>37856.736450000004</v>
      </c>
      <c r="L23" s="485">
        <f t="shared" si="10"/>
        <v>140749.00334999998</v>
      </c>
      <c r="M23" s="486">
        <f t="shared" si="7"/>
        <v>178605.73979999998</v>
      </c>
      <c r="N23" s="487"/>
      <c r="O23" s="485">
        <f>J23*((1+$F$4))</f>
        <v>0</v>
      </c>
      <c r="P23" s="485">
        <f t="shared" ref="P23:Q23" si="11">K23*((1+$F$4))</f>
        <v>42210.261141750001</v>
      </c>
      <c r="Q23" s="485">
        <f t="shared" si="11"/>
        <v>156935.13873524999</v>
      </c>
      <c r="R23" s="488">
        <f t="shared" si="9"/>
        <v>199145.39987699999</v>
      </c>
    </row>
    <row r="24" spans="2:18" s="477" customFormat="1" ht="15" hidden="1" customHeight="1" outlineLevel="1" x14ac:dyDescent="0.25">
      <c r="B24" s="1414"/>
      <c r="C24" s="1419" t="s">
        <v>828</v>
      </c>
      <c r="D24" s="1419"/>
      <c r="E24" s="483">
        <v>0</v>
      </c>
      <c r="F24" s="483">
        <v>0</v>
      </c>
      <c r="G24" s="483">
        <v>0</v>
      </c>
      <c r="H24" s="483">
        <f t="shared" si="5"/>
        <v>0</v>
      </c>
      <c r="I24" s="484"/>
      <c r="J24" s="485"/>
      <c r="K24" s="485"/>
      <c r="L24" s="485"/>
      <c r="M24" s="486">
        <f t="shared" si="7"/>
        <v>0</v>
      </c>
      <c r="N24" s="487"/>
      <c r="O24" s="486"/>
      <c r="P24" s="486"/>
      <c r="Q24" s="486"/>
      <c r="R24" s="488">
        <f t="shared" si="9"/>
        <v>0</v>
      </c>
    </row>
    <row r="25" spans="2:18" s="477" customFormat="1" ht="15" outlineLevel="1" x14ac:dyDescent="0.25">
      <c r="B25" s="1414"/>
      <c r="C25" s="1420" t="s">
        <v>212</v>
      </c>
      <c r="D25" s="1420"/>
      <c r="E25" s="483">
        <v>39211.24</v>
      </c>
      <c r="F25" s="483">
        <v>42344608.609999999</v>
      </c>
      <c r="G25" s="483">
        <v>11900573.129999999</v>
      </c>
      <c r="H25" s="483">
        <f t="shared" si="5"/>
        <v>54284392.980000004</v>
      </c>
      <c r="I25" s="484"/>
      <c r="J25" s="485">
        <f>E25*((1+$F$3))</f>
        <v>43720.532599999999</v>
      </c>
      <c r="K25" s="485">
        <f t="shared" ref="K25:L25" si="12">F25*((1+$F$3))</f>
        <v>47214238.600149997</v>
      </c>
      <c r="L25" s="485">
        <f t="shared" si="12"/>
        <v>13269139.039949998</v>
      </c>
      <c r="M25" s="486">
        <f t="shared" si="7"/>
        <v>60527098.172699995</v>
      </c>
      <c r="N25" s="487"/>
      <c r="O25" s="485">
        <f>J25*((1+$F$4))</f>
        <v>48748.393849</v>
      </c>
      <c r="P25" s="485">
        <f t="shared" ref="P25:Q25" si="13">K25*((1+$F$4))</f>
        <v>52643876.039167248</v>
      </c>
      <c r="Q25" s="485">
        <f t="shared" si="13"/>
        <v>14795090.029544247</v>
      </c>
      <c r="R25" s="488">
        <f t="shared" si="9"/>
        <v>67487714.46256049</v>
      </c>
    </row>
    <row r="26" spans="2:18" s="477" customFormat="1" ht="15" outlineLevel="1" x14ac:dyDescent="0.25">
      <c r="B26" s="1414"/>
      <c r="C26" s="1421" t="s">
        <v>213</v>
      </c>
      <c r="D26" s="1421"/>
      <c r="E26" s="483">
        <v>0</v>
      </c>
      <c r="F26" s="483">
        <v>0</v>
      </c>
      <c r="G26" s="483">
        <v>0</v>
      </c>
      <c r="H26" s="483">
        <f t="shared" si="5"/>
        <v>0</v>
      </c>
      <c r="I26" s="484"/>
      <c r="J26" s="485">
        <f t="shared" ref="J26:L27" si="14">E26</f>
        <v>0</v>
      </c>
      <c r="K26" s="485">
        <f t="shared" si="14"/>
        <v>0</v>
      </c>
      <c r="L26" s="485">
        <f t="shared" si="14"/>
        <v>0</v>
      </c>
      <c r="M26" s="486">
        <f t="shared" si="7"/>
        <v>0</v>
      </c>
      <c r="N26" s="487"/>
      <c r="O26" s="486">
        <f t="shared" ref="O26:Q27" si="15">J26</f>
        <v>0</v>
      </c>
      <c r="P26" s="486">
        <f t="shared" si="15"/>
        <v>0</v>
      </c>
      <c r="Q26" s="486">
        <f t="shared" si="15"/>
        <v>0</v>
      </c>
      <c r="R26" s="488">
        <f t="shared" si="9"/>
        <v>0</v>
      </c>
    </row>
    <row r="27" spans="2:18" s="477" customFormat="1" ht="15" outlineLevel="1" x14ac:dyDescent="0.25">
      <c r="B27" s="1414"/>
      <c r="C27" s="1419" t="s">
        <v>214</v>
      </c>
      <c r="D27" s="1419"/>
      <c r="E27" s="483">
        <v>84355.239999999991</v>
      </c>
      <c r="F27" s="483">
        <v>150981.49000000954</v>
      </c>
      <c r="G27" s="483">
        <v>139869.48000001535</v>
      </c>
      <c r="H27" s="483">
        <f t="shared" si="5"/>
        <v>375206.21000002488</v>
      </c>
      <c r="I27" s="484"/>
      <c r="J27" s="485">
        <f t="shared" si="14"/>
        <v>84355.239999999991</v>
      </c>
      <c r="K27" s="485">
        <f t="shared" si="14"/>
        <v>150981.49000000954</v>
      </c>
      <c r="L27" s="485">
        <f t="shared" si="14"/>
        <v>139869.48000001535</v>
      </c>
      <c r="M27" s="486">
        <f t="shared" si="7"/>
        <v>375206.21000002488</v>
      </c>
      <c r="N27" s="487"/>
      <c r="O27" s="486">
        <f t="shared" si="15"/>
        <v>84355.239999999991</v>
      </c>
      <c r="P27" s="486">
        <f t="shared" si="15"/>
        <v>150981.49000000954</v>
      </c>
      <c r="Q27" s="486">
        <f t="shared" si="15"/>
        <v>139869.48000001535</v>
      </c>
      <c r="R27" s="488">
        <f t="shared" si="9"/>
        <v>375206.21000002488</v>
      </c>
    </row>
    <row r="28" spans="2:18" s="477" customFormat="1" ht="15" outlineLevel="1" x14ac:dyDescent="0.25">
      <c r="B28" s="1414"/>
      <c r="C28" s="1422" t="s">
        <v>172</v>
      </c>
      <c r="D28" s="1423"/>
      <c r="E28" s="490">
        <f>SUM(E20:E27)</f>
        <v>1891044.29</v>
      </c>
      <c r="F28" s="490">
        <f>SUM(F20:F27)</f>
        <v>91635264.590000004</v>
      </c>
      <c r="G28" s="490">
        <f>SUM(G20:G27)</f>
        <v>78543092.730000019</v>
      </c>
      <c r="H28" s="490">
        <f t="shared" ref="H28" si="16">SUM(H20:H27)</f>
        <v>172069401.61000004</v>
      </c>
      <c r="I28" s="484"/>
      <c r="J28" s="490">
        <f>SUM(J20:J27)</f>
        <v>2098813.9226792972</v>
      </c>
      <c r="K28" s="490">
        <f>SUM(K20:K27)</f>
        <v>102017391.04257256</v>
      </c>
      <c r="L28" s="490">
        <f>SUM(L20:L27)</f>
        <v>85083289.482201487</v>
      </c>
      <c r="M28" s="490">
        <f>SUM(M20:M27)</f>
        <v>189199494.44745335</v>
      </c>
      <c r="N28" s="487"/>
      <c r="O28" s="491">
        <f>SUM(O20:O27)</f>
        <v>2330476.9945146553</v>
      </c>
      <c r="P28" s="491">
        <f t="shared" ref="P28:Q28" si="17">SUM(P20:P27)</f>
        <v>113732030.20420067</v>
      </c>
      <c r="Q28" s="491">
        <f t="shared" si="17"/>
        <v>94851785.865534157</v>
      </c>
      <c r="R28" s="492">
        <f>SUM(R20:R27)</f>
        <v>210914293.06424952</v>
      </c>
    </row>
    <row r="29" spans="2:18" s="477" customFormat="1" outlineLevel="1" x14ac:dyDescent="0.25">
      <c r="B29" s="1414"/>
      <c r="F29" s="479"/>
      <c r="G29" s="479"/>
      <c r="H29" s="479"/>
      <c r="I29" s="479"/>
      <c r="J29" s="479"/>
      <c r="K29" s="479"/>
      <c r="M29" s="493">
        <f>M28/H28-1</f>
        <v>9.9553393439927973E-2</v>
      </c>
      <c r="R29" s="710"/>
    </row>
    <row r="30" spans="2:18" s="477" customFormat="1" ht="15" outlineLevel="1" x14ac:dyDescent="0.25">
      <c r="B30" s="1414"/>
      <c r="D30" s="494" t="s">
        <v>215</v>
      </c>
      <c r="E30" s="495">
        <v>0.16557073761361754</v>
      </c>
      <c r="F30" s="495">
        <v>0.2009265877930658</v>
      </c>
      <c r="G30" s="495">
        <v>0.32316596243058465</v>
      </c>
      <c r="H30" s="479"/>
      <c r="I30" s="479"/>
      <c r="J30" s="496">
        <f>J28-E28</f>
        <v>207769.63267929712</v>
      </c>
      <c r="K30" s="496">
        <f>K28-F28</f>
        <v>10382126.452572554</v>
      </c>
      <c r="L30" s="496">
        <f>L28-G28</f>
        <v>6540196.7522014678</v>
      </c>
      <c r="M30" s="497">
        <f>SUM(J30:L30)</f>
        <v>17130092.837453321</v>
      </c>
      <c r="O30" s="496">
        <f>O28-J28</f>
        <v>231663.07183535816</v>
      </c>
      <c r="P30" s="496">
        <f>P28-K28</f>
        <v>11714639.161628112</v>
      </c>
      <c r="Q30" s="496">
        <f>Q28-L28</f>
        <v>9768496.3833326697</v>
      </c>
      <c r="R30" s="498">
        <f>SUM(O30:Q30)</f>
        <v>21714798.61679614</v>
      </c>
    </row>
    <row r="31" spans="2:18" s="477" customFormat="1" ht="15" outlineLevel="1" x14ac:dyDescent="0.25">
      <c r="B31" s="1414"/>
      <c r="D31" s="494" t="s">
        <v>216</v>
      </c>
      <c r="E31" s="495">
        <v>0</v>
      </c>
      <c r="F31" s="499"/>
      <c r="G31" s="499"/>
      <c r="H31" s="479"/>
      <c r="I31" s="500" t="s">
        <v>217</v>
      </c>
      <c r="J31" s="501">
        <f>J30*(14-$D$3)+J30*0.33*(14-$D$3)/13</f>
        <v>426087.56978692778</v>
      </c>
      <c r="K31" s="501">
        <f>K30*(14-$D$3)</f>
        <v>20764252.905145109</v>
      </c>
      <c r="L31" s="501">
        <f>L30*(14-$D$3)</f>
        <v>13080393.504402936</v>
      </c>
      <c r="M31" s="502">
        <f>SUM(J31:L31)</f>
        <v>34270733.979334973</v>
      </c>
      <c r="O31" s="501">
        <f>O30*(14-$D$4)+O30*0.33*(14-$D$4)/13</f>
        <v>3088068.7475653244</v>
      </c>
      <c r="P31" s="501">
        <f>P30*(14-$D$4)</f>
        <v>152290309.10116547</v>
      </c>
      <c r="Q31" s="501">
        <f>Q30*(14-$D$4)</f>
        <v>126990452.98332471</v>
      </c>
      <c r="R31" s="503">
        <f>SUM(O31:Q31)</f>
        <v>282368830.83205551</v>
      </c>
    </row>
    <row r="32" spans="2:18" s="477" customFormat="1" ht="15" outlineLevel="1" x14ac:dyDescent="0.25">
      <c r="B32" s="1414"/>
      <c r="D32" s="494" t="s">
        <v>218</v>
      </c>
      <c r="E32" s="495">
        <v>0</v>
      </c>
      <c r="F32" s="499"/>
      <c r="G32" s="499"/>
      <c r="H32" s="479"/>
      <c r="I32" s="500" t="s">
        <v>219</v>
      </c>
      <c r="J32" s="501">
        <f>J31*$E$32</f>
        <v>0</v>
      </c>
      <c r="K32" s="501"/>
      <c r="L32" s="501"/>
      <c r="M32" s="502">
        <f t="shared" ref="M32:M37" si="18">SUM(J32:L32)</f>
        <v>0</v>
      </c>
      <c r="O32" s="501">
        <f>O31*$E$32</f>
        <v>0</v>
      </c>
      <c r="P32" s="501"/>
      <c r="Q32" s="501"/>
      <c r="R32" s="503">
        <f t="shared" ref="R32:R37" si="19">SUM(O32:Q32)</f>
        <v>0</v>
      </c>
    </row>
    <row r="33" spans="2:20" s="477" customFormat="1" ht="15" outlineLevel="1" x14ac:dyDescent="0.25">
      <c r="B33" s="1414"/>
      <c r="D33" s="494" t="s">
        <v>220</v>
      </c>
      <c r="E33" s="495">
        <v>0.105</v>
      </c>
      <c r="F33" s="499"/>
      <c r="G33" s="499"/>
      <c r="H33" s="479"/>
      <c r="I33" s="500" t="s">
        <v>221</v>
      </c>
      <c r="J33" s="501">
        <f>J31*$E$33</f>
        <v>44739.194827627412</v>
      </c>
      <c r="K33" s="501"/>
      <c r="L33" s="501"/>
      <c r="M33" s="502">
        <f t="shared" si="18"/>
        <v>44739.194827627412</v>
      </c>
      <c r="O33" s="501">
        <f>O31*$E$33</f>
        <v>324247.21849435905</v>
      </c>
      <c r="P33" s="501"/>
      <c r="Q33" s="501"/>
      <c r="R33" s="503">
        <f t="shared" si="19"/>
        <v>324247.21849435905</v>
      </c>
      <c r="S33" s="504"/>
    </row>
    <row r="34" spans="2:20" s="477" customFormat="1" ht="15" outlineLevel="1" x14ac:dyDescent="0.25">
      <c r="B34" s="1414"/>
      <c r="E34" s="505" t="s">
        <v>770</v>
      </c>
      <c r="F34" s="506"/>
      <c r="G34" s="506"/>
      <c r="H34" s="479"/>
      <c r="I34" s="507" t="s">
        <v>222</v>
      </c>
      <c r="J34" s="502">
        <f>SUM(J31:J33)</f>
        <v>470826.76461455517</v>
      </c>
      <c r="K34" s="502">
        <f>SUM(K31:K33)</f>
        <v>20764252.905145109</v>
      </c>
      <c r="L34" s="502">
        <f>SUM(L31:L33)</f>
        <v>13080393.504402936</v>
      </c>
      <c r="M34" s="508">
        <f t="shared" si="18"/>
        <v>34315473.174162596</v>
      </c>
      <c r="O34" s="502">
        <f>SUM(O31:O33)</f>
        <v>3412315.9660596834</v>
      </c>
      <c r="P34" s="502">
        <f>SUM(P31:P33)</f>
        <v>152290309.10116547</v>
      </c>
      <c r="Q34" s="502">
        <f>SUM(Q31:Q33)</f>
        <v>126990452.98332471</v>
      </c>
      <c r="R34" s="509">
        <f t="shared" si="19"/>
        <v>282693078.05054986</v>
      </c>
      <c r="S34" s="504"/>
    </row>
    <row r="35" spans="2:20" s="477" customFormat="1" ht="15" outlineLevel="1" x14ac:dyDescent="0.25">
      <c r="B35" s="1414"/>
      <c r="E35" s="505"/>
      <c r="F35" s="510"/>
      <c r="G35" s="510"/>
      <c r="H35" s="479"/>
      <c r="I35" s="511" t="s">
        <v>302</v>
      </c>
      <c r="J35" s="512">
        <f>J30*13.33</f>
        <v>2769569.2036150307</v>
      </c>
      <c r="K35" s="512">
        <f>K30*13</f>
        <v>134967643.88344321</v>
      </c>
      <c r="L35" s="512">
        <f>L30*13</f>
        <v>85022557.778619081</v>
      </c>
      <c r="M35" s="502">
        <f t="shared" si="18"/>
        <v>222759770.86567733</v>
      </c>
      <c r="O35" s="512">
        <f>O30*13.33</f>
        <v>3088068.7475653244</v>
      </c>
      <c r="P35" s="512">
        <f>P30*13</f>
        <v>152290309.10116547</v>
      </c>
      <c r="Q35" s="512">
        <f>Q30*13</f>
        <v>126990452.98332471</v>
      </c>
      <c r="R35" s="513">
        <f t="shared" si="19"/>
        <v>282368830.83205551</v>
      </c>
      <c r="S35" s="504"/>
    </row>
    <row r="36" spans="2:20" s="477" customFormat="1" ht="15" outlineLevel="1" x14ac:dyDescent="0.25">
      <c r="B36" s="1414"/>
      <c r="D36" s="514" t="s">
        <v>771</v>
      </c>
      <c r="E36" s="515">
        <f>(E20+E22+E23)/O10</f>
        <v>0.83757298762975674</v>
      </c>
      <c r="F36" s="515">
        <f>(F20+F22+F23)/O11</f>
        <v>0.98446574789481756</v>
      </c>
      <c r="G36" s="515">
        <f>(G20+G22+G23)/O12</f>
        <v>0.91836973612131623</v>
      </c>
      <c r="H36" s="479"/>
      <c r="I36" s="511" t="s">
        <v>303</v>
      </c>
      <c r="J36" s="512">
        <f>J35*$E$32</f>
        <v>0</v>
      </c>
      <c r="K36" s="512"/>
      <c r="L36" s="512"/>
      <c r="M36" s="502">
        <f t="shared" si="18"/>
        <v>0</v>
      </c>
      <c r="O36" s="512">
        <f>O35*$E$32</f>
        <v>0</v>
      </c>
      <c r="P36" s="512"/>
      <c r="Q36" s="512"/>
      <c r="R36" s="513">
        <f t="shared" si="19"/>
        <v>0</v>
      </c>
      <c r="S36" s="504"/>
    </row>
    <row r="37" spans="2:20" s="477" customFormat="1" ht="15" outlineLevel="1" x14ac:dyDescent="0.25">
      <c r="B37" s="1414"/>
      <c r="E37" s="489"/>
      <c r="F37" s="484"/>
      <c r="G37" s="484"/>
      <c r="H37" s="484"/>
      <c r="I37" s="511" t="s">
        <v>304</v>
      </c>
      <c r="J37" s="512">
        <f>J35*$E$33</f>
        <v>290804.76637957821</v>
      </c>
      <c r="K37" s="512"/>
      <c r="L37" s="512"/>
      <c r="M37" s="502">
        <f t="shared" si="18"/>
        <v>290804.76637957821</v>
      </c>
      <c r="O37" s="512">
        <f>O35*$E$33</f>
        <v>324247.21849435905</v>
      </c>
      <c r="P37" s="512"/>
      <c r="Q37" s="512"/>
      <c r="R37" s="513">
        <f t="shared" si="19"/>
        <v>324247.21849435905</v>
      </c>
      <c r="S37" s="504"/>
    </row>
    <row r="38" spans="2:20" s="477" customFormat="1" outlineLevel="1" x14ac:dyDescent="0.2">
      <c r="B38" s="1414"/>
      <c r="D38" s="710"/>
      <c r="E38" s="718"/>
      <c r="F38" s="718"/>
      <c r="G38" s="718"/>
      <c r="H38" s="710"/>
      <c r="I38" s="516" t="s">
        <v>305</v>
      </c>
      <c r="J38" s="517">
        <f>SUM(J35:J37)</f>
        <v>3060373.9699946088</v>
      </c>
      <c r="K38" s="517">
        <f>SUM(K35:K37)</f>
        <v>134967643.88344321</v>
      </c>
      <c r="L38" s="517">
        <f>SUM(L35:L37)</f>
        <v>85022557.778619081</v>
      </c>
      <c r="M38" s="508">
        <f>SUM(J38:L38)</f>
        <v>223050575.63205689</v>
      </c>
      <c r="O38" s="517">
        <f t="shared" ref="O38:R38" si="20">SUM(O35:O37)</f>
        <v>3412315.9660596834</v>
      </c>
      <c r="P38" s="517">
        <f t="shared" si="20"/>
        <v>152290309.10116547</v>
      </c>
      <c r="Q38" s="517">
        <f t="shared" si="20"/>
        <v>126990452.98332471</v>
      </c>
      <c r="R38" s="509">
        <f t="shared" si="20"/>
        <v>282693078.05054986</v>
      </c>
      <c r="S38" s="504"/>
    </row>
    <row r="39" spans="2:20" s="477" customFormat="1" outlineLevel="1" x14ac:dyDescent="0.25">
      <c r="D39" s="710"/>
      <c r="E39" s="710"/>
      <c r="F39" s="710"/>
      <c r="G39" s="710"/>
      <c r="H39" s="710"/>
      <c r="I39" s="479"/>
      <c r="J39" s="479"/>
      <c r="K39" s="484"/>
      <c r="P39" s="489"/>
    </row>
    <row r="40" spans="2:20" x14ac:dyDescent="0.25">
      <c r="B40" s="710"/>
      <c r="C40" s="710"/>
      <c r="D40" s="710"/>
      <c r="E40" s="710"/>
      <c r="F40" s="718"/>
      <c r="G40" s="718"/>
      <c r="H40" s="710"/>
      <c r="I40" s="710"/>
      <c r="J40" s="710"/>
      <c r="K40" s="710"/>
      <c r="L40" s="710"/>
      <c r="M40" s="710"/>
      <c r="N40" s="710"/>
      <c r="O40" s="710"/>
      <c r="P40" s="718"/>
      <c r="Q40" s="710"/>
      <c r="R40" s="710"/>
      <c r="S40" s="710"/>
      <c r="T40" s="710"/>
    </row>
    <row r="41" spans="2:20" x14ac:dyDescent="0.25">
      <c r="B41" s="710"/>
      <c r="C41" s="710"/>
      <c r="D41" s="710"/>
      <c r="E41" s="718"/>
      <c r="F41" s="718"/>
      <c r="G41" s="718"/>
      <c r="H41" s="718"/>
      <c r="I41" s="710"/>
      <c r="J41" s="710"/>
      <c r="K41" s="710"/>
      <c r="L41" s="710"/>
      <c r="M41" s="710"/>
      <c r="N41" s="710"/>
      <c r="O41" s="710"/>
      <c r="P41" s="718"/>
      <c r="Q41" s="710"/>
      <c r="R41" s="710"/>
      <c r="S41" s="710"/>
      <c r="T41" s="710"/>
    </row>
    <row r="42" spans="2:20" x14ac:dyDescent="0.25">
      <c r="B42" s="710"/>
      <c r="C42" s="710"/>
      <c r="D42" s="710"/>
      <c r="E42" s="710"/>
      <c r="F42" s="710"/>
      <c r="G42" s="710"/>
      <c r="H42" s="710"/>
      <c r="I42" s="518" t="s">
        <v>829</v>
      </c>
      <c r="J42" s="496">
        <f>E28</f>
        <v>1891044.29</v>
      </c>
      <c r="K42" s="496">
        <f t="shared" ref="K42:L42" si="21">F28</f>
        <v>91635264.590000004</v>
      </c>
      <c r="L42" s="496">
        <f t="shared" si="21"/>
        <v>78543092.730000019</v>
      </c>
      <c r="M42" s="497">
        <f t="shared" ref="M42" si="22">SUM(J42:L42)</f>
        <v>172069401.61000001</v>
      </c>
      <c r="N42" s="710"/>
      <c r="O42" s="719" t="s">
        <v>749</v>
      </c>
      <c r="P42" s="718">
        <f>M34</f>
        <v>34315473.174162596</v>
      </c>
      <c r="Q42" s="710"/>
      <c r="R42" s="718"/>
      <c r="S42" s="710"/>
      <c r="T42" s="710"/>
    </row>
    <row r="43" spans="2:20" x14ac:dyDescent="0.25">
      <c r="B43" s="710"/>
      <c r="C43" s="710"/>
      <c r="D43" s="710"/>
      <c r="E43" s="480"/>
      <c r="F43" s="519"/>
      <c r="G43" s="519"/>
      <c r="H43" s="519"/>
      <c r="I43" s="520" t="s">
        <v>217</v>
      </c>
      <c r="J43" s="521">
        <f>J42*(14-$E$3)+J42*0.33*(14-$E$3)/13</f>
        <v>25207620.385699999</v>
      </c>
      <c r="K43" s="521">
        <f>K42*(14-$E$3)</f>
        <v>1191258439.6700001</v>
      </c>
      <c r="L43" s="521">
        <f>L42*(14-$E$3)</f>
        <v>1021060205.4900002</v>
      </c>
      <c r="M43" s="522">
        <f>SUM(J43:L43)</f>
        <v>2237526265.5457001</v>
      </c>
      <c r="N43" s="710"/>
      <c r="O43" s="719" t="s">
        <v>750</v>
      </c>
      <c r="P43" s="718">
        <f>M38+R34</f>
        <v>505743653.68260676</v>
      </c>
      <c r="Q43" s="710"/>
      <c r="R43" s="710"/>
      <c r="S43" s="710"/>
      <c r="T43" s="710"/>
    </row>
    <row r="44" spans="2:20" x14ac:dyDescent="0.25">
      <c r="B44" s="710"/>
      <c r="C44" s="710"/>
      <c r="D44" s="710"/>
      <c r="E44" s="718"/>
      <c r="F44" s="718"/>
      <c r="G44" s="718"/>
      <c r="H44" s="718"/>
      <c r="I44" s="520" t="s">
        <v>219</v>
      </c>
      <c r="J44" s="521">
        <f>J43*$E$32</f>
        <v>0</v>
      </c>
      <c r="K44" s="521"/>
      <c r="L44" s="521"/>
      <c r="M44" s="522">
        <f t="shared" ref="M44:M46" si="23">SUM(J44:L44)</f>
        <v>0</v>
      </c>
      <c r="N44" s="710"/>
      <c r="O44" s="719" t="s">
        <v>830</v>
      </c>
      <c r="P44" s="718">
        <f>M38+R38</f>
        <v>505743653.68260676</v>
      </c>
      <c r="Q44" s="710"/>
      <c r="R44" s="710"/>
      <c r="S44" s="720" t="s">
        <v>750</v>
      </c>
      <c r="T44" s="720" t="s">
        <v>830</v>
      </c>
    </row>
    <row r="45" spans="2:20" x14ac:dyDescent="0.25">
      <c r="B45" s="710"/>
      <c r="C45" s="710"/>
      <c r="D45" s="710"/>
      <c r="E45" s="718"/>
      <c r="F45" s="718"/>
      <c r="G45" s="718"/>
      <c r="H45" s="718"/>
      <c r="I45" s="520" t="s">
        <v>221</v>
      </c>
      <c r="J45" s="521">
        <f>J43*$E$33</f>
        <v>2646800.1404984999</v>
      </c>
      <c r="K45" s="521"/>
      <c r="L45" s="521"/>
      <c r="M45" s="522">
        <f t="shared" si="23"/>
        <v>2646800.1404984999</v>
      </c>
      <c r="N45" s="710"/>
      <c r="O45" s="710"/>
      <c r="P45" s="710"/>
      <c r="Q45" s="715"/>
      <c r="R45" s="710" t="s">
        <v>34</v>
      </c>
      <c r="S45" s="718">
        <f>M35+R31</f>
        <v>505128601.69773281</v>
      </c>
      <c r="T45" s="718">
        <f>R35+M35</f>
        <v>505128601.69773281</v>
      </c>
    </row>
    <row r="46" spans="2:20" x14ac:dyDescent="0.25">
      <c r="B46" s="710"/>
      <c r="C46" s="710"/>
      <c r="D46" s="710"/>
      <c r="E46" s="718"/>
      <c r="F46" s="718"/>
      <c r="G46" s="718"/>
      <c r="H46" s="718"/>
      <c r="I46" s="523" t="s">
        <v>222</v>
      </c>
      <c r="J46" s="522">
        <f>SUM(J43:J45)</f>
        <v>27854420.526198499</v>
      </c>
      <c r="K46" s="522">
        <f>SUM(K43:K45)</f>
        <v>1191258439.6700001</v>
      </c>
      <c r="L46" s="522">
        <f>SUM(L43:L45)</f>
        <v>1021060205.4900002</v>
      </c>
      <c r="M46" s="524">
        <f t="shared" si="23"/>
        <v>2240173065.6861987</v>
      </c>
      <c r="N46" s="715"/>
      <c r="O46" s="710"/>
      <c r="P46" s="710"/>
      <c r="Q46" s="715"/>
      <c r="R46" s="718" t="s">
        <v>343</v>
      </c>
      <c r="S46" s="718">
        <f>M37+R33</f>
        <v>615051.98487393721</v>
      </c>
      <c r="T46" s="718">
        <f>R37+M37</f>
        <v>615051.98487393721</v>
      </c>
    </row>
    <row r="47" spans="2:20" x14ac:dyDescent="0.25">
      <c r="B47" s="710"/>
      <c r="C47" s="710"/>
      <c r="D47" s="710"/>
      <c r="E47" s="710"/>
      <c r="F47" s="710"/>
      <c r="G47" s="710"/>
      <c r="H47" s="710"/>
      <c r="I47" s="710"/>
      <c r="J47" s="710"/>
      <c r="K47" s="718"/>
      <c r="L47" s="710"/>
      <c r="M47" s="709"/>
      <c r="N47" s="710"/>
      <c r="O47" s="710"/>
      <c r="P47" s="710"/>
      <c r="Q47" s="715"/>
      <c r="R47" s="718"/>
      <c r="S47" s="718">
        <f>SUM(S45:S46)</f>
        <v>505743653.68260676</v>
      </c>
      <c r="T47" s="718">
        <f>SUM(T45:T46)</f>
        <v>505743653.68260676</v>
      </c>
    </row>
  </sheetData>
  <mergeCells count="22">
    <mergeCell ref="O18:R18"/>
    <mergeCell ref="B20:B38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E18:H18"/>
    <mergeCell ref="J18:M18"/>
    <mergeCell ref="D7:G7"/>
    <mergeCell ref="I7:L7"/>
    <mergeCell ref="N7:Q7"/>
    <mergeCell ref="D8:D9"/>
    <mergeCell ref="E8:G8"/>
    <mergeCell ref="I8:I9"/>
    <mergeCell ref="J8:L8"/>
    <mergeCell ref="N8:N9"/>
    <mergeCell ref="O8:Q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E973F-264A-4F0A-A2A4-5FECD82F0096}">
  <dimension ref="A1:BN41"/>
  <sheetViews>
    <sheetView showGridLines="0" topLeftCell="AU1" zoomScale="80" zoomScaleNormal="80" workbookViewId="0">
      <selection activeCell="BL33" sqref="BL33"/>
    </sheetView>
  </sheetViews>
  <sheetFormatPr defaultColWidth="9.140625" defaultRowHeight="15" x14ac:dyDescent="0.25"/>
  <cols>
    <col min="1" max="1" width="24.42578125" style="454" customWidth="1"/>
    <col min="2" max="2" width="23" style="454" customWidth="1"/>
    <col min="3" max="4" width="14" style="454" customWidth="1"/>
    <col min="5" max="5" width="0.85546875" style="454" customWidth="1"/>
    <col min="6" max="7" width="14" style="454" customWidth="1"/>
    <col min="8" max="8" width="0.85546875" style="454" customWidth="1"/>
    <col min="9" max="10" width="14" style="454" customWidth="1"/>
    <col min="11" max="11" width="0.85546875" style="454" customWidth="1"/>
    <col min="12" max="12" width="1.85546875" style="455" customWidth="1"/>
    <col min="13" max="13" width="1.42578125" style="454" customWidth="1"/>
    <col min="14" max="14" width="37.140625" style="456" customWidth="1"/>
    <col min="15" max="15" width="36.42578125" style="456" customWidth="1"/>
    <col min="16" max="16" width="18" style="454" customWidth="1"/>
    <col min="17" max="18" width="14.85546875" style="454" customWidth="1"/>
    <col min="19" max="19" width="17.42578125" style="454" customWidth="1"/>
    <col min="20" max="20" width="1" style="454" customWidth="1"/>
    <col min="21" max="21" width="34" style="454" customWidth="1"/>
    <col min="22" max="22" width="27.42578125" style="454" customWidth="1"/>
    <col min="23" max="23" width="19.42578125" style="456" customWidth="1"/>
    <col min="24" max="24" width="10.85546875" style="454" customWidth="1"/>
    <col min="25" max="25" width="11.7109375" style="454" customWidth="1"/>
    <col min="26" max="26" width="17.42578125" style="454" customWidth="1"/>
    <col min="27" max="27" width="0.7109375" style="454" customWidth="1"/>
    <col min="28" max="28" width="11" style="455" customWidth="1"/>
    <col min="29" max="29" width="0.85546875" style="454" customWidth="1"/>
    <col min="30" max="32" width="9" style="454" customWidth="1"/>
    <col min="33" max="33" width="9" style="457" customWidth="1"/>
    <col min="34" max="34" width="0.42578125" style="454" customWidth="1"/>
    <col min="35" max="37" width="9" style="454" customWidth="1"/>
    <col min="38" max="38" width="9" style="457" customWidth="1"/>
    <col min="39" max="39" width="0.42578125" style="454" customWidth="1"/>
    <col min="40" max="42" width="9" style="454" customWidth="1"/>
    <col min="43" max="43" width="9" style="457" customWidth="1"/>
    <col min="44" max="44" width="1.140625" style="454" customWidth="1"/>
    <col min="45" max="45" width="24.42578125" style="455" customWidth="1"/>
    <col min="46" max="46" width="1.28515625" style="454" customWidth="1"/>
    <col min="47" max="47" width="18" style="454" customWidth="1"/>
    <col min="48" max="48" width="14.140625" style="454" customWidth="1"/>
    <col min="49" max="49" width="13.28515625" style="454" bestFit="1" customWidth="1"/>
    <col min="50" max="50" width="16.42578125" style="454" customWidth="1"/>
    <col min="51" max="51" width="0.42578125" style="454" customWidth="1"/>
    <col min="52" max="52" width="9.140625" style="455"/>
    <col min="53" max="53" width="1" style="454" customWidth="1"/>
    <col min="54" max="54" width="18" style="454" customWidth="1"/>
    <col min="55" max="55" width="18.28515625" style="454" customWidth="1"/>
    <col min="56" max="56" width="15.28515625" style="454" customWidth="1"/>
    <col min="57" max="57" width="16.42578125" style="454" customWidth="1"/>
    <col min="58" max="58" width="0.42578125" style="454" customWidth="1"/>
    <col min="59" max="59" width="9.140625" style="455"/>
    <col min="60" max="60" width="1" style="454" customWidth="1"/>
    <col min="61" max="61" width="18" style="454" customWidth="1"/>
    <col min="62" max="62" width="22.7109375" style="454" customWidth="1"/>
    <col min="63" max="63" width="16.140625" style="454" customWidth="1"/>
    <col min="64" max="64" width="16.42578125" style="454" customWidth="1"/>
    <col min="65" max="65" width="0.42578125" style="454" customWidth="1"/>
    <col min="66" max="66" width="9.140625" style="455"/>
    <col min="67" max="16384" width="9.140625" style="454"/>
  </cols>
  <sheetData>
    <row r="1" spans="1:64" x14ac:dyDescent="0.25">
      <c r="A1" s="453" t="s">
        <v>846</v>
      </c>
    </row>
    <row r="2" spans="1:64" x14ac:dyDescent="0.25">
      <c r="A2" s="458" t="s">
        <v>847</v>
      </c>
    </row>
    <row r="3" spans="1:64" x14ac:dyDescent="0.25">
      <c r="A3" s="459"/>
    </row>
    <row r="4" spans="1:64" x14ac:dyDescent="0.25">
      <c r="F4" s="454" t="s">
        <v>774</v>
      </c>
      <c r="G4" s="460">
        <v>0.115</v>
      </c>
      <c r="I4" s="454" t="s">
        <v>774</v>
      </c>
      <c r="J4" s="460">
        <v>0.115</v>
      </c>
    </row>
    <row r="5" spans="1:64" x14ac:dyDescent="0.25">
      <c r="C5" s="1409" t="s">
        <v>775</v>
      </c>
      <c r="D5" s="1410"/>
      <c r="F5" s="1409" t="s">
        <v>776</v>
      </c>
      <c r="G5" s="1410"/>
      <c r="I5" s="1409" t="s">
        <v>777</v>
      </c>
      <c r="J5" s="1410"/>
      <c r="AD5" s="1406" t="s">
        <v>778</v>
      </c>
      <c r="AE5" s="1407"/>
      <c r="AF5" s="1407"/>
      <c r="AG5" s="1408"/>
      <c r="AI5" s="1406" t="s">
        <v>779</v>
      </c>
      <c r="AJ5" s="1407"/>
      <c r="AK5" s="1407"/>
      <c r="AL5" s="1408"/>
      <c r="AN5" s="1406" t="s">
        <v>780</v>
      </c>
      <c r="AO5" s="1407"/>
      <c r="AP5" s="1407"/>
      <c r="AQ5" s="1408"/>
      <c r="AU5" s="1406" t="s">
        <v>781</v>
      </c>
      <c r="AV5" s="1407"/>
      <c r="AW5" s="1407"/>
      <c r="AX5" s="1408"/>
      <c r="BB5" s="1406" t="s">
        <v>782</v>
      </c>
      <c r="BC5" s="1407"/>
      <c r="BD5" s="1407"/>
      <c r="BE5" s="1408"/>
      <c r="BI5" s="1406" t="s">
        <v>783</v>
      </c>
      <c r="BJ5" s="1407"/>
      <c r="BK5" s="1407"/>
      <c r="BL5" s="1408"/>
    </row>
    <row r="6" spans="1:64" x14ac:dyDescent="0.25">
      <c r="AX6" s="457"/>
      <c r="BE6" s="457"/>
      <c r="BL6" s="457"/>
    </row>
    <row r="7" spans="1:64" s="461" customFormat="1" ht="30" x14ac:dyDescent="0.25">
      <c r="A7" s="959" t="s">
        <v>784</v>
      </c>
      <c r="B7" s="959" t="s">
        <v>785</v>
      </c>
      <c r="C7" s="964" t="s">
        <v>786</v>
      </c>
      <c r="D7" s="965" t="s">
        <v>787</v>
      </c>
      <c r="F7" s="966" t="s">
        <v>786</v>
      </c>
      <c r="G7" s="965" t="s">
        <v>787</v>
      </c>
      <c r="I7" s="966" t="s">
        <v>786</v>
      </c>
      <c r="J7" s="965" t="s">
        <v>787</v>
      </c>
      <c r="L7" s="462"/>
      <c r="N7" s="721" t="s">
        <v>788</v>
      </c>
      <c r="O7" s="722" t="s">
        <v>789</v>
      </c>
      <c r="P7" s="721" t="s">
        <v>790</v>
      </c>
      <c r="Q7" s="721" t="s">
        <v>32</v>
      </c>
      <c r="R7" s="721" t="s">
        <v>283</v>
      </c>
      <c r="S7" s="721" t="s">
        <v>791</v>
      </c>
      <c r="U7" s="721" t="s">
        <v>788</v>
      </c>
      <c r="V7" s="760" t="s">
        <v>789</v>
      </c>
      <c r="W7" s="722" t="s">
        <v>790</v>
      </c>
      <c r="X7" s="721" t="s">
        <v>32</v>
      </c>
      <c r="Y7" s="721" t="s">
        <v>283</v>
      </c>
      <c r="Z7" s="721" t="s">
        <v>791</v>
      </c>
      <c r="AB7" s="462"/>
      <c r="AD7" s="761" t="s">
        <v>32</v>
      </c>
      <c r="AE7" s="762" t="s">
        <v>743</v>
      </c>
      <c r="AF7" s="762" t="s">
        <v>792</v>
      </c>
      <c r="AG7" s="763" t="s">
        <v>13</v>
      </c>
      <c r="AI7" s="761" t="s">
        <v>32</v>
      </c>
      <c r="AJ7" s="762" t="s">
        <v>743</v>
      </c>
      <c r="AK7" s="762" t="s">
        <v>792</v>
      </c>
      <c r="AL7" s="763" t="s">
        <v>13</v>
      </c>
      <c r="AN7" s="761" t="s">
        <v>32</v>
      </c>
      <c r="AO7" s="762" t="s">
        <v>743</v>
      </c>
      <c r="AP7" s="762" t="s">
        <v>792</v>
      </c>
      <c r="AQ7" s="763" t="s">
        <v>13</v>
      </c>
      <c r="AS7" s="462"/>
      <c r="AU7" s="761" t="s">
        <v>32</v>
      </c>
      <c r="AV7" s="762" t="s">
        <v>283</v>
      </c>
      <c r="AW7" s="762" t="s">
        <v>792</v>
      </c>
      <c r="AX7" s="763" t="s">
        <v>13</v>
      </c>
      <c r="AZ7" s="462"/>
      <c r="BB7" s="761" t="s">
        <v>32</v>
      </c>
      <c r="BC7" s="762" t="s">
        <v>283</v>
      </c>
      <c r="BD7" s="762" t="s">
        <v>792</v>
      </c>
      <c r="BE7" s="763" t="s">
        <v>13</v>
      </c>
      <c r="BG7" s="462"/>
      <c r="BI7" s="761" t="s">
        <v>32</v>
      </c>
      <c r="BJ7" s="762" t="s">
        <v>283</v>
      </c>
      <c r="BK7" s="762" t="s">
        <v>792</v>
      </c>
      <c r="BL7" s="763" t="s">
        <v>13</v>
      </c>
    </row>
    <row r="8" spans="1:64" x14ac:dyDescent="0.25">
      <c r="A8" s="726" t="s">
        <v>793</v>
      </c>
      <c r="B8" s="726" t="s">
        <v>794</v>
      </c>
      <c r="C8" s="764">
        <v>3600</v>
      </c>
      <c r="D8" s="765">
        <v>1200</v>
      </c>
      <c r="F8" s="766">
        <f>C8*(1+$G$4)</f>
        <v>4014</v>
      </c>
      <c r="G8" s="765">
        <f>D8*(1+$G$4)</f>
        <v>1338</v>
      </c>
      <c r="I8" s="766">
        <f>F8*(1+$J$4)</f>
        <v>4475.6099999999997</v>
      </c>
      <c r="J8" s="765">
        <f>G8*(1+$J$4)</f>
        <v>1491.87</v>
      </c>
      <c r="N8" s="730" t="s">
        <v>793</v>
      </c>
      <c r="O8" s="731" t="s">
        <v>794</v>
      </c>
      <c r="P8" s="730" t="s">
        <v>795</v>
      </c>
      <c r="Q8" s="732">
        <v>17</v>
      </c>
      <c r="R8" s="732">
        <v>299</v>
      </c>
      <c r="S8" s="732"/>
      <c r="U8" s="730" t="s">
        <v>793</v>
      </c>
      <c r="V8" s="730" t="s">
        <v>794</v>
      </c>
      <c r="W8" s="731" t="s">
        <v>796</v>
      </c>
      <c r="X8" s="767">
        <v>2</v>
      </c>
      <c r="Y8" s="767">
        <v>70</v>
      </c>
      <c r="Z8" s="767">
        <v>8</v>
      </c>
      <c r="AD8" s="768">
        <f>Q8</f>
        <v>17</v>
      </c>
      <c r="AE8" s="768">
        <f t="shared" ref="AE8:AF23" si="0">R8</f>
        <v>299</v>
      </c>
      <c r="AF8" s="768">
        <f t="shared" si="0"/>
        <v>0</v>
      </c>
      <c r="AG8" s="769">
        <f>AD8+AE8+AF8</f>
        <v>316</v>
      </c>
      <c r="AI8" s="768">
        <f>X8</f>
        <v>2</v>
      </c>
      <c r="AJ8" s="768">
        <f t="shared" ref="AJ8:AK23" si="1">Y8</f>
        <v>70</v>
      </c>
      <c r="AK8" s="768">
        <f t="shared" si="1"/>
        <v>8</v>
      </c>
      <c r="AL8" s="769">
        <f>AI8+AJ8+AK8</f>
        <v>80</v>
      </c>
      <c r="AN8" s="768">
        <f>AD8+AI8</f>
        <v>19</v>
      </c>
      <c r="AO8" s="768">
        <f t="shared" ref="AO8:AP23" si="2">AE8+AJ8</f>
        <v>369</v>
      </c>
      <c r="AP8" s="768">
        <f t="shared" si="2"/>
        <v>8</v>
      </c>
      <c r="AQ8" s="769">
        <f>AN8+AO8+AP8</f>
        <v>396</v>
      </c>
      <c r="AU8" s="770">
        <f>((AD8*$C8)+(AI8*$D8))</f>
        <v>63600</v>
      </c>
      <c r="AV8" s="770">
        <f>((AE8*$C8)+(AJ8*$D8))</f>
        <v>1160400</v>
      </c>
      <c r="AW8" s="770">
        <f>((AF8*$C8)+(AK8*$D8))</f>
        <v>9600</v>
      </c>
      <c r="AX8" s="771">
        <f>AU8+AV8+AW8</f>
        <v>1233600</v>
      </c>
      <c r="BB8" s="770">
        <f>((AD8*$F8)+(AI8*$G8))</f>
        <v>70914</v>
      </c>
      <c r="BC8" s="770">
        <f>((AE8*$F8)+(AJ8*$G8))</f>
        <v>1293846</v>
      </c>
      <c r="BD8" s="770">
        <f>((AF8*$F8)+(AK8*$G8))</f>
        <v>10704</v>
      </c>
      <c r="BE8" s="771">
        <f>BB8+BC8+BD8</f>
        <v>1375464</v>
      </c>
      <c r="BI8" s="770">
        <f>((AD8*$I8)+(AI8*$J8))</f>
        <v>79069.11</v>
      </c>
      <c r="BJ8" s="770">
        <f>((AE8*$I8)+(AJ8*$J8))</f>
        <v>1442638.2899999998</v>
      </c>
      <c r="BK8" s="770">
        <f>((AF8*$I8)+(AK8*$J8))</f>
        <v>11934.96</v>
      </c>
      <c r="BL8" s="771">
        <f>BI8+BJ8+BK8</f>
        <v>1533642.3599999999</v>
      </c>
    </row>
    <row r="9" spans="1:64" x14ac:dyDescent="0.25">
      <c r="A9" s="726" t="s">
        <v>793</v>
      </c>
      <c r="B9" s="726" t="s">
        <v>797</v>
      </c>
      <c r="C9" s="764">
        <v>3473.61</v>
      </c>
      <c r="D9" s="765">
        <v>1157.8699999999999</v>
      </c>
      <c r="F9" s="766">
        <f t="shared" ref="F9:G23" si="3">C9*(1+$G$4)</f>
        <v>3873.0751500000001</v>
      </c>
      <c r="G9" s="765">
        <f t="shared" si="3"/>
        <v>1291.02505</v>
      </c>
      <c r="I9" s="766">
        <f t="shared" ref="I9:J23" si="4">F9*(1+$J$4)</f>
        <v>4318.47879225</v>
      </c>
      <c r="J9" s="765">
        <f t="shared" si="4"/>
        <v>1439.4929307499999</v>
      </c>
      <c r="N9" s="730" t="s">
        <v>793</v>
      </c>
      <c r="O9" s="731" t="s">
        <v>797</v>
      </c>
      <c r="P9" s="730" t="s">
        <v>795</v>
      </c>
      <c r="Q9" s="732"/>
      <c r="R9" s="732">
        <v>56</v>
      </c>
      <c r="S9" s="732"/>
      <c r="U9" s="730" t="s">
        <v>793</v>
      </c>
      <c r="V9" s="730" t="s">
        <v>797</v>
      </c>
      <c r="W9" s="731" t="s">
        <v>796</v>
      </c>
      <c r="X9" s="463"/>
      <c r="Y9" s="767">
        <v>13</v>
      </c>
      <c r="Z9" s="767">
        <v>4</v>
      </c>
      <c r="AD9" s="768">
        <f t="shared" ref="AD9:AD23" si="5">Q9</f>
        <v>0</v>
      </c>
      <c r="AE9" s="768">
        <f t="shared" si="0"/>
        <v>56</v>
      </c>
      <c r="AF9" s="768">
        <f t="shared" si="0"/>
        <v>0</v>
      </c>
      <c r="AG9" s="769">
        <f t="shared" ref="AG9:AG23" si="6">AD9+AE9+AF9</f>
        <v>56</v>
      </c>
      <c r="AI9" s="768">
        <f t="shared" ref="AI9:AI23" si="7">X9</f>
        <v>0</v>
      </c>
      <c r="AJ9" s="768">
        <f t="shared" si="1"/>
        <v>13</v>
      </c>
      <c r="AK9" s="768">
        <f t="shared" si="1"/>
        <v>4</v>
      </c>
      <c r="AL9" s="769">
        <f t="shared" ref="AL9:AL23" si="8">AI9+AJ9+AK9</f>
        <v>17</v>
      </c>
      <c r="AN9" s="768">
        <f t="shared" ref="AN9:AN23" si="9">AD9+AI9</f>
        <v>0</v>
      </c>
      <c r="AO9" s="768">
        <f t="shared" si="2"/>
        <v>69</v>
      </c>
      <c r="AP9" s="768">
        <f t="shared" si="2"/>
        <v>4</v>
      </c>
      <c r="AQ9" s="769">
        <f t="shared" ref="AQ9:AQ23" si="10">AN9+AO9+AP9</f>
        <v>73</v>
      </c>
      <c r="AU9" s="770">
        <f t="shared" ref="AU9:AW23" si="11">((AD9*$C9)+(AI9*$D9))</f>
        <v>0</v>
      </c>
      <c r="AV9" s="770">
        <f t="shared" si="11"/>
        <v>209574.47</v>
      </c>
      <c r="AW9" s="770">
        <f t="shared" si="11"/>
        <v>4631.4799999999996</v>
      </c>
      <c r="AX9" s="771">
        <f t="shared" ref="AX9:AX23" si="12">AU9+AV9+AW9</f>
        <v>214205.95</v>
      </c>
      <c r="BB9" s="770">
        <f t="shared" ref="BB9:BD23" si="13">((AD9*$F9)+(AI9*$G9))</f>
        <v>0</v>
      </c>
      <c r="BC9" s="770">
        <f t="shared" si="13"/>
        <v>233675.53405000002</v>
      </c>
      <c r="BD9" s="770">
        <f t="shared" si="13"/>
        <v>5164.1001999999999</v>
      </c>
      <c r="BE9" s="771">
        <f t="shared" ref="BE9:BE23" si="14">BB9+BC9+BD9</f>
        <v>238839.63425</v>
      </c>
      <c r="BI9" s="770">
        <f t="shared" ref="BI9:BK23" si="15">((AD9*$I9)+(AI9*$J9))</f>
        <v>0</v>
      </c>
      <c r="BJ9" s="770">
        <f t="shared" si="15"/>
        <v>260548.22046575</v>
      </c>
      <c r="BK9" s="770">
        <f t="shared" si="15"/>
        <v>5757.9717229999997</v>
      </c>
      <c r="BL9" s="771">
        <f t="shared" ref="BL9:BL23" si="16">BI9+BJ9+BK9</f>
        <v>266306.19218875002</v>
      </c>
    </row>
    <row r="10" spans="1:64" x14ac:dyDescent="0.25">
      <c r="A10" s="726" t="s">
        <v>793</v>
      </c>
      <c r="B10" s="726" t="s">
        <v>798</v>
      </c>
      <c r="C10" s="764">
        <v>3256.66</v>
      </c>
      <c r="D10" s="765">
        <v>1085.55</v>
      </c>
      <c r="F10" s="766">
        <f t="shared" si="3"/>
        <v>3631.1758999999997</v>
      </c>
      <c r="G10" s="765">
        <f t="shared" si="3"/>
        <v>1210.38825</v>
      </c>
      <c r="I10" s="766">
        <f t="shared" si="4"/>
        <v>4048.7611284999998</v>
      </c>
      <c r="J10" s="765">
        <f t="shared" si="4"/>
        <v>1349.5828987499999</v>
      </c>
      <c r="N10" s="730" t="s">
        <v>793</v>
      </c>
      <c r="O10" s="731" t="s">
        <v>798</v>
      </c>
      <c r="P10" s="730" t="s">
        <v>795</v>
      </c>
      <c r="Q10" s="732">
        <v>26</v>
      </c>
      <c r="R10" s="732">
        <v>483</v>
      </c>
      <c r="S10" s="732"/>
      <c r="U10" s="730" t="s">
        <v>793</v>
      </c>
      <c r="V10" s="730" t="s">
        <v>798</v>
      </c>
      <c r="W10" s="731" t="s">
        <v>796</v>
      </c>
      <c r="X10" s="767">
        <v>1</v>
      </c>
      <c r="Y10" s="767">
        <v>76</v>
      </c>
      <c r="Z10" s="767">
        <v>13</v>
      </c>
      <c r="AD10" s="768">
        <f t="shared" si="5"/>
        <v>26</v>
      </c>
      <c r="AE10" s="768">
        <f t="shared" si="0"/>
        <v>483</v>
      </c>
      <c r="AF10" s="768">
        <f t="shared" si="0"/>
        <v>0</v>
      </c>
      <c r="AG10" s="769">
        <f t="shared" si="6"/>
        <v>509</v>
      </c>
      <c r="AI10" s="768">
        <f t="shared" si="7"/>
        <v>1</v>
      </c>
      <c r="AJ10" s="768">
        <f t="shared" si="1"/>
        <v>76</v>
      </c>
      <c r="AK10" s="768">
        <f t="shared" si="1"/>
        <v>13</v>
      </c>
      <c r="AL10" s="769">
        <f t="shared" si="8"/>
        <v>90</v>
      </c>
      <c r="AN10" s="768">
        <f t="shared" si="9"/>
        <v>27</v>
      </c>
      <c r="AO10" s="768">
        <f t="shared" si="2"/>
        <v>559</v>
      </c>
      <c r="AP10" s="768">
        <f t="shared" si="2"/>
        <v>13</v>
      </c>
      <c r="AQ10" s="769">
        <f t="shared" si="10"/>
        <v>599</v>
      </c>
      <c r="AU10" s="770">
        <f t="shared" si="11"/>
        <v>85758.71</v>
      </c>
      <c r="AV10" s="770">
        <f t="shared" si="11"/>
        <v>1655468.58</v>
      </c>
      <c r="AW10" s="770">
        <f t="shared" si="11"/>
        <v>14112.15</v>
      </c>
      <c r="AX10" s="771">
        <f t="shared" si="12"/>
        <v>1755339.44</v>
      </c>
      <c r="BB10" s="770">
        <f t="shared" si="13"/>
        <v>95620.961649999997</v>
      </c>
      <c r="BC10" s="770">
        <f t="shared" si="13"/>
        <v>1845847.4666999998</v>
      </c>
      <c r="BD10" s="770">
        <f t="shared" si="13"/>
        <v>15735.04725</v>
      </c>
      <c r="BE10" s="771">
        <f t="shared" si="14"/>
        <v>1957203.4755999998</v>
      </c>
      <c r="BI10" s="770">
        <f t="shared" si="15"/>
        <v>106617.37223975</v>
      </c>
      <c r="BJ10" s="770">
        <f t="shared" si="15"/>
        <v>2058119.9253705</v>
      </c>
      <c r="BK10" s="770">
        <f t="shared" si="15"/>
        <v>17544.577683749998</v>
      </c>
      <c r="BL10" s="771">
        <f t="shared" si="16"/>
        <v>2182281.8752939999</v>
      </c>
    </row>
    <row r="11" spans="1:64" ht="15" customHeight="1" x14ac:dyDescent="0.25">
      <c r="A11" s="726" t="s">
        <v>799</v>
      </c>
      <c r="B11" s="726" t="s">
        <v>800</v>
      </c>
      <c r="C11" s="764">
        <v>2613.52</v>
      </c>
      <c r="D11" s="765">
        <v>871.17</v>
      </c>
      <c r="F11" s="766">
        <f t="shared" si="3"/>
        <v>2914.0747999999999</v>
      </c>
      <c r="G11" s="765">
        <f t="shared" si="3"/>
        <v>971.3545499999999</v>
      </c>
      <c r="I11" s="766">
        <f t="shared" si="4"/>
        <v>3249.1934019999999</v>
      </c>
      <c r="J11" s="765">
        <f t="shared" si="4"/>
        <v>1083.0603232499998</v>
      </c>
      <c r="N11" s="730" t="s">
        <v>799</v>
      </c>
      <c r="O11" s="731" t="s">
        <v>800</v>
      </c>
      <c r="P11" s="730" t="s">
        <v>795</v>
      </c>
      <c r="Q11" s="732"/>
      <c r="R11" s="732">
        <v>214</v>
      </c>
      <c r="S11" s="732"/>
      <c r="U11" s="730" t="s">
        <v>799</v>
      </c>
      <c r="V11" s="730" t="s">
        <v>800</v>
      </c>
      <c r="W11" s="731" t="s">
        <v>796</v>
      </c>
      <c r="X11" s="767">
        <v>1</v>
      </c>
      <c r="Y11" s="767">
        <v>41</v>
      </c>
      <c r="Z11" s="767">
        <v>8</v>
      </c>
      <c r="AD11" s="768">
        <f t="shared" si="5"/>
        <v>0</v>
      </c>
      <c r="AE11" s="768">
        <f t="shared" si="0"/>
        <v>214</v>
      </c>
      <c r="AF11" s="768">
        <f t="shared" si="0"/>
        <v>0</v>
      </c>
      <c r="AG11" s="769">
        <f t="shared" si="6"/>
        <v>214</v>
      </c>
      <c r="AI11" s="768">
        <f t="shared" si="7"/>
        <v>1</v>
      </c>
      <c r="AJ11" s="768">
        <f t="shared" si="1"/>
        <v>41</v>
      </c>
      <c r="AK11" s="768">
        <f t="shared" si="1"/>
        <v>8</v>
      </c>
      <c r="AL11" s="769">
        <f t="shared" si="8"/>
        <v>50</v>
      </c>
      <c r="AN11" s="768">
        <f t="shared" si="9"/>
        <v>1</v>
      </c>
      <c r="AO11" s="768">
        <f t="shared" si="2"/>
        <v>255</v>
      </c>
      <c r="AP11" s="768">
        <f t="shared" si="2"/>
        <v>8</v>
      </c>
      <c r="AQ11" s="769">
        <f t="shared" si="10"/>
        <v>264</v>
      </c>
      <c r="AU11" s="770">
        <f t="shared" si="11"/>
        <v>871.17</v>
      </c>
      <c r="AV11" s="770">
        <f t="shared" si="11"/>
        <v>595011.25</v>
      </c>
      <c r="AW11" s="770">
        <f t="shared" si="11"/>
        <v>6969.36</v>
      </c>
      <c r="AX11" s="771">
        <f t="shared" si="12"/>
        <v>602851.78</v>
      </c>
      <c r="BB11" s="770">
        <f t="shared" si="13"/>
        <v>971.3545499999999</v>
      </c>
      <c r="BC11" s="770">
        <f t="shared" si="13"/>
        <v>663437.54374999995</v>
      </c>
      <c r="BD11" s="770">
        <f t="shared" si="13"/>
        <v>7770.8363999999992</v>
      </c>
      <c r="BE11" s="771">
        <f t="shared" si="14"/>
        <v>672179.73470000003</v>
      </c>
      <c r="BI11" s="770">
        <f t="shared" si="15"/>
        <v>1083.0603232499998</v>
      </c>
      <c r="BJ11" s="770">
        <f t="shared" si="15"/>
        <v>739732.86128125002</v>
      </c>
      <c r="BK11" s="770">
        <f t="shared" si="15"/>
        <v>8664.4825859999983</v>
      </c>
      <c r="BL11" s="771">
        <f t="shared" si="16"/>
        <v>749480.40419050003</v>
      </c>
    </row>
    <row r="12" spans="1:64" x14ac:dyDescent="0.25">
      <c r="A12" s="726" t="s">
        <v>801</v>
      </c>
      <c r="B12" s="726" t="s">
        <v>802</v>
      </c>
      <c r="C12" s="764">
        <v>2284.63</v>
      </c>
      <c r="D12" s="765">
        <v>761.54</v>
      </c>
      <c r="F12" s="766">
        <f t="shared" si="3"/>
        <v>2547.3624500000001</v>
      </c>
      <c r="G12" s="765">
        <f t="shared" si="3"/>
        <v>849.11709999999994</v>
      </c>
      <c r="I12" s="766">
        <f t="shared" si="4"/>
        <v>2840.3091317500002</v>
      </c>
      <c r="J12" s="765">
        <f t="shared" si="4"/>
        <v>946.76556649999998</v>
      </c>
      <c r="N12" s="730" t="s">
        <v>801</v>
      </c>
      <c r="O12" s="731" t="s">
        <v>802</v>
      </c>
      <c r="P12" s="730" t="s">
        <v>795</v>
      </c>
      <c r="Q12" s="732">
        <v>6</v>
      </c>
      <c r="R12" s="732">
        <v>131</v>
      </c>
      <c r="S12" s="732"/>
      <c r="U12" s="730" t="s">
        <v>801</v>
      </c>
      <c r="V12" s="730" t="s">
        <v>802</v>
      </c>
      <c r="W12" s="731" t="s">
        <v>796</v>
      </c>
      <c r="X12" s="767">
        <v>2</v>
      </c>
      <c r="Y12" s="767">
        <v>12</v>
      </c>
      <c r="Z12" s="767">
        <v>11</v>
      </c>
      <c r="AD12" s="768">
        <f t="shared" si="5"/>
        <v>6</v>
      </c>
      <c r="AE12" s="768">
        <f t="shared" si="0"/>
        <v>131</v>
      </c>
      <c r="AF12" s="768">
        <f t="shared" si="0"/>
        <v>0</v>
      </c>
      <c r="AG12" s="769">
        <f t="shared" si="6"/>
        <v>137</v>
      </c>
      <c r="AI12" s="768">
        <f t="shared" si="7"/>
        <v>2</v>
      </c>
      <c r="AJ12" s="768">
        <f t="shared" si="1"/>
        <v>12</v>
      </c>
      <c r="AK12" s="768">
        <f t="shared" si="1"/>
        <v>11</v>
      </c>
      <c r="AL12" s="769">
        <f t="shared" si="8"/>
        <v>25</v>
      </c>
      <c r="AN12" s="768">
        <f t="shared" si="9"/>
        <v>8</v>
      </c>
      <c r="AO12" s="768">
        <f t="shared" si="2"/>
        <v>143</v>
      </c>
      <c r="AP12" s="768">
        <f t="shared" si="2"/>
        <v>11</v>
      </c>
      <c r="AQ12" s="769">
        <f t="shared" si="10"/>
        <v>162</v>
      </c>
      <c r="AU12" s="770">
        <f t="shared" si="11"/>
        <v>15230.86</v>
      </c>
      <c r="AV12" s="770">
        <f t="shared" si="11"/>
        <v>308425.01</v>
      </c>
      <c r="AW12" s="770">
        <f t="shared" si="11"/>
        <v>8376.9399999999987</v>
      </c>
      <c r="AX12" s="771">
        <f t="shared" si="12"/>
        <v>332032.81</v>
      </c>
      <c r="BB12" s="770">
        <f t="shared" si="13"/>
        <v>16982.408899999999</v>
      </c>
      <c r="BC12" s="770">
        <f t="shared" si="13"/>
        <v>343893.88614999998</v>
      </c>
      <c r="BD12" s="770">
        <f t="shared" si="13"/>
        <v>9340.2880999999998</v>
      </c>
      <c r="BE12" s="771">
        <f t="shared" si="14"/>
        <v>370216.58314999996</v>
      </c>
      <c r="BI12" s="770">
        <f t="shared" si="15"/>
        <v>18935.385923500002</v>
      </c>
      <c r="BJ12" s="770">
        <f t="shared" si="15"/>
        <v>383441.68305725005</v>
      </c>
      <c r="BK12" s="770">
        <f t="shared" si="15"/>
        <v>10414.4212315</v>
      </c>
      <c r="BL12" s="771">
        <f t="shared" si="16"/>
        <v>412791.49021225004</v>
      </c>
    </row>
    <row r="13" spans="1:64" x14ac:dyDescent="0.25">
      <c r="A13" s="726" t="s">
        <v>801</v>
      </c>
      <c r="B13" s="726" t="s">
        <v>803</v>
      </c>
      <c r="C13" s="764">
        <v>2153.71</v>
      </c>
      <c r="D13" s="765">
        <v>717.9</v>
      </c>
      <c r="F13" s="766">
        <f t="shared" si="3"/>
        <v>2401.3866499999999</v>
      </c>
      <c r="G13" s="765">
        <f t="shared" si="3"/>
        <v>800.45849999999996</v>
      </c>
      <c r="I13" s="766">
        <f t="shared" si="4"/>
        <v>2677.54611475</v>
      </c>
      <c r="J13" s="765">
        <f t="shared" si="4"/>
        <v>892.5112274999999</v>
      </c>
      <c r="N13" s="730" t="s">
        <v>801</v>
      </c>
      <c r="O13" s="731" t="s">
        <v>803</v>
      </c>
      <c r="P13" s="730" t="s">
        <v>795</v>
      </c>
      <c r="Q13" s="732">
        <v>22</v>
      </c>
      <c r="R13" s="732">
        <v>802</v>
      </c>
      <c r="S13" s="732">
        <v>4</v>
      </c>
      <c r="U13" s="730" t="s">
        <v>801</v>
      </c>
      <c r="V13" s="730" t="s">
        <v>803</v>
      </c>
      <c r="W13" s="731" t="s">
        <v>796</v>
      </c>
      <c r="X13" s="767">
        <v>5</v>
      </c>
      <c r="Y13" s="767">
        <v>136</v>
      </c>
      <c r="Z13" s="767">
        <v>36</v>
      </c>
      <c r="AD13" s="768">
        <f t="shared" si="5"/>
        <v>22</v>
      </c>
      <c r="AE13" s="768">
        <f t="shared" si="0"/>
        <v>802</v>
      </c>
      <c r="AF13" s="768">
        <f t="shared" si="0"/>
        <v>4</v>
      </c>
      <c r="AG13" s="769">
        <f t="shared" si="6"/>
        <v>828</v>
      </c>
      <c r="AI13" s="768">
        <f t="shared" si="7"/>
        <v>5</v>
      </c>
      <c r="AJ13" s="768">
        <f t="shared" si="1"/>
        <v>136</v>
      </c>
      <c r="AK13" s="768">
        <f t="shared" si="1"/>
        <v>36</v>
      </c>
      <c r="AL13" s="769">
        <f t="shared" si="8"/>
        <v>177</v>
      </c>
      <c r="AN13" s="768">
        <f t="shared" si="9"/>
        <v>27</v>
      </c>
      <c r="AO13" s="768">
        <f t="shared" si="2"/>
        <v>938</v>
      </c>
      <c r="AP13" s="768">
        <f t="shared" si="2"/>
        <v>40</v>
      </c>
      <c r="AQ13" s="769">
        <f t="shared" si="10"/>
        <v>1005</v>
      </c>
      <c r="AU13" s="770">
        <f t="shared" si="11"/>
        <v>50971.12</v>
      </c>
      <c r="AV13" s="770">
        <f t="shared" si="11"/>
        <v>1824909.8199999998</v>
      </c>
      <c r="AW13" s="770">
        <f t="shared" si="11"/>
        <v>34459.24</v>
      </c>
      <c r="AX13" s="771">
        <f t="shared" si="12"/>
        <v>1910340.18</v>
      </c>
      <c r="BB13" s="770">
        <f t="shared" si="13"/>
        <v>56832.798800000004</v>
      </c>
      <c r="BC13" s="770">
        <f t="shared" si="13"/>
        <v>2034774.4492999997</v>
      </c>
      <c r="BD13" s="770">
        <f t="shared" si="13"/>
        <v>38422.052599999995</v>
      </c>
      <c r="BE13" s="771">
        <f t="shared" si="14"/>
        <v>2130029.3006999996</v>
      </c>
      <c r="BI13" s="770">
        <f t="shared" si="15"/>
        <v>63368.570661999998</v>
      </c>
      <c r="BJ13" s="770">
        <f t="shared" si="15"/>
        <v>2268773.5109694996</v>
      </c>
      <c r="BK13" s="770">
        <f t="shared" si="15"/>
        <v>42840.588648999998</v>
      </c>
      <c r="BL13" s="771">
        <f t="shared" si="16"/>
        <v>2374982.6702804998</v>
      </c>
    </row>
    <row r="14" spans="1:64" x14ac:dyDescent="0.25">
      <c r="A14" s="726" t="s">
        <v>804</v>
      </c>
      <c r="B14" s="726" t="s">
        <v>805</v>
      </c>
      <c r="C14" s="772">
        <v>1813.48</v>
      </c>
      <c r="D14" s="773">
        <v>604.49</v>
      </c>
      <c r="F14" s="766">
        <f t="shared" si="3"/>
        <v>2022.0301999999999</v>
      </c>
      <c r="G14" s="765">
        <f t="shared" si="3"/>
        <v>674.00635</v>
      </c>
      <c r="I14" s="766">
        <f t="shared" si="4"/>
        <v>2254.5636730000001</v>
      </c>
      <c r="J14" s="765">
        <f t="shared" si="4"/>
        <v>751.51708024999994</v>
      </c>
      <c r="N14" s="730" t="s">
        <v>804</v>
      </c>
      <c r="O14" s="731" t="s">
        <v>805</v>
      </c>
      <c r="P14" s="730" t="s">
        <v>795</v>
      </c>
      <c r="Q14" s="732"/>
      <c r="R14" s="732"/>
      <c r="S14" s="464"/>
      <c r="U14" s="730" t="s">
        <v>804</v>
      </c>
      <c r="V14" s="730" t="s">
        <v>805</v>
      </c>
      <c r="W14" s="731" t="s">
        <v>796</v>
      </c>
      <c r="X14" s="732"/>
      <c r="Y14" s="732"/>
      <c r="Z14" s="464"/>
      <c r="AD14" s="768">
        <f t="shared" si="5"/>
        <v>0</v>
      </c>
      <c r="AE14" s="768">
        <f t="shared" si="0"/>
        <v>0</v>
      </c>
      <c r="AF14" s="768">
        <f t="shared" si="0"/>
        <v>0</v>
      </c>
      <c r="AG14" s="769">
        <f t="shared" si="6"/>
        <v>0</v>
      </c>
      <c r="AI14" s="768">
        <f t="shared" si="7"/>
        <v>0</v>
      </c>
      <c r="AJ14" s="768">
        <f t="shared" si="1"/>
        <v>0</v>
      </c>
      <c r="AK14" s="768">
        <f t="shared" si="1"/>
        <v>0</v>
      </c>
      <c r="AL14" s="769">
        <f t="shared" si="8"/>
        <v>0</v>
      </c>
      <c r="AN14" s="768">
        <f t="shared" si="9"/>
        <v>0</v>
      </c>
      <c r="AO14" s="768">
        <f t="shared" si="2"/>
        <v>0</v>
      </c>
      <c r="AP14" s="768">
        <f t="shared" si="2"/>
        <v>0</v>
      </c>
      <c r="AQ14" s="769">
        <f t="shared" si="10"/>
        <v>0</v>
      </c>
      <c r="AU14" s="770">
        <f t="shared" si="11"/>
        <v>0</v>
      </c>
      <c r="AV14" s="770">
        <f t="shared" si="11"/>
        <v>0</v>
      </c>
      <c r="AW14" s="770">
        <f t="shared" si="11"/>
        <v>0</v>
      </c>
      <c r="AX14" s="771">
        <f t="shared" si="12"/>
        <v>0</v>
      </c>
      <c r="BB14" s="770">
        <f t="shared" si="13"/>
        <v>0</v>
      </c>
      <c r="BC14" s="770">
        <f t="shared" si="13"/>
        <v>0</v>
      </c>
      <c r="BD14" s="770">
        <f t="shared" si="13"/>
        <v>0</v>
      </c>
      <c r="BE14" s="771">
        <f t="shared" si="14"/>
        <v>0</v>
      </c>
      <c r="BI14" s="770">
        <f t="shared" si="15"/>
        <v>0</v>
      </c>
      <c r="BJ14" s="770">
        <f t="shared" si="15"/>
        <v>0</v>
      </c>
      <c r="BK14" s="770">
        <f t="shared" si="15"/>
        <v>0</v>
      </c>
      <c r="BL14" s="771">
        <f t="shared" si="16"/>
        <v>0</v>
      </c>
    </row>
    <row r="15" spans="1:64" x14ac:dyDescent="0.25">
      <c r="A15" s="726" t="s">
        <v>804</v>
      </c>
      <c r="B15" s="726" t="s">
        <v>806</v>
      </c>
      <c r="C15" s="772">
        <v>1027.8599999999999</v>
      </c>
      <c r="D15" s="773">
        <v>342.62</v>
      </c>
      <c r="F15" s="766">
        <f t="shared" si="3"/>
        <v>1146.0638999999999</v>
      </c>
      <c r="G15" s="765">
        <f t="shared" si="3"/>
        <v>382.0213</v>
      </c>
      <c r="I15" s="766">
        <f t="shared" si="4"/>
        <v>1277.8612484999999</v>
      </c>
      <c r="J15" s="765">
        <f t="shared" si="4"/>
        <v>425.95374950000001</v>
      </c>
      <c r="N15" s="730" t="s">
        <v>804</v>
      </c>
      <c r="O15" s="731" t="s">
        <v>806</v>
      </c>
      <c r="P15" s="730" t="s">
        <v>795</v>
      </c>
      <c r="Q15" s="732"/>
      <c r="R15" s="464"/>
      <c r="S15" s="732"/>
      <c r="U15" s="730" t="s">
        <v>804</v>
      </c>
      <c r="V15" s="730" t="s">
        <v>806</v>
      </c>
      <c r="W15" s="731" t="s">
        <v>796</v>
      </c>
      <c r="X15" s="732"/>
      <c r="Y15" s="464"/>
      <c r="Z15" s="464"/>
      <c r="AD15" s="768">
        <f t="shared" si="5"/>
        <v>0</v>
      </c>
      <c r="AE15" s="768">
        <f t="shared" si="0"/>
        <v>0</v>
      </c>
      <c r="AF15" s="768">
        <f t="shared" si="0"/>
        <v>0</v>
      </c>
      <c r="AG15" s="769">
        <f t="shared" si="6"/>
        <v>0</v>
      </c>
      <c r="AI15" s="768">
        <f t="shared" si="7"/>
        <v>0</v>
      </c>
      <c r="AJ15" s="768">
        <f t="shared" si="1"/>
        <v>0</v>
      </c>
      <c r="AK15" s="768">
        <f t="shared" si="1"/>
        <v>0</v>
      </c>
      <c r="AL15" s="769">
        <f t="shared" si="8"/>
        <v>0</v>
      </c>
      <c r="AN15" s="768">
        <f t="shared" si="9"/>
        <v>0</v>
      </c>
      <c r="AO15" s="768">
        <f t="shared" si="2"/>
        <v>0</v>
      </c>
      <c r="AP15" s="768">
        <f t="shared" si="2"/>
        <v>0</v>
      </c>
      <c r="AQ15" s="769">
        <f t="shared" si="10"/>
        <v>0</v>
      </c>
      <c r="AU15" s="770">
        <f t="shared" si="11"/>
        <v>0</v>
      </c>
      <c r="AV15" s="770">
        <f t="shared" si="11"/>
        <v>0</v>
      </c>
      <c r="AW15" s="770">
        <f t="shared" si="11"/>
        <v>0</v>
      </c>
      <c r="AX15" s="771">
        <f t="shared" si="12"/>
        <v>0</v>
      </c>
      <c r="BB15" s="770">
        <f t="shared" si="13"/>
        <v>0</v>
      </c>
      <c r="BC15" s="770">
        <f t="shared" si="13"/>
        <v>0</v>
      </c>
      <c r="BD15" s="770">
        <f t="shared" si="13"/>
        <v>0</v>
      </c>
      <c r="BE15" s="771">
        <f t="shared" si="14"/>
        <v>0</v>
      </c>
      <c r="BI15" s="770">
        <f t="shared" si="15"/>
        <v>0</v>
      </c>
      <c r="BJ15" s="770">
        <f t="shared" si="15"/>
        <v>0</v>
      </c>
      <c r="BK15" s="770">
        <f t="shared" si="15"/>
        <v>0</v>
      </c>
      <c r="BL15" s="771">
        <f t="shared" si="16"/>
        <v>0</v>
      </c>
    </row>
    <row r="16" spans="1:64" x14ac:dyDescent="0.25">
      <c r="A16" s="726" t="s">
        <v>804</v>
      </c>
      <c r="B16" s="726" t="s">
        <v>807</v>
      </c>
      <c r="C16" s="772">
        <v>850.59</v>
      </c>
      <c r="D16" s="773">
        <v>283.52999999999997</v>
      </c>
      <c r="F16" s="766">
        <f t="shared" si="3"/>
        <v>948.40785000000005</v>
      </c>
      <c r="G16" s="765">
        <f t="shared" si="3"/>
        <v>316.13594999999998</v>
      </c>
      <c r="I16" s="766">
        <f t="shared" si="4"/>
        <v>1057.4747527500001</v>
      </c>
      <c r="J16" s="765">
        <f t="shared" si="4"/>
        <v>352.49158424999996</v>
      </c>
      <c r="AD16" s="768">
        <f t="shared" si="5"/>
        <v>0</v>
      </c>
      <c r="AE16" s="768">
        <f t="shared" si="0"/>
        <v>0</v>
      </c>
      <c r="AF16" s="768">
        <f t="shared" si="0"/>
        <v>0</v>
      </c>
      <c r="AG16" s="769">
        <f t="shared" si="6"/>
        <v>0</v>
      </c>
      <c r="AI16" s="768">
        <f t="shared" si="7"/>
        <v>0</v>
      </c>
      <c r="AJ16" s="768">
        <f t="shared" si="1"/>
        <v>0</v>
      </c>
      <c r="AK16" s="768">
        <f t="shared" si="1"/>
        <v>0</v>
      </c>
      <c r="AL16" s="769">
        <f t="shared" si="8"/>
        <v>0</v>
      </c>
      <c r="AN16" s="768">
        <f t="shared" si="9"/>
        <v>0</v>
      </c>
      <c r="AO16" s="768">
        <f t="shared" si="2"/>
        <v>0</v>
      </c>
      <c r="AP16" s="768">
        <f t="shared" si="2"/>
        <v>0</v>
      </c>
      <c r="AQ16" s="769">
        <f t="shared" si="10"/>
        <v>0</v>
      </c>
      <c r="AU16" s="770">
        <f t="shared" si="11"/>
        <v>0</v>
      </c>
      <c r="AV16" s="770">
        <f t="shared" si="11"/>
        <v>0</v>
      </c>
      <c r="AW16" s="770">
        <f t="shared" si="11"/>
        <v>0</v>
      </c>
      <c r="AX16" s="771">
        <f t="shared" si="12"/>
        <v>0</v>
      </c>
      <c r="BB16" s="770">
        <f t="shared" si="13"/>
        <v>0</v>
      </c>
      <c r="BC16" s="770">
        <f t="shared" si="13"/>
        <v>0</v>
      </c>
      <c r="BD16" s="770">
        <f t="shared" si="13"/>
        <v>0</v>
      </c>
      <c r="BE16" s="771">
        <f t="shared" si="14"/>
        <v>0</v>
      </c>
      <c r="BI16" s="770">
        <f t="shared" si="15"/>
        <v>0</v>
      </c>
      <c r="BJ16" s="770">
        <f t="shared" si="15"/>
        <v>0</v>
      </c>
      <c r="BK16" s="770">
        <f t="shared" si="15"/>
        <v>0</v>
      </c>
      <c r="BL16" s="771">
        <f t="shared" si="16"/>
        <v>0</v>
      </c>
    </row>
    <row r="17" spans="1:64" x14ac:dyDescent="0.25">
      <c r="A17" s="726" t="s">
        <v>808</v>
      </c>
      <c r="B17" s="726" t="s">
        <v>809</v>
      </c>
      <c r="C17" s="772">
        <v>1942.54</v>
      </c>
      <c r="D17" s="773">
        <v>647.51</v>
      </c>
      <c r="F17" s="766">
        <f t="shared" si="3"/>
        <v>2165.9321</v>
      </c>
      <c r="G17" s="765">
        <f t="shared" si="3"/>
        <v>721.97365000000002</v>
      </c>
      <c r="I17" s="766">
        <f t="shared" si="4"/>
        <v>2415.0142915000001</v>
      </c>
      <c r="J17" s="765">
        <f t="shared" si="4"/>
        <v>805.00061975000006</v>
      </c>
      <c r="N17" s="730" t="s">
        <v>808</v>
      </c>
      <c r="O17" s="731" t="s">
        <v>809</v>
      </c>
      <c r="P17" s="730" t="s">
        <v>795</v>
      </c>
      <c r="Q17" s="732">
        <v>3</v>
      </c>
      <c r="R17" s="732">
        <v>361</v>
      </c>
      <c r="S17" s="732">
        <v>2</v>
      </c>
      <c r="U17" s="730" t="s">
        <v>808</v>
      </c>
      <c r="V17" s="730" t="s">
        <v>809</v>
      </c>
      <c r="W17" s="731" t="s">
        <v>796</v>
      </c>
      <c r="X17" s="463"/>
      <c r="Y17" s="767">
        <v>76</v>
      </c>
      <c r="Z17" s="767">
        <v>26</v>
      </c>
      <c r="AD17" s="768">
        <f t="shared" si="5"/>
        <v>3</v>
      </c>
      <c r="AE17" s="768">
        <f t="shared" si="0"/>
        <v>361</v>
      </c>
      <c r="AF17" s="768">
        <f t="shared" si="0"/>
        <v>2</v>
      </c>
      <c r="AG17" s="769">
        <f t="shared" si="6"/>
        <v>366</v>
      </c>
      <c r="AI17" s="768">
        <f t="shared" si="7"/>
        <v>0</v>
      </c>
      <c r="AJ17" s="768">
        <f t="shared" si="1"/>
        <v>76</v>
      </c>
      <c r="AK17" s="768">
        <f t="shared" si="1"/>
        <v>26</v>
      </c>
      <c r="AL17" s="769">
        <f t="shared" si="8"/>
        <v>102</v>
      </c>
      <c r="AN17" s="768">
        <f t="shared" si="9"/>
        <v>3</v>
      </c>
      <c r="AO17" s="768">
        <f t="shared" si="2"/>
        <v>437</v>
      </c>
      <c r="AP17" s="768">
        <f t="shared" si="2"/>
        <v>28</v>
      </c>
      <c r="AQ17" s="769">
        <f t="shared" si="10"/>
        <v>468</v>
      </c>
      <c r="AU17" s="770">
        <f t="shared" si="11"/>
        <v>5827.62</v>
      </c>
      <c r="AV17" s="770">
        <f t="shared" si="11"/>
        <v>750467.7</v>
      </c>
      <c r="AW17" s="770">
        <f t="shared" si="11"/>
        <v>20720.339999999997</v>
      </c>
      <c r="AX17" s="771">
        <f t="shared" si="12"/>
        <v>777015.65999999992</v>
      </c>
      <c r="BB17" s="770">
        <f t="shared" si="13"/>
        <v>6497.7963</v>
      </c>
      <c r="BC17" s="770">
        <f t="shared" si="13"/>
        <v>836771.48549999995</v>
      </c>
      <c r="BD17" s="770">
        <f t="shared" si="13"/>
        <v>23103.179100000001</v>
      </c>
      <c r="BE17" s="771">
        <f t="shared" si="14"/>
        <v>866372.46089999995</v>
      </c>
      <c r="BI17" s="770">
        <f t="shared" si="15"/>
        <v>7245.0428745000008</v>
      </c>
      <c r="BJ17" s="770">
        <f t="shared" si="15"/>
        <v>933000.20633249998</v>
      </c>
      <c r="BK17" s="770">
        <f t="shared" si="15"/>
        <v>25760.044696500001</v>
      </c>
      <c r="BL17" s="771">
        <f t="shared" si="16"/>
        <v>966005.29390350007</v>
      </c>
    </row>
    <row r="18" spans="1:64" x14ac:dyDescent="0.25">
      <c r="A18" s="726" t="s">
        <v>808</v>
      </c>
      <c r="B18" s="726" t="s">
        <v>810</v>
      </c>
      <c r="C18" s="772">
        <v>1763.5</v>
      </c>
      <c r="D18" s="773">
        <v>587.83000000000004</v>
      </c>
      <c r="F18" s="766">
        <f t="shared" si="3"/>
        <v>1966.3025</v>
      </c>
      <c r="G18" s="765">
        <f t="shared" si="3"/>
        <v>655.43045000000006</v>
      </c>
      <c r="I18" s="766">
        <f t="shared" si="4"/>
        <v>2192.4272875000001</v>
      </c>
      <c r="J18" s="765">
        <f t="shared" si="4"/>
        <v>730.8049517500001</v>
      </c>
      <c r="N18" s="730" t="s">
        <v>808</v>
      </c>
      <c r="O18" s="731" t="s">
        <v>810</v>
      </c>
      <c r="P18" s="730" t="s">
        <v>795</v>
      </c>
      <c r="Q18" s="732">
        <v>1</v>
      </c>
      <c r="R18" s="732">
        <v>207</v>
      </c>
      <c r="S18" s="732"/>
      <c r="U18" s="730" t="s">
        <v>808</v>
      </c>
      <c r="V18" s="730" t="s">
        <v>810</v>
      </c>
      <c r="W18" s="731" t="s">
        <v>796</v>
      </c>
      <c r="X18" s="463"/>
      <c r="Y18" s="767">
        <v>59</v>
      </c>
      <c r="Z18" s="767">
        <v>22</v>
      </c>
      <c r="AD18" s="768">
        <f t="shared" si="5"/>
        <v>1</v>
      </c>
      <c r="AE18" s="768">
        <f t="shared" si="0"/>
        <v>207</v>
      </c>
      <c r="AF18" s="768">
        <f t="shared" si="0"/>
        <v>0</v>
      </c>
      <c r="AG18" s="769">
        <f t="shared" si="6"/>
        <v>208</v>
      </c>
      <c r="AI18" s="768">
        <f t="shared" si="7"/>
        <v>0</v>
      </c>
      <c r="AJ18" s="768">
        <f t="shared" si="1"/>
        <v>59</v>
      </c>
      <c r="AK18" s="768">
        <f t="shared" si="1"/>
        <v>22</v>
      </c>
      <c r="AL18" s="769">
        <f t="shared" si="8"/>
        <v>81</v>
      </c>
      <c r="AN18" s="768">
        <f t="shared" si="9"/>
        <v>1</v>
      </c>
      <c r="AO18" s="768">
        <f t="shared" si="2"/>
        <v>266</v>
      </c>
      <c r="AP18" s="768">
        <f t="shared" si="2"/>
        <v>22</v>
      </c>
      <c r="AQ18" s="769">
        <f t="shared" si="10"/>
        <v>289</v>
      </c>
      <c r="AU18" s="770">
        <f t="shared" si="11"/>
        <v>1763.5</v>
      </c>
      <c r="AV18" s="770">
        <f t="shared" si="11"/>
        <v>399726.47</v>
      </c>
      <c r="AW18" s="770">
        <f t="shared" si="11"/>
        <v>12932.26</v>
      </c>
      <c r="AX18" s="771">
        <f t="shared" si="12"/>
        <v>414422.23</v>
      </c>
      <c r="BB18" s="770">
        <f t="shared" si="13"/>
        <v>1966.3025</v>
      </c>
      <c r="BC18" s="770">
        <f t="shared" si="13"/>
        <v>445695.01405</v>
      </c>
      <c r="BD18" s="770">
        <f t="shared" si="13"/>
        <v>14419.469900000002</v>
      </c>
      <c r="BE18" s="771">
        <f t="shared" si="14"/>
        <v>462080.78645000001</v>
      </c>
      <c r="BI18" s="770">
        <f t="shared" si="15"/>
        <v>2192.4272875000001</v>
      </c>
      <c r="BJ18" s="770">
        <f t="shared" si="15"/>
        <v>496949.94066575007</v>
      </c>
      <c r="BK18" s="770">
        <f t="shared" si="15"/>
        <v>16077.708938500002</v>
      </c>
      <c r="BL18" s="771">
        <f t="shared" si="16"/>
        <v>515220.0768917501</v>
      </c>
    </row>
    <row r="19" spans="1:64" x14ac:dyDescent="0.25">
      <c r="A19" s="726" t="s">
        <v>808</v>
      </c>
      <c r="B19" s="726" t="s">
        <v>811</v>
      </c>
      <c r="C19" s="772">
        <v>1516.07</v>
      </c>
      <c r="D19" s="773">
        <v>505.36</v>
      </c>
      <c r="F19" s="766">
        <f t="shared" si="3"/>
        <v>1690.41805</v>
      </c>
      <c r="G19" s="765">
        <f t="shared" si="3"/>
        <v>563.47640000000001</v>
      </c>
      <c r="I19" s="766">
        <f t="shared" si="4"/>
        <v>1884.8161257500001</v>
      </c>
      <c r="J19" s="765">
        <f t="shared" si="4"/>
        <v>628.27618600000005</v>
      </c>
      <c r="N19" s="730" t="s">
        <v>808</v>
      </c>
      <c r="O19" s="731" t="s">
        <v>811</v>
      </c>
      <c r="P19" s="730" t="s">
        <v>795</v>
      </c>
      <c r="Q19" s="732">
        <v>1</v>
      </c>
      <c r="R19" s="732">
        <v>372</v>
      </c>
      <c r="S19" s="732">
        <v>9</v>
      </c>
      <c r="U19" s="730" t="s">
        <v>808</v>
      </c>
      <c r="V19" s="730" t="s">
        <v>811</v>
      </c>
      <c r="W19" s="731" t="s">
        <v>796</v>
      </c>
      <c r="X19" s="767">
        <v>1</v>
      </c>
      <c r="Y19" s="767">
        <v>97</v>
      </c>
      <c r="Z19" s="767">
        <v>35</v>
      </c>
      <c r="AD19" s="768">
        <f t="shared" si="5"/>
        <v>1</v>
      </c>
      <c r="AE19" s="768">
        <f t="shared" si="0"/>
        <v>372</v>
      </c>
      <c r="AF19" s="768">
        <f t="shared" si="0"/>
        <v>9</v>
      </c>
      <c r="AG19" s="769">
        <f t="shared" si="6"/>
        <v>382</v>
      </c>
      <c r="AI19" s="768">
        <f t="shared" si="7"/>
        <v>1</v>
      </c>
      <c r="AJ19" s="768">
        <f t="shared" si="1"/>
        <v>97</v>
      </c>
      <c r="AK19" s="768">
        <f t="shared" si="1"/>
        <v>35</v>
      </c>
      <c r="AL19" s="769">
        <f t="shared" si="8"/>
        <v>133</v>
      </c>
      <c r="AN19" s="768">
        <f t="shared" si="9"/>
        <v>2</v>
      </c>
      <c r="AO19" s="768">
        <f t="shared" si="2"/>
        <v>469</v>
      </c>
      <c r="AP19" s="768">
        <f t="shared" si="2"/>
        <v>44</v>
      </c>
      <c r="AQ19" s="769">
        <f t="shared" si="10"/>
        <v>515</v>
      </c>
      <c r="AU19" s="770">
        <f t="shared" si="11"/>
        <v>2021.4299999999998</v>
      </c>
      <c r="AV19" s="770">
        <f t="shared" si="11"/>
        <v>612997.96</v>
      </c>
      <c r="AW19" s="770">
        <f t="shared" si="11"/>
        <v>31332.230000000003</v>
      </c>
      <c r="AX19" s="771">
        <f t="shared" si="12"/>
        <v>646351.62</v>
      </c>
      <c r="BB19" s="770">
        <f t="shared" si="13"/>
        <v>2253.8944499999998</v>
      </c>
      <c r="BC19" s="770">
        <f t="shared" si="13"/>
        <v>683492.7254</v>
      </c>
      <c r="BD19" s="770">
        <f t="shared" si="13"/>
        <v>34935.436450000001</v>
      </c>
      <c r="BE19" s="771">
        <f t="shared" si="14"/>
        <v>720682.05630000005</v>
      </c>
      <c r="BI19" s="770">
        <f t="shared" si="15"/>
        <v>2513.0923117500001</v>
      </c>
      <c r="BJ19" s="770">
        <f t="shared" si="15"/>
        <v>762094.388821</v>
      </c>
      <c r="BK19" s="770">
        <f t="shared" si="15"/>
        <v>38953.011641750003</v>
      </c>
      <c r="BL19" s="771">
        <f t="shared" si="16"/>
        <v>803560.49277450005</v>
      </c>
    </row>
    <row r="20" spans="1:64" x14ac:dyDescent="0.25">
      <c r="A20" s="726" t="s">
        <v>808</v>
      </c>
      <c r="B20" s="726" t="s">
        <v>812</v>
      </c>
      <c r="C20" s="772">
        <v>1398.52</v>
      </c>
      <c r="D20" s="773">
        <v>466.17</v>
      </c>
      <c r="F20" s="766">
        <f t="shared" si="3"/>
        <v>1559.3498</v>
      </c>
      <c r="G20" s="765">
        <f t="shared" si="3"/>
        <v>519.77954999999997</v>
      </c>
      <c r="I20" s="766">
        <f t="shared" si="4"/>
        <v>1738.675027</v>
      </c>
      <c r="J20" s="765">
        <f t="shared" si="4"/>
        <v>579.55419825000001</v>
      </c>
      <c r="N20" s="730" t="s">
        <v>808</v>
      </c>
      <c r="O20" s="731" t="s">
        <v>812</v>
      </c>
      <c r="P20" s="730" t="s">
        <v>795</v>
      </c>
      <c r="Q20" s="732">
        <v>1</v>
      </c>
      <c r="R20" s="732">
        <v>336</v>
      </c>
      <c r="S20" s="732">
        <v>10</v>
      </c>
      <c r="U20" s="730" t="s">
        <v>808</v>
      </c>
      <c r="V20" s="730" t="s">
        <v>812</v>
      </c>
      <c r="W20" s="731" t="s">
        <v>796</v>
      </c>
      <c r="X20" s="767">
        <v>1</v>
      </c>
      <c r="Y20" s="767">
        <v>137</v>
      </c>
      <c r="Z20" s="767">
        <v>59</v>
      </c>
      <c r="AD20" s="768">
        <f t="shared" si="5"/>
        <v>1</v>
      </c>
      <c r="AE20" s="768">
        <f t="shared" si="0"/>
        <v>336</v>
      </c>
      <c r="AF20" s="768">
        <f t="shared" si="0"/>
        <v>10</v>
      </c>
      <c r="AG20" s="769">
        <f t="shared" si="6"/>
        <v>347</v>
      </c>
      <c r="AI20" s="768">
        <f t="shared" si="7"/>
        <v>1</v>
      </c>
      <c r="AJ20" s="768">
        <f t="shared" si="1"/>
        <v>137</v>
      </c>
      <c r="AK20" s="768">
        <f t="shared" si="1"/>
        <v>59</v>
      </c>
      <c r="AL20" s="769">
        <f t="shared" si="8"/>
        <v>197</v>
      </c>
      <c r="AN20" s="768">
        <f t="shared" si="9"/>
        <v>2</v>
      </c>
      <c r="AO20" s="768">
        <f t="shared" si="2"/>
        <v>473</v>
      </c>
      <c r="AP20" s="768">
        <f t="shared" si="2"/>
        <v>69</v>
      </c>
      <c r="AQ20" s="769">
        <f t="shared" si="10"/>
        <v>544</v>
      </c>
      <c r="AU20" s="770">
        <f t="shared" si="11"/>
        <v>1864.69</v>
      </c>
      <c r="AV20" s="770">
        <f t="shared" si="11"/>
        <v>533768.01</v>
      </c>
      <c r="AW20" s="770">
        <f t="shared" si="11"/>
        <v>41489.230000000003</v>
      </c>
      <c r="AX20" s="771">
        <f t="shared" si="12"/>
        <v>577121.92999999993</v>
      </c>
      <c r="BB20" s="770">
        <f t="shared" si="13"/>
        <v>2079.1293500000002</v>
      </c>
      <c r="BC20" s="770">
        <f t="shared" si="13"/>
        <v>595151.33114999998</v>
      </c>
      <c r="BD20" s="770">
        <f t="shared" si="13"/>
        <v>46260.491450000001</v>
      </c>
      <c r="BE20" s="771">
        <f t="shared" si="14"/>
        <v>643490.9519499999</v>
      </c>
      <c r="BI20" s="770">
        <f t="shared" si="15"/>
        <v>2318.2292252500001</v>
      </c>
      <c r="BJ20" s="770">
        <f t="shared" si="15"/>
        <v>663593.73423225002</v>
      </c>
      <c r="BK20" s="770">
        <f t="shared" si="15"/>
        <v>51580.447966749998</v>
      </c>
      <c r="BL20" s="771">
        <f t="shared" si="16"/>
        <v>717492.41142424999</v>
      </c>
    </row>
    <row r="21" spans="1:64" x14ac:dyDescent="0.25">
      <c r="A21" s="726" t="s">
        <v>808</v>
      </c>
      <c r="B21" s="726" t="s">
        <v>813</v>
      </c>
      <c r="C21" s="772">
        <v>1157.83</v>
      </c>
      <c r="D21" s="773">
        <v>385.94</v>
      </c>
      <c r="F21" s="766">
        <f t="shared" si="3"/>
        <v>1290.98045</v>
      </c>
      <c r="G21" s="765">
        <f t="shared" si="3"/>
        <v>430.32310000000001</v>
      </c>
      <c r="I21" s="766">
        <f t="shared" si="4"/>
        <v>1439.4432017500001</v>
      </c>
      <c r="J21" s="765">
        <f t="shared" si="4"/>
        <v>479.81025649999998</v>
      </c>
      <c r="N21" s="730" t="s">
        <v>808</v>
      </c>
      <c r="O21" s="731" t="s">
        <v>813</v>
      </c>
      <c r="P21" s="730" t="s">
        <v>795</v>
      </c>
      <c r="Q21" s="732"/>
      <c r="R21" s="732">
        <v>74</v>
      </c>
      <c r="S21" s="732">
        <v>3</v>
      </c>
      <c r="U21" s="730" t="s">
        <v>808</v>
      </c>
      <c r="V21" s="730" t="s">
        <v>813</v>
      </c>
      <c r="W21" s="731" t="s">
        <v>796</v>
      </c>
      <c r="X21" s="463"/>
      <c r="Y21" s="767">
        <v>38</v>
      </c>
      <c r="Z21" s="767">
        <v>44</v>
      </c>
      <c r="AD21" s="768">
        <f t="shared" si="5"/>
        <v>0</v>
      </c>
      <c r="AE21" s="768">
        <f t="shared" si="0"/>
        <v>74</v>
      </c>
      <c r="AF21" s="768">
        <f t="shared" si="0"/>
        <v>3</v>
      </c>
      <c r="AG21" s="769">
        <f t="shared" si="6"/>
        <v>77</v>
      </c>
      <c r="AI21" s="768">
        <f t="shared" si="7"/>
        <v>0</v>
      </c>
      <c r="AJ21" s="768">
        <f t="shared" si="1"/>
        <v>38</v>
      </c>
      <c r="AK21" s="768">
        <f t="shared" si="1"/>
        <v>44</v>
      </c>
      <c r="AL21" s="769">
        <f t="shared" si="8"/>
        <v>82</v>
      </c>
      <c r="AN21" s="768">
        <f t="shared" si="9"/>
        <v>0</v>
      </c>
      <c r="AO21" s="768">
        <f t="shared" si="2"/>
        <v>112</v>
      </c>
      <c r="AP21" s="768">
        <f t="shared" si="2"/>
        <v>47</v>
      </c>
      <c r="AQ21" s="769">
        <f t="shared" si="10"/>
        <v>159</v>
      </c>
      <c r="AU21" s="770">
        <f t="shared" si="11"/>
        <v>0</v>
      </c>
      <c r="AV21" s="770">
        <f t="shared" si="11"/>
        <v>100345.14</v>
      </c>
      <c r="AW21" s="770">
        <f t="shared" si="11"/>
        <v>20454.849999999999</v>
      </c>
      <c r="AX21" s="771">
        <f t="shared" si="12"/>
        <v>120799.98999999999</v>
      </c>
      <c r="BB21" s="770">
        <f t="shared" si="13"/>
        <v>0</v>
      </c>
      <c r="BC21" s="770">
        <f t="shared" si="13"/>
        <v>111884.8311</v>
      </c>
      <c r="BD21" s="770">
        <f t="shared" si="13"/>
        <v>22807.157750000002</v>
      </c>
      <c r="BE21" s="771">
        <f t="shared" si="14"/>
        <v>134691.98884999999</v>
      </c>
      <c r="BI21" s="770">
        <f t="shared" si="15"/>
        <v>0</v>
      </c>
      <c r="BJ21" s="770">
        <f t="shared" si="15"/>
        <v>124751.58667650001</v>
      </c>
      <c r="BK21" s="770">
        <f t="shared" si="15"/>
        <v>25429.980891250001</v>
      </c>
      <c r="BL21" s="771">
        <f t="shared" si="16"/>
        <v>150181.56756775</v>
      </c>
    </row>
    <row r="22" spans="1:64" x14ac:dyDescent="0.25">
      <c r="A22" s="726" t="s">
        <v>814</v>
      </c>
      <c r="B22" s="726" t="s">
        <v>815</v>
      </c>
      <c r="C22" s="772">
        <v>1095.58</v>
      </c>
      <c r="D22" s="773">
        <v>365.19</v>
      </c>
      <c r="F22" s="766">
        <f t="shared" si="3"/>
        <v>1221.5717</v>
      </c>
      <c r="G22" s="765">
        <f t="shared" si="3"/>
        <v>407.18684999999999</v>
      </c>
      <c r="I22" s="766">
        <f t="shared" si="4"/>
        <v>1362.0524455</v>
      </c>
      <c r="J22" s="765">
        <f t="shared" si="4"/>
        <v>454.01333775000001</v>
      </c>
      <c r="N22" s="730" t="s">
        <v>814</v>
      </c>
      <c r="O22" s="731" t="s">
        <v>815</v>
      </c>
      <c r="P22" s="730" t="s">
        <v>795</v>
      </c>
      <c r="Q22" s="732">
        <v>22</v>
      </c>
      <c r="R22" s="732">
        <v>92</v>
      </c>
      <c r="S22" s="732">
        <v>9</v>
      </c>
      <c r="U22" s="730" t="s">
        <v>814</v>
      </c>
      <c r="V22" s="730" t="s">
        <v>815</v>
      </c>
      <c r="W22" s="731" t="s">
        <v>796</v>
      </c>
      <c r="X22" s="767">
        <v>18</v>
      </c>
      <c r="Y22" s="767">
        <v>55</v>
      </c>
      <c r="Z22" s="767">
        <v>124</v>
      </c>
      <c r="AD22" s="768">
        <f t="shared" si="5"/>
        <v>22</v>
      </c>
      <c r="AE22" s="768">
        <f t="shared" si="0"/>
        <v>92</v>
      </c>
      <c r="AF22" s="768">
        <f t="shared" si="0"/>
        <v>9</v>
      </c>
      <c r="AG22" s="769">
        <f t="shared" si="6"/>
        <v>123</v>
      </c>
      <c r="AI22" s="768">
        <f t="shared" si="7"/>
        <v>18</v>
      </c>
      <c r="AJ22" s="768">
        <f t="shared" si="1"/>
        <v>55</v>
      </c>
      <c r="AK22" s="768">
        <f t="shared" si="1"/>
        <v>124</v>
      </c>
      <c r="AL22" s="769">
        <f t="shared" si="8"/>
        <v>197</v>
      </c>
      <c r="AN22" s="768">
        <f t="shared" si="9"/>
        <v>40</v>
      </c>
      <c r="AO22" s="768">
        <f t="shared" si="2"/>
        <v>147</v>
      </c>
      <c r="AP22" s="768">
        <f t="shared" si="2"/>
        <v>133</v>
      </c>
      <c r="AQ22" s="769">
        <f t="shared" si="10"/>
        <v>320</v>
      </c>
      <c r="AU22" s="770">
        <f t="shared" si="11"/>
        <v>30676.18</v>
      </c>
      <c r="AV22" s="770">
        <f t="shared" si="11"/>
        <v>120878.80999999998</v>
      </c>
      <c r="AW22" s="770">
        <f t="shared" si="11"/>
        <v>55143.78</v>
      </c>
      <c r="AX22" s="771">
        <f t="shared" si="12"/>
        <v>206698.77</v>
      </c>
      <c r="BB22" s="770">
        <f t="shared" si="13"/>
        <v>34203.940699999999</v>
      </c>
      <c r="BC22" s="770">
        <f t="shared" si="13"/>
        <v>134779.87315</v>
      </c>
      <c r="BD22" s="770">
        <f t="shared" si="13"/>
        <v>61485.314700000003</v>
      </c>
      <c r="BE22" s="771">
        <f t="shared" si="14"/>
        <v>230469.12855000002</v>
      </c>
      <c r="BI22" s="770">
        <f t="shared" si="15"/>
        <v>38137.3938805</v>
      </c>
      <c r="BJ22" s="770">
        <f t="shared" si="15"/>
        <v>150279.55856224999</v>
      </c>
      <c r="BK22" s="770">
        <f t="shared" si="15"/>
        <v>68556.1258905</v>
      </c>
      <c r="BL22" s="771">
        <f t="shared" si="16"/>
        <v>256973.07833324999</v>
      </c>
    </row>
    <row r="23" spans="1:64" x14ac:dyDescent="0.25">
      <c r="A23" s="726" t="s">
        <v>814</v>
      </c>
      <c r="B23" s="726" t="s">
        <v>816</v>
      </c>
      <c r="C23" s="772">
        <v>850.59</v>
      </c>
      <c r="D23" s="773">
        <v>283.52999999999997</v>
      </c>
      <c r="F23" s="766">
        <f t="shared" si="3"/>
        <v>948.40785000000005</v>
      </c>
      <c r="G23" s="765">
        <f t="shared" si="3"/>
        <v>316.13594999999998</v>
      </c>
      <c r="I23" s="766">
        <f t="shared" si="4"/>
        <v>1057.4747527500001</v>
      </c>
      <c r="J23" s="765">
        <f t="shared" si="4"/>
        <v>352.49158424999996</v>
      </c>
      <c r="N23" s="730" t="s">
        <v>814</v>
      </c>
      <c r="O23" s="731" t="s">
        <v>816</v>
      </c>
      <c r="P23" s="730" t="s">
        <v>795</v>
      </c>
      <c r="Q23" s="732">
        <v>1</v>
      </c>
      <c r="R23" s="732">
        <v>2</v>
      </c>
      <c r="S23" s="732"/>
      <c r="U23" s="730" t="s">
        <v>814</v>
      </c>
      <c r="V23" s="730" t="s">
        <v>816</v>
      </c>
      <c r="W23" s="731" t="s">
        <v>796</v>
      </c>
      <c r="X23" s="767">
        <v>2</v>
      </c>
      <c r="Y23" s="767">
        <v>6</v>
      </c>
      <c r="Z23" s="767">
        <v>1</v>
      </c>
      <c r="AD23" s="768">
        <f t="shared" si="5"/>
        <v>1</v>
      </c>
      <c r="AE23" s="768">
        <f t="shared" si="0"/>
        <v>2</v>
      </c>
      <c r="AF23" s="768">
        <f t="shared" si="0"/>
        <v>0</v>
      </c>
      <c r="AG23" s="769">
        <f t="shared" si="6"/>
        <v>3</v>
      </c>
      <c r="AI23" s="768">
        <f t="shared" si="7"/>
        <v>2</v>
      </c>
      <c r="AJ23" s="768">
        <f t="shared" si="1"/>
        <v>6</v>
      </c>
      <c r="AK23" s="768">
        <f t="shared" si="1"/>
        <v>1</v>
      </c>
      <c r="AL23" s="769">
        <f t="shared" si="8"/>
        <v>9</v>
      </c>
      <c r="AN23" s="768">
        <f t="shared" si="9"/>
        <v>3</v>
      </c>
      <c r="AO23" s="768">
        <f t="shared" si="2"/>
        <v>8</v>
      </c>
      <c r="AP23" s="768">
        <f t="shared" si="2"/>
        <v>1</v>
      </c>
      <c r="AQ23" s="769">
        <f t="shared" si="10"/>
        <v>12</v>
      </c>
      <c r="AU23" s="770">
        <f t="shared" si="11"/>
        <v>1417.65</v>
      </c>
      <c r="AV23" s="770">
        <f t="shared" si="11"/>
        <v>3402.3599999999997</v>
      </c>
      <c r="AW23" s="770">
        <f t="shared" si="11"/>
        <v>283.52999999999997</v>
      </c>
      <c r="AX23" s="771">
        <f t="shared" si="12"/>
        <v>5103.54</v>
      </c>
      <c r="BB23" s="770">
        <f t="shared" si="13"/>
        <v>1580.67975</v>
      </c>
      <c r="BC23" s="770">
        <f t="shared" si="13"/>
        <v>3793.6314000000002</v>
      </c>
      <c r="BD23" s="770">
        <f t="shared" si="13"/>
        <v>316.13594999999998</v>
      </c>
      <c r="BE23" s="771">
        <f t="shared" si="14"/>
        <v>5690.4471000000003</v>
      </c>
      <c r="BI23" s="770">
        <f t="shared" si="15"/>
        <v>1762.45792125</v>
      </c>
      <c r="BJ23" s="770">
        <f t="shared" si="15"/>
        <v>4229.8990109999995</v>
      </c>
      <c r="BK23" s="770">
        <f t="shared" si="15"/>
        <v>352.49158424999996</v>
      </c>
      <c r="BL23" s="771">
        <f t="shared" si="16"/>
        <v>6344.8485165000002</v>
      </c>
    </row>
    <row r="24" spans="1:64" ht="35.25" customHeight="1" x14ac:dyDescent="0.25">
      <c r="A24" s="1382" t="s">
        <v>817</v>
      </c>
      <c r="B24" s="1382"/>
      <c r="C24" s="1382"/>
      <c r="D24" s="1382"/>
      <c r="Q24" s="454">
        <f>SUM(Q8:Q23)</f>
        <v>100</v>
      </c>
      <c r="R24" s="454">
        <f t="shared" ref="R24:S24" si="17">SUM(R8:R23)</f>
        <v>3429</v>
      </c>
      <c r="S24" s="454">
        <f t="shared" si="17"/>
        <v>37</v>
      </c>
      <c r="X24" s="454">
        <f>SUM(X8:X23)</f>
        <v>33</v>
      </c>
      <c r="Y24" s="454">
        <f t="shared" ref="Y24:Z24" si="18">SUM(Y8:Y23)</f>
        <v>816</v>
      </c>
      <c r="Z24" s="454">
        <f t="shared" si="18"/>
        <v>391</v>
      </c>
      <c r="AD24" s="774">
        <f>SUM(AD8:AD23)</f>
        <v>100</v>
      </c>
      <c r="AE24" s="775">
        <f t="shared" ref="AE24:AG24" si="19">SUM(AE8:AE23)</f>
        <v>3429</v>
      </c>
      <c r="AF24" s="775">
        <f t="shared" si="19"/>
        <v>37</v>
      </c>
      <c r="AG24" s="776">
        <f t="shared" si="19"/>
        <v>3566</v>
      </c>
      <c r="AI24" s="774">
        <f>SUM(AI8:AI23)</f>
        <v>33</v>
      </c>
      <c r="AJ24" s="775">
        <f t="shared" ref="AJ24:AL24" si="20">SUM(AJ8:AJ23)</f>
        <v>816</v>
      </c>
      <c r="AK24" s="775">
        <f t="shared" si="20"/>
        <v>391</v>
      </c>
      <c r="AL24" s="776">
        <f t="shared" si="20"/>
        <v>1240</v>
      </c>
      <c r="AN24" s="774">
        <f>SUM(AN8:AN23)</f>
        <v>133</v>
      </c>
      <c r="AO24" s="775">
        <f t="shared" ref="AO24:AQ24" si="21">SUM(AO8:AO23)</f>
        <v>4245</v>
      </c>
      <c r="AP24" s="775">
        <f t="shared" si="21"/>
        <v>428</v>
      </c>
      <c r="AQ24" s="776">
        <f t="shared" si="21"/>
        <v>4806</v>
      </c>
      <c r="AU24" s="777">
        <f>SUM(AU8:AU23)</f>
        <v>260002.93000000002</v>
      </c>
      <c r="AV24" s="778">
        <f t="shared" ref="AV24:AX24" si="22">SUM(AV8:AV23)</f>
        <v>8275375.5799999982</v>
      </c>
      <c r="AW24" s="778">
        <f t="shared" si="22"/>
        <v>260505.38999999998</v>
      </c>
      <c r="AX24" s="779">
        <f t="shared" si="22"/>
        <v>8795883.9000000004</v>
      </c>
      <c r="BB24" s="777">
        <f>SUM(BB8:BB23)</f>
        <v>289903.26695000002</v>
      </c>
      <c r="BC24" s="778">
        <f t="shared" ref="BC24:BE24" si="23">SUM(BC8:BC23)</f>
        <v>9227043.7716999985</v>
      </c>
      <c r="BD24" s="778">
        <f t="shared" si="23"/>
        <v>290463.50985000003</v>
      </c>
      <c r="BE24" s="779">
        <f t="shared" si="23"/>
        <v>9807410.5484999996</v>
      </c>
      <c r="BI24" s="777">
        <f>SUM(BI8:BI23)</f>
        <v>323242.14264924999</v>
      </c>
      <c r="BJ24" s="778">
        <f t="shared" ref="BJ24:BL24" si="24">SUM(BJ8:BJ23)</f>
        <v>10288153.805445502</v>
      </c>
      <c r="BK24" s="778">
        <f t="shared" si="24"/>
        <v>323866.81348274997</v>
      </c>
      <c r="BL24" s="779">
        <f t="shared" si="24"/>
        <v>10935262.761577498</v>
      </c>
    </row>
    <row r="26" spans="1:64" x14ac:dyDescent="0.25">
      <c r="AN26" s="465"/>
      <c r="AO26" s="465"/>
      <c r="AP26" s="465"/>
      <c r="AQ26" s="465"/>
      <c r="AU26" s="466">
        <v>259742.99000000002</v>
      </c>
      <c r="AV26" s="466">
        <v>8316670.2400000002</v>
      </c>
      <c r="AW26" s="466">
        <v>125314.38</v>
      </c>
    </row>
    <row r="27" spans="1:64" x14ac:dyDescent="0.2">
      <c r="N27" s="780" t="s">
        <v>788</v>
      </c>
      <c r="O27" s="780" t="s">
        <v>789</v>
      </c>
      <c r="P27" s="780" t="s">
        <v>790</v>
      </c>
      <c r="Q27" s="780" t="s">
        <v>32</v>
      </c>
      <c r="R27" s="780" t="s">
        <v>283</v>
      </c>
      <c r="S27" s="780" t="s">
        <v>791</v>
      </c>
      <c r="U27" s="781" t="s">
        <v>788</v>
      </c>
      <c r="V27" s="782" t="s">
        <v>789</v>
      </c>
      <c r="W27" s="781" t="s">
        <v>790</v>
      </c>
      <c r="X27" s="781" t="s">
        <v>32</v>
      </c>
      <c r="Y27" s="781" t="s">
        <v>283</v>
      </c>
      <c r="Z27" s="781" t="s">
        <v>791</v>
      </c>
      <c r="AN27" s="467"/>
      <c r="AO27" s="467"/>
      <c r="AP27" s="467"/>
      <c r="AQ27" s="467"/>
      <c r="AR27" s="467">
        <f t="shared" ref="AR27" si="25">AR26-AR24</f>
        <v>0</v>
      </c>
      <c r="AS27" s="455" t="s">
        <v>818</v>
      </c>
      <c r="AU27" s="466">
        <f>AU26-AU24</f>
        <v>-259.94000000000233</v>
      </c>
      <c r="AV27" s="466">
        <f t="shared" ref="AV27:AW27" si="26">AV26-AV24</f>
        <v>41294.660000002012</v>
      </c>
      <c r="AW27" s="466">
        <f t="shared" si="26"/>
        <v>-135191.00999999998</v>
      </c>
      <c r="BB27" s="783">
        <f>BB24-AU24</f>
        <v>29900.336949999997</v>
      </c>
      <c r="BC27" s="783">
        <f t="shared" ref="BC27:BD27" si="27">BC24-AV24</f>
        <v>951668.19170000032</v>
      </c>
      <c r="BD27" s="783">
        <f t="shared" si="27"/>
        <v>29958.119850000046</v>
      </c>
      <c r="BE27" s="783">
        <f>BB27+BC27+BD27</f>
        <v>1011526.6485000004</v>
      </c>
      <c r="BI27" s="783">
        <f>BI24-BB24</f>
        <v>33338.875699249969</v>
      </c>
      <c r="BJ27" s="783">
        <f t="shared" ref="BJ27:BK27" si="28">BJ24-BC24</f>
        <v>1061110.0337455031</v>
      </c>
      <c r="BK27" s="783">
        <f t="shared" si="28"/>
        <v>33403.303632749943</v>
      </c>
      <c r="BL27" s="783">
        <f>BI27+BJ27+BK27</f>
        <v>1127852.213077503</v>
      </c>
    </row>
    <row r="28" spans="1:64" x14ac:dyDescent="0.2">
      <c r="N28" s="784" t="s">
        <v>793</v>
      </c>
      <c r="O28" s="784" t="s">
        <v>794</v>
      </c>
      <c r="P28" s="784" t="s">
        <v>795</v>
      </c>
      <c r="Q28" s="785">
        <v>17</v>
      </c>
      <c r="R28" s="785">
        <v>299</v>
      </c>
      <c r="S28" s="468"/>
      <c r="U28" s="786" t="s">
        <v>793</v>
      </c>
      <c r="V28" s="786" t="s">
        <v>794</v>
      </c>
      <c r="W28" s="786" t="s">
        <v>796</v>
      </c>
      <c r="X28" s="767">
        <v>2</v>
      </c>
      <c r="Y28" s="767">
        <v>70</v>
      </c>
      <c r="Z28" s="767">
        <v>8</v>
      </c>
    </row>
    <row r="29" spans="1:64" x14ac:dyDescent="0.2">
      <c r="N29" s="784" t="s">
        <v>793</v>
      </c>
      <c r="O29" s="784" t="s">
        <v>797</v>
      </c>
      <c r="P29" s="784" t="s">
        <v>795</v>
      </c>
      <c r="Q29" s="468"/>
      <c r="R29" s="785">
        <v>56</v>
      </c>
      <c r="S29" s="468"/>
      <c r="U29" s="786" t="s">
        <v>793</v>
      </c>
      <c r="V29" s="786" t="s">
        <v>797</v>
      </c>
      <c r="W29" s="786" t="s">
        <v>796</v>
      </c>
      <c r="X29" s="463"/>
      <c r="Y29" s="767">
        <v>13</v>
      </c>
      <c r="Z29" s="767">
        <v>4</v>
      </c>
      <c r="AS29" s="455" t="s">
        <v>819</v>
      </c>
      <c r="BB29" s="783">
        <f>BB27*1</f>
        <v>29900.336949999997</v>
      </c>
      <c r="BC29" s="783">
        <f>BC27*1</f>
        <v>951668.19170000032</v>
      </c>
      <c r="BD29" s="783">
        <f>BD27*1</f>
        <v>29958.119850000046</v>
      </c>
      <c r="BE29" s="783">
        <f>BB29+BC29+BD29</f>
        <v>1011526.6485000004</v>
      </c>
      <c r="BI29" s="469"/>
      <c r="BJ29" s="469"/>
      <c r="BK29" s="469"/>
      <c r="BL29" s="469"/>
    </row>
    <row r="30" spans="1:64" x14ac:dyDescent="0.2">
      <c r="N30" s="784" t="s">
        <v>793</v>
      </c>
      <c r="O30" s="784" t="s">
        <v>798</v>
      </c>
      <c r="P30" s="784" t="s">
        <v>795</v>
      </c>
      <c r="Q30" s="785">
        <v>26</v>
      </c>
      <c r="R30" s="785">
        <v>483</v>
      </c>
      <c r="S30" s="468"/>
      <c r="U30" s="786" t="s">
        <v>793</v>
      </c>
      <c r="V30" s="786" t="s">
        <v>798</v>
      </c>
      <c r="W30" s="786" t="s">
        <v>796</v>
      </c>
      <c r="X30" s="767">
        <v>1</v>
      </c>
      <c r="Y30" s="767">
        <v>76</v>
      </c>
      <c r="Z30" s="767">
        <v>13</v>
      </c>
    </row>
    <row r="31" spans="1:64" x14ac:dyDescent="0.2">
      <c r="N31" s="784" t="s">
        <v>799</v>
      </c>
      <c r="O31" s="784" t="s">
        <v>800</v>
      </c>
      <c r="P31" s="784" t="s">
        <v>795</v>
      </c>
      <c r="Q31" s="468"/>
      <c r="R31" s="785">
        <v>214</v>
      </c>
      <c r="S31" s="468"/>
      <c r="U31" s="786" t="s">
        <v>799</v>
      </c>
      <c r="V31" s="786" t="s">
        <v>800</v>
      </c>
      <c r="W31" s="786" t="s">
        <v>796</v>
      </c>
      <c r="X31" s="767">
        <v>1</v>
      </c>
      <c r="Y31" s="767">
        <v>41</v>
      </c>
      <c r="Z31" s="767">
        <v>8</v>
      </c>
      <c r="AS31" s="455" t="s">
        <v>820</v>
      </c>
      <c r="AX31" s="466">
        <f>AX24*12</f>
        <v>105550606.80000001</v>
      </c>
      <c r="BB31" s="783">
        <f>BB27*12</f>
        <v>358804.04339999997</v>
      </c>
      <c r="BC31" s="783">
        <f t="shared" ref="BC31:BD31" si="29">BC27*12</f>
        <v>11420018.300400004</v>
      </c>
      <c r="BD31" s="783">
        <f t="shared" si="29"/>
        <v>359497.43820000056</v>
      </c>
      <c r="BE31" s="783">
        <f>BB31+BC31+BD31</f>
        <v>12138319.782000005</v>
      </c>
      <c r="BI31" s="469"/>
      <c r="BJ31" s="469"/>
      <c r="BK31" s="469"/>
      <c r="BL31" s="469"/>
    </row>
    <row r="32" spans="1:64" x14ac:dyDescent="0.2">
      <c r="N32" s="784" t="s">
        <v>801</v>
      </c>
      <c r="O32" s="784" t="s">
        <v>802</v>
      </c>
      <c r="P32" s="784" t="s">
        <v>795</v>
      </c>
      <c r="Q32" s="785">
        <v>6</v>
      </c>
      <c r="R32" s="785">
        <v>131</v>
      </c>
      <c r="S32" s="468"/>
      <c r="U32" s="786" t="s">
        <v>801</v>
      </c>
      <c r="V32" s="786" t="s">
        <v>802</v>
      </c>
      <c r="W32" s="786" t="s">
        <v>796</v>
      </c>
      <c r="X32" s="767">
        <v>2</v>
      </c>
      <c r="Y32" s="767">
        <v>12</v>
      </c>
      <c r="Z32" s="767">
        <v>11</v>
      </c>
    </row>
    <row r="33" spans="14:64" x14ac:dyDescent="0.2">
      <c r="N33" s="784" t="s">
        <v>801</v>
      </c>
      <c r="O33" s="784" t="s">
        <v>803</v>
      </c>
      <c r="P33" s="784" t="s">
        <v>795</v>
      </c>
      <c r="Q33" s="785">
        <v>22</v>
      </c>
      <c r="R33" s="785">
        <v>802</v>
      </c>
      <c r="S33" s="785">
        <v>4</v>
      </c>
      <c r="U33" s="786" t="s">
        <v>801</v>
      </c>
      <c r="V33" s="786" t="s">
        <v>803</v>
      </c>
      <c r="W33" s="786" t="s">
        <v>796</v>
      </c>
      <c r="X33" s="767">
        <v>5</v>
      </c>
      <c r="Y33" s="767">
        <v>136</v>
      </c>
      <c r="Z33" s="767">
        <v>36</v>
      </c>
      <c r="AS33" s="455" t="s">
        <v>821</v>
      </c>
      <c r="BI33" s="783">
        <f>BI27*12</f>
        <v>400066.50839099963</v>
      </c>
      <c r="BJ33" s="783">
        <f t="shared" ref="BJ33:BK33" si="30">BJ27*12</f>
        <v>12733320.404946037</v>
      </c>
      <c r="BK33" s="783">
        <f t="shared" si="30"/>
        <v>400839.64359299932</v>
      </c>
      <c r="BL33" s="783">
        <f>BI33+BJ33+BK33</f>
        <v>13534226.556930035</v>
      </c>
    </row>
    <row r="34" spans="14:64" x14ac:dyDescent="0.2">
      <c r="N34" s="784" t="s">
        <v>808</v>
      </c>
      <c r="O34" s="784" t="s">
        <v>809</v>
      </c>
      <c r="P34" s="784" t="s">
        <v>795</v>
      </c>
      <c r="Q34" s="785">
        <v>3</v>
      </c>
      <c r="R34" s="785">
        <v>361</v>
      </c>
      <c r="S34" s="785">
        <v>2</v>
      </c>
      <c r="U34" s="786" t="s">
        <v>808</v>
      </c>
      <c r="V34" s="786" t="s">
        <v>809</v>
      </c>
      <c r="W34" s="786" t="s">
        <v>796</v>
      </c>
      <c r="X34" s="463"/>
      <c r="Y34" s="767">
        <v>76</v>
      </c>
      <c r="Z34" s="767">
        <v>26</v>
      </c>
    </row>
    <row r="35" spans="14:64" x14ac:dyDescent="0.2">
      <c r="N35" s="784" t="s">
        <v>808</v>
      </c>
      <c r="O35" s="784" t="s">
        <v>810</v>
      </c>
      <c r="P35" s="784" t="s">
        <v>795</v>
      </c>
      <c r="Q35" s="785">
        <v>1</v>
      </c>
      <c r="R35" s="785">
        <v>207</v>
      </c>
      <c r="S35" s="468"/>
      <c r="U35" s="786" t="s">
        <v>808</v>
      </c>
      <c r="V35" s="786" t="s">
        <v>810</v>
      </c>
      <c r="W35" s="786" t="s">
        <v>796</v>
      </c>
      <c r="X35" s="463"/>
      <c r="Y35" s="767">
        <v>59</v>
      </c>
      <c r="Z35" s="767">
        <v>22</v>
      </c>
      <c r="AS35" s="455" t="s">
        <v>822</v>
      </c>
      <c r="BI35" s="783">
        <f>BI27*12</f>
        <v>400066.50839099963</v>
      </c>
      <c r="BJ35" s="783">
        <f t="shared" ref="BJ35:BK35" si="31">BJ27*12</f>
        <v>12733320.404946037</v>
      </c>
      <c r="BK35" s="783">
        <f t="shared" si="31"/>
        <v>400839.64359299932</v>
      </c>
      <c r="BL35" s="783">
        <f>BI35+BJ35+BK35</f>
        <v>13534226.556930035</v>
      </c>
    </row>
    <row r="36" spans="14:64" x14ac:dyDescent="0.2">
      <c r="N36" s="784" t="s">
        <v>808</v>
      </c>
      <c r="O36" s="784" t="s">
        <v>811</v>
      </c>
      <c r="P36" s="784" t="s">
        <v>795</v>
      </c>
      <c r="Q36" s="785">
        <v>1</v>
      </c>
      <c r="R36" s="785">
        <v>372</v>
      </c>
      <c r="S36" s="785">
        <v>9</v>
      </c>
      <c r="U36" s="786" t="s">
        <v>808</v>
      </c>
      <c r="V36" s="786" t="s">
        <v>811</v>
      </c>
      <c r="W36" s="786" t="s">
        <v>796</v>
      </c>
      <c r="X36" s="767">
        <v>1</v>
      </c>
      <c r="Y36" s="767">
        <v>97</v>
      </c>
      <c r="Z36" s="767">
        <v>35</v>
      </c>
    </row>
    <row r="37" spans="14:64" x14ac:dyDescent="0.2">
      <c r="N37" s="784" t="s">
        <v>808</v>
      </c>
      <c r="O37" s="784" t="s">
        <v>812</v>
      </c>
      <c r="P37" s="784" t="s">
        <v>795</v>
      </c>
      <c r="Q37" s="785">
        <v>1</v>
      </c>
      <c r="R37" s="785">
        <v>336</v>
      </c>
      <c r="S37" s="785">
        <v>10</v>
      </c>
      <c r="U37" s="786" t="s">
        <v>808</v>
      </c>
      <c r="V37" s="786" t="s">
        <v>812</v>
      </c>
      <c r="W37" s="786" t="s">
        <v>796</v>
      </c>
      <c r="X37" s="767">
        <v>1</v>
      </c>
      <c r="Y37" s="767">
        <v>137</v>
      </c>
      <c r="Z37" s="767">
        <v>59</v>
      </c>
    </row>
    <row r="38" spans="14:64" x14ac:dyDescent="0.2">
      <c r="N38" s="784" t="s">
        <v>808</v>
      </c>
      <c r="O38" s="784" t="s">
        <v>813</v>
      </c>
      <c r="P38" s="784" t="s">
        <v>795</v>
      </c>
      <c r="Q38" s="468"/>
      <c r="R38" s="785">
        <v>74</v>
      </c>
      <c r="S38" s="785">
        <v>3</v>
      </c>
      <c r="U38" s="786" t="s">
        <v>808</v>
      </c>
      <c r="V38" s="786" t="s">
        <v>813</v>
      </c>
      <c r="W38" s="786" t="s">
        <v>796</v>
      </c>
      <c r="X38" s="463"/>
      <c r="Y38" s="767">
        <v>38</v>
      </c>
      <c r="Z38" s="767">
        <v>44</v>
      </c>
    </row>
    <row r="39" spans="14:64" x14ac:dyDescent="0.2">
      <c r="N39" s="784" t="s">
        <v>814</v>
      </c>
      <c r="O39" s="784" t="s">
        <v>815</v>
      </c>
      <c r="P39" s="784" t="s">
        <v>795</v>
      </c>
      <c r="Q39" s="785">
        <v>22</v>
      </c>
      <c r="R39" s="785">
        <v>92</v>
      </c>
      <c r="S39" s="785">
        <v>9</v>
      </c>
      <c r="U39" s="786" t="s">
        <v>814</v>
      </c>
      <c r="V39" s="786" t="s">
        <v>815</v>
      </c>
      <c r="W39" s="786" t="s">
        <v>796</v>
      </c>
      <c r="X39" s="767">
        <v>18</v>
      </c>
      <c r="Y39" s="767">
        <v>55</v>
      </c>
      <c r="Z39" s="767">
        <v>124</v>
      </c>
    </row>
    <row r="40" spans="14:64" x14ac:dyDescent="0.2">
      <c r="N40" s="784" t="s">
        <v>814</v>
      </c>
      <c r="O40" s="784" t="s">
        <v>816</v>
      </c>
      <c r="P40" s="784" t="s">
        <v>795</v>
      </c>
      <c r="Q40" s="785">
        <v>1</v>
      </c>
      <c r="R40" s="785">
        <v>2</v>
      </c>
      <c r="S40" s="468"/>
      <c r="U40" s="786" t="s">
        <v>814</v>
      </c>
      <c r="V40" s="786" t="s">
        <v>816</v>
      </c>
      <c r="W40" s="786" t="s">
        <v>796</v>
      </c>
      <c r="X40" s="767">
        <v>2</v>
      </c>
      <c r="Y40" s="767">
        <v>6</v>
      </c>
      <c r="Z40" s="767">
        <v>1</v>
      </c>
    </row>
    <row r="41" spans="14:64" x14ac:dyDescent="0.25">
      <c r="Q41" s="454">
        <f>SUM(Q28:Q40)</f>
        <v>100</v>
      </c>
      <c r="R41" s="454">
        <f t="shared" ref="R41:S41" si="32">SUM(R28:R40)</f>
        <v>3429</v>
      </c>
      <c r="S41" s="454">
        <f t="shared" si="32"/>
        <v>37</v>
      </c>
      <c r="X41" s="454">
        <f>SUM(X28:X40)</f>
        <v>33</v>
      </c>
      <c r="Y41" s="454">
        <f t="shared" ref="Y41:Z41" si="33">SUM(Y28:Y40)</f>
        <v>816</v>
      </c>
      <c r="Z41" s="454">
        <f t="shared" si="33"/>
        <v>391</v>
      </c>
    </row>
  </sheetData>
  <mergeCells count="10">
    <mergeCell ref="AU5:AX5"/>
    <mergeCell ref="BB5:BE5"/>
    <mergeCell ref="BI5:BL5"/>
    <mergeCell ref="A24:D24"/>
    <mergeCell ref="C5:D5"/>
    <mergeCell ref="F5:G5"/>
    <mergeCell ref="I5:J5"/>
    <mergeCell ref="AD5:AG5"/>
    <mergeCell ref="AI5:AL5"/>
    <mergeCell ref="AN5:AQ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61258-7D50-40BC-94F8-F83A04D15367}">
  <sheetPr>
    <tabColor rgb="FFFFC000"/>
  </sheetPr>
  <dimension ref="A1:AT6"/>
  <sheetViews>
    <sheetView showGridLines="0" zoomScale="115" zoomScaleNormal="115" workbookViewId="0">
      <pane xSplit="2" ySplit="4" topLeftCell="C5" activePane="bottomRight" state="frozen"/>
      <selection activeCell="AR6" sqref="AR6"/>
      <selection pane="topRight" activeCell="AR6" sqref="AR6"/>
      <selection pane="bottomLeft" activeCell="AR6" sqref="AR6"/>
      <selection pane="bottomRight" activeCell="AR6" sqref="AR6"/>
    </sheetView>
  </sheetViews>
  <sheetFormatPr defaultColWidth="9.140625" defaultRowHeight="15" outlineLevelRow="1" outlineLevelCol="1" x14ac:dyDescent="0.25"/>
  <cols>
    <col min="1" max="1" width="39.85546875" style="221" customWidth="1"/>
    <col min="2" max="2" width="54.7109375" style="17" customWidth="1"/>
    <col min="3" max="3" width="20.42578125" style="1" customWidth="1" outlineLevel="1"/>
    <col min="4" max="6" width="15" style="10" customWidth="1" outlineLevel="1"/>
    <col min="7" max="7" width="15" style="11" customWidth="1"/>
    <col min="8" max="10" width="18.28515625" style="1" customWidth="1" outlineLevel="1"/>
    <col min="11" max="13" width="18.28515625" style="1" customWidth="1"/>
    <col min="14" max="16" width="18.28515625" style="1" customWidth="1" outlineLevel="1"/>
    <col min="17" max="19" width="15" style="1" customWidth="1"/>
    <col min="20" max="20" width="16.85546875" style="1" customWidth="1" outlineLevel="1"/>
    <col min="21" max="21" width="16.7109375" style="1" customWidth="1" outlineLevel="1"/>
    <col min="22" max="22" width="17.85546875" style="1" bestFit="1" customWidth="1" outlineLevel="1"/>
    <col min="23" max="23" width="20.28515625" style="1" customWidth="1"/>
    <col min="24" max="24" width="19" style="1" bestFit="1" customWidth="1"/>
    <col min="25" max="25" width="18.28515625" style="1" customWidth="1"/>
    <col min="26" max="26" width="20.7109375" style="1" bestFit="1" customWidth="1" outlineLevel="1"/>
    <col min="27" max="27" width="16.42578125" style="1" customWidth="1" outlineLevel="1"/>
    <col min="28" max="28" width="17.85546875" style="1" bestFit="1" customWidth="1" outlineLevel="1"/>
    <col min="29" max="29" width="17.85546875" style="1" customWidth="1"/>
    <col min="30" max="30" width="16.42578125" style="1" customWidth="1"/>
    <col min="31" max="31" width="17.85546875" style="1" customWidth="1"/>
    <col min="32" max="36" width="15" style="1" hidden="1" customWidth="1"/>
    <col min="37" max="37" width="19.140625" style="1" hidden="1" customWidth="1" outlineLevel="1"/>
    <col min="38" max="38" width="18" style="1" hidden="1" customWidth="1" outlineLevel="1"/>
    <col min="39" max="39" width="18.7109375" style="1" customWidth="1" collapsed="1"/>
    <col min="40" max="40" width="17" style="1" customWidth="1"/>
    <col min="41" max="41" width="21.85546875" style="1" bestFit="1" customWidth="1"/>
    <col min="42" max="42" width="19" style="15" bestFit="1" customWidth="1"/>
    <col min="43" max="43" width="20.7109375" style="16" bestFit="1" customWidth="1"/>
    <col min="44" max="44" width="22.28515625" style="16" customWidth="1"/>
    <col min="45" max="45" width="35.42578125" style="1" bestFit="1" customWidth="1"/>
    <col min="46" max="47" width="19.42578125" style="1" bestFit="1" customWidth="1"/>
    <col min="48" max="16384" width="9.140625" style="1"/>
  </cols>
  <sheetData>
    <row r="1" spans="1:46" x14ac:dyDescent="0.25">
      <c r="H1" s="442">
        <f>SUBTOTAL(9,H5:H5)</f>
        <v>0</v>
      </c>
      <c r="I1" s="442">
        <f>SUBTOTAL(9,I5:I5)</f>
        <v>0</v>
      </c>
      <c r="J1" s="442"/>
      <c r="K1" s="442">
        <f>SUBTOTAL(9,K5:K5)</f>
        <v>0</v>
      </c>
      <c r="L1" s="442">
        <f>SUBTOTAL(9,L5:L5)</f>
        <v>0</v>
      </c>
      <c r="M1" s="442">
        <f>SUBTOTAL(9,M5:M5)</f>
        <v>0</v>
      </c>
      <c r="N1" s="442">
        <f>SUBTOTAL(9,N5:N5)</f>
        <v>0</v>
      </c>
      <c r="O1" s="442">
        <f>SUBTOTAL(9,O5:O5)</f>
        <v>0</v>
      </c>
      <c r="P1" s="442"/>
      <c r="Q1" s="442">
        <f>SUBTOTAL(9,Q5:Q5)</f>
        <v>0</v>
      </c>
      <c r="R1" s="442">
        <f>SUBTOTAL(9,R5:R5)</f>
        <v>0</v>
      </c>
      <c r="S1" s="442">
        <f>SUBTOTAL(9,S5:S5)</f>
        <v>0</v>
      </c>
      <c r="T1" s="442">
        <f>SUBTOTAL(9,T5:T5)</f>
        <v>0</v>
      </c>
      <c r="U1" s="442">
        <f>SUBTOTAL(9,U5:U5)</f>
        <v>0</v>
      </c>
      <c r="V1" s="442"/>
      <c r="W1" s="442">
        <f>SUBTOTAL(9,W5:W5)</f>
        <v>5187000</v>
      </c>
      <c r="X1" s="442">
        <f>SUBTOTAL(9,X5:X5)</f>
        <v>0</v>
      </c>
      <c r="Y1" s="442">
        <f>SUBTOTAL(9,Y5:Y5)</f>
        <v>5187000</v>
      </c>
      <c r="Z1" s="442">
        <f>SUBTOTAL(9,Z5:Z5)</f>
        <v>0</v>
      </c>
      <c r="AA1" s="442">
        <f>SUBTOTAL(9,AA5:AA5)</f>
        <v>0</v>
      </c>
      <c r="AB1" s="442"/>
      <c r="AC1" s="442">
        <f t="shared" ref="AC1:AR1" si="0">SUBTOTAL(9,AC5:AC5)</f>
        <v>5187000</v>
      </c>
      <c r="AD1" s="442">
        <f t="shared" si="0"/>
        <v>0</v>
      </c>
      <c r="AE1" s="442">
        <f t="shared" si="0"/>
        <v>5187000</v>
      </c>
      <c r="AF1" s="442">
        <f t="shared" si="0"/>
        <v>0</v>
      </c>
      <c r="AG1" s="442">
        <f t="shared" si="0"/>
        <v>0</v>
      </c>
      <c r="AH1" s="442">
        <f t="shared" si="0"/>
        <v>0</v>
      </c>
      <c r="AI1" s="442">
        <f t="shared" si="0"/>
        <v>0</v>
      </c>
      <c r="AJ1" s="442">
        <f t="shared" si="0"/>
        <v>0</v>
      </c>
      <c r="AK1" s="442">
        <f t="shared" si="0"/>
        <v>0</v>
      </c>
      <c r="AL1" s="442">
        <f t="shared" si="0"/>
        <v>0</v>
      </c>
      <c r="AM1" s="442">
        <f t="shared" si="0"/>
        <v>5187000</v>
      </c>
      <c r="AN1" s="442">
        <f t="shared" si="0"/>
        <v>0</v>
      </c>
      <c r="AO1" s="442">
        <f t="shared" si="0"/>
        <v>5187000</v>
      </c>
      <c r="AP1" s="442">
        <f t="shared" si="0"/>
        <v>0</v>
      </c>
      <c r="AQ1" s="442">
        <f t="shared" si="0"/>
        <v>5187000</v>
      </c>
      <c r="AR1" s="442">
        <f t="shared" si="0"/>
        <v>5187000</v>
      </c>
      <c r="AS1" s="442"/>
    </row>
    <row r="2" spans="1:46" ht="15" customHeight="1" x14ac:dyDescent="0.25">
      <c r="B2" s="1021" t="s">
        <v>24</v>
      </c>
      <c r="C2" s="1022" t="s">
        <v>25</v>
      </c>
      <c r="D2" s="1023" t="s">
        <v>26</v>
      </c>
      <c r="E2" s="1023"/>
      <c r="F2" s="1023"/>
      <c r="G2" s="1022" t="s">
        <v>27</v>
      </c>
      <c r="H2" s="1022" t="s">
        <v>28</v>
      </c>
      <c r="I2" s="1022"/>
      <c r="J2" s="1022"/>
      <c r="K2" s="1022"/>
      <c r="L2" s="1022"/>
      <c r="M2" s="1022"/>
      <c r="N2" s="1022"/>
      <c r="O2" s="1022"/>
      <c r="P2" s="1022"/>
      <c r="Q2" s="1022"/>
      <c r="R2" s="1022"/>
      <c r="S2" s="1022"/>
      <c r="T2" s="1022" t="s">
        <v>28</v>
      </c>
      <c r="U2" s="1022"/>
      <c r="V2" s="1022"/>
      <c r="W2" s="1022"/>
      <c r="X2" s="1022"/>
      <c r="Y2" s="1022"/>
      <c r="Z2" s="1022"/>
      <c r="AA2" s="1022"/>
      <c r="AB2" s="1022"/>
      <c r="AC2" s="1022"/>
      <c r="AD2" s="1022"/>
      <c r="AE2" s="1022"/>
      <c r="AF2" s="28"/>
      <c r="AG2" s="28"/>
      <c r="AH2" s="28"/>
      <c r="AI2" s="28"/>
      <c r="AJ2" s="28"/>
      <c r="AK2" s="1022" t="s">
        <v>28</v>
      </c>
      <c r="AL2" s="1022"/>
      <c r="AM2" s="1022"/>
      <c r="AN2" s="1022"/>
      <c r="AO2" s="1022"/>
      <c r="AP2" s="1024" t="s">
        <v>2</v>
      </c>
      <c r="AQ2" s="1024"/>
      <c r="AR2" s="1024"/>
    </row>
    <row r="3" spans="1:46" x14ac:dyDescent="0.25">
      <c r="B3" s="1021"/>
      <c r="C3" s="1022"/>
      <c r="D3" s="2" t="s">
        <v>29</v>
      </c>
      <c r="E3" s="2" t="s">
        <v>30</v>
      </c>
      <c r="F3" s="2" t="s">
        <v>13</v>
      </c>
      <c r="G3" s="1022"/>
      <c r="H3" s="1025">
        <v>2025</v>
      </c>
      <c r="I3" s="1025"/>
      <c r="J3" s="1025"/>
      <c r="K3" s="1025"/>
      <c r="L3" s="1025"/>
      <c r="M3" s="1025"/>
      <c r="N3" s="1025" t="s">
        <v>31</v>
      </c>
      <c r="O3" s="1025"/>
      <c r="P3" s="1025"/>
      <c r="Q3" s="1025"/>
      <c r="R3" s="1025"/>
      <c r="S3" s="1025"/>
      <c r="T3" s="1026">
        <v>2026</v>
      </c>
      <c r="U3" s="1026"/>
      <c r="V3" s="1026"/>
      <c r="W3" s="1026"/>
      <c r="X3" s="1026"/>
      <c r="Y3" s="1026"/>
      <c r="Z3" s="1026" t="s">
        <v>31</v>
      </c>
      <c r="AA3" s="1026"/>
      <c r="AB3" s="1026"/>
      <c r="AC3" s="1026"/>
      <c r="AD3" s="1026"/>
      <c r="AE3" s="1026"/>
      <c r="AF3" s="1027">
        <v>2027</v>
      </c>
      <c r="AG3" s="1028"/>
      <c r="AH3" s="1028"/>
      <c r="AI3" s="1028"/>
      <c r="AJ3" s="1029"/>
      <c r="AK3" s="1022" t="s">
        <v>13</v>
      </c>
      <c r="AL3" s="1022"/>
      <c r="AM3" s="1022"/>
      <c r="AN3" s="1022"/>
      <c r="AO3" s="1022"/>
      <c r="AP3" s="3"/>
      <c r="AQ3" s="3"/>
      <c r="AR3" s="3"/>
      <c r="AS3" s="3"/>
    </row>
    <row r="4" spans="1:46" x14ac:dyDescent="0.25">
      <c r="B4" s="1021"/>
      <c r="C4" s="1022"/>
      <c r="D4" s="2"/>
      <c r="E4" s="2"/>
      <c r="F4" s="2"/>
      <c r="G4" s="1022"/>
      <c r="H4" s="4" t="s">
        <v>32</v>
      </c>
      <c r="I4" s="4" t="s">
        <v>30</v>
      </c>
      <c r="J4" s="4" t="s">
        <v>33</v>
      </c>
      <c r="K4" s="4" t="s">
        <v>34</v>
      </c>
      <c r="L4" s="4" t="s">
        <v>35</v>
      </c>
      <c r="M4" s="4" t="s">
        <v>13</v>
      </c>
      <c r="N4" s="4" t="s">
        <v>32</v>
      </c>
      <c r="O4" s="4" t="s">
        <v>30</v>
      </c>
      <c r="P4" s="4" t="s">
        <v>33</v>
      </c>
      <c r="Q4" s="4" t="s">
        <v>34</v>
      </c>
      <c r="R4" s="4" t="s">
        <v>35</v>
      </c>
      <c r="S4" s="4" t="s">
        <v>13</v>
      </c>
      <c r="T4" s="5" t="s">
        <v>32</v>
      </c>
      <c r="U4" s="5" t="s">
        <v>30</v>
      </c>
      <c r="V4" s="5" t="s">
        <v>36</v>
      </c>
      <c r="W4" s="5" t="s">
        <v>34</v>
      </c>
      <c r="X4" s="5" t="s">
        <v>35</v>
      </c>
      <c r="Y4" s="5" t="s">
        <v>13</v>
      </c>
      <c r="Z4" s="5" t="s">
        <v>32</v>
      </c>
      <c r="AA4" s="5" t="s">
        <v>30</v>
      </c>
      <c r="AB4" s="5" t="s">
        <v>33</v>
      </c>
      <c r="AC4" s="5" t="s">
        <v>34</v>
      </c>
      <c r="AD4" s="5" t="s">
        <v>35</v>
      </c>
      <c r="AE4" s="5" t="s">
        <v>13</v>
      </c>
      <c r="AF4" s="29" t="s">
        <v>32</v>
      </c>
      <c r="AG4" s="29" t="s">
        <v>30</v>
      </c>
      <c r="AH4" s="29" t="s">
        <v>34</v>
      </c>
      <c r="AI4" s="29" t="s">
        <v>35</v>
      </c>
      <c r="AJ4" s="29" t="s">
        <v>13</v>
      </c>
      <c r="AK4" s="6" t="s">
        <v>32</v>
      </c>
      <c r="AL4" s="6" t="s">
        <v>30</v>
      </c>
      <c r="AM4" s="6" t="s">
        <v>34</v>
      </c>
      <c r="AN4" s="6" t="s">
        <v>35</v>
      </c>
      <c r="AO4" s="6" t="s">
        <v>13</v>
      </c>
      <c r="AP4" s="7">
        <v>2025</v>
      </c>
      <c r="AQ4" s="8">
        <v>2026</v>
      </c>
      <c r="AR4" s="8" t="s">
        <v>37</v>
      </c>
      <c r="AS4" s="8" t="s">
        <v>38</v>
      </c>
    </row>
    <row r="5" spans="1:46" s="9" customFormat="1" ht="22.5" outlineLevel="1" x14ac:dyDescent="0.2">
      <c r="A5" s="1444" t="s">
        <v>1853</v>
      </c>
      <c r="B5" s="227"/>
      <c r="C5" s="22"/>
      <c r="D5" s="23"/>
      <c r="E5" s="23"/>
      <c r="F5" s="23">
        <f>'Item21 - Reabertura Prazo CEEXT'!B18</f>
        <v>193</v>
      </c>
      <c r="G5" s="24">
        <v>46113</v>
      </c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>
        <f>'Item21 - Reabertura Prazo CEEXT'!E18</f>
        <v>5187000</v>
      </c>
      <c r="W5" s="342">
        <f t="shared" ref="W5" si="1">T5+U5+V5</f>
        <v>5187000</v>
      </c>
      <c r="X5" s="343">
        <v>0</v>
      </c>
      <c r="Y5" s="343">
        <f t="shared" ref="Y5" si="2">SUM(W5:X5)</f>
        <v>5187000</v>
      </c>
      <c r="Z5" s="343"/>
      <c r="AA5" s="343"/>
      <c r="AB5" s="343">
        <f>'Item21 - Reabertura Prazo CEEXT'!E18</f>
        <v>5187000</v>
      </c>
      <c r="AC5" s="342">
        <f t="shared" ref="AC5" si="3">Z5+AA5+AB5</f>
        <v>5187000</v>
      </c>
      <c r="AD5" s="343"/>
      <c r="AE5" s="343">
        <f t="shared" ref="AE5" si="4">SUM(AC5:AD5)</f>
        <v>5187000</v>
      </c>
      <c r="AF5" s="343"/>
      <c r="AG5" s="343"/>
      <c r="AH5" s="343"/>
      <c r="AI5" s="343"/>
      <c r="AJ5" s="343"/>
      <c r="AK5" s="349"/>
      <c r="AL5" s="349"/>
      <c r="AM5" s="349">
        <f>Q5+AC5</f>
        <v>5187000</v>
      </c>
      <c r="AN5" s="349">
        <f>R5+AD5</f>
        <v>0</v>
      </c>
      <c r="AO5" s="349">
        <f>S5+AE5</f>
        <v>5187000</v>
      </c>
      <c r="AP5" s="350">
        <f t="shared" ref="AP5" si="5">M5</f>
        <v>0</v>
      </c>
      <c r="AQ5" s="350">
        <f t="shared" ref="AQ5" si="6">S5+Y5</f>
        <v>5187000</v>
      </c>
      <c r="AR5" s="350">
        <f t="shared" ref="AR5" si="7">S5+AE5</f>
        <v>5187000</v>
      </c>
      <c r="AS5" s="217" t="s">
        <v>82</v>
      </c>
      <c r="AT5" s="369" t="s">
        <v>83</v>
      </c>
    </row>
    <row r="6" spans="1:46" s="9" customFormat="1" ht="18.75" outlineLevel="1" x14ac:dyDescent="0.25">
      <c r="A6" s="222"/>
      <c r="B6" s="17"/>
      <c r="C6" s="1"/>
      <c r="D6" s="10"/>
      <c r="E6" s="10"/>
      <c r="F6" s="10"/>
      <c r="G6" s="11"/>
      <c r="H6" s="794">
        <v>46063000.609999999</v>
      </c>
      <c r="I6" s="794">
        <v>5349701.5</v>
      </c>
      <c r="J6" s="794"/>
      <c r="K6" s="794">
        <v>299409503.97000003</v>
      </c>
      <c r="L6" s="794">
        <v>34773059.759999998</v>
      </c>
      <c r="M6" s="794">
        <v>636795408.86000001</v>
      </c>
      <c r="N6" s="794">
        <v>73877960.609999999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5"/>
      <c r="AQ6" s="16"/>
      <c r="AR6" s="16"/>
    </row>
  </sheetData>
  <mergeCells count="14">
    <mergeCell ref="AK2:AO2"/>
    <mergeCell ref="AP2:AR2"/>
    <mergeCell ref="H3:M3"/>
    <mergeCell ref="N3:S3"/>
    <mergeCell ref="T3:Y3"/>
    <mergeCell ref="Z3:AE3"/>
    <mergeCell ref="AF3:AJ3"/>
    <mergeCell ref="AK3:AO3"/>
    <mergeCell ref="T2:AE2"/>
    <mergeCell ref="B2:B4"/>
    <mergeCell ref="C2:C4"/>
    <mergeCell ref="D2:F2"/>
    <mergeCell ref="G2:G4"/>
    <mergeCell ref="H2:S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7DE07-8CD6-4475-ACC2-1F995A0EE4BE}">
  <sheetPr>
    <outlinePr summaryBelow="0" summaryRight="0"/>
    <pageSetUpPr fitToPage="1"/>
  </sheetPr>
  <dimension ref="B2:Z89"/>
  <sheetViews>
    <sheetView showGridLines="0" topLeftCell="D47" zoomScale="115" zoomScaleNormal="115" workbookViewId="0">
      <selection activeCell="M91" sqref="M91"/>
    </sheetView>
  </sheetViews>
  <sheetFormatPr defaultColWidth="10.85546875" defaultRowHeight="15" customHeight="1" x14ac:dyDescent="0.2"/>
  <cols>
    <col min="1" max="1" width="1.7109375" style="165" customWidth="1"/>
    <col min="2" max="2" width="14.42578125" style="165" customWidth="1"/>
    <col min="3" max="6" width="10.7109375" style="165" customWidth="1"/>
    <col min="7" max="7" width="10.42578125" style="165" customWidth="1"/>
    <col min="8" max="8" width="10.85546875" style="165"/>
    <col min="9" max="9" width="10.42578125" style="165" customWidth="1"/>
    <col min="10" max="10" width="10.85546875" style="165"/>
    <col min="11" max="11" width="16.85546875" style="165" customWidth="1"/>
    <col min="12" max="12" width="16.28515625" style="165" customWidth="1"/>
    <col min="13" max="15" width="17.7109375" style="165" customWidth="1"/>
    <col min="16" max="18" width="17.7109375" style="168" customWidth="1"/>
    <col min="19" max="20" width="10.85546875" style="168" customWidth="1"/>
    <col min="21" max="21" width="23.42578125" style="168" customWidth="1"/>
    <col min="22" max="23" width="0" style="169" hidden="1" customWidth="1"/>
    <col min="24" max="25" width="0" style="165" hidden="1" customWidth="1"/>
    <col min="26" max="26" width="23" style="165" customWidth="1"/>
    <col min="27" max="16384" width="10.85546875" style="165"/>
  </cols>
  <sheetData>
    <row r="2" spans="2:25" s="166" customFormat="1" ht="18" x14ac:dyDescent="0.25">
      <c r="B2" s="1037" t="s">
        <v>95</v>
      </c>
      <c r="C2" s="1038"/>
      <c r="D2" s="1038"/>
      <c r="E2" s="1038"/>
      <c r="F2" s="1038"/>
      <c r="G2" s="1038"/>
      <c r="H2" s="1038"/>
      <c r="I2" s="1038"/>
      <c r="J2" s="1038"/>
      <c r="K2" s="1038"/>
      <c r="L2" s="1038"/>
      <c r="M2" s="1038"/>
      <c r="N2" s="1039"/>
      <c r="O2" s="795"/>
      <c r="P2" s="795"/>
      <c r="Q2" s="795"/>
      <c r="R2" s="795"/>
      <c r="S2" s="795"/>
      <c r="T2" s="795"/>
      <c r="U2" s="175"/>
      <c r="V2" s="175"/>
      <c r="W2" s="174"/>
      <c r="X2" s="174"/>
      <c r="Y2" s="174"/>
    </row>
    <row r="3" spans="2:25" s="166" customFormat="1" ht="12" x14ac:dyDescent="0.25">
      <c r="B3" s="1040" t="s">
        <v>96</v>
      </c>
      <c r="C3" s="1041"/>
      <c r="D3" s="1041"/>
      <c r="E3" s="1041"/>
      <c r="F3" s="1041"/>
      <c r="G3" s="1041"/>
      <c r="H3" s="1041"/>
      <c r="I3" s="1041"/>
      <c r="J3" s="1041"/>
      <c r="K3" s="1041"/>
      <c r="L3" s="1041"/>
      <c r="M3" s="1041"/>
      <c r="N3" s="1042"/>
      <c r="O3" s="796"/>
      <c r="P3" s="796"/>
      <c r="Q3" s="796"/>
      <c r="R3" s="796"/>
      <c r="S3" s="796"/>
      <c r="T3" s="796"/>
      <c r="U3" s="175"/>
      <c r="V3" s="175"/>
      <c r="W3" s="174"/>
      <c r="X3" s="174"/>
      <c r="Y3" s="174"/>
    </row>
    <row r="4" spans="2:25" ht="12.75" x14ac:dyDescent="0.2">
      <c r="B4" s="171"/>
      <c r="C4" s="172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V4" s="173"/>
      <c r="W4" s="173"/>
      <c r="X4" s="170"/>
      <c r="Y4" s="170"/>
    </row>
    <row r="5" spans="2:25" ht="12.75" x14ac:dyDescent="0.2">
      <c r="B5" s="176" t="s">
        <v>97</v>
      </c>
      <c r="C5" s="177"/>
      <c r="D5" s="178"/>
      <c r="E5" s="178"/>
      <c r="F5" s="178"/>
      <c r="G5" s="178"/>
      <c r="H5" s="176"/>
      <c r="I5" s="178"/>
      <c r="J5" s="178"/>
      <c r="K5" s="178"/>
      <c r="L5" s="178"/>
      <c r="M5" s="170"/>
      <c r="N5" s="170"/>
      <c r="O5" s="170"/>
      <c r="V5" s="173"/>
      <c r="W5" s="173"/>
      <c r="X5" s="170"/>
      <c r="Y5" s="170"/>
    </row>
    <row r="6" spans="2:25" ht="13.5" thickBot="1" x14ac:dyDescent="0.25">
      <c r="B6" s="797" t="s">
        <v>98</v>
      </c>
      <c r="C6" s="179">
        <f>E70</f>
        <v>0.14450000000000007</v>
      </c>
      <c r="D6" s="178"/>
      <c r="F6" s="798" t="s">
        <v>99</v>
      </c>
      <c r="H6" s="798" t="s">
        <v>100</v>
      </c>
      <c r="L6" s="798" t="s">
        <v>101</v>
      </c>
      <c r="M6" s="799" t="s">
        <v>102</v>
      </c>
      <c r="N6" s="798" t="s">
        <v>103</v>
      </c>
      <c r="O6" s="800"/>
      <c r="P6" s="800"/>
      <c r="Q6" s="800"/>
      <c r="R6" s="800"/>
      <c r="S6" s="800"/>
      <c r="T6" s="801"/>
      <c r="V6" s="173"/>
      <c r="W6" s="173"/>
      <c r="X6" s="170"/>
      <c r="Y6" s="170"/>
    </row>
    <row r="7" spans="2:25" ht="14.25" thickTop="1" thickBot="1" x14ac:dyDescent="0.25">
      <c r="B7" s="802" t="s">
        <v>104</v>
      </c>
      <c r="C7" s="180">
        <v>0.35</v>
      </c>
      <c r="D7" s="178"/>
      <c r="F7" s="229">
        <v>2024</v>
      </c>
      <c r="H7" s="180">
        <v>3.9E-2</v>
      </c>
      <c r="L7" s="803">
        <v>2024</v>
      </c>
      <c r="M7" s="181" t="s">
        <v>105</v>
      </c>
      <c r="N7" s="182">
        <v>0</v>
      </c>
      <c r="O7" s="800"/>
      <c r="P7" s="800"/>
      <c r="Q7" s="800"/>
      <c r="R7" s="800"/>
      <c r="S7" s="800"/>
      <c r="T7" s="801"/>
      <c r="V7" s="797" t="s">
        <v>106</v>
      </c>
      <c r="W7" s="797"/>
      <c r="X7" s="797"/>
      <c r="Y7" s="804">
        <v>0</v>
      </c>
    </row>
    <row r="8" spans="2:25" ht="14.25" thickTop="1" thickBot="1" x14ac:dyDescent="0.25">
      <c r="B8" s="797" t="s">
        <v>107</v>
      </c>
      <c r="C8" s="180">
        <v>0.4</v>
      </c>
      <c r="D8" s="178"/>
      <c r="F8" s="805">
        <v>2025</v>
      </c>
      <c r="H8" s="180">
        <v>0.04</v>
      </c>
      <c r="L8" s="803">
        <v>2025</v>
      </c>
      <c r="M8" s="181" t="s">
        <v>108</v>
      </c>
      <c r="N8" s="182">
        <v>0.09</v>
      </c>
      <c r="O8" s="800"/>
      <c r="P8" s="800"/>
      <c r="Q8" s="800"/>
      <c r="R8" s="800"/>
      <c r="S8" s="800"/>
      <c r="T8" s="801"/>
      <c r="V8" s="797" t="s">
        <v>109</v>
      </c>
      <c r="W8" s="797"/>
      <c r="X8" s="797"/>
      <c r="Y8" s="804">
        <v>0</v>
      </c>
    </row>
    <row r="9" spans="2:25" ht="14.25" thickTop="1" thickBot="1" x14ac:dyDescent="0.25">
      <c r="B9" s="797" t="s">
        <v>110</v>
      </c>
      <c r="C9" s="180">
        <v>0.5</v>
      </c>
      <c r="D9" s="178"/>
      <c r="F9" s="805">
        <v>2026</v>
      </c>
      <c r="H9" s="180">
        <v>4.1000000000000002E-2</v>
      </c>
      <c r="L9" s="803">
        <v>2026</v>
      </c>
      <c r="M9" s="181" t="s">
        <v>111</v>
      </c>
      <c r="N9" s="182">
        <v>0.05</v>
      </c>
      <c r="O9" s="806"/>
      <c r="P9" s="806"/>
      <c r="Q9" s="806"/>
      <c r="R9" s="806"/>
      <c r="S9" s="807"/>
      <c r="T9" s="808"/>
      <c r="V9" s="797" t="s">
        <v>112</v>
      </c>
      <c r="W9" s="797"/>
      <c r="X9" s="797"/>
      <c r="Y9" s="804">
        <v>0</v>
      </c>
    </row>
    <row r="10" spans="2:25" ht="14.25" thickTop="1" thickBot="1" x14ac:dyDescent="0.25">
      <c r="B10" s="797" t="s">
        <v>113</v>
      </c>
      <c r="C10" s="180">
        <v>0.61</v>
      </c>
      <c r="D10" s="178"/>
      <c r="M10" s="170"/>
      <c r="N10" s="170"/>
      <c r="O10" s="809"/>
      <c r="P10" s="809"/>
      <c r="Q10" s="809"/>
      <c r="R10" s="809"/>
      <c r="S10" s="809"/>
      <c r="T10" s="809"/>
      <c r="V10" s="797" t="s">
        <v>114</v>
      </c>
      <c r="W10" s="797"/>
      <c r="X10" s="797"/>
      <c r="Y10" s="804">
        <v>0</v>
      </c>
    </row>
    <row r="11" spans="2:25" ht="13.5" thickTop="1" x14ac:dyDescent="0.2">
      <c r="D11" s="178"/>
      <c r="M11" s="170"/>
      <c r="N11" s="170"/>
      <c r="O11" s="809"/>
      <c r="P11" s="809"/>
      <c r="Q11" s="809"/>
      <c r="R11" s="809"/>
      <c r="S11" s="809"/>
      <c r="T11" s="809"/>
      <c r="V11" s="173"/>
      <c r="W11" s="173"/>
      <c r="X11" s="170"/>
      <c r="Y11" s="170"/>
    </row>
    <row r="12" spans="2:25" ht="12.75" x14ac:dyDescent="0.2">
      <c r="D12" s="178"/>
      <c r="M12" s="170"/>
      <c r="N12" s="170"/>
      <c r="O12" s="809"/>
      <c r="P12" s="809"/>
      <c r="Q12" s="809"/>
      <c r="R12" s="809"/>
      <c r="S12" s="809"/>
      <c r="T12" s="809"/>
      <c r="V12" s="173"/>
      <c r="W12" s="173"/>
      <c r="X12" s="170"/>
      <c r="Y12" s="170"/>
    </row>
    <row r="13" spans="2:25" ht="12.75" x14ac:dyDescent="0.2">
      <c r="D13" s="178"/>
      <c r="M13" s="170"/>
      <c r="N13" s="170"/>
      <c r="O13" s="809"/>
      <c r="P13" s="809"/>
      <c r="Q13" s="809"/>
      <c r="R13" s="809"/>
      <c r="S13" s="809"/>
      <c r="T13" s="809"/>
      <c r="V13" s="173"/>
      <c r="W13" s="173"/>
      <c r="X13" s="170"/>
      <c r="Y13" s="170"/>
    </row>
    <row r="14" spans="2:25" ht="24" x14ac:dyDescent="0.2">
      <c r="B14" s="171"/>
      <c r="C14" s="172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V14" s="173"/>
      <c r="W14" s="183" t="s">
        <v>115</v>
      </c>
      <c r="X14" s="183" t="s">
        <v>116</v>
      </c>
      <c r="Y14" s="170"/>
    </row>
    <row r="15" spans="2:25" ht="12.75" x14ac:dyDescent="0.2">
      <c r="B15" s="1043" t="s">
        <v>117</v>
      </c>
      <c r="C15" s="1045" t="s">
        <v>118</v>
      </c>
      <c r="D15" s="1043" t="s">
        <v>119</v>
      </c>
      <c r="E15" s="1046" t="s">
        <v>120</v>
      </c>
      <c r="F15" s="1047"/>
      <c r="G15" s="1048"/>
      <c r="H15" s="1049" t="s">
        <v>121</v>
      </c>
      <c r="I15" s="1049"/>
      <c r="J15" s="1049"/>
      <c r="K15" s="1049"/>
      <c r="L15" s="1049"/>
      <c r="M15" s="1049"/>
      <c r="N15" s="1049"/>
      <c r="P15" s="1031" t="s">
        <v>122</v>
      </c>
      <c r="Q15" s="1031"/>
      <c r="S15" s="1032" t="s">
        <v>123</v>
      </c>
      <c r="T15" s="1032"/>
      <c r="V15" s="183" t="s">
        <v>108</v>
      </c>
      <c r="W15" s="183">
        <v>12</v>
      </c>
      <c r="X15" s="183">
        <v>0</v>
      </c>
      <c r="Y15" s="170"/>
    </row>
    <row r="16" spans="2:25" ht="24" x14ac:dyDescent="0.2">
      <c r="B16" s="1044"/>
      <c r="C16" s="1044"/>
      <c r="D16" s="1044"/>
      <c r="E16" s="810" t="s">
        <v>124</v>
      </c>
      <c r="F16" s="811" t="s">
        <v>125</v>
      </c>
      <c r="G16" s="812" t="s">
        <v>126</v>
      </c>
      <c r="H16" s="812" t="s">
        <v>127</v>
      </c>
      <c r="I16" s="812" t="s">
        <v>128</v>
      </c>
      <c r="J16" s="812" t="s">
        <v>129</v>
      </c>
      <c r="K16" s="812" t="s">
        <v>130</v>
      </c>
      <c r="L16" s="812" t="s">
        <v>131</v>
      </c>
      <c r="M16" s="812" t="s">
        <v>132</v>
      </c>
      <c r="N16" s="812" t="s">
        <v>133</v>
      </c>
      <c r="P16" s="813" t="s">
        <v>134</v>
      </c>
      <c r="Q16" s="814" t="s">
        <v>125</v>
      </c>
      <c r="S16" s="815" t="s">
        <v>134</v>
      </c>
      <c r="T16" s="816" t="s">
        <v>125</v>
      </c>
      <c r="V16" s="183" t="s">
        <v>135</v>
      </c>
      <c r="W16" s="183">
        <f t="shared" ref="W16:W26" si="0">W15-1</f>
        <v>11</v>
      </c>
      <c r="X16" s="183">
        <v>1</v>
      </c>
      <c r="Y16" s="170"/>
    </row>
    <row r="17" spans="2:26" ht="24" x14ac:dyDescent="0.2">
      <c r="B17" s="817" t="s">
        <v>136</v>
      </c>
      <c r="C17" s="818" t="s">
        <v>137</v>
      </c>
      <c r="D17" s="819">
        <v>1446.12</v>
      </c>
      <c r="E17" s="820">
        <v>1825.3882289999999</v>
      </c>
      <c r="F17" s="821">
        <f t="shared" ref="F17:F24" si="1">E17/D17-1</f>
        <v>0.26226608372749149</v>
      </c>
      <c r="G17" s="822">
        <f t="shared" ref="G17:G26" si="2">E17-D17</f>
        <v>379.26822900000002</v>
      </c>
      <c r="H17" s="823">
        <f>E17*1.1</f>
        <v>2007.9270519000002</v>
      </c>
      <c r="I17" s="823">
        <f t="shared" ref="I17:I22" si="3">E17*1.15</f>
        <v>2099.1964633499997</v>
      </c>
      <c r="J17" s="823">
        <f t="shared" ref="J17:J24" si="4">E17*1.2</f>
        <v>2190.4658747999997</v>
      </c>
      <c r="K17" s="823">
        <f t="shared" ref="K17:K24" si="5">E17*1.25</f>
        <v>2281.7352862499997</v>
      </c>
      <c r="L17" s="823">
        <f t="shared" ref="L17:L26" si="6">E17*1.3</f>
        <v>2373.0046977000002</v>
      </c>
      <c r="M17" s="823">
        <f t="shared" ref="M17:M26" si="7">E17*1.52</f>
        <v>2774.5901080799999</v>
      </c>
      <c r="N17" s="823">
        <f t="shared" ref="N17:N26" si="8">E17*1.75</f>
        <v>3194.4294007499998</v>
      </c>
      <c r="P17" s="824">
        <v>1825.3882289999999</v>
      </c>
      <c r="Q17" s="825">
        <v>0.26226608372749149</v>
      </c>
      <c r="S17" s="826">
        <v>2448.7065312</v>
      </c>
      <c r="T17" s="827">
        <f t="shared" ref="T17:T26" si="9">S17/D17-1</f>
        <v>0.69329414654385535</v>
      </c>
      <c r="V17" s="183" t="s">
        <v>138</v>
      </c>
      <c r="W17" s="183">
        <f t="shared" si="0"/>
        <v>10</v>
      </c>
      <c r="X17" s="183">
        <v>2</v>
      </c>
      <c r="Y17" s="170"/>
      <c r="Z17" s="170"/>
    </row>
    <row r="18" spans="2:26" ht="12.75" x14ac:dyDescent="0.2">
      <c r="B18" s="230">
        <v>0.35</v>
      </c>
      <c r="C18" s="818" t="s">
        <v>139</v>
      </c>
      <c r="D18" s="819">
        <v>2879.2819091364418</v>
      </c>
      <c r="E18" s="820">
        <v>3762.4295514070122</v>
      </c>
      <c r="F18" s="821">
        <f t="shared" si="1"/>
        <v>0.30672496481438505</v>
      </c>
      <c r="G18" s="822">
        <f t="shared" si="2"/>
        <v>883.14764227057049</v>
      </c>
      <c r="H18" s="823">
        <f>E18*1.1</f>
        <v>4138.672506547714</v>
      </c>
      <c r="I18" s="823">
        <f t="shared" si="3"/>
        <v>4326.7939841180641</v>
      </c>
      <c r="J18" s="823">
        <f t="shared" si="4"/>
        <v>4514.9154616884143</v>
      </c>
      <c r="K18" s="823">
        <f t="shared" si="5"/>
        <v>4703.0369392587654</v>
      </c>
      <c r="L18" s="823">
        <f t="shared" si="6"/>
        <v>4891.1584168291165</v>
      </c>
      <c r="M18" s="823">
        <f t="shared" si="7"/>
        <v>5718.8929181386584</v>
      </c>
      <c r="N18" s="823">
        <f t="shared" si="8"/>
        <v>6584.2517149622718</v>
      </c>
      <c r="P18" s="824">
        <v>3634.4198993930718</v>
      </c>
      <c r="Q18" s="825">
        <v>0.26226608372749172</v>
      </c>
      <c r="S18" s="826">
        <v>4875.4712029903549</v>
      </c>
      <c r="T18" s="827">
        <f t="shared" si="9"/>
        <v>0.69329414654385579</v>
      </c>
      <c r="V18" s="183" t="s">
        <v>111</v>
      </c>
      <c r="W18" s="183">
        <f t="shared" si="0"/>
        <v>9</v>
      </c>
      <c r="X18" s="183">
        <v>3</v>
      </c>
      <c r="Y18" s="170"/>
      <c r="Z18" s="170"/>
    </row>
    <row r="19" spans="2:26" ht="24" x14ac:dyDescent="0.2">
      <c r="B19" s="828" t="s">
        <v>140</v>
      </c>
      <c r="C19" s="829" t="s">
        <v>137</v>
      </c>
      <c r="D19" s="830">
        <v>1750.99</v>
      </c>
      <c r="E19" s="831">
        <v>2086.157976</v>
      </c>
      <c r="F19" s="832">
        <f t="shared" si="1"/>
        <v>0.1914162707953786</v>
      </c>
      <c r="G19" s="833">
        <f t="shared" si="2"/>
        <v>335.16797599999995</v>
      </c>
      <c r="H19" s="834" t="s">
        <v>141</v>
      </c>
      <c r="I19" s="834">
        <f t="shared" si="3"/>
        <v>2399.0816723999997</v>
      </c>
      <c r="J19" s="834">
        <f t="shared" si="4"/>
        <v>2503.3895711999999</v>
      </c>
      <c r="K19" s="834">
        <f t="shared" si="5"/>
        <v>2607.6974700000001</v>
      </c>
      <c r="L19" s="834">
        <f t="shared" si="6"/>
        <v>2712.0053688000003</v>
      </c>
      <c r="M19" s="834">
        <f t="shared" si="7"/>
        <v>3170.9601235199998</v>
      </c>
      <c r="N19" s="834">
        <f t="shared" si="8"/>
        <v>3650.7764579999998</v>
      </c>
      <c r="P19" s="835">
        <v>2086.157976</v>
      </c>
      <c r="Q19" s="836">
        <v>0.1914162707953786</v>
      </c>
      <c r="S19" s="837">
        <v>2448.7065312</v>
      </c>
      <c r="T19" s="838">
        <f t="shared" si="9"/>
        <v>0.39846974066099738</v>
      </c>
      <c r="V19" s="183" t="s">
        <v>142</v>
      </c>
      <c r="W19" s="183">
        <f t="shared" si="0"/>
        <v>8</v>
      </c>
      <c r="X19" s="183">
        <v>4</v>
      </c>
      <c r="Y19" s="170"/>
      <c r="Z19" s="170"/>
    </row>
    <row r="20" spans="2:26" ht="12.75" x14ac:dyDescent="0.2">
      <c r="B20" s="231">
        <v>0.4</v>
      </c>
      <c r="C20" s="829" t="s">
        <v>139</v>
      </c>
      <c r="D20" s="830">
        <v>3486.2900935460539</v>
      </c>
      <c r="E20" s="831">
        <v>4299.9194873223005</v>
      </c>
      <c r="F20" s="832">
        <f t="shared" si="1"/>
        <v>0.23337971653089529</v>
      </c>
      <c r="G20" s="833">
        <f t="shared" si="2"/>
        <v>813.62939377624662</v>
      </c>
      <c r="H20" s="834" t="s">
        <v>141</v>
      </c>
      <c r="I20" s="834">
        <f t="shared" si="3"/>
        <v>4944.9074104206447</v>
      </c>
      <c r="J20" s="834">
        <f t="shared" si="4"/>
        <v>5159.9033847867604</v>
      </c>
      <c r="K20" s="834">
        <f t="shared" si="5"/>
        <v>5374.8993591528761</v>
      </c>
      <c r="L20" s="834">
        <f t="shared" si="6"/>
        <v>5589.8953335189908</v>
      </c>
      <c r="M20" s="834">
        <f t="shared" si="7"/>
        <v>6535.877620729897</v>
      </c>
      <c r="N20" s="834">
        <f t="shared" si="8"/>
        <v>7524.8591028140254</v>
      </c>
      <c r="P20" s="835">
        <v>4153.6227421635112</v>
      </c>
      <c r="Q20" s="836">
        <v>0.1914162707953786</v>
      </c>
      <c r="S20" s="837">
        <v>4875.4712029903549</v>
      </c>
      <c r="T20" s="838">
        <f t="shared" si="9"/>
        <v>0.39846974066099761</v>
      </c>
      <c r="V20" s="183" t="s">
        <v>143</v>
      </c>
      <c r="W20" s="183">
        <f t="shared" si="0"/>
        <v>7</v>
      </c>
      <c r="X20" s="183">
        <v>5</v>
      </c>
      <c r="Y20" s="170"/>
      <c r="Z20" s="170"/>
    </row>
    <row r="21" spans="2:26" ht="35.25" x14ac:dyDescent="0.2">
      <c r="B21" s="817" t="s">
        <v>144</v>
      </c>
      <c r="C21" s="818" t="s">
        <v>137</v>
      </c>
      <c r="D21" s="819">
        <v>2120.13</v>
      </c>
      <c r="E21" s="820">
        <v>2607.6974700000001</v>
      </c>
      <c r="F21" s="821">
        <f t="shared" si="1"/>
        <v>0.22997055369246233</v>
      </c>
      <c r="G21" s="822">
        <f t="shared" si="2"/>
        <v>487.56746999999996</v>
      </c>
      <c r="H21" s="823" t="s">
        <v>141</v>
      </c>
      <c r="I21" s="823">
        <f t="shared" si="3"/>
        <v>2998.8520905</v>
      </c>
      <c r="J21" s="823">
        <f t="shared" si="4"/>
        <v>3129.2369640000002</v>
      </c>
      <c r="K21" s="823">
        <f t="shared" si="5"/>
        <v>3259.6218374999999</v>
      </c>
      <c r="L21" s="823">
        <f t="shared" si="6"/>
        <v>3390.006711</v>
      </c>
      <c r="M21" s="823">
        <f t="shared" si="7"/>
        <v>3963.7001544</v>
      </c>
      <c r="N21" s="823">
        <f t="shared" si="8"/>
        <v>4563.4705725000003</v>
      </c>
      <c r="P21" s="824">
        <v>2607.6974700000001</v>
      </c>
      <c r="Q21" s="825">
        <v>0.22997055369246233</v>
      </c>
      <c r="S21" s="826">
        <v>3673.0597967999997</v>
      </c>
      <c r="T21" s="827">
        <f t="shared" si="9"/>
        <v>0.73246913953389625</v>
      </c>
      <c r="V21" s="183" t="s">
        <v>145</v>
      </c>
      <c r="W21" s="183">
        <f t="shared" si="0"/>
        <v>6</v>
      </c>
      <c r="X21" s="183">
        <v>6</v>
      </c>
      <c r="Y21" s="170"/>
      <c r="Z21" s="170"/>
    </row>
    <row r="22" spans="2:26" ht="12.75" x14ac:dyDescent="0.2">
      <c r="B22" s="230">
        <v>0.5</v>
      </c>
      <c r="C22" s="818" t="s">
        <v>139</v>
      </c>
      <c r="D22" s="819">
        <v>4221.2623807273576</v>
      </c>
      <c r="E22" s="820">
        <v>5374.8993591528733</v>
      </c>
      <c r="F22" s="821">
        <f t="shared" si="1"/>
        <v>0.27329193837667454</v>
      </c>
      <c r="G22" s="822">
        <f t="shared" si="2"/>
        <v>1153.6369784255157</v>
      </c>
      <c r="H22" s="823" t="s">
        <v>141</v>
      </c>
      <c r="I22" s="823">
        <f t="shared" si="3"/>
        <v>6181.1342630258041</v>
      </c>
      <c r="J22" s="823">
        <f t="shared" si="4"/>
        <v>6449.879230983448</v>
      </c>
      <c r="K22" s="823">
        <f t="shared" si="5"/>
        <v>6718.6241989410919</v>
      </c>
      <c r="L22" s="823">
        <f t="shared" si="6"/>
        <v>6987.3691668987358</v>
      </c>
      <c r="M22" s="823">
        <f t="shared" si="7"/>
        <v>8169.8470259123678</v>
      </c>
      <c r="N22" s="823">
        <f t="shared" si="8"/>
        <v>9406.073878517529</v>
      </c>
      <c r="P22" s="824">
        <v>5192.0284277043893</v>
      </c>
      <c r="Q22" s="825">
        <v>0.22997055369246233</v>
      </c>
      <c r="S22" s="826">
        <v>7313.2068044855314</v>
      </c>
      <c r="T22" s="827">
        <f t="shared" si="9"/>
        <v>0.73246913953389625</v>
      </c>
      <c r="V22" s="183" t="s">
        <v>146</v>
      </c>
      <c r="W22" s="183">
        <f t="shared" si="0"/>
        <v>5</v>
      </c>
      <c r="X22" s="183">
        <v>7</v>
      </c>
      <c r="Y22" s="170"/>
      <c r="Z22" s="170"/>
    </row>
    <row r="23" spans="2:26" ht="12.75" x14ac:dyDescent="0.2">
      <c r="B23" s="828" t="s">
        <v>147</v>
      </c>
      <c r="C23" s="829" t="s">
        <v>137</v>
      </c>
      <c r="D23" s="830">
        <v>2667.19</v>
      </c>
      <c r="E23" s="831">
        <v>3181.3909134</v>
      </c>
      <c r="F23" s="832">
        <f t="shared" si="1"/>
        <v>0.19278750797655952</v>
      </c>
      <c r="G23" s="833">
        <f t="shared" si="2"/>
        <v>514.20091339999999</v>
      </c>
      <c r="H23" s="834" t="s">
        <v>141</v>
      </c>
      <c r="I23" s="834" t="s">
        <v>141</v>
      </c>
      <c r="J23" s="834">
        <f t="shared" si="4"/>
        <v>3817.6690960799997</v>
      </c>
      <c r="K23" s="834">
        <f t="shared" si="5"/>
        <v>3976.7386417500002</v>
      </c>
      <c r="L23" s="834">
        <f t="shared" si="6"/>
        <v>4135.8081874200006</v>
      </c>
      <c r="M23" s="834">
        <f t="shared" si="7"/>
        <v>4835.7141883680006</v>
      </c>
      <c r="N23" s="834">
        <f t="shared" si="8"/>
        <v>5567.4340984500004</v>
      </c>
      <c r="P23" s="835">
        <v>3181.3909134</v>
      </c>
      <c r="Q23" s="836">
        <v>0.19278750797655952</v>
      </c>
      <c r="S23" s="837">
        <v>3673.0597967999997</v>
      </c>
      <c r="T23" s="838">
        <f t="shared" si="9"/>
        <v>0.37712716259434065</v>
      </c>
      <c r="V23" s="183" t="s">
        <v>148</v>
      </c>
      <c r="W23" s="183">
        <f t="shared" si="0"/>
        <v>4</v>
      </c>
      <c r="X23" s="183">
        <v>8</v>
      </c>
      <c r="Y23" s="170"/>
      <c r="Z23" s="170"/>
    </row>
    <row r="24" spans="2:26" ht="12.75" x14ac:dyDescent="0.2">
      <c r="B24" s="231">
        <v>0.61</v>
      </c>
      <c r="C24" s="829" t="s">
        <v>139</v>
      </c>
      <c r="D24" s="830">
        <v>5310.4803994340909</v>
      </c>
      <c r="E24" s="831">
        <v>6557.3772181665099</v>
      </c>
      <c r="F24" s="832">
        <f t="shared" si="1"/>
        <v>0.23479925071661945</v>
      </c>
      <c r="G24" s="833">
        <f t="shared" si="2"/>
        <v>1246.896818732419</v>
      </c>
      <c r="H24" s="834" t="s">
        <v>141</v>
      </c>
      <c r="I24" s="834" t="s">
        <v>141</v>
      </c>
      <c r="J24" s="834">
        <f t="shared" si="4"/>
        <v>7868.8526617998114</v>
      </c>
      <c r="K24" s="834">
        <f t="shared" si="5"/>
        <v>8196.7215227081379</v>
      </c>
      <c r="L24" s="834">
        <f t="shared" si="6"/>
        <v>8524.5903836164634</v>
      </c>
      <c r="M24" s="834">
        <f t="shared" si="7"/>
        <v>9967.2133716130957</v>
      </c>
      <c r="N24" s="834">
        <f t="shared" si="8"/>
        <v>11475.410131791392</v>
      </c>
      <c r="P24" s="835">
        <v>6334.2746817993539</v>
      </c>
      <c r="Q24" s="836">
        <v>0.19278750797655952</v>
      </c>
      <c r="S24" s="837">
        <v>7313.2068044855314</v>
      </c>
      <c r="T24" s="838">
        <f t="shared" si="9"/>
        <v>0.37712716259434087</v>
      </c>
      <c r="V24" s="183" t="s">
        <v>149</v>
      </c>
      <c r="W24" s="183">
        <f t="shared" si="0"/>
        <v>3</v>
      </c>
      <c r="X24" s="183">
        <v>9</v>
      </c>
      <c r="Y24" s="170"/>
      <c r="Z24" s="170"/>
    </row>
    <row r="25" spans="2:26" ht="24" x14ac:dyDescent="0.2">
      <c r="B25" s="817" t="s">
        <v>150</v>
      </c>
      <c r="C25" s="818" t="s">
        <v>137</v>
      </c>
      <c r="D25" s="819">
        <v>4556.92</v>
      </c>
      <c r="E25" s="820">
        <f>D25*(1+F25)</f>
        <v>5215.3949400000001</v>
      </c>
      <c r="F25" s="821">
        <f>C6</f>
        <v>0.14450000000000007</v>
      </c>
      <c r="G25" s="822">
        <f t="shared" si="2"/>
        <v>658.47494000000006</v>
      </c>
      <c r="H25" s="823" t="s">
        <v>141</v>
      </c>
      <c r="I25" s="823" t="s">
        <v>141</v>
      </c>
      <c r="J25" s="823" t="s">
        <v>141</v>
      </c>
      <c r="K25" s="823" t="s">
        <v>141</v>
      </c>
      <c r="L25" s="823">
        <f t="shared" si="6"/>
        <v>6780.013422</v>
      </c>
      <c r="M25" s="823">
        <f t="shared" si="7"/>
        <v>7927.4003087999999</v>
      </c>
      <c r="N25" s="823">
        <f t="shared" si="8"/>
        <v>9126.9411450000007</v>
      </c>
      <c r="P25" s="824">
        <v>5215.3949400000001</v>
      </c>
      <c r="Q25" s="825">
        <v>0.14450000000000007</v>
      </c>
      <c r="S25" s="826">
        <v>6121.7663279999997</v>
      </c>
      <c r="T25" s="827">
        <f t="shared" si="9"/>
        <v>0.34339999999999993</v>
      </c>
      <c r="V25" s="183" t="s">
        <v>151</v>
      </c>
      <c r="W25" s="183">
        <f t="shared" si="0"/>
        <v>2</v>
      </c>
      <c r="X25" s="183">
        <v>10</v>
      </c>
      <c r="Y25" s="170"/>
      <c r="Z25" s="170"/>
    </row>
    <row r="26" spans="2:26" ht="12.75" x14ac:dyDescent="0.2">
      <c r="B26" s="230" t="s">
        <v>152</v>
      </c>
      <c r="C26" s="818" t="s">
        <v>139</v>
      </c>
      <c r="D26" s="819">
        <v>9073.0073004882252</v>
      </c>
      <c r="E26" s="820">
        <v>10749.798718305747</v>
      </c>
      <c r="F26" s="821">
        <f>E26/D26-1</f>
        <v>0.18481098518760053</v>
      </c>
      <c r="G26" s="822">
        <f t="shared" si="2"/>
        <v>1676.7914178175215</v>
      </c>
      <c r="H26" s="823" t="s">
        <v>141</v>
      </c>
      <c r="I26" s="823" t="s">
        <v>141</v>
      </c>
      <c r="J26" s="823" t="s">
        <v>141</v>
      </c>
      <c r="K26" s="823" t="s">
        <v>141</v>
      </c>
      <c r="L26" s="823">
        <f t="shared" si="6"/>
        <v>13974.738333797472</v>
      </c>
      <c r="M26" s="823">
        <f t="shared" si="7"/>
        <v>16339.694051824736</v>
      </c>
      <c r="N26" s="823">
        <f t="shared" si="8"/>
        <v>18812.147757035058</v>
      </c>
      <c r="P26" s="824">
        <v>10384.056855408779</v>
      </c>
      <c r="Q26" s="825">
        <v>0.14450000000000052</v>
      </c>
      <c r="S26" s="826">
        <v>12188.67800747589</v>
      </c>
      <c r="T26" s="827">
        <f t="shared" si="9"/>
        <v>0.34340000000000082</v>
      </c>
      <c r="V26" s="183" t="s">
        <v>153</v>
      </c>
      <c r="W26" s="183">
        <f t="shared" si="0"/>
        <v>1</v>
      </c>
      <c r="X26" s="183">
        <v>11</v>
      </c>
      <c r="Y26" s="170"/>
      <c r="Z26" s="170"/>
    </row>
    <row r="27" spans="2:26" ht="112.5" x14ac:dyDescent="0.2">
      <c r="B27" s="839" t="s">
        <v>154</v>
      </c>
      <c r="C27" s="840"/>
      <c r="D27" s="841"/>
      <c r="E27" s="1033">
        <f>(SUM(K72,K78)/K72-1)</f>
        <v>0.20345626600452937</v>
      </c>
      <c r="F27" s="1033"/>
      <c r="I27" s="184"/>
      <c r="L27" s="184"/>
      <c r="M27" s="170"/>
      <c r="N27" s="170"/>
      <c r="O27" s="170"/>
      <c r="V27" s="183" t="s">
        <v>105</v>
      </c>
      <c r="W27" s="183">
        <v>0</v>
      </c>
      <c r="X27" s="183">
        <v>0</v>
      </c>
      <c r="Y27" s="170"/>
      <c r="Z27" s="170"/>
    </row>
    <row r="28" spans="2:26" ht="18.75" x14ac:dyDescent="0.2">
      <c r="B28" s="203"/>
      <c r="C28" s="204"/>
      <c r="D28" s="204"/>
      <c r="E28" s="204"/>
      <c r="F28" s="204"/>
      <c r="G28" s="204"/>
      <c r="H28" s="205"/>
      <c r="I28" s="184"/>
      <c r="J28" s="184"/>
      <c r="P28" s="185"/>
      <c r="Q28" s="185"/>
      <c r="R28" s="185"/>
      <c r="S28" s="185"/>
      <c r="T28" s="185"/>
      <c r="Z28" s="170"/>
    </row>
    <row r="29" spans="2:26" ht="18.75" x14ac:dyDescent="0.2">
      <c r="B29" s="203"/>
      <c r="C29" s="204"/>
      <c r="D29" s="204"/>
      <c r="E29" s="204"/>
      <c r="F29" s="204"/>
      <c r="G29" s="204"/>
      <c r="H29" s="205"/>
      <c r="I29" s="184"/>
      <c r="J29" s="184"/>
      <c r="P29" s="185"/>
      <c r="Q29" s="185"/>
      <c r="R29" s="185"/>
      <c r="S29" s="185"/>
      <c r="T29" s="185"/>
      <c r="Z29" s="170"/>
    </row>
    <row r="30" spans="2:26" ht="24" x14ac:dyDescent="0.2">
      <c r="B30" s="1034" t="s">
        <v>155</v>
      </c>
      <c r="C30" s="1034"/>
      <c r="D30" s="1034"/>
      <c r="E30" s="1035" t="s">
        <v>156</v>
      </c>
      <c r="F30" s="1035"/>
      <c r="G30" s="1036" t="s">
        <v>120</v>
      </c>
      <c r="H30" s="1036"/>
      <c r="I30" s="184"/>
      <c r="J30" s="184"/>
      <c r="R30" s="185"/>
      <c r="S30" s="185"/>
      <c r="T30" s="185"/>
      <c r="V30" s="183" t="s">
        <v>157</v>
      </c>
      <c r="W30" s="186">
        <f>IF(AND(E67&lt;&gt;"nenhum",G67&lt;&gt;"nenhum",I67&lt;&gt;"nenhum",K67&lt;&gt;"nenhum"),1/4,IF(E67="Nenhum",0,1/3))</f>
        <v>0</v>
      </c>
      <c r="X30" s="186">
        <f>IF(AND(E67&lt;&gt;"nenhum",G67&lt;&gt;"nenhum",I67&lt;&gt;"nenhum",K67&lt;&gt;"nenhum"),1/4,IF(AND(E67="nenhum",K67="nenhum"),1/2,1/3))</f>
        <v>0.33333333333333331</v>
      </c>
      <c r="Y30" s="186">
        <f>IF(AND(E67&lt;&gt;"nenhum",G67&lt;&gt;"nenhum",I67&lt;&gt;"nenhum",K67&lt;&gt;"nenhum"),1/4,IF(AND(E67="nenhum",K67="nenhum"),1/2,1/3))</f>
        <v>0.33333333333333331</v>
      </c>
      <c r="Z30" s="186">
        <f>IF(AND(E67&lt;&gt;"nenhum",G67&lt;&gt;"nenhum",I67&lt;&gt;"nenhum",K67&lt;&gt;"nenhum"),1/4,IF(K67="nenhum",0,IF(W30=0,1/3,0)))</f>
        <v>0.33333333333333331</v>
      </c>
    </row>
    <row r="31" spans="2:26" ht="12.75" x14ac:dyDescent="0.2">
      <c r="B31" s="1066" t="s">
        <v>158</v>
      </c>
      <c r="C31" s="1067"/>
      <c r="D31" s="1068"/>
      <c r="E31" s="1069">
        <v>20313434289.61031</v>
      </c>
      <c r="F31" s="1070"/>
      <c r="G31" s="1073">
        <v>20313434289.61031</v>
      </c>
      <c r="H31" s="1074"/>
      <c r="I31" s="184"/>
      <c r="J31" s="184"/>
      <c r="R31" s="185"/>
      <c r="S31" s="185"/>
      <c r="T31" s="185"/>
      <c r="V31" s="173"/>
      <c r="W31" s="173"/>
      <c r="X31" s="170"/>
      <c r="Y31" s="170"/>
      <c r="Z31" s="170"/>
    </row>
    <row r="32" spans="2:26" ht="54" x14ac:dyDescent="0.2">
      <c r="B32" s="232" t="s">
        <v>159</v>
      </c>
      <c r="C32" s="206"/>
      <c r="D32" s="233"/>
      <c r="E32" s="1071"/>
      <c r="F32" s="1072"/>
      <c r="G32" s="1075"/>
      <c r="H32" s="1076"/>
      <c r="I32" s="184"/>
      <c r="J32" s="184"/>
      <c r="R32" s="185"/>
      <c r="S32" s="185"/>
      <c r="T32" s="185"/>
      <c r="V32" s="173"/>
      <c r="W32" s="173"/>
      <c r="X32" s="170"/>
      <c r="Y32" s="170"/>
      <c r="Z32" s="170"/>
    </row>
    <row r="33" spans="2:20" ht="12.75" x14ac:dyDescent="0.2">
      <c r="B33" s="1077" t="e">
        <f>"Impacto RSC - Concessão a "&amp;ROUND(#REF!*100,2)&amp;"% dos elegíveis ao final de 2026"</f>
        <v>#REF!</v>
      </c>
      <c r="C33" s="1078"/>
      <c r="D33" s="1079"/>
      <c r="E33" s="1052">
        <v>493657115.89565676</v>
      </c>
      <c r="F33" s="1053"/>
      <c r="G33" s="1056">
        <v>1857641936.7088108</v>
      </c>
      <c r="H33" s="1057"/>
      <c r="I33" s="184"/>
      <c r="J33" s="184"/>
      <c r="R33" s="185"/>
      <c r="S33" s="185"/>
      <c r="T33" s="185"/>
    </row>
    <row r="34" spans="2:20" ht="18" x14ac:dyDescent="0.2">
      <c r="B34" s="234" t="s">
        <v>160</v>
      </c>
      <c r="C34" s="207"/>
      <c r="D34" s="235"/>
      <c r="E34" s="1054"/>
      <c r="F34" s="1055"/>
      <c r="G34" s="1058"/>
      <c r="H34" s="1059"/>
      <c r="I34" s="184"/>
      <c r="J34" s="184"/>
      <c r="R34" s="185"/>
      <c r="S34" s="185"/>
      <c r="T34" s="185"/>
    </row>
    <row r="35" spans="2:20" ht="12.75" x14ac:dyDescent="0.2">
      <c r="B35" s="1050" t="s">
        <v>161</v>
      </c>
      <c r="C35" s="1051"/>
      <c r="D35" s="1051"/>
      <c r="E35" s="1052">
        <v>589711560.11778164</v>
      </c>
      <c r="F35" s="1053"/>
      <c r="G35" s="1056">
        <v>505700058.01216245</v>
      </c>
      <c r="H35" s="1057"/>
      <c r="I35" s="184"/>
      <c r="J35" s="184"/>
    </row>
    <row r="36" spans="2:20" ht="12.75" x14ac:dyDescent="0.2">
      <c r="B36" s="1060" t="s">
        <v>162</v>
      </c>
      <c r="C36" s="1061"/>
      <c r="D36" s="1062"/>
      <c r="E36" s="1054"/>
      <c r="F36" s="1055"/>
      <c r="G36" s="1058"/>
      <c r="H36" s="1059"/>
      <c r="I36" s="184"/>
      <c r="J36" s="184"/>
    </row>
    <row r="37" spans="2:20" ht="12.75" x14ac:dyDescent="0.2">
      <c r="B37" s="1050" t="str">
        <f>"Impacto Reajuste - "&amp;ROUND(C6*100,2)&amp;"%"</f>
        <v>Impacto Reajuste - 14,45%</v>
      </c>
      <c r="C37" s="1050"/>
      <c r="D37" s="1050"/>
      <c r="E37" s="1052">
        <v>8262460647.291893</v>
      </c>
      <c r="F37" s="1053"/>
      <c r="G37" s="1056">
        <v>4132895490.2924843</v>
      </c>
      <c r="H37" s="1057"/>
      <c r="I37" s="184"/>
      <c r="J37" s="184"/>
    </row>
    <row r="38" spans="2:20" ht="12.75" x14ac:dyDescent="0.2">
      <c r="B38" s="1063" t="s">
        <v>159</v>
      </c>
      <c r="C38" s="1064"/>
      <c r="D38" s="1065"/>
      <c r="E38" s="1054"/>
      <c r="F38" s="1055"/>
      <c r="G38" s="1058"/>
      <c r="H38" s="1059"/>
      <c r="I38" s="184"/>
      <c r="J38" s="184"/>
    </row>
    <row r="39" spans="2:20" ht="12.75" x14ac:dyDescent="0.2">
      <c r="B39" s="1086" t="s">
        <v>163</v>
      </c>
      <c r="C39" s="1087"/>
      <c r="D39" s="1088"/>
      <c r="E39" s="1089">
        <f>E33+E35+E37</f>
        <v>9345829323.3053322</v>
      </c>
      <c r="F39" s="1089"/>
      <c r="G39" s="1089">
        <f>G33+G35+G37</f>
        <v>6496237485.0134573</v>
      </c>
      <c r="H39" s="1089"/>
      <c r="I39" s="184"/>
      <c r="J39" s="184"/>
      <c r="R39" s="185"/>
      <c r="S39" s="185"/>
      <c r="T39" s="185"/>
    </row>
    <row r="40" spans="2:20" ht="54" x14ac:dyDescent="0.2">
      <c r="B40" s="236" t="s">
        <v>159</v>
      </c>
      <c r="C40" s="208"/>
      <c r="D40" s="237"/>
      <c r="E40" s="1089"/>
      <c r="F40" s="1089"/>
      <c r="G40" s="1089"/>
      <c r="H40" s="1090"/>
      <c r="I40" s="184"/>
      <c r="J40" s="184"/>
      <c r="R40" s="185"/>
      <c r="S40" s="185"/>
      <c r="T40" s="185"/>
    </row>
    <row r="41" spans="2:20" ht="12.75" x14ac:dyDescent="0.2">
      <c r="B41" s="184"/>
      <c r="C41" s="184"/>
      <c r="D41" s="184"/>
      <c r="E41" s="184"/>
      <c r="F41" s="184"/>
      <c r="G41" s="184"/>
      <c r="H41" s="1080"/>
      <c r="I41" s="1080"/>
      <c r="J41" s="1080"/>
      <c r="K41" s="1080"/>
      <c r="L41" s="1080"/>
      <c r="M41" s="1080"/>
      <c r="N41" s="1080"/>
      <c r="R41" s="185"/>
      <c r="S41" s="185"/>
      <c r="T41" s="185"/>
    </row>
    <row r="42" spans="2:20" ht="12.75" x14ac:dyDescent="0.2">
      <c r="B42" s="1082" t="s">
        <v>164</v>
      </c>
      <c r="C42" s="1082"/>
      <c r="D42" s="1082"/>
      <c r="E42" s="1082"/>
      <c r="F42" s="187"/>
      <c r="G42" s="209"/>
      <c r="H42" s="1081"/>
      <c r="I42" s="1081"/>
      <c r="J42" s="1081"/>
      <c r="K42" s="1081"/>
      <c r="L42" s="1081"/>
      <c r="M42" s="1081"/>
      <c r="N42" s="1081"/>
      <c r="R42" s="185"/>
      <c r="S42" s="185"/>
      <c r="T42" s="185"/>
    </row>
    <row r="43" spans="2:20" ht="24" x14ac:dyDescent="0.2">
      <c r="B43" s="1083" t="s">
        <v>165</v>
      </c>
      <c r="C43" s="1084"/>
      <c r="D43" s="1085"/>
      <c r="E43" s="842" t="s">
        <v>13</v>
      </c>
      <c r="F43" s="843" t="s">
        <v>166</v>
      </c>
      <c r="H43" s="842" t="s">
        <v>127</v>
      </c>
      <c r="I43" s="842" t="s">
        <v>128</v>
      </c>
      <c r="J43" s="842" t="s">
        <v>129</v>
      </c>
      <c r="K43" s="842" t="s">
        <v>130</v>
      </c>
      <c r="L43" s="842" t="s">
        <v>131</v>
      </c>
      <c r="M43" s="842" t="s">
        <v>132</v>
      </c>
      <c r="N43" s="842" t="s">
        <v>133</v>
      </c>
      <c r="R43" s="185"/>
      <c r="S43" s="185"/>
      <c r="T43" s="185"/>
    </row>
    <row r="44" spans="2:20" ht="12.75" x14ac:dyDescent="0.2">
      <c r="B44" s="1091" t="s">
        <v>167</v>
      </c>
      <c r="C44" s="1092"/>
      <c r="D44" s="1093"/>
      <c r="E44" s="844">
        <f t="shared" ref="E44:E49" si="10">SUM(F44:N44)</f>
        <v>1466</v>
      </c>
      <c r="F44" s="845">
        <v>772</v>
      </c>
      <c r="H44" s="846">
        <v>107</v>
      </c>
      <c r="I44" s="846">
        <v>0</v>
      </c>
      <c r="J44" s="846">
        <v>178</v>
      </c>
      <c r="K44" s="847">
        <v>191</v>
      </c>
      <c r="L44" s="847">
        <v>205</v>
      </c>
      <c r="M44" s="847">
        <v>12</v>
      </c>
      <c r="N44" s="847">
        <v>1</v>
      </c>
      <c r="R44" s="185"/>
      <c r="S44" s="185"/>
      <c r="T44" s="185"/>
    </row>
    <row r="45" spans="2:20" ht="12.75" x14ac:dyDescent="0.2">
      <c r="B45" s="1091" t="s">
        <v>168</v>
      </c>
      <c r="C45" s="1092"/>
      <c r="D45" s="1093"/>
      <c r="E45" s="844">
        <f t="shared" si="10"/>
        <v>2830</v>
      </c>
      <c r="F45" s="845">
        <v>1347</v>
      </c>
      <c r="H45" s="846">
        <v>119</v>
      </c>
      <c r="I45" s="846">
        <v>0</v>
      </c>
      <c r="J45" s="846">
        <v>312</v>
      </c>
      <c r="K45" s="847">
        <v>387</v>
      </c>
      <c r="L45" s="847">
        <v>559</v>
      </c>
      <c r="M45" s="847">
        <v>90</v>
      </c>
      <c r="N45" s="847">
        <v>16</v>
      </c>
      <c r="R45" s="185"/>
      <c r="S45" s="185"/>
      <c r="T45" s="185"/>
    </row>
    <row r="46" spans="2:20" ht="12.75" x14ac:dyDescent="0.2">
      <c r="B46" s="1091" t="s">
        <v>169</v>
      </c>
      <c r="C46" s="1092"/>
      <c r="D46" s="1093"/>
      <c r="E46" s="844">
        <f t="shared" si="10"/>
        <v>17517</v>
      </c>
      <c r="F46" s="845">
        <v>3121</v>
      </c>
      <c r="H46" s="846">
        <v>118</v>
      </c>
      <c r="I46" s="846">
        <v>0</v>
      </c>
      <c r="J46" s="846">
        <v>1683</v>
      </c>
      <c r="K46" s="847">
        <v>2936</v>
      </c>
      <c r="L46" s="847">
        <v>7801</v>
      </c>
      <c r="M46" s="847">
        <v>1675</v>
      </c>
      <c r="N46" s="847">
        <v>183</v>
      </c>
      <c r="R46" s="185"/>
      <c r="S46" s="185"/>
      <c r="T46" s="185"/>
    </row>
    <row r="47" spans="2:20" ht="12.75" x14ac:dyDescent="0.2">
      <c r="B47" s="1091" t="s">
        <v>170</v>
      </c>
      <c r="C47" s="1092"/>
      <c r="D47" s="1093"/>
      <c r="E47" s="844">
        <f t="shared" si="10"/>
        <v>63677</v>
      </c>
      <c r="F47" s="845">
        <f>7668+88</f>
        <v>7756</v>
      </c>
      <c r="H47" s="846">
        <v>0</v>
      </c>
      <c r="I47" s="846">
        <v>0</v>
      </c>
      <c r="J47" s="846">
        <v>642</v>
      </c>
      <c r="K47" s="847">
        <v>10340</v>
      </c>
      <c r="L47" s="847">
        <v>30196</v>
      </c>
      <c r="M47" s="847">
        <v>12174</v>
      </c>
      <c r="N47" s="847">
        <v>2569</v>
      </c>
      <c r="R47" s="185"/>
      <c r="S47" s="185"/>
      <c r="T47" s="185"/>
    </row>
    <row r="48" spans="2:20" ht="12.75" x14ac:dyDescent="0.2">
      <c r="B48" s="1091" t="s">
        <v>171</v>
      </c>
      <c r="C48" s="1092"/>
      <c r="D48" s="1093"/>
      <c r="E48" s="844">
        <f t="shared" si="10"/>
        <v>46680</v>
      </c>
      <c r="F48" s="845">
        <f>2081+44+2</f>
        <v>2127</v>
      </c>
      <c r="H48" s="846">
        <v>0</v>
      </c>
      <c r="I48" s="846">
        <v>0</v>
      </c>
      <c r="J48" s="846">
        <v>0</v>
      </c>
      <c r="K48" s="847">
        <v>0</v>
      </c>
      <c r="L48" s="847">
        <v>18788</v>
      </c>
      <c r="M48" s="847">
        <v>19481</v>
      </c>
      <c r="N48" s="847">
        <v>6284</v>
      </c>
      <c r="R48" s="185"/>
      <c r="S48" s="185"/>
      <c r="T48" s="185"/>
    </row>
    <row r="49" spans="2:26" ht="12.75" x14ac:dyDescent="0.2">
      <c r="B49" s="1094" t="s">
        <v>172</v>
      </c>
      <c r="C49" s="1094"/>
      <c r="D49" s="1094"/>
      <c r="E49" s="848">
        <f t="shared" si="10"/>
        <v>132170</v>
      </c>
      <c r="F49" s="849">
        <f>SUM(F44:F48)</f>
        <v>15123</v>
      </c>
      <c r="H49" s="850">
        <f t="shared" ref="H49:N49" si="11">SUM(H44:H48)</f>
        <v>344</v>
      </c>
      <c r="I49" s="850">
        <f t="shared" si="11"/>
        <v>0</v>
      </c>
      <c r="J49" s="850">
        <f t="shared" si="11"/>
        <v>2815</v>
      </c>
      <c r="K49" s="851">
        <f t="shared" si="11"/>
        <v>13854</v>
      </c>
      <c r="L49" s="851">
        <f t="shared" si="11"/>
        <v>57549</v>
      </c>
      <c r="M49" s="851">
        <f t="shared" si="11"/>
        <v>33432</v>
      </c>
      <c r="N49" s="851">
        <f t="shared" si="11"/>
        <v>9053</v>
      </c>
      <c r="R49" s="185"/>
      <c r="S49" s="185"/>
      <c r="T49" s="185"/>
      <c r="V49" s="173"/>
      <c r="W49" s="173"/>
      <c r="X49" s="170"/>
      <c r="Y49" s="170"/>
      <c r="Z49" s="170"/>
    </row>
    <row r="50" spans="2:26" ht="12" x14ac:dyDescent="0.25">
      <c r="B50" s="165" t="s">
        <v>173</v>
      </c>
      <c r="P50" s="165"/>
      <c r="Q50" s="165"/>
      <c r="R50" s="165"/>
      <c r="S50" s="165"/>
      <c r="T50" s="165"/>
      <c r="U50" s="165"/>
      <c r="V50" s="165"/>
      <c r="W50" s="173"/>
      <c r="X50" s="170"/>
      <c r="Y50" s="170"/>
      <c r="Z50" s="170"/>
    </row>
    <row r="51" spans="2:26" ht="24" x14ac:dyDescent="0.25">
      <c r="K51" s="852" t="s">
        <v>174</v>
      </c>
      <c r="L51" s="852" t="s">
        <v>175</v>
      </c>
      <c r="M51" s="1100" t="s">
        <v>176</v>
      </c>
      <c r="N51" s="1101"/>
      <c r="O51" s="188"/>
      <c r="P51" s="188"/>
      <c r="Q51" s="188"/>
      <c r="R51" s="188"/>
      <c r="S51" s="188"/>
      <c r="T51" s="188"/>
      <c r="U51" s="1100" t="s">
        <v>177</v>
      </c>
      <c r="V51" s="1101"/>
      <c r="W51" s="173"/>
      <c r="X51" s="170"/>
      <c r="Y51" s="170"/>
      <c r="Z51" s="852" t="s">
        <v>178</v>
      </c>
    </row>
    <row r="52" spans="2:26" ht="12.75" x14ac:dyDescent="0.25">
      <c r="G52" s="189"/>
      <c r="H52" s="189"/>
      <c r="I52" s="189"/>
      <c r="K52" s="853">
        <v>0.1</v>
      </c>
      <c r="L52" s="854">
        <f t="shared" ref="L52:L62" si="12">($E$49-$N$49)*K52</f>
        <v>12311.7</v>
      </c>
      <c r="M52" s="1102">
        <f t="shared" ref="M52:M61" si="13">$M$62*K52</f>
        <v>185764193.67088109</v>
      </c>
      <c r="N52" s="1103"/>
      <c r="O52" s="855"/>
      <c r="P52" s="855"/>
      <c r="Q52" s="855"/>
      <c r="R52" s="855"/>
      <c r="S52" s="855"/>
      <c r="T52" s="855"/>
      <c r="U52" s="1104">
        <v>185764193.67088109</v>
      </c>
      <c r="V52" s="1105"/>
      <c r="W52" s="1104"/>
      <c r="X52" s="1105"/>
      <c r="Y52" s="1104">
        <v>185764193.67088109</v>
      </c>
      <c r="Z52" s="1105"/>
    </row>
    <row r="53" spans="2:26" ht="13.5" thickBot="1" x14ac:dyDescent="0.3">
      <c r="F53" s="189"/>
      <c r="G53" s="189"/>
      <c r="H53" s="189"/>
      <c r="I53" s="189"/>
      <c r="K53" s="856">
        <v>0.2</v>
      </c>
      <c r="L53" s="857">
        <f t="shared" si="12"/>
        <v>24623.4</v>
      </c>
      <c r="M53" s="1108">
        <f t="shared" si="13"/>
        <v>371528387.34176219</v>
      </c>
      <c r="N53" s="1109"/>
      <c r="O53" s="858"/>
      <c r="P53" s="858"/>
      <c r="Q53" s="858"/>
      <c r="R53" s="858"/>
      <c r="S53" s="858"/>
      <c r="T53" s="858"/>
      <c r="U53" s="1108">
        <v>371528387.34176219</v>
      </c>
      <c r="V53" s="1109"/>
      <c r="W53" s="1108"/>
      <c r="X53" s="1109"/>
      <c r="Y53" s="1108">
        <v>371528387.34176219</v>
      </c>
      <c r="Z53" s="1109"/>
    </row>
    <row r="54" spans="2:26" ht="12.75" x14ac:dyDescent="0.25">
      <c r="C54" s="1095" t="s">
        <v>179</v>
      </c>
      <c r="D54" s="1095"/>
      <c r="E54" s="1095"/>
      <c r="F54" s="1095"/>
      <c r="G54" s="1095"/>
      <c r="H54" s="1095"/>
      <c r="I54" s="189"/>
      <c r="K54" s="190">
        <v>0.3</v>
      </c>
      <c r="L54" s="191">
        <f t="shared" si="12"/>
        <v>36935.1</v>
      </c>
      <c r="M54" s="1096">
        <f t="shared" si="13"/>
        <v>557292581.01264322</v>
      </c>
      <c r="N54" s="1097"/>
      <c r="O54" s="192"/>
      <c r="P54" s="192"/>
      <c r="Q54" s="192"/>
      <c r="R54" s="192"/>
      <c r="S54" s="192"/>
      <c r="T54" s="192"/>
      <c r="U54" s="1096">
        <v>557292581.01264322</v>
      </c>
      <c r="V54" s="1097"/>
      <c r="W54" s="1096"/>
      <c r="X54" s="1097"/>
      <c r="Y54" s="1096">
        <v>557292581.01264322</v>
      </c>
      <c r="Z54" s="1097"/>
    </row>
    <row r="55" spans="2:26" ht="13.5" thickBot="1" x14ac:dyDescent="0.3">
      <c r="C55" s="1095"/>
      <c r="D55" s="1095"/>
      <c r="E55" s="1095"/>
      <c r="F55" s="1095"/>
      <c r="G55" s="1095"/>
      <c r="H55" s="1095"/>
      <c r="I55" s="189"/>
      <c r="K55" s="193">
        <v>0.4</v>
      </c>
      <c r="L55" s="194">
        <f t="shared" si="12"/>
        <v>49246.8</v>
      </c>
      <c r="M55" s="1098">
        <f t="shared" si="13"/>
        <v>743056774.68352437</v>
      </c>
      <c r="N55" s="1099"/>
      <c r="O55" s="195"/>
      <c r="P55" s="195"/>
      <c r="Q55" s="195"/>
      <c r="R55" s="195"/>
      <c r="S55" s="195"/>
      <c r="T55" s="195"/>
      <c r="U55" s="1098">
        <v>743056774.68352437</v>
      </c>
      <c r="V55" s="1099"/>
      <c r="W55" s="1098"/>
      <c r="X55" s="1099"/>
      <c r="Y55" s="1098">
        <v>743056774.68352437</v>
      </c>
      <c r="Z55" s="1099"/>
    </row>
    <row r="56" spans="2:26" ht="12.75" x14ac:dyDescent="0.25">
      <c r="F56" s="189"/>
      <c r="G56" s="189"/>
      <c r="H56" s="189"/>
      <c r="I56" s="189"/>
      <c r="K56" s="196">
        <v>0.5</v>
      </c>
      <c r="L56" s="197">
        <f t="shared" si="12"/>
        <v>61558.5</v>
      </c>
      <c r="M56" s="1106">
        <f t="shared" si="13"/>
        <v>928820968.3544054</v>
      </c>
      <c r="N56" s="1107"/>
      <c r="O56" s="198"/>
      <c r="P56" s="198"/>
      <c r="Q56" s="198"/>
      <c r="R56" s="198"/>
      <c r="S56" s="198"/>
      <c r="T56" s="198"/>
      <c r="U56" s="1106">
        <v>928820968.3544054</v>
      </c>
      <c r="V56" s="1107"/>
      <c r="W56" s="1106"/>
      <c r="X56" s="1107"/>
      <c r="Y56" s="1106">
        <v>928820968.3544054</v>
      </c>
      <c r="Z56" s="1107"/>
    </row>
    <row r="57" spans="2:26" ht="12.75" x14ac:dyDescent="0.25">
      <c r="F57" s="189"/>
      <c r="G57" s="189"/>
      <c r="H57" s="189"/>
      <c r="I57" s="189"/>
      <c r="K57" s="853">
        <v>0.6</v>
      </c>
      <c r="L57" s="854">
        <f t="shared" si="12"/>
        <v>73870.2</v>
      </c>
      <c r="M57" s="1102">
        <f t="shared" si="13"/>
        <v>1114585162.0252864</v>
      </c>
      <c r="N57" s="1103"/>
      <c r="O57" s="855"/>
      <c r="P57" s="855"/>
      <c r="Q57" s="855"/>
      <c r="R57" s="855"/>
      <c r="S57" s="855"/>
      <c r="T57" s="855"/>
      <c r="U57" s="1102">
        <v>1114585162.0252864</v>
      </c>
      <c r="V57" s="1103"/>
      <c r="W57" s="1102"/>
      <c r="X57" s="1103"/>
      <c r="Y57" s="1102">
        <v>1114585162.0252864</v>
      </c>
      <c r="Z57" s="1103"/>
    </row>
    <row r="58" spans="2:26" ht="12.75" x14ac:dyDescent="0.25">
      <c r="F58" s="189"/>
      <c r="G58" s="189"/>
      <c r="H58" s="189"/>
      <c r="I58" s="189"/>
      <c r="J58" s="199"/>
      <c r="K58" s="859">
        <v>0.7</v>
      </c>
      <c r="L58" s="860">
        <f t="shared" si="12"/>
        <v>86181.9</v>
      </c>
      <c r="M58" s="1134">
        <f t="shared" si="13"/>
        <v>1300349355.6961675</v>
      </c>
      <c r="N58" s="1135"/>
      <c r="O58" s="863"/>
      <c r="P58" s="863"/>
      <c r="Q58" s="863"/>
      <c r="R58" s="863"/>
      <c r="S58" s="863"/>
      <c r="T58" s="863"/>
      <c r="U58" s="1134">
        <v>1300349355.6961675</v>
      </c>
      <c r="V58" s="1135"/>
      <c r="W58" s="1134"/>
      <c r="X58" s="1135"/>
      <c r="Y58" s="1134">
        <v>1300349355.6961675</v>
      </c>
      <c r="Z58" s="1135"/>
    </row>
    <row r="59" spans="2:26" ht="12.75" x14ac:dyDescent="0.25">
      <c r="F59" s="189"/>
      <c r="G59" s="189"/>
      <c r="H59" s="189"/>
      <c r="I59" s="189"/>
      <c r="J59" s="199"/>
      <c r="K59" s="238"/>
      <c r="L59" s="239"/>
      <c r="M59" s="864"/>
      <c r="N59" s="865">
        <f>N89</f>
        <v>1444471409</v>
      </c>
      <c r="O59" s="202"/>
      <c r="P59" s="202"/>
      <c r="Q59" s="202"/>
      <c r="R59" s="202"/>
      <c r="S59" s="202"/>
      <c r="T59" s="202"/>
      <c r="U59" s="861"/>
      <c r="V59" s="862"/>
      <c r="W59" s="861"/>
      <c r="X59" s="862"/>
      <c r="Y59" s="861"/>
      <c r="Z59" s="862"/>
    </row>
    <row r="60" spans="2:26" ht="12.75" x14ac:dyDescent="0.25">
      <c r="C60" s="1133" t="s">
        <v>180</v>
      </c>
      <c r="D60" s="1133"/>
      <c r="E60" s="1133"/>
      <c r="F60" s="1133"/>
      <c r="G60" s="1133"/>
      <c r="H60" s="1133"/>
      <c r="I60" s="200"/>
      <c r="K60" s="240">
        <v>0.8</v>
      </c>
      <c r="L60" s="241">
        <f t="shared" si="12"/>
        <v>98493.6</v>
      </c>
      <c r="M60" s="1116">
        <f t="shared" si="13"/>
        <v>1486113549.3670487</v>
      </c>
      <c r="N60" s="1117"/>
      <c r="O60" s="210"/>
      <c r="P60" s="210"/>
      <c r="Q60" s="210"/>
      <c r="R60" s="210"/>
      <c r="S60" s="210"/>
      <c r="T60" s="210"/>
      <c r="U60" s="1116">
        <v>1486113549.3670487</v>
      </c>
      <c r="V60" s="1117"/>
      <c r="W60" s="1116"/>
      <c r="X60" s="1117"/>
      <c r="Y60" s="1116">
        <v>1486113549.3670487</v>
      </c>
      <c r="Z60" s="1117"/>
    </row>
    <row r="61" spans="2:26" ht="12.75" x14ac:dyDescent="0.25">
      <c r="C61" s="1133"/>
      <c r="D61" s="1133"/>
      <c r="E61" s="1133"/>
      <c r="F61" s="1133"/>
      <c r="G61" s="1133"/>
      <c r="H61" s="1133"/>
      <c r="I61" s="200"/>
      <c r="K61" s="866">
        <v>0.9</v>
      </c>
      <c r="L61" s="867">
        <f t="shared" si="12"/>
        <v>110805.3</v>
      </c>
      <c r="M61" s="1118">
        <f t="shared" si="13"/>
        <v>1671877743.0379298</v>
      </c>
      <c r="N61" s="1119"/>
      <c r="O61" s="868"/>
      <c r="P61" s="868"/>
      <c r="Q61" s="868"/>
      <c r="R61" s="868"/>
      <c r="S61" s="868"/>
      <c r="T61" s="868"/>
      <c r="U61" s="1118">
        <v>1671877743.0379298</v>
      </c>
      <c r="V61" s="1119"/>
      <c r="W61" s="1118"/>
      <c r="X61" s="1119"/>
      <c r="Y61" s="1118">
        <v>1671877743.0379298</v>
      </c>
      <c r="Z61" s="1119"/>
    </row>
    <row r="62" spans="2:26" ht="12.75" x14ac:dyDescent="0.25">
      <c r="C62" s="1133"/>
      <c r="D62" s="1133"/>
      <c r="E62" s="1133"/>
      <c r="F62" s="1133"/>
      <c r="G62" s="1133"/>
      <c r="H62" s="1133"/>
      <c r="I62" s="200"/>
      <c r="K62" s="869">
        <v>1</v>
      </c>
      <c r="L62" s="867">
        <f t="shared" si="12"/>
        <v>123117</v>
      </c>
      <c r="M62" s="1118">
        <v>1857641936.7088108</v>
      </c>
      <c r="N62" s="1119"/>
      <c r="O62" s="868"/>
      <c r="P62" s="868"/>
      <c r="Q62" s="868"/>
      <c r="R62" s="868"/>
      <c r="S62" s="868"/>
      <c r="T62" s="868"/>
      <c r="U62" s="1118">
        <v>1857641936.7088108</v>
      </c>
      <c r="V62" s="1119"/>
      <c r="W62" s="1118"/>
      <c r="X62" s="1119"/>
      <c r="Y62" s="1118">
        <v>1857641936.7088108</v>
      </c>
      <c r="Z62" s="1119"/>
    </row>
    <row r="65" spans="2:20" ht="12.75" hidden="1" x14ac:dyDescent="0.2">
      <c r="B65" s="870" t="s">
        <v>181</v>
      </c>
      <c r="C65" s="871"/>
      <c r="D65" s="871"/>
      <c r="E65" s="871"/>
      <c r="F65" s="871"/>
      <c r="G65" s="871"/>
      <c r="H65" s="872"/>
      <c r="I65" s="872"/>
      <c r="J65" s="872"/>
      <c r="K65" s="872"/>
      <c r="L65" s="872"/>
      <c r="P65" s="1120" t="s">
        <v>182</v>
      </c>
      <c r="Q65" s="1121"/>
      <c r="S65" s="1124" t="s">
        <v>183</v>
      </c>
      <c r="T65" s="1125"/>
    </row>
    <row r="66" spans="2:20" ht="12.75" hidden="1" x14ac:dyDescent="0.2">
      <c r="B66" s="1128" t="s">
        <v>184</v>
      </c>
      <c r="C66" s="1128"/>
      <c r="D66" s="1128"/>
      <c r="E66" s="1129">
        <v>2024</v>
      </c>
      <c r="F66" s="1129"/>
      <c r="G66" s="1130">
        <v>2025</v>
      </c>
      <c r="H66" s="1131"/>
      <c r="I66" s="1130">
        <v>2026</v>
      </c>
      <c r="J66" s="1131"/>
      <c r="K66" s="1132" t="s">
        <v>185</v>
      </c>
      <c r="L66" s="1131"/>
      <c r="P66" s="1122"/>
      <c r="Q66" s="1123"/>
      <c r="S66" s="1126"/>
      <c r="T66" s="1127"/>
    </row>
    <row r="67" spans="2:20" ht="14.25" hidden="1" thickTop="1" thickBot="1" x14ac:dyDescent="0.25">
      <c r="B67" s="1140" t="s">
        <v>186</v>
      </c>
      <c r="C67" s="1140"/>
      <c r="D67" s="1141"/>
      <c r="E67" s="1142" t="str">
        <f>M7</f>
        <v>Nenhum</v>
      </c>
      <c r="F67" s="1143"/>
      <c r="G67" s="1142" t="str">
        <f>M8</f>
        <v>Janeiro</v>
      </c>
      <c r="H67" s="1143"/>
      <c r="I67" s="1142" t="str">
        <f>M9</f>
        <v>Abril</v>
      </c>
      <c r="J67" s="1143"/>
      <c r="K67" s="1138" t="s">
        <v>141</v>
      </c>
      <c r="L67" s="1139"/>
      <c r="P67" s="1144" t="s">
        <v>187</v>
      </c>
      <c r="Q67" s="1145"/>
      <c r="S67" s="1110" t="s">
        <v>188</v>
      </c>
      <c r="T67" s="1111"/>
    </row>
    <row r="68" spans="2:20" ht="14.25" hidden="1" thickTop="1" thickBot="1" x14ac:dyDescent="0.25">
      <c r="B68" s="1140" t="s">
        <v>189</v>
      </c>
      <c r="C68" s="1140"/>
      <c r="D68" s="1150"/>
      <c r="E68" s="1136">
        <f>N7</f>
        <v>0</v>
      </c>
      <c r="F68" s="1137"/>
      <c r="G68" s="1136">
        <f>N8</f>
        <v>0.09</v>
      </c>
      <c r="H68" s="1137"/>
      <c r="I68" s="1136">
        <f>N9</f>
        <v>0.05</v>
      </c>
      <c r="J68" s="1137"/>
      <c r="K68" s="1138" t="s">
        <v>141</v>
      </c>
      <c r="L68" s="1139"/>
      <c r="P68" s="1146"/>
      <c r="Q68" s="1147"/>
      <c r="S68" s="1112"/>
      <c r="T68" s="1113"/>
    </row>
    <row r="69" spans="2:20" ht="12.75" hidden="1" x14ac:dyDescent="0.2">
      <c r="P69" s="1148"/>
      <c r="Q69" s="1149"/>
      <c r="S69" s="1114"/>
      <c r="T69" s="1115"/>
    </row>
    <row r="70" spans="2:20" ht="15.75" hidden="1" x14ac:dyDescent="0.2">
      <c r="B70" s="1202" t="s">
        <v>190</v>
      </c>
      <c r="C70" s="1203"/>
      <c r="D70" s="1204"/>
      <c r="E70" s="1205">
        <f>(1+E68)*(1+G68)*(1+I68)-1</f>
        <v>0.14450000000000007</v>
      </c>
      <c r="F70" s="1206"/>
      <c r="G70" s="1206"/>
      <c r="H70" s="1206"/>
      <c r="I70" s="1206"/>
      <c r="J70" s="1207"/>
      <c r="K70" s="1208" t="s">
        <v>141</v>
      </c>
      <c r="L70" s="1139"/>
      <c r="P70" s="1209">
        <v>0.14449999999999999</v>
      </c>
      <c r="Q70" s="1210"/>
      <c r="S70" s="1222">
        <v>0.34339999999999998</v>
      </c>
      <c r="T70" s="1223"/>
    </row>
    <row r="71" spans="2:20" ht="12.75" hidden="1" x14ac:dyDescent="0.2">
      <c r="K71" s="201"/>
      <c r="L71" s="201"/>
      <c r="P71" s="165"/>
      <c r="Q71" s="165"/>
      <c r="S71" s="165"/>
      <c r="T71" s="165"/>
    </row>
    <row r="72" spans="2:20" ht="12.75" hidden="1" x14ac:dyDescent="0.2">
      <c r="B72" s="1224" t="s">
        <v>158</v>
      </c>
      <c r="C72" s="1225"/>
      <c r="D72" s="1226"/>
      <c r="E72" s="1227">
        <f>$G$31</f>
        <v>20313434289.61031</v>
      </c>
      <c r="F72" s="1228"/>
      <c r="G72" s="1227">
        <f>E72</f>
        <v>20313434289.61031</v>
      </c>
      <c r="H72" s="1228"/>
      <c r="I72" s="1231">
        <f>G72</f>
        <v>20313434289.61031</v>
      </c>
      <c r="J72" s="1232"/>
      <c r="K72" s="1227">
        <f>I72</f>
        <v>20313434289.61031</v>
      </c>
      <c r="L72" s="1228"/>
      <c r="P72" s="1194">
        <f>I72</f>
        <v>20313434289.61031</v>
      </c>
      <c r="Q72" s="1195"/>
      <c r="R72" s="165"/>
      <c r="S72" s="1198">
        <f>K72</f>
        <v>20313434289.61031</v>
      </c>
      <c r="T72" s="1199"/>
    </row>
    <row r="73" spans="2:20" ht="54" hidden="1" x14ac:dyDescent="0.25">
      <c r="B73" s="242" t="s">
        <v>159</v>
      </c>
      <c r="C73" s="211"/>
      <c r="D73" s="243"/>
      <c r="E73" s="1229"/>
      <c r="F73" s="1230"/>
      <c r="G73" s="1229"/>
      <c r="H73" s="1230"/>
      <c r="I73" s="1233"/>
      <c r="J73" s="1234"/>
      <c r="K73" s="1229"/>
      <c r="L73" s="1230"/>
      <c r="P73" s="1196"/>
      <c r="Q73" s="1197"/>
      <c r="R73" s="165"/>
      <c r="S73" s="1200"/>
      <c r="T73" s="1201"/>
    </row>
    <row r="74" spans="2:20" ht="12.75" hidden="1" x14ac:dyDescent="0.2">
      <c r="B74" s="1211" t="str">
        <f>"Impacto RSC - Concessão a "&amp;ROUND(Y9*100,2)&amp;"% dos elegíveis ao final de 2026"</f>
        <v>Impacto RSC - Concessão a 0% dos elegíveis ao final de 2026</v>
      </c>
      <c r="C74" s="1212"/>
      <c r="D74" s="1213"/>
      <c r="E74" s="1214">
        <v>0</v>
      </c>
      <c r="F74" s="1215"/>
      <c r="G74" s="1214">
        <v>0</v>
      </c>
      <c r="H74" s="1215"/>
      <c r="I74" s="1218">
        <v>0</v>
      </c>
      <c r="J74" s="1219"/>
      <c r="K74" s="1214">
        <v>0</v>
      </c>
      <c r="L74" s="1215"/>
      <c r="P74" s="1173">
        <v>0</v>
      </c>
      <c r="Q74" s="1174"/>
      <c r="R74" s="165"/>
      <c r="S74" s="1177">
        <v>493657115.89565676</v>
      </c>
      <c r="T74" s="1178"/>
    </row>
    <row r="75" spans="2:20" ht="18" hidden="1" x14ac:dyDescent="0.25">
      <c r="B75" s="244" t="s">
        <v>160</v>
      </c>
      <c r="C75" s="212"/>
      <c r="D75" s="245"/>
      <c r="E75" s="1216"/>
      <c r="F75" s="1217"/>
      <c r="G75" s="1216"/>
      <c r="H75" s="1217"/>
      <c r="I75" s="1220"/>
      <c r="J75" s="1221"/>
      <c r="K75" s="1216"/>
      <c r="L75" s="1217"/>
      <c r="P75" s="1175"/>
      <c r="Q75" s="1176"/>
      <c r="R75" s="165"/>
      <c r="S75" s="1179"/>
      <c r="T75" s="1180"/>
    </row>
    <row r="76" spans="2:20" s="167" customFormat="1" ht="12.75" hidden="1" x14ac:dyDescent="0.2">
      <c r="B76" s="1184" t="s">
        <v>161</v>
      </c>
      <c r="C76" s="1185"/>
      <c r="D76" s="1185"/>
      <c r="E76" s="1186">
        <v>0</v>
      </c>
      <c r="F76" s="1187"/>
      <c r="G76" s="1186">
        <v>0</v>
      </c>
      <c r="H76" s="1187"/>
      <c r="I76" s="1190">
        <v>0</v>
      </c>
      <c r="J76" s="1191"/>
      <c r="K76" s="1186">
        <v>0</v>
      </c>
      <c r="L76" s="1187"/>
      <c r="P76" s="1173">
        <v>0</v>
      </c>
      <c r="Q76" s="1174"/>
      <c r="S76" s="1157">
        <v>589711560.11778164</v>
      </c>
      <c r="T76" s="1158"/>
    </row>
    <row r="77" spans="2:20" s="167" customFormat="1" ht="12" hidden="1" x14ac:dyDescent="0.25">
      <c r="B77" s="1161" t="s">
        <v>162</v>
      </c>
      <c r="C77" s="1162"/>
      <c r="D77" s="1163"/>
      <c r="E77" s="1188"/>
      <c r="F77" s="1189"/>
      <c r="G77" s="1188"/>
      <c r="H77" s="1189"/>
      <c r="I77" s="1192"/>
      <c r="J77" s="1193"/>
      <c r="K77" s="1188"/>
      <c r="L77" s="1189"/>
      <c r="P77" s="1175"/>
      <c r="Q77" s="1176"/>
      <c r="S77" s="1159"/>
      <c r="T77" s="1160"/>
    </row>
    <row r="78" spans="2:20" ht="12.75" hidden="1" x14ac:dyDescent="0.2">
      <c r="B78" s="1164" t="str">
        <f>"Impacto Reajuste - "&amp;ROUND(C6*100,2)&amp;"%"</f>
        <v>Impacto Reajuste - 14,45%</v>
      </c>
      <c r="C78" s="1164"/>
      <c r="D78" s="1164"/>
      <c r="E78" s="1165">
        <v>0</v>
      </c>
      <c r="F78" s="1166"/>
      <c r="G78" s="1165">
        <v>2688244069.2741127</v>
      </c>
      <c r="H78" s="1166"/>
      <c r="I78" s="1169">
        <v>3771732635.0378914</v>
      </c>
      <c r="J78" s="1170"/>
      <c r="K78" s="1165">
        <v>4132895490.2924843</v>
      </c>
      <c r="L78" s="1166"/>
      <c r="P78" s="1173">
        <v>3547512918.3021965</v>
      </c>
      <c r="Q78" s="1174"/>
      <c r="R78" s="165"/>
      <c r="S78" s="1177">
        <v>8262460647.291893</v>
      </c>
      <c r="T78" s="1178"/>
    </row>
    <row r="79" spans="2:20" ht="12" hidden="1" x14ac:dyDescent="0.25">
      <c r="B79" s="1181" t="s">
        <v>159</v>
      </c>
      <c r="C79" s="1182"/>
      <c r="D79" s="1183"/>
      <c r="E79" s="1167"/>
      <c r="F79" s="1168"/>
      <c r="G79" s="1167"/>
      <c r="H79" s="1168"/>
      <c r="I79" s="1171"/>
      <c r="J79" s="1172"/>
      <c r="K79" s="1167"/>
      <c r="L79" s="1168"/>
      <c r="P79" s="1175"/>
      <c r="Q79" s="1176"/>
      <c r="R79" s="165"/>
      <c r="S79" s="1179"/>
      <c r="T79" s="1180"/>
    </row>
    <row r="80" spans="2:20" ht="12.75" hidden="1" x14ac:dyDescent="0.2">
      <c r="B80" s="1152" t="s">
        <v>191</v>
      </c>
      <c r="C80" s="1153"/>
      <c r="D80" s="1154"/>
      <c r="E80" s="1155">
        <f>SUM(E74:F79)</f>
        <v>0</v>
      </c>
      <c r="F80" s="1155"/>
      <c r="G80" s="1155">
        <f>SUM(G74:H79)</f>
        <v>2688244069.2741127</v>
      </c>
      <c r="H80" s="1155"/>
      <c r="I80" s="1156">
        <f>SUM(I74:J79)</f>
        <v>3771732635.0378914</v>
      </c>
      <c r="J80" s="1156"/>
      <c r="K80" s="1155">
        <f>SUM(K74:L79)</f>
        <v>4132895490.2924843</v>
      </c>
      <c r="L80" s="1155"/>
      <c r="P80" s="1089">
        <f>P74+P76+P78</f>
        <v>3547512918.3021965</v>
      </c>
      <c r="Q80" s="1089"/>
      <c r="R80" s="165"/>
      <c r="S80" s="1151">
        <f>S74+S76+S78</f>
        <v>9345829323.3053322</v>
      </c>
      <c r="T80" s="1151"/>
    </row>
    <row r="81" spans="2:20" ht="54" hidden="1" x14ac:dyDescent="0.25">
      <c r="B81" s="246" t="s">
        <v>159</v>
      </c>
      <c r="C81" s="213"/>
      <c r="D81" s="247"/>
      <c r="E81" s="1155"/>
      <c r="F81" s="1155"/>
      <c r="G81" s="1155"/>
      <c r="H81" s="1155"/>
      <c r="I81" s="1156"/>
      <c r="J81" s="1156"/>
      <c r="K81" s="1155"/>
      <c r="L81" s="1155"/>
      <c r="P81" s="1089"/>
      <c r="Q81" s="1089"/>
      <c r="R81" s="165"/>
      <c r="S81" s="1151"/>
      <c r="T81" s="1151"/>
    </row>
    <row r="82" spans="2:20" ht="12.75" x14ac:dyDescent="0.2">
      <c r="B82" s="170"/>
      <c r="C82" s="172"/>
      <c r="D82" s="170"/>
      <c r="E82" s="170"/>
      <c r="F82" s="170"/>
      <c r="G82" s="170"/>
      <c r="H82" s="170"/>
      <c r="J82" s="170"/>
      <c r="M82" s="170"/>
      <c r="N82" s="170"/>
      <c r="O82" s="170"/>
    </row>
    <row r="83" spans="2:20" ht="12.75" x14ac:dyDescent="0.2">
      <c r="B83" s="170"/>
      <c r="C83" s="172"/>
      <c r="D83" s="170"/>
      <c r="E83" s="170"/>
      <c r="F83" s="170"/>
      <c r="G83" s="170"/>
      <c r="H83" s="170"/>
      <c r="J83" s="170"/>
      <c r="M83" s="170"/>
      <c r="N83" s="170"/>
      <c r="O83" s="170"/>
    </row>
    <row r="84" spans="2:20" ht="12.75" x14ac:dyDescent="0.2">
      <c r="B84" s="170"/>
      <c r="C84" s="172"/>
      <c r="D84" s="170"/>
      <c r="E84" s="170"/>
      <c r="F84" s="170"/>
      <c r="G84" s="170"/>
      <c r="H84" s="170"/>
      <c r="I84" s="170"/>
      <c r="J84" s="170"/>
      <c r="M84" s="170"/>
      <c r="N84" s="170"/>
      <c r="O84" s="170"/>
    </row>
    <row r="85" spans="2:20" ht="12.75" x14ac:dyDescent="0.2">
      <c r="B85" s="170"/>
      <c r="C85" s="172"/>
      <c r="D85" s="170"/>
      <c r="E85" s="170"/>
      <c r="F85" s="170"/>
      <c r="G85" s="170"/>
      <c r="H85" s="170"/>
      <c r="I85" s="170"/>
      <c r="J85" s="170"/>
      <c r="M85" s="170"/>
      <c r="N85" s="170"/>
      <c r="O85" s="170"/>
    </row>
    <row r="86" spans="2:20" ht="12.75" x14ac:dyDescent="0.2">
      <c r="B86" s="170"/>
      <c r="C86" s="170"/>
      <c r="D86" s="170"/>
      <c r="E86" s="170"/>
      <c r="F86" s="170"/>
      <c r="G86" s="170"/>
      <c r="H86" s="170"/>
      <c r="I86" s="170"/>
      <c r="J86" s="170"/>
      <c r="K86" s="165" t="s">
        <v>192</v>
      </c>
      <c r="M86" s="170"/>
      <c r="N86" s="170"/>
      <c r="O86" s="170"/>
    </row>
    <row r="87" spans="2:20" x14ac:dyDescent="0.2">
      <c r="B87" s="170"/>
      <c r="C87" s="172"/>
      <c r="D87" s="170"/>
      <c r="E87" s="170"/>
      <c r="F87" s="170"/>
      <c r="G87" s="170"/>
      <c r="H87" s="170"/>
      <c r="I87" s="170"/>
      <c r="J87" s="170"/>
      <c r="K87" s="1427" t="s">
        <v>1842</v>
      </c>
      <c r="L87" s="1427"/>
      <c r="M87" s="1427"/>
      <c r="N87" s="1427" t="s">
        <v>1843</v>
      </c>
      <c r="O87" s="1427"/>
      <c r="P87" s="1427"/>
    </row>
    <row r="88" spans="2:20" x14ac:dyDescent="0.2">
      <c r="B88" s="170"/>
      <c r="C88" s="172"/>
      <c r="D88" s="170"/>
      <c r="E88" s="170"/>
      <c r="F88" s="170"/>
      <c r="G88" s="170"/>
      <c r="H88" s="170"/>
      <c r="I88" s="170"/>
      <c r="J88" s="170"/>
      <c r="K88" s="5" t="s">
        <v>34</v>
      </c>
      <c r="L88" s="5" t="s">
        <v>35</v>
      </c>
      <c r="M88" s="5" t="s">
        <v>13</v>
      </c>
      <c r="N88" s="5" t="s">
        <v>1841</v>
      </c>
      <c r="O88" s="5" t="s">
        <v>35</v>
      </c>
      <c r="P88" s="5" t="s">
        <v>13</v>
      </c>
    </row>
    <row r="89" spans="2:20" x14ac:dyDescent="0.2">
      <c r="B89" s="170"/>
      <c r="C89" s="172"/>
      <c r="D89" s="170"/>
      <c r="E89" s="170"/>
      <c r="F89" s="170"/>
      <c r="G89" s="170"/>
      <c r="H89" s="170"/>
      <c r="I89" s="170"/>
      <c r="J89" s="170"/>
      <c r="K89" s="73">
        <v>1011021624</v>
      </c>
      <c r="L89" s="73">
        <v>222424757</v>
      </c>
      <c r="M89" s="968">
        <f>K89+L89</f>
        <v>1233446381</v>
      </c>
      <c r="N89" s="73">
        <v>1444471409</v>
      </c>
      <c r="O89" s="73">
        <v>453976729</v>
      </c>
      <c r="P89" s="968">
        <v>1898448138</v>
      </c>
    </row>
  </sheetData>
  <mergeCells count="152">
    <mergeCell ref="K87:M87"/>
    <mergeCell ref="N87:P87"/>
    <mergeCell ref="P72:Q73"/>
    <mergeCell ref="S72:T73"/>
    <mergeCell ref="B70:D70"/>
    <mergeCell ref="E70:J70"/>
    <mergeCell ref="K70:L70"/>
    <mergeCell ref="P70:Q70"/>
    <mergeCell ref="S74:T75"/>
    <mergeCell ref="B74:D74"/>
    <mergeCell ref="E74:F75"/>
    <mergeCell ref="G74:H75"/>
    <mergeCell ref="I74:J75"/>
    <mergeCell ref="K74:L75"/>
    <mergeCell ref="P74:Q75"/>
    <mergeCell ref="S70:T70"/>
    <mergeCell ref="B72:D72"/>
    <mergeCell ref="E72:F73"/>
    <mergeCell ref="G72:H73"/>
    <mergeCell ref="I72:J73"/>
    <mergeCell ref="K72:L73"/>
    <mergeCell ref="S80:T81"/>
    <mergeCell ref="B80:D80"/>
    <mergeCell ref="E80:F81"/>
    <mergeCell ref="G80:H81"/>
    <mergeCell ref="I80:J81"/>
    <mergeCell ref="K80:L81"/>
    <mergeCell ref="P80:Q81"/>
    <mergeCell ref="S76:T77"/>
    <mergeCell ref="B77:D77"/>
    <mergeCell ref="B78:D78"/>
    <mergeCell ref="E78:F79"/>
    <mergeCell ref="G78:H79"/>
    <mergeCell ref="I78:J79"/>
    <mergeCell ref="K78:L79"/>
    <mergeCell ref="P78:Q79"/>
    <mergeCell ref="S78:T79"/>
    <mergeCell ref="B79:D79"/>
    <mergeCell ref="B76:D76"/>
    <mergeCell ref="E76:F77"/>
    <mergeCell ref="G76:H77"/>
    <mergeCell ref="I76:J77"/>
    <mergeCell ref="K76:L77"/>
    <mergeCell ref="P76:Q77"/>
    <mergeCell ref="G68:H68"/>
    <mergeCell ref="I68:J68"/>
    <mergeCell ref="K68:L68"/>
    <mergeCell ref="B67:D67"/>
    <mergeCell ref="E67:F67"/>
    <mergeCell ref="G67:H67"/>
    <mergeCell ref="I67:J67"/>
    <mergeCell ref="K67:L67"/>
    <mergeCell ref="P67:Q69"/>
    <mergeCell ref="B68:D68"/>
    <mergeCell ref="E68:F68"/>
    <mergeCell ref="B66:D66"/>
    <mergeCell ref="E66:F66"/>
    <mergeCell ref="G66:H66"/>
    <mergeCell ref="I66:J66"/>
    <mergeCell ref="K66:L66"/>
    <mergeCell ref="C60:H62"/>
    <mergeCell ref="M60:N60"/>
    <mergeCell ref="M57:N57"/>
    <mergeCell ref="U57:V57"/>
    <mergeCell ref="M58:N58"/>
    <mergeCell ref="U58:V58"/>
    <mergeCell ref="U62:V62"/>
    <mergeCell ref="U60:V60"/>
    <mergeCell ref="M56:N56"/>
    <mergeCell ref="U56:V56"/>
    <mergeCell ref="W56:X56"/>
    <mergeCell ref="Y56:Z56"/>
    <mergeCell ref="M53:N53"/>
    <mergeCell ref="U53:V53"/>
    <mergeCell ref="W53:X53"/>
    <mergeCell ref="Y53:Z53"/>
    <mergeCell ref="S67:T69"/>
    <mergeCell ref="Y60:Z60"/>
    <mergeCell ref="M61:N61"/>
    <mergeCell ref="U61:V61"/>
    <mergeCell ref="W61:X61"/>
    <mergeCell ref="Y61:Z61"/>
    <mergeCell ref="M62:N62"/>
    <mergeCell ref="P65:Q66"/>
    <mergeCell ref="S65:T66"/>
    <mergeCell ref="W57:X57"/>
    <mergeCell ref="Y57:Z57"/>
    <mergeCell ref="W58:X58"/>
    <mergeCell ref="Y58:Z58"/>
    <mergeCell ref="W62:X62"/>
    <mergeCell ref="Y62:Z62"/>
    <mergeCell ref="W60:X60"/>
    <mergeCell ref="C54:H55"/>
    <mergeCell ref="M54:N54"/>
    <mergeCell ref="U54:V54"/>
    <mergeCell ref="W54:X54"/>
    <mergeCell ref="Y54:Z54"/>
    <mergeCell ref="M55:N55"/>
    <mergeCell ref="M51:N51"/>
    <mergeCell ref="U51:V51"/>
    <mergeCell ref="M52:N52"/>
    <mergeCell ref="U52:V52"/>
    <mergeCell ref="W52:X52"/>
    <mergeCell ref="Y52:Z52"/>
    <mergeCell ref="U55:V55"/>
    <mergeCell ref="W55:X55"/>
    <mergeCell ref="Y55:Z55"/>
    <mergeCell ref="B44:D44"/>
    <mergeCell ref="B45:D45"/>
    <mergeCell ref="B46:D46"/>
    <mergeCell ref="B47:D47"/>
    <mergeCell ref="B48:D48"/>
    <mergeCell ref="B49:D49"/>
    <mergeCell ref="K41:K42"/>
    <mergeCell ref="L41:L42"/>
    <mergeCell ref="M41:M42"/>
    <mergeCell ref="N41:N42"/>
    <mergeCell ref="B42:E42"/>
    <mergeCell ref="B43:D43"/>
    <mergeCell ref="B39:D39"/>
    <mergeCell ref="E39:F40"/>
    <mergeCell ref="G39:H40"/>
    <mergeCell ref="H41:H42"/>
    <mergeCell ref="I41:I42"/>
    <mergeCell ref="J41:J42"/>
    <mergeCell ref="B35:D35"/>
    <mergeCell ref="E35:F36"/>
    <mergeCell ref="G35:H36"/>
    <mergeCell ref="B36:D36"/>
    <mergeCell ref="B37:D37"/>
    <mergeCell ref="E37:F38"/>
    <mergeCell ref="G37:H38"/>
    <mergeCell ref="B38:D38"/>
    <mergeCell ref="B31:D31"/>
    <mergeCell ref="E31:F32"/>
    <mergeCell ref="G31:H32"/>
    <mergeCell ref="B33:D33"/>
    <mergeCell ref="E33:F34"/>
    <mergeCell ref="G33:H34"/>
    <mergeCell ref="P15:Q15"/>
    <mergeCell ref="S15:T15"/>
    <mergeCell ref="E27:F27"/>
    <mergeCell ref="B30:D30"/>
    <mergeCell ref="E30:F30"/>
    <mergeCell ref="G30:H30"/>
    <mergeCell ref="B2:N2"/>
    <mergeCell ref="B3:N3"/>
    <mergeCell ref="B15:B16"/>
    <mergeCell ref="C15:C16"/>
    <mergeCell ref="D15:D16"/>
    <mergeCell ref="E15:G15"/>
    <mergeCell ref="H15:N15"/>
  </mergeCells>
  <conditionalFormatting sqref="E70">
    <cfRule type="cellIs" dxfId="10" priority="7" operator="equal">
      <formula>"nenhum"</formula>
    </cfRule>
    <cfRule type="containsText" dxfId="9" priority="8" operator="containsText" text="Nenhum">
      <formula>NOT(ISERROR(SEARCH("Nenhum",E70)))</formula>
    </cfRule>
  </conditionalFormatting>
  <conditionalFormatting sqref="E68:J68">
    <cfRule type="cellIs" dxfId="8" priority="5" operator="equal">
      <formula>"nenhum"</formula>
    </cfRule>
    <cfRule type="containsText" dxfId="7" priority="6" operator="containsText" text="Nenhum">
      <formula>NOT(ISERROR(SEARCH("Nenhum",E68)))</formula>
    </cfRule>
  </conditionalFormatting>
  <conditionalFormatting sqref="P70">
    <cfRule type="cellIs" dxfId="6" priority="1" operator="equal">
      <formula>"nenhum"</formula>
    </cfRule>
    <cfRule type="containsText" dxfId="5" priority="2" operator="containsText" text="Nenhum">
      <formula>NOT(ISERROR(SEARCH("Nenhum",P70)))</formula>
    </cfRule>
  </conditionalFormatting>
  <conditionalFormatting sqref="S70">
    <cfRule type="cellIs" dxfId="4" priority="3" operator="equal">
      <formula>"nenhum"</formula>
    </cfRule>
    <cfRule type="containsText" dxfId="3" priority="4" operator="containsText" text="Nenhum">
      <formula>NOT(ISERROR(SEARCH("Nenhum",S70)))</formula>
    </cfRule>
  </conditionalFormatting>
  <dataValidations disablePrompts="1" count="4">
    <dataValidation type="list" allowBlank="1" showInputMessage="1" showErrorMessage="1" sqref="M7:M9" xr:uid="{AC956021-0DCB-4C6B-A16D-7E2344348573}">
      <formula1>$V$15:$V$27</formula1>
    </dataValidation>
    <dataValidation type="custom" allowBlank="1" showInputMessage="1" showErrorMessage="1" sqref="I68 G68" xr:uid="{B0B90CBC-9C0D-442A-A1B6-2575D1BE1252}">
      <formula1>G67&lt;&gt;"Nenhum"</formula1>
    </dataValidation>
    <dataValidation type="custom" allowBlank="1" showInputMessage="1" showErrorMessage="1" sqref="E70" xr:uid="{EA5AB631-4E2D-49AE-9F32-63FEF3D32D67}">
      <formula1>E68&lt;&gt;"Nenhum"</formula1>
    </dataValidation>
    <dataValidation type="list" allowBlank="1" showInputMessage="1" showErrorMessage="1" sqref="Y7:Y10 K62" xr:uid="{F2DAF46D-30EE-4AFC-9A23-D33D1CAF3ECD}">
      <formula1>"0%,10%,20%,30%,40%,50%,60%,70%,80%,90%,100%"</formula1>
    </dataValidation>
  </dataValidations>
  <pageMargins left="0.511811024" right="0.511811024" top="0.78740157499999996" bottom="0.78740157499999996" header="0" footer="0"/>
  <pageSetup paperSize="9" scale="49" orientation="portrait" r:id="rId1"/>
  <rowBreaks count="1" manualBreakCount="1">
    <brk id="81" min="1" max="1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EC894-720F-4942-99D8-D5B2325FD912}">
  <dimension ref="A2:Z37"/>
  <sheetViews>
    <sheetView showGridLines="0" topLeftCell="A2" zoomScaleNormal="100" workbookViewId="0">
      <pane xSplit="2" ySplit="4" topLeftCell="O9" activePane="bottomRight" state="frozen"/>
      <selection activeCell="A2" sqref="A2"/>
      <selection pane="topRight" activeCell="C2" sqref="C2"/>
      <selection pane="bottomLeft" activeCell="A6" sqref="A6"/>
      <selection pane="bottomRight" activeCell="X40" sqref="X40"/>
    </sheetView>
  </sheetViews>
  <sheetFormatPr defaultColWidth="8.85546875" defaultRowHeight="15" outlineLevelRow="2" x14ac:dyDescent="0.25"/>
  <cols>
    <col min="1" max="1" width="1.28515625" customWidth="1"/>
    <col min="2" max="2" width="11.42578125" customWidth="1"/>
    <col min="3" max="3" width="17.140625" customWidth="1"/>
    <col min="4" max="4" width="18.28515625" customWidth="1"/>
    <col min="5" max="7" width="15.42578125" customWidth="1"/>
    <col min="8" max="8" width="16.42578125" bestFit="1" customWidth="1"/>
    <col min="9" max="9" width="1" customWidth="1"/>
    <col min="10" max="10" width="15.7109375" bestFit="1" customWidth="1"/>
    <col min="11" max="11" width="15.28515625" bestFit="1" customWidth="1"/>
    <col min="12" max="12" width="14.28515625" bestFit="1" customWidth="1"/>
    <col min="13" max="13" width="13.28515625" bestFit="1" customWidth="1"/>
    <col min="14" max="14" width="15.28515625" bestFit="1" customWidth="1"/>
    <col min="15" max="15" width="0.85546875" customWidth="1"/>
    <col min="16" max="16" width="22.7109375" bestFit="1" customWidth="1"/>
    <col min="17" max="18" width="18.7109375" bestFit="1" customWidth="1"/>
    <col min="19" max="19" width="15.7109375" bestFit="1" customWidth="1"/>
    <col min="20" max="20" width="18.7109375" bestFit="1" customWidth="1"/>
    <col min="21" max="21" width="1.140625" customWidth="1"/>
    <col min="22" max="22" width="16.85546875" bestFit="1" customWidth="1"/>
    <col min="23" max="23" width="15.7109375" customWidth="1"/>
    <col min="24" max="24" width="14.85546875" customWidth="1"/>
    <col min="25" max="25" width="17.28515625" customWidth="1"/>
    <col min="26" max="26" width="7.140625" customWidth="1"/>
    <col min="27" max="27" width="15.42578125" customWidth="1"/>
  </cols>
  <sheetData>
    <row r="2" spans="1:26" x14ac:dyDescent="0.25">
      <c r="C2" s="296"/>
      <c r="D2" s="296" t="s">
        <v>27</v>
      </c>
      <c r="E2" s="296" t="s">
        <v>193</v>
      </c>
      <c r="F2" s="297" t="s">
        <v>194</v>
      </c>
      <c r="G2" s="297" t="s">
        <v>195</v>
      </c>
      <c r="H2" s="297" t="s">
        <v>196</v>
      </c>
    </row>
    <row r="3" spans="1:26" x14ac:dyDescent="0.25">
      <c r="C3" s="298">
        <v>2025</v>
      </c>
      <c r="D3" s="299">
        <v>4</v>
      </c>
      <c r="E3" s="162"/>
      <c r="F3" s="300"/>
    </row>
    <row r="4" spans="1:26" x14ac:dyDescent="0.25">
      <c r="C4" s="298">
        <v>2026</v>
      </c>
      <c r="D4" s="299">
        <v>4</v>
      </c>
      <c r="E4" s="162"/>
      <c r="F4" s="301">
        <f>(((1+H4)/(1+G4))-1)</f>
        <v>4.8047846889952339E-2</v>
      </c>
      <c r="G4" s="302">
        <v>4.4999999999999998E-2</v>
      </c>
      <c r="H4" s="303">
        <v>9.5210000000000003E-2</v>
      </c>
    </row>
    <row r="7" spans="1:26" outlineLevel="1" x14ac:dyDescent="0.25">
      <c r="A7" s="304"/>
      <c r="B7" s="304"/>
      <c r="C7" s="304"/>
      <c r="D7" s="304"/>
      <c r="E7" s="304"/>
      <c r="F7" s="305"/>
      <c r="G7" s="305"/>
      <c r="H7" s="305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7"/>
      <c r="T7" s="307"/>
      <c r="U7" s="307"/>
      <c r="V7" s="307"/>
      <c r="W7" s="307"/>
      <c r="X7" s="307"/>
      <c r="Y7" s="307"/>
      <c r="Z7" s="307"/>
    </row>
    <row r="8" spans="1:26" outlineLevel="1" x14ac:dyDescent="0.25">
      <c r="A8" s="304" t="s">
        <v>197</v>
      </c>
      <c r="B8" s="304"/>
      <c r="C8" s="304"/>
      <c r="D8" s="304"/>
      <c r="E8" s="304"/>
    </row>
    <row r="9" spans="1:26" outlineLevel="1" x14ac:dyDescent="0.25">
      <c r="A9" s="307"/>
      <c r="B9" s="307"/>
      <c r="C9" s="307"/>
      <c r="D9" s="307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6"/>
      <c r="Q9" s="309"/>
      <c r="R9" s="309"/>
      <c r="S9" s="309"/>
      <c r="T9" s="307"/>
      <c r="U9" s="307"/>
      <c r="V9" s="307"/>
      <c r="W9" s="307"/>
      <c r="X9" s="307"/>
      <c r="Y9" s="307"/>
      <c r="Z9" s="307"/>
    </row>
    <row r="10" spans="1:26" outlineLevel="1" x14ac:dyDescent="0.25">
      <c r="E10" s="1235" t="s">
        <v>198</v>
      </c>
      <c r="F10" s="1235"/>
      <c r="G10" s="1235"/>
      <c r="H10" s="1235"/>
      <c r="I10" s="310"/>
      <c r="J10" s="311"/>
      <c r="K10" s="1235" t="s">
        <v>199</v>
      </c>
      <c r="L10" s="1235"/>
      <c r="M10" s="1235"/>
      <c r="N10" s="1235"/>
      <c r="O10" s="310"/>
      <c r="P10" s="311"/>
      <c r="Q10" s="1235" t="s">
        <v>200</v>
      </c>
      <c r="R10" s="1235"/>
      <c r="S10" s="1235"/>
      <c r="T10" s="1235"/>
      <c r="V10" s="1235" t="s">
        <v>201</v>
      </c>
      <c r="W10" s="1235"/>
      <c r="X10" s="1235"/>
      <c r="Y10" s="1235"/>
    </row>
    <row r="11" spans="1:26" outlineLevel="1" x14ac:dyDescent="0.25">
      <c r="E11" s="312" t="s">
        <v>202</v>
      </c>
      <c r="F11" s="313" t="s">
        <v>203</v>
      </c>
      <c r="G11" s="313" t="s">
        <v>204</v>
      </c>
      <c r="H11" s="313" t="s">
        <v>205</v>
      </c>
      <c r="I11" s="314"/>
      <c r="J11" s="311"/>
      <c r="K11" s="313" t="s">
        <v>202</v>
      </c>
      <c r="L11" s="313" t="s">
        <v>203</v>
      </c>
      <c r="M11" s="312" t="s">
        <v>204</v>
      </c>
      <c r="N11" s="312" t="s">
        <v>205</v>
      </c>
      <c r="O11" s="314"/>
      <c r="P11" s="311"/>
      <c r="Q11" s="313" t="s">
        <v>202</v>
      </c>
      <c r="R11" s="313" t="s">
        <v>203</v>
      </c>
      <c r="S11" s="312" t="s">
        <v>204</v>
      </c>
      <c r="T11" s="312" t="s">
        <v>205</v>
      </c>
      <c r="V11" s="312" t="s">
        <v>202</v>
      </c>
      <c r="W11" s="312" t="s">
        <v>203</v>
      </c>
      <c r="X11" s="312" t="s">
        <v>204</v>
      </c>
      <c r="Y11" s="312" t="s">
        <v>205</v>
      </c>
    </row>
    <row r="12" spans="1:26" outlineLevel="1" x14ac:dyDescent="0.25">
      <c r="B12" s="1236" t="s">
        <v>206</v>
      </c>
      <c r="C12" s="1237" t="s">
        <v>207</v>
      </c>
      <c r="D12" s="1237"/>
      <c r="E12" s="315">
        <v>72943040.830000505</v>
      </c>
      <c r="F12" s="315">
        <v>51761242.650000304</v>
      </c>
      <c r="G12" s="315">
        <v>2078120.44</v>
      </c>
      <c r="H12" s="316">
        <f>E12+F12+G12</f>
        <v>126782403.92000081</v>
      </c>
      <c r="I12" s="317"/>
      <c r="J12" s="318"/>
      <c r="K12" s="315">
        <v>110084312.34999999</v>
      </c>
      <c r="L12" s="315">
        <v>73597440.419999987</v>
      </c>
      <c r="M12" s="315">
        <v>2383036.9900000002</v>
      </c>
      <c r="N12" s="315">
        <f>K12+L12+M12</f>
        <v>186064789.75999999</v>
      </c>
      <c r="O12" s="317"/>
      <c r="P12" s="318"/>
      <c r="Q12" s="315">
        <v>115038101.7</v>
      </c>
      <c r="R12" s="315">
        <v>76909314.340000004</v>
      </c>
      <c r="S12" s="315">
        <v>2490273.33</v>
      </c>
      <c r="T12" s="315">
        <f>Q12+R12+S12</f>
        <v>194437689.37000003</v>
      </c>
      <c r="U12" s="319"/>
      <c r="V12" s="320">
        <v>120565461.67999999</v>
      </c>
      <c r="W12" s="320">
        <v>80604663.739999995</v>
      </c>
      <c r="X12" s="320">
        <v>2609926.2400000002</v>
      </c>
      <c r="Y12" s="315">
        <f>V12+W12+X12</f>
        <v>203780051.66</v>
      </c>
      <c r="Z12" s="319">
        <f>Y12/T12-1</f>
        <v>4.8048103843808532E-2</v>
      </c>
    </row>
    <row r="13" spans="1:26" outlineLevel="1" x14ac:dyDescent="0.25">
      <c r="B13" s="1236"/>
      <c r="C13" s="1238" t="s">
        <v>208</v>
      </c>
      <c r="D13" s="1238"/>
      <c r="E13" s="315">
        <v>8129050.8999998728</v>
      </c>
      <c r="F13" s="315">
        <v>6559607.6899999697</v>
      </c>
      <c r="G13" s="315">
        <v>410898.14999999997</v>
      </c>
      <c r="H13" s="316">
        <f>E13+F13+G13</f>
        <v>15099556.739999844</v>
      </c>
      <c r="I13" s="317"/>
      <c r="J13" s="318"/>
      <c r="K13" s="320">
        <f>K12*E22</f>
        <v>12268215.969638901</v>
      </c>
      <c r="L13" s="320">
        <f t="shared" ref="L13:M13" si="0">L12*F22</f>
        <v>9326869.1288527958</v>
      </c>
      <c r="M13" s="320">
        <f t="shared" si="0"/>
        <v>471188.03690346674</v>
      </c>
      <c r="N13" s="315">
        <f t="shared" ref="N13:N16" si="1">K13+L13+M13</f>
        <v>22066273.135395166</v>
      </c>
      <c r="O13" s="317"/>
      <c r="P13" s="318"/>
      <c r="Q13" s="320">
        <f>Q12*E22</f>
        <v>12820285.16384591</v>
      </c>
      <c r="R13" s="320">
        <f>R12*F22</f>
        <v>9746576.8584534936</v>
      </c>
      <c r="S13" s="320">
        <f>S12*G22</f>
        <v>492391.43439219502</v>
      </c>
      <c r="T13" s="315">
        <f t="shared" ref="T13:T19" si="2">Q13+R13+S13</f>
        <v>23059253.456691597</v>
      </c>
      <c r="U13" s="319"/>
      <c r="V13" s="320">
        <f>V12*E22</f>
        <v>13436275.25842889</v>
      </c>
      <c r="W13" s="320">
        <f>W12*F22</f>
        <v>10214881.734852681</v>
      </c>
      <c r="X13" s="320">
        <f>X12*G22</f>
        <v>516049.90885535779</v>
      </c>
      <c r="Y13" s="315">
        <f>V13+W13+X13</f>
        <v>24167206.902136929</v>
      </c>
      <c r="Z13" s="319">
        <f t="shared" ref="Z13:Z20" si="3">Y13/T13-1</f>
        <v>4.8048105613055503E-2</v>
      </c>
    </row>
    <row r="14" spans="1:26" outlineLevel="1" x14ac:dyDescent="0.25">
      <c r="B14" s="1236"/>
      <c r="C14" s="321"/>
      <c r="D14" s="322" t="s">
        <v>209</v>
      </c>
      <c r="E14" s="315">
        <v>189072.74</v>
      </c>
      <c r="F14" s="315">
        <v>481090.65000000101</v>
      </c>
      <c r="G14" s="315">
        <v>55541.079999999987</v>
      </c>
      <c r="H14" s="316">
        <f t="shared" ref="H14:H19" si="4">E14+F14+G14</f>
        <v>725704.47000000102</v>
      </c>
      <c r="I14" s="317"/>
      <c r="J14" s="318"/>
      <c r="K14" s="320">
        <f>E14</f>
        <v>189072.74</v>
      </c>
      <c r="L14" s="320">
        <f t="shared" ref="L14:M14" si="5">F14</f>
        <v>481090.65000000101</v>
      </c>
      <c r="M14" s="320">
        <f t="shared" si="5"/>
        <v>55541.079999999987</v>
      </c>
      <c r="N14" s="315">
        <f t="shared" si="1"/>
        <v>725704.47000000102</v>
      </c>
      <c r="O14" s="317"/>
      <c r="P14" s="318"/>
      <c r="Q14" s="320">
        <f>E14</f>
        <v>189072.74</v>
      </c>
      <c r="R14" s="320">
        <f>F14</f>
        <v>481090.65000000101</v>
      </c>
      <c r="S14" s="320">
        <f>G14</f>
        <v>55541.079999999987</v>
      </c>
      <c r="T14" s="315">
        <f t="shared" si="2"/>
        <v>725704.47000000102</v>
      </c>
      <c r="U14" s="319"/>
      <c r="V14" s="320">
        <f>Q14</f>
        <v>189072.74</v>
      </c>
      <c r="W14" s="320">
        <f t="shared" ref="W14:X17" si="6">R14</f>
        <v>481090.65000000101</v>
      </c>
      <c r="X14" s="320">
        <f t="shared" si="6"/>
        <v>55541.079999999987</v>
      </c>
      <c r="Y14" s="315">
        <f>V14+W14+X14</f>
        <v>725704.47000000102</v>
      </c>
      <c r="Z14" s="319">
        <f t="shared" si="3"/>
        <v>0</v>
      </c>
    </row>
    <row r="15" spans="1:26" outlineLevel="1" x14ac:dyDescent="0.25">
      <c r="B15" s="1236"/>
      <c r="C15" s="1239" t="s">
        <v>210</v>
      </c>
      <c r="D15" s="1239"/>
      <c r="E15" s="315">
        <v>0</v>
      </c>
      <c r="F15" s="315">
        <v>0</v>
      </c>
      <c r="G15" s="315">
        <v>0</v>
      </c>
      <c r="H15" s="316">
        <f t="shared" si="4"/>
        <v>0</v>
      </c>
      <c r="I15" s="317"/>
      <c r="J15" s="318"/>
      <c r="K15" s="320"/>
      <c r="L15" s="320"/>
      <c r="M15" s="320"/>
      <c r="N15" s="315">
        <f t="shared" si="1"/>
        <v>0</v>
      </c>
      <c r="O15" s="317"/>
      <c r="P15" s="318"/>
      <c r="Q15" s="320"/>
      <c r="R15" s="320"/>
      <c r="S15" s="320"/>
      <c r="T15" s="315">
        <f t="shared" si="2"/>
        <v>0</v>
      </c>
      <c r="U15" s="319"/>
      <c r="V15" s="320">
        <f>Q15</f>
        <v>0</v>
      </c>
      <c r="W15" s="320">
        <f t="shared" si="6"/>
        <v>0</v>
      </c>
      <c r="X15" s="320">
        <f t="shared" si="6"/>
        <v>0</v>
      </c>
      <c r="Y15" s="315">
        <f t="shared" ref="Y15:Y19" si="7">V15+W15+X15</f>
        <v>0</v>
      </c>
      <c r="Z15" s="319" t="e">
        <f t="shared" si="3"/>
        <v>#DIV/0!</v>
      </c>
    </row>
    <row r="16" spans="1:26" outlineLevel="1" x14ac:dyDescent="0.25">
      <c r="B16" s="1236"/>
      <c r="C16" s="1240" t="s">
        <v>211</v>
      </c>
      <c r="D16" s="1240"/>
      <c r="E16" s="315">
        <v>36492006.260000288</v>
      </c>
      <c r="F16" s="315">
        <v>21488443.469999999</v>
      </c>
      <c r="G16" s="315">
        <v>273450.82</v>
      </c>
      <c r="H16" s="316">
        <f t="shared" si="4"/>
        <v>58253900.550000288</v>
      </c>
      <c r="I16" s="317"/>
      <c r="J16" s="318"/>
      <c r="K16" s="320"/>
      <c r="L16" s="320"/>
      <c r="M16" s="320"/>
      <c r="N16" s="315">
        <f t="shared" si="1"/>
        <v>0</v>
      </c>
      <c r="O16" s="317"/>
      <c r="P16" s="318"/>
      <c r="Q16" s="320"/>
      <c r="R16" s="320"/>
      <c r="S16" s="320"/>
      <c r="T16" s="315">
        <f t="shared" si="2"/>
        <v>0</v>
      </c>
      <c r="U16" s="319"/>
      <c r="V16" s="320">
        <f>Q16</f>
        <v>0</v>
      </c>
      <c r="W16" s="320">
        <f t="shared" si="6"/>
        <v>0</v>
      </c>
      <c r="X16" s="320">
        <f t="shared" si="6"/>
        <v>0</v>
      </c>
      <c r="Y16" s="315">
        <f t="shared" si="7"/>
        <v>0</v>
      </c>
      <c r="Z16" s="319" t="e">
        <f t="shared" si="3"/>
        <v>#DIV/0!</v>
      </c>
    </row>
    <row r="17" spans="2:26" outlineLevel="1" x14ac:dyDescent="0.25">
      <c r="B17" s="1236"/>
      <c r="C17" s="1241" t="s">
        <v>212</v>
      </c>
      <c r="D17" s="1241"/>
      <c r="E17" s="315">
        <v>1322234.140000002</v>
      </c>
      <c r="F17" s="315">
        <v>635822.27999999991</v>
      </c>
      <c r="G17" s="315">
        <v>32559.340000000004</v>
      </c>
      <c r="H17" s="316">
        <f t="shared" si="4"/>
        <v>1990615.7600000019</v>
      </c>
      <c r="I17" s="317"/>
      <c r="J17" s="318"/>
      <c r="K17" s="320">
        <f>E17</f>
        <v>1322234.140000002</v>
      </c>
      <c r="L17" s="320">
        <f t="shared" ref="L17:M19" si="8">F17</f>
        <v>635822.27999999991</v>
      </c>
      <c r="M17" s="320">
        <f t="shared" si="8"/>
        <v>32559.340000000004</v>
      </c>
      <c r="N17" s="315">
        <f>K17+L17+M17</f>
        <v>1990615.7600000019</v>
      </c>
      <c r="O17" s="317"/>
      <c r="P17" s="318"/>
      <c r="Q17" s="320">
        <f t="shared" ref="Q17:S19" si="9">E17</f>
        <v>1322234.140000002</v>
      </c>
      <c r="R17" s="320">
        <f t="shared" si="9"/>
        <v>635822.27999999991</v>
      </c>
      <c r="S17" s="320">
        <f t="shared" si="9"/>
        <v>32559.340000000004</v>
      </c>
      <c r="T17" s="315">
        <f>Q17+R17+S17</f>
        <v>1990615.7600000019</v>
      </c>
      <c r="U17" s="319"/>
      <c r="V17" s="320">
        <f>Q17</f>
        <v>1322234.140000002</v>
      </c>
      <c r="W17" s="320">
        <f t="shared" si="6"/>
        <v>635822.27999999991</v>
      </c>
      <c r="X17" s="320">
        <f t="shared" si="6"/>
        <v>32559.340000000004</v>
      </c>
      <c r="Y17" s="315">
        <f t="shared" si="7"/>
        <v>1990615.7600000019</v>
      </c>
      <c r="Z17" s="319">
        <f t="shared" si="3"/>
        <v>0</v>
      </c>
    </row>
    <row r="18" spans="2:26" outlineLevel="1" x14ac:dyDescent="0.25">
      <c r="B18" s="1236"/>
      <c r="C18" s="1242" t="s">
        <v>213</v>
      </c>
      <c r="D18" s="1242"/>
      <c r="E18" s="315">
        <v>2472478.62</v>
      </c>
      <c r="F18" s="315">
        <v>0</v>
      </c>
      <c r="G18" s="315">
        <v>0</v>
      </c>
      <c r="H18" s="316">
        <f t="shared" si="4"/>
        <v>2472478.62</v>
      </c>
      <c r="I18" s="317"/>
      <c r="J18" s="318"/>
      <c r="K18" s="320">
        <f>(K12+K13+K14)*E23</f>
        <v>2768596.503013798</v>
      </c>
      <c r="L18" s="320"/>
      <c r="M18" s="320"/>
      <c r="N18" s="315">
        <f t="shared" ref="N18:N19" si="10">K18+L18+M18</f>
        <v>2768596.503013798</v>
      </c>
      <c r="O18" s="317"/>
      <c r="P18" s="318"/>
      <c r="Q18" s="320">
        <f t="shared" si="9"/>
        <v>2472478.62</v>
      </c>
      <c r="R18" s="320">
        <f t="shared" si="9"/>
        <v>0</v>
      </c>
      <c r="S18" s="320">
        <f t="shared" si="9"/>
        <v>0</v>
      </c>
      <c r="T18" s="315">
        <f t="shared" si="2"/>
        <v>2472478.62</v>
      </c>
      <c r="U18" s="319"/>
      <c r="V18" s="320">
        <f>V12*E23</f>
        <v>2723949.3584634885</v>
      </c>
      <c r="W18" s="320"/>
      <c r="X18" s="320"/>
      <c r="Y18" s="315">
        <f t="shared" si="7"/>
        <v>2723949.3584634885</v>
      </c>
      <c r="Z18" s="319">
        <f t="shared" si="3"/>
        <v>0.10170795267118971</v>
      </c>
    </row>
    <row r="19" spans="2:26" outlineLevel="1" x14ac:dyDescent="0.25">
      <c r="B19" s="1236"/>
      <c r="C19" s="1243" t="s">
        <v>214</v>
      </c>
      <c r="D19" s="1243"/>
      <c r="E19" s="315">
        <v>93630.830000013113</v>
      </c>
      <c r="F19" s="315">
        <v>194724.13999998569</v>
      </c>
      <c r="G19" s="315">
        <v>6138.6700000008568</v>
      </c>
      <c r="H19" s="316">
        <f t="shared" si="4"/>
        <v>294493.63999999966</v>
      </c>
      <c r="I19" s="317"/>
      <c r="J19" s="318"/>
      <c r="K19" s="320">
        <f t="shared" ref="K19" si="11">E19</f>
        <v>93630.830000013113</v>
      </c>
      <c r="L19" s="320">
        <f t="shared" si="8"/>
        <v>194724.13999998569</v>
      </c>
      <c r="M19" s="320">
        <f t="shared" si="8"/>
        <v>6138.6700000008568</v>
      </c>
      <c r="N19" s="315">
        <f t="shared" si="10"/>
        <v>294493.63999999966</v>
      </c>
      <c r="O19" s="317"/>
      <c r="P19" s="318"/>
      <c r="Q19" s="320">
        <f t="shared" si="9"/>
        <v>93630.830000013113</v>
      </c>
      <c r="R19" s="320">
        <f t="shared" si="9"/>
        <v>194724.13999998569</v>
      </c>
      <c r="S19" s="320">
        <f t="shared" si="9"/>
        <v>6138.6700000008568</v>
      </c>
      <c r="T19" s="315">
        <f t="shared" si="2"/>
        <v>294493.63999999966</v>
      </c>
      <c r="U19" s="319"/>
      <c r="V19" s="320">
        <f>Q19</f>
        <v>93630.830000013113</v>
      </c>
      <c r="W19" s="320">
        <f t="shared" ref="W19:X19" si="12">R19</f>
        <v>194724.13999998569</v>
      </c>
      <c r="X19" s="320">
        <f t="shared" si="12"/>
        <v>6138.6700000008568</v>
      </c>
      <c r="Y19" s="315">
        <f t="shared" si="7"/>
        <v>294493.63999999966</v>
      </c>
      <c r="Z19" s="319">
        <f t="shared" si="3"/>
        <v>0</v>
      </c>
    </row>
    <row r="20" spans="2:26" outlineLevel="1" x14ac:dyDescent="0.25">
      <c r="B20" s="1236"/>
      <c r="C20" s="1244" t="s">
        <v>172</v>
      </c>
      <c r="D20" s="1244" t="s">
        <v>172</v>
      </c>
      <c r="E20" s="316">
        <f>SUM(E12:E19)</f>
        <v>121641514.32000068</v>
      </c>
      <c r="F20" s="316">
        <f>SUM(F12:F19)</f>
        <v>81120930.880000263</v>
      </c>
      <c r="G20" s="316">
        <f>SUM(G12:G19)</f>
        <v>2856708.5000000005</v>
      </c>
      <c r="H20" s="316">
        <f>SUM(H12:H19)</f>
        <v>205619153.70000091</v>
      </c>
      <c r="I20" s="317"/>
      <c r="J20" s="318"/>
      <c r="K20" s="323">
        <f>SUM(K12:K19)</f>
        <v>126726062.53265271</v>
      </c>
      <c r="L20" s="323">
        <f t="shared" ref="L20:N20" si="13">SUM(L12:L19)</f>
        <v>84235946.618852779</v>
      </c>
      <c r="M20" s="323">
        <f t="shared" si="13"/>
        <v>2948464.1169034676</v>
      </c>
      <c r="N20" s="323">
        <f t="shared" si="13"/>
        <v>213910473.26840892</v>
      </c>
      <c r="O20" s="317"/>
      <c r="P20" s="318"/>
      <c r="Q20" s="323">
        <f>SUM(Q12:Q19)</f>
        <v>131935803.19384593</v>
      </c>
      <c r="R20" s="323">
        <f t="shared" ref="R20:T20" si="14">SUM(R12:R19)</f>
        <v>87967528.268453494</v>
      </c>
      <c r="S20" s="323">
        <f t="shared" si="14"/>
        <v>3076903.8543921961</v>
      </c>
      <c r="T20" s="323">
        <f t="shared" si="14"/>
        <v>222980235.31669161</v>
      </c>
      <c r="U20" s="324"/>
      <c r="V20" s="323">
        <f>SUM(V12:V19)</f>
        <v>138330624.00689238</v>
      </c>
      <c r="W20" s="323">
        <f t="shared" ref="W20:Y20" si="15">SUM(W12:W19)</f>
        <v>92131182.544852674</v>
      </c>
      <c r="X20" s="323">
        <f t="shared" si="15"/>
        <v>3220215.2388553587</v>
      </c>
      <c r="Y20" s="323">
        <f t="shared" si="15"/>
        <v>233682021.79060039</v>
      </c>
      <c r="Z20" s="319">
        <f t="shared" si="3"/>
        <v>4.7994327652894242E-2</v>
      </c>
    </row>
    <row r="21" spans="2:26" outlineLevel="1" x14ac:dyDescent="0.25">
      <c r="B21" s="1236"/>
      <c r="F21" s="318"/>
      <c r="G21" s="311"/>
      <c r="H21" s="311"/>
      <c r="I21" s="311"/>
      <c r="J21" s="311"/>
      <c r="K21" s="306"/>
      <c r="L21" s="306"/>
      <c r="M21" s="325"/>
      <c r="N21" s="324"/>
      <c r="O21" s="311"/>
      <c r="P21" s="311"/>
      <c r="Q21" s="306"/>
      <c r="R21" s="306"/>
      <c r="S21" s="325"/>
      <c r="T21" s="324">
        <f>T20/N20-1</f>
        <v>4.2399803570637662E-2</v>
      </c>
      <c r="U21" s="325"/>
      <c r="V21" s="325"/>
      <c r="W21" s="325"/>
      <c r="X21" s="325"/>
      <c r="Y21" s="324">
        <f>Y20/T20-1</f>
        <v>4.7994327652894242E-2</v>
      </c>
      <c r="Z21" s="319"/>
    </row>
    <row r="22" spans="2:26" outlineLevel="1" x14ac:dyDescent="0.25">
      <c r="B22" s="1236"/>
      <c r="D22" s="326" t="s">
        <v>215</v>
      </c>
      <c r="E22" s="327">
        <v>0.11144381708661236</v>
      </c>
      <c r="F22" s="327">
        <v>0.12672817255093335</v>
      </c>
      <c r="G22" s="327">
        <v>0.19772585943093846</v>
      </c>
      <c r="H22" s="311"/>
      <c r="I22" s="311"/>
      <c r="J22" s="311"/>
      <c r="K22" s="328">
        <f>K20-E20</f>
        <v>5084548.2126520276</v>
      </c>
      <c r="L22" s="328">
        <f t="shared" ref="L22:M22" si="16">L20-F20</f>
        <v>3115015.7388525158</v>
      </c>
      <c r="M22" s="328">
        <f t="shared" si="16"/>
        <v>91755.616903467104</v>
      </c>
      <c r="N22" s="329">
        <f>SUM(K22:M22)</f>
        <v>8291319.5684080105</v>
      </c>
      <c r="O22" s="311"/>
      <c r="P22" s="311"/>
      <c r="Q22" s="328">
        <f>Q20-K20</f>
        <v>5209740.6611932218</v>
      </c>
      <c r="R22" s="328">
        <f t="shared" ref="R22:S22" si="17">R20-L20</f>
        <v>3731581.6496007144</v>
      </c>
      <c r="S22" s="328">
        <f t="shared" si="17"/>
        <v>128439.73748872848</v>
      </c>
      <c r="T22" s="329">
        <f>SUM(Q22:S22)</f>
        <v>9069762.0482826643</v>
      </c>
      <c r="V22" s="328">
        <f>V20-Q20</f>
        <v>6394820.8130464554</v>
      </c>
      <c r="W22" s="328">
        <f>W20-R20</f>
        <v>4163654.2763991803</v>
      </c>
      <c r="X22" s="328">
        <f>X20-S20</f>
        <v>143311.38446316263</v>
      </c>
      <c r="Y22" s="329">
        <f t="shared" ref="Y22:Y29" si="18">SUM(V22:X22)</f>
        <v>10701786.473908799</v>
      </c>
    </row>
    <row r="23" spans="2:26" outlineLevel="1" x14ac:dyDescent="0.25">
      <c r="B23" s="1236"/>
      <c r="D23" s="326" t="s">
        <v>216</v>
      </c>
      <c r="E23" s="327">
        <v>2.2593115146801207E-2</v>
      </c>
      <c r="F23" s="330"/>
      <c r="G23" s="330"/>
      <c r="H23" s="311"/>
      <c r="I23" s="311"/>
      <c r="J23" s="331" t="s">
        <v>217</v>
      </c>
      <c r="K23" s="332">
        <f>K22*3</f>
        <v>15253644.637956083</v>
      </c>
      <c r="L23" s="332">
        <f>L22*3</f>
        <v>9345047.2165575475</v>
      </c>
      <c r="M23" s="332">
        <f>M22*3</f>
        <v>275266.85071040131</v>
      </c>
      <c r="N23" s="333">
        <f t="shared" ref="N23:N25" si="19">SUM(K23:M23)</f>
        <v>24873958.70522403</v>
      </c>
      <c r="O23" s="311"/>
      <c r="P23" s="331" t="s">
        <v>217</v>
      </c>
      <c r="Q23" s="332">
        <f>Q22*(14-$D$3)+Q22*0.33*(14-$D$3)/13</f>
        <v>53419879.241312034</v>
      </c>
      <c r="R23" s="332">
        <f>R22*(14-$D$3)</f>
        <v>37315816.496007144</v>
      </c>
      <c r="S23" s="332">
        <f>S22*(14-$D$3)</f>
        <v>1284397.3748872848</v>
      </c>
      <c r="T23" s="333">
        <f t="shared" ref="T23:T25" si="20">SUM(Q23:S23)</f>
        <v>92020093.112206459</v>
      </c>
      <c r="V23" s="332">
        <f>V22*(14-$D$4)+V22*0.33*(14-$D$4)/13</f>
        <v>65571508.79839173</v>
      </c>
      <c r="W23" s="332">
        <f>W22*(14-$D$4)</f>
        <v>41636542.763991803</v>
      </c>
      <c r="X23" s="332">
        <f>X22*(14-$D$4)</f>
        <v>1433113.8446316263</v>
      </c>
      <c r="Y23" s="333">
        <f t="shared" si="18"/>
        <v>108641165.40701516</v>
      </c>
    </row>
    <row r="24" spans="2:26" outlineLevel="1" x14ac:dyDescent="0.25">
      <c r="B24" s="1236"/>
      <c r="D24" s="326" t="s">
        <v>218</v>
      </c>
      <c r="E24" s="327">
        <v>1.2018158141269155E-2</v>
      </c>
      <c r="F24" s="330"/>
      <c r="G24" s="330"/>
      <c r="H24" s="311"/>
      <c r="I24" s="311"/>
      <c r="J24" s="331" t="s">
        <v>219</v>
      </c>
      <c r="K24" s="332">
        <f>K23*$E$24</f>
        <v>183320.71348967848</v>
      </c>
      <c r="L24" s="332"/>
      <c r="M24" s="332"/>
      <c r="N24" s="333">
        <f t="shared" si="19"/>
        <v>183320.71348967848</v>
      </c>
      <c r="O24" s="311"/>
      <c r="P24" s="331" t="s">
        <v>219</v>
      </c>
      <c r="Q24" s="332">
        <f>Q23*$E$24</f>
        <v>642008.55660958937</v>
      </c>
      <c r="R24" s="332"/>
      <c r="S24" s="332"/>
      <c r="T24" s="333">
        <f t="shared" si="20"/>
        <v>642008.55660958937</v>
      </c>
      <c r="V24" s="332">
        <f>V23*$E$24</f>
        <v>788048.76230069366</v>
      </c>
      <c r="W24" s="332"/>
      <c r="X24" s="332"/>
      <c r="Y24" s="333">
        <f t="shared" si="18"/>
        <v>788048.76230069366</v>
      </c>
    </row>
    <row r="25" spans="2:26" outlineLevel="1" x14ac:dyDescent="0.25">
      <c r="B25" s="1236"/>
      <c r="D25" s="326" t="s">
        <v>220</v>
      </c>
      <c r="E25" s="327">
        <v>0.27523834549298754</v>
      </c>
      <c r="F25" s="330"/>
      <c r="G25" s="330"/>
      <c r="H25" s="311"/>
      <c r="I25" s="311"/>
      <c r="J25" s="331" t="s">
        <v>221</v>
      </c>
      <c r="K25" s="332">
        <f>K23*$E$25</f>
        <v>4198387.9128890131</v>
      </c>
      <c r="L25" s="332"/>
      <c r="M25" s="332"/>
      <c r="N25" s="333">
        <f t="shared" si="19"/>
        <v>4198387.9128890131</v>
      </c>
      <c r="O25" s="311"/>
      <c r="P25" s="331" t="s">
        <v>221</v>
      </c>
      <c r="Q25" s="332">
        <f>Q23*$E$25</f>
        <v>14703199.178813914</v>
      </c>
      <c r="R25" s="332"/>
      <c r="S25" s="332"/>
      <c r="T25" s="333">
        <f t="shared" si="20"/>
        <v>14703199.178813914</v>
      </c>
      <c r="V25" s="332">
        <f>V23*$E$25</f>
        <v>18047793.593148217</v>
      </c>
      <c r="W25" s="332"/>
      <c r="X25" s="332"/>
      <c r="Y25" s="333">
        <f t="shared" si="18"/>
        <v>18047793.593148217</v>
      </c>
    </row>
    <row r="26" spans="2:26" outlineLevel="1" x14ac:dyDescent="0.25">
      <c r="B26" s="1236"/>
      <c r="F26" s="318"/>
      <c r="G26" s="318"/>
      <c r="H26" s="311"/>
      <c r="I26" s="311"/>
      <c r="J26" s="334" t="s">
        <v>222</v>
      </c>
      <c r="K26" s="333">
        <f>SUM(K23:K25)</f>
        <v>19635353.264334776</v>
      </c>
      <c r="L26" s="333">
        <f>SUM(L23:L25)</f>
        <v>9345047.2165575475</v>
      </c>
      <c r="M26" s="333">
        <f>SUM(M23:M25)</f>
        <v>275266.85071040131</v>
      </c>
      <c r="N26" s="335">
        <f>SUM(K26:M26)</f>
        <v>29255667.331602722</v>
      </c>
      <c r="O26" s="311"/>
      <c r="P26" s="334" t="s">
        <v>222</v>
      </c>
      <c r="Q26" s="333">
        <f>SUM(Q23:Q25)</f>
        <v>68765086.976735532</v>
      </c>
      <c r="R26" s="333">
        <f>SUM(R23:R25)</f>
        <v>37315816.496007144</v>
      </c>
      <c r="S26" s="333">
        <f>SUM(S23:S25)</f>
        <v>1284397.3748872848</v>
      </c>
      <c r="T26" s="335">
        <f>SUM(Q26:S26)</f>
        <v>107365300.84762996</v>
      </c>
      <c r="V26" s="333">
        <f>SUM(V23:V25)</f>
        <v>84407351.153840631</v>
      </c>
      <c r="W26" s="333">
        <f>SUM(W23:W25)</f>
        <v>41636542.763991803</v>
      </c>
      <c r="X26" s="333">
        <f>SUM(X23:X25)</f>
        <v>1433113.8446316263</v>
      </c>
      <c r="Y26" s="335">
        <f>SUM(V26:X26)</f>
        <v>127477007.76246406</v>
      </c>
      <c r="Z26" s="302"/>
    </row>
    <row r="27" spans="2:26" outlineLevel="1" x14ac:dyDescent="0.25">
      <c r="B27" s="1236"/>
      <c r="F27" s="336"/>
      <c r="G27" s="336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V27" s="337">
        <f>V22*13.33</f>
        <v>85242961.437909245</v>
      </c>
      <c r="W27" s="337">
        <f>W22*13</f>
        <v>54127505.593189344</v>
      </c>
      <c r="X27" s="337">
        <f>X22*13</f>
        <v>1863047.9980211142</v>
      </c>
      <c r="Y27" s="338">
        <f t="shared" si="18"/>
        <v>141233515.02911973</v>
      </c>
    </row>
    <row r="28" spans="2:26" outlineLevel="1" x14ac:dyDescent="0.25">
      <c r="B28" s="1236"/>
      <c r="E28" s="327"/>
      <c r="F28" s="327"/>
      <c r="G28" s="327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V28" s="337">
        <f>V27*$E$24</f>
        <v>1024463.3909909016</v>
      </c>
      <c r="W28" s="337"/>
      <c r="X28" s="337"/>
      <c r="Y28" s="338">
        <f t="shared" si="18"/>
        <v>1024463.3909909016</v>
      </c>
    </row>
    <row r="29" spans="2:26" outlineLevel="1" x14ac:dyDescent="0.25">
      <c r="B29" s="1236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V29" s="337">
        <f>V27*$E$25</f>
        <v>23462131.671092678</v>
      </c>
      <c r="W29" s="337"/>
      <c r="X29" s="337"/>
      <c r="Y29" s="338">
        <f t="shared" si="18"/>
        <v>23462131.671092678</v>
      </c>
    </row>
    <row r="30" spans="2:26" outlineLevel="1" x14ac:dyDescent="0.25">
      <c r="B30" s="1236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V30" s="338">
        <f>SUM(V27:V29)</f>
        <v>109729556.49999282</v>
      </c>
      <c r="W30" s="338">
        <f>SUM(W27:W29)</f>
        <v>54127505.593189344</v>
      </c>
      <c r="X30" s="338">
        <f>SUM(X27:X29)</f>
        <v>1863047.9980211142</v>
      </c>
      <c r="Y30" s="335">
        <f>SUM(Y27:Y29)</f>
        <v>165720110.09120333</v>
      </c>
    </row>
    <row r="31" spans="2:26" outlineLevel="1" x14ac:dyDescent="0.25"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</row>
    <row r="32" spans="2:26" hidden="1" outlineLevel="2" x14ac:dyDescent="0.25">
      <c r="E32" s="339">
        <v>20457.705065590428</v>
      </c>
      <c r="F32" s="318">
        <v>21483.297372881425</v>
      </c>
      <c r="G32" s="318">
        <v>12529.423245614038</v>
      </c>
      <c r="H32" s="318">
        <v>20665.241577889537</v>
      </c>
      <c r="I32" s="311"/>
      <c r="J32" s="311"/>
      <c r="K32" s="311"/>
      <c r="L32" s="311"/>
      <c r="M32" s="311"/>
      <c r="N32" s="311"/>
      <c r="O32" s="311"/>
      <c r="P32" s="340" t="s">
        <v>223</v>
      </c>
      <c r="Q32" s="328">
        <f>E20</f>
        <v>121641514.32000068</v>
      </c>
      <c r="R32" s="328">
        <f>F20</f>
        <v>81120930.880000263</v>
      </c>
      <c r="S32" s="328">
        <f>G20</f>
        <v>2856708.5000000005</v>
      </c>
      <c r="T32" s="329">
        <f t="shared" ref="T32" si="21">SUM(Q32:S32)</f>
        <v>205619153.70000094</v>
      </c>
      <c r="V32" s="339"/>
      <c r="W32" s="339"/>
      <c r="X32" s="339"/>
      <c r="Y32" s="339"/>
      <c r="Z32" s="339"/>
    </row>
    <row r="33" spans="5:20" hidden="1" outlineLevel="2" x14ac:dyDescent="0.25">
      <c r="E33" s="339">
        <f>E32*1.092</f>
        <v>22339.813931624747</v>
      </c>
      <c r="F33" s="339">
        <f t="shared" ref="F33:H33" si="22">F32*1.092</f>
        <v>23459.760731186518</v>
      </c>
      <c r="G33" s="339">
        <f t="shared" si="22"/>
        <v>13682.130184210531</v>
      </c>
      <c r="H33" s="339">
        <f t="shared" si="22"/>
        <v>22566.443803055376</v>
      </c>
      <c r="I33" s="311"/>
      <c r="J33" s="311"/>
      <c r="K33" s="311"/>
      <c r="L33" s="311"/>
      <c r="M33" s="311"/>
      <c r="N33" s="311"/>
      <c r="O33" s="311"/>
      <c r="P33" s="331" t="s">
        <v>217</v>
      </c>
      <c r="Q33" s="332">
        <f>Q32*(14-1)+Q32*0.33*(14-1)/13</f>
        <v>1621481385.8856091</v>
      </c>
      <c r="R33" s="332">
        <f>R32*(14-1)</f>
        <v>1054572101.4400034</v>
      </c>
      <c r="S33" s="332">
        <f>S32*(14-1)</f>
        <v>37137210.500000007</v>
      </c>
      <c r="T33" s="333">
        <f>SUM(Q33:S33)</f>
        <v>2713190697.8256125</v>
      </c>
    </row>
    <row r="34" spans="5:20" hidden="1" outlineLevel="2" x14ac:dyDescent="0.25"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31" t="s">
        <v>219</v>
      </c>
      <c r="Q34" s="332">
        <f>Q33*$E$24</f>
        <v>19487219.718697526</v>
      </c>
      <c r="R34" s="332"/>
      <c r="S34" s="332"/>
      <c r="T34" s="333">
        <f t="shared" ref="T34:T35" si="23">SUM(Q34:S34)</f>
        <v>19487219.718697526</v>
      </c>
    </row>
    <row r="35" spans="5:20" hidden="1" outlineLevel="2" x14ac:dyDescent="0.25"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31" t="s">
        <v>221</v>
      </c>
      <c r="Q35" s="332">
        <f>Q33*$E$25</f>
        <v>446293853.89883155</v>
      </c>
      <c r="R35" s="332"/>
      <c r="S35" s="332"/>
      <c r="T35" s="333">
        <f t="shared" si="23"/>
        <v>446293853.89883155</v>
      </c>
    </row>
    <row r="36" spans="5:20" hidden="1" outlineLevel="2" x14ac:dyDescent="0.25"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34" t="s">
        <v>222</v>
      </c>
      <c r="Q36" s="333">
        <f>SUM(Q33:Q35)</f>
        <v>2087262459.5031383</v>
      </c>
      <c r="R36" s="333">
        <f>SUM(R33:R35)</f>
        <v>1054572101.4400034</v>
      </c>
      <c r="S36" s="333">
        <f>SUM(S33:S35)</f>
        <v>37137210.500000007</v>
      </c>
      <c r="T36" s="341">
        <f>SUM(Q36:S36)</f>
        <v>3178971771.4431419</v>
      </c>
    </row>
    <row r="37" spans="5:20" outlineLevel="1" collapsed="1" x14ac:dyDescent="0.25"/>
  </sheetData>
  <mergeCells count="13">
    <mergeCell ref="Q10:T10"/>
    <mergeCell ref="V10:Y10"/>
    <mergeCell ref="B12:B30"/>
    <mergeCell ref="C12:D12"/>
    <mergeCell ref="C13:D13"/>
    <mergeCell ref="C15:D15"/>
    <mergeCell ref="C16:D16"/>
    <mergeCell ref="C17:D17"/>
    <mergeCell ref="C18:D18"/>
    <mergeCell ref="C19:D19"/>
    <mergeCell ref="C20:D20"/>
    <mergeCell ref="E10:H10"/>
    <mergeCell ref="K10:N10"/>
  </mergeCells>
  <pageMargins left="0.39370078740157483" right="0.19685039370078741" top="0.78740157480314965" bottom="0.78740157480314965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5A88C-584E-4C86-B450-974FA28BA796}">
  <dimension ref="A1:W25"/>
  <sheetViews>
    <sheetView showGridLines="0" workbookViewId="0">
      <selection activeCell="O27" sqref="O27"/>
    </sheetView>
  </sheetViews>
  <sheetFormatPr defaultColWidth="8.85546875" defaultRowHeight="15" x14ac:dyDescent="0.25"/>
  <cols>
    <col min="8" max="8" width="8" bestFit="1" customWidth="1"/>
    <col min="15" max="15" width="9.85546875" bestFit="1" customWidth="1"/>
    <col min="16" max="17" width="14" bestFit="1" customWidth="1"/>
    <col min="18" max="18" width="12.7109375" bestFit="1" customWidth="1"/>
    <col min="19" max="21" width="14" bestFit="1" customWidth="1"/>
    <col min="22" max="22" width="12.7109375" bestFit="1" customWidth="1"/>
    <col min="23" max="23" width="14" bestFit="1" customWidth="1"/>
  </cols>
  <sheetData>
    <row r="1" spans="1:23" ht="15.75" x14ac:dyDescent="0.25">
      <c r="A1" s="1245" t="s">
        <v>239</v>
      </c>
      <c r="B1" s="1245"/>
      <c r="C1" s="1245"/>
      <c r="D1" s="1245"/>
      <c r="E1" s="1245"/>
      <c r="F1" s="1245"/>
      <c r="G1" s="1245"/>
      <c r="H1" s="1245"/>
      <c r="I1" s="288"/>
      <c r="J1" s="288"/>
      <c r="K1" s="288"/>
      <c r="L1" s="288"/>
      <c r="M1" s="288"/>
      <c r="N1" s="288"/>
    </row>
    <row r="2" spans="1:23" ht="15.75" x14ac:dyDescent="0.25">
      <c r="A2" s="1246" t="s">
        <v>224</v>
      </c>
      <c r="B2" s="1246"/>
      <c r="C2" s="1246"/>
      <c r="D2" s="1246"/>
      <c r="E2" s="1246"/>
      <c r="F2" s="1246"/>
      <c r="G2" s="1246"/>
      <c r="H2" s="1246"/>
      <c r="I2" s="289"/>
      <c r="J2" s="289"/>
      <c r="K2" s="289"/>
      <c r="L2" s="289"/>
      <c r="M2" s="289"/>
      <c r="N2" s="289"/>
    </row>
    <row r="3" spans="1:23" ht="15.75" x14ac:dyDescent="0.25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</row>
    <row r="4" spans="1:23" ht="15.75" x14ac:dyDescent="0.25">
      <c r="A4" s="1246" t="s">
        <v>225</v>
      </c>
      <c r="B4" s="1246"/>
      <c r="C4" s="1246"/>
      <c r="D4" s="1246"/>
      <c r="E4" s="1246"/>
      <c r="F4" s="1246"/>
      <c r="G4" s="1246"/>
      <c r="H4" s="1246"/>
      <c r="I4" s="289"/>
      <c r="J4" s="289"/>
      <c r="K4" s="289"/>
      <c r="L4" s="289"/>
      <c r="M4" s="289"/>
      <c r="N4" s="289"/>
    </row>
    <row r="5" spans="1:23" ht="15.75" x14ac:dyDescent="0.25">
      <c r="A5" s="289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7" spans="1:23" ht="15" customHeight="1" x14ac:dyDescent="0.25">
      <c r="A7" s="1247" t="s">
        <v>240</v>
      </c>
      <c r="B7" s="1248" t="s">
        <v>241</v>
      </c>
      <c r="C7" s="1249"/>
      <c r="D7" s="1250"/>
      <c r="E7" s="1248" t="s">
        <v>228</v>
      </c>
      <c r="F7" s="1249"/>
      <c r="G7" s="1250"/>
      <c r="H7" s="1251" t="s">
        <v>242</v>
      </c>
      <c r="I7" s="1252"/>
      <c r="J7" s="1252"/>
      <c r="K7" s="1252"/>
      <c r="L7" s="1251" t="s">
        <v>243</v>
      </c>
      <c r="M7" s="1252"/>
      <c r="N7" s="1252"/>
      <c r="O7" s="1252"/>
      <c r="P7" s="1251" t="s">
        <v>244</v>
      </c>
      <c r="Q7" s="1252"/>
      <c r="R7" s="1252"/>
      <c r="S7" s="1252"/>
      <c r="T7" s="1251" t="s">
        <v>245</v>
      </c>
      <c r="U7" s="1252"/>
      <c r="V7" s="1252"/>
      <c r="W7" s="1252"/>
    </row>
    <row r="8" spans="1:23" ht="15" customHeight="1" x14ac:dyDescent="0.25">
      <c r="A8" s="1247"/>
      <c r="B8" s="1251"/>
      <c r="C8" s="1252"/>
      <c r="D8" s="1253"/>
      <c r="E8" s="1251"/>
      <c r="F8" s="1252"/>
      <c r="G8" s="1253"/>
      <c r="H8" s="1247" t="s">
        <v>232</v>
      </c>
      <c r="I8" s="1247"/>
      <c r="J8" s="1254" t="s">
        <v>233</v>
      </c>
      <c r="K8" s="1254" t="s">
        <v>172</v>
      </c>
      <c r="L8" s="1247" t="s">
        <v>232</v>
      </c>
      <c r="M8" s="1247"/>
      <c r="N8" s="1254" t="s">
        <v>233</v>
      </c>
      <c r="O8" s="1254" t="s">
        <v>172</v>
      </c>
      <c r="P8" s="1247" t="s">
        <v>232</v>
      </c>
      <c r="Q8" s="1247"/>
      <c r="R8" s="1254" t="s">
        <v>512</v>
      </c>
      <c r="S8" s="1254" t="s">
        <v>172</v>
      </c>
      <c r="T8" s="1247" t="s">
        <v>232</v>
      </c>
      <c r="U8" s="1247"/>
      <c r="V8" s="1254" t="s">
        <v>233</v>
      </c>
      <c r="W8" s="1254" t="s">
        <v>172</v>
      </c>
    </row>
    <row r="9" spans="1:23" ht="76.5" x14ac:dyDescent="0.25">
      <c r="A9" s="1247"/>
      <c r="B9" s="365" t="s">
        <v>234</v>
      </c>
      <c r="C9" s="365" t="s">
        <v>235</v>
      </c>
      <c r="D9" s="365" t="s">
        <v>172</v>
      </c>
      <c r="E9" s="365" t="s">
        <v>246</v>
      </c>
      <c r="F9" s="365" t="s">
        <v>247</v>
      </c>
      <c r="G9" s="365" t="s">
        <v>172</v>
      </c>
      <c r="H9" s="365" t="s">
        <v>234</v>
      </c>
      <c r="I9" s="365" t="s">
        <v>235</v>
      </c>
      <c r="J9" s="1255"/>
      <c r="K9" s="1255"/>
      <c r="L9" s="365" t="s">
        <v>234</v>
      </c>
      <c r="M9" s="365" t="s">
        <v>235</v>
      </c>
      <c r="N9" s="1255"/>
      <c r="O9" s="1255"/>
      <c r="P9" s="365" t="s">
        <v>234</v>
      </c>
      <c r="Q9" s="365" t="s">
        <v>235</v>
      </c>
      <c r="R9" s="1255"/>
      <c r="S9" s="1255"/>
      <c r="T9" s="365" t="s">
        <v>234</v>
      </c>
      <c r="U9" s="365" t="s">
        <v>235</v>
      </c>
      <c r="V9" s="1255"/>
      <c r="W9" s="1255"/>
    </row>
    <row r="10" spans="1:23" x14ac:dyDescent="0.25">
      <c r="A10" s="290" t="s">
        <v>248</v>
      </c>
      <c r="B10" s="291">
        <v>1</v>
      </c>
      <c r="C10" s="291">
        <v>20</v>
      </c>
      <c r="D10" s="367">
        <v>21</v>
      </c>
      <c r="E10" s="291">
        <v>2</v>
      </c>
      <c r="F10" s="291">
        <v>4</v>
      </c>
      <c r="G10" s="367">
        <v>6</v>
      </c>
      <c r="H10" s="292">
        <v>707.43518515152368</v>
      </c>
      <c r="I10" s="292">
        <v>1142.2661250000001</v>
      </c>
      <c r="J10" s="292">
        <v>164.84201156808086</v>
      </c>
      <c r="K10" s="368">
        <f>SUM(H10:J10)</f>
        <v>2014.5433217196046</v>
      </c>
      <c r="L10" s="292">
        <v>2831.8651705915345</v>
      </c>
      <c r="M10" s="292">
        <v>4949.8198750000001</v>
      </c>
      <c r="N10" s="292">
        <v>659.86306732808339</v>
      </c>
      <c r="O10" s="368">
        <f>SUM(L10:N10)</f>
        <v>8441.5481129196178</v>
      </c>
      <c r="P10" s="368">
        <v>66029.158325178709</v>
      </c>
      <c r="Q10" s="368">
        <v>114686.43615000001</v>
      </c>
      <c r="R10" s="368">
        <v>15385.691168496878</v>
      </c>
      <c r="S10" s="368">
        <f>SUM(P10:R10)</f>
        <v>196101.2856436756</v>
      </c>
      <c r="T10" s="292">
        <v>85205.099755530697</v>
      </c>
      <c r="U10" s="292">
        <v>149092.36699500002</v>
      </c>
      <c r="V10" s="292">
        <v>19853.946106104875</v>
      </c>
      <c r="W10" s="368">
        <f>SUM(T10:V10)</f>
        <v>254151.41285663558</v>
      </c>
    </row>
    <row r="11" spans="1:23" x14ac:dyDescent="0.25">
      <c r="A11" s="290" t="s">
        <v>249</v>
      </c>
      <c r="B11" s="291">
        <v>12</v>
      </c>
      <c r="C11" s="291">
        <v>10</v>
      </c>
      <c r="D11" s="367">
        <v>22</v>
      </c>
      <c r="E11" s="291">
        <v>11</v>
      </c>
      <c r="F11" s="291">
        <v>1</v>
      </c>
      <c r="G11" s="367">
        <v>12</v>
      </c>
      <c r="H11" s="292">
        <v>0</v>
      </c>
      <c r="I11" s="292">
        <v>0</v>
      </c>
      <c r="J11" s="292">
        <v>0</v>
      </c>
      <c r="K11" s="368">
        <f t="shared" ref="K11:K20" si="0">SUM(H11:J11)</f>
        <v>0</v>
      </c>
      <c r="L11" s="292">
        <v>0</v>
      </c>
      <c r="M11" s="292">
        <v>0</v>
      </c>
      <c r="N11" s="292">
        <v>0</v>
      </c>
      <c r="O11" s="368">
        <f t="shared" ref="O11:O20" si="1">SUM(L11:N11)</f>
        <v>0</v>
      </c>
      <c r="P11" s="368">
        <v>478454.99314449308</v>
      </c>
      <c r="Q11" s="368">
        <v>48615.502649999988</v>
      </c>
      <c r="R11" s="368">
        <v>111486.51518914447</v>
      </c>
      <c r="S11" s="368">
        <f t="shared" ref="S11:S20" si="2">SUM(P11:R11)</f>
        <v>638557.01098363753</v>
      </c>
      <c r="T11" s="292">
        <v>617406.10441588506</v>
      </c>
      <c r="U11" s="292">
        <v>63200.153444999989</v>
      </c>
      <c r="V11" s="292">
        <v>143864.01233991247</v>
      </c>
      <c r="W11" s="368">
        <f t="shared" ref="W11:W20" si="3">SUM(T11:V11)</f>
        <v>824470.27020079747</v>
      </c>
    </row>
    <row r="12" spans="1:23" x14ac:dyDescent="0.25">
      <c r="A12" s="290" t="s">
        <v>250</v>
      </c>
      <c r="B12" s="291">
        <v>3</v>
      </c>
      <c r="C12" s="291">
        <v>42</v>
      </c>
      <c r="D12" s="367">
        <v>45</v>
      </c>
      <c r="E12" s="291">
        <v>2</v>
      </c>
      <c r="F12" s="291">
        <v>18</v>
      </c>
      <c r="G12" s="367">
        <v>20</v>
      </c>
      <c r="H12" s="292">
        <v>1166.0815371340793</v>
      </c>
      <c r="I12" s="292">
        <v>7378.0363799999886</v>
      </c>
      <c r="J12" s="292">
        <v>271.71284418431986</v>
      </c>
      <c r="K12" s="368">
        <f t="shared" si="0"/>
        <v>8815.8307613183879</v>
      </c>
      <c r="L12" s="292">
        <v>4667.8278948940779</v>
      </c>
      <c r="M12" s="292">
        <v>31971.490979999951</v>
      </c>
      <c r="N12" s="292">
        <v>1087.6673312243195</v>
      </c>
      <c r="O12" s="368">
        <f t="shared" si="1"/>
        <v>37726.986206118352</v>
      </c>
      <c r="P12" s="368">
        <v>131256.15958127231</v>
      </c>
      <c r="Q12" s="368">
        <v>936177.37070000009</v>
      </c>
      <c r="R12" s="368">
        <v>30584.468839281279</v>
      </c>
      <c r="S12" s="368">
        <f t="shared" si="2"/>
        <v>1098017.9991205537</v>
      </c>
      <c r="T12" s="292">
        <v>169375.08298338432</v>
      </c>
      <c r="U12" s="292">
        <v>1217030.5819099999</v>
      </c>
      <c r="V12" s="292">
        <v>39466.69599492928</v>
      </c>
      <c r="W12" s="368">
        <f t="shared" si="3"/>
        <v>1425872.3608883135</v>
      </c>
    </row>
    <row r="13" spans="1:23" x14ac:dyDescent="0.25">
      <c r="A13" s="290" t="s">
        <v>251</v>
      </c>
      <c r="B13" s="291">
        <v>5</v>
      </c>
      <c r="C13" s="291">
        <v>80</v>
      </c>
      <c r="D13" s="367">
        <v>85</v>
      </c>
      <c r="E13" s="291">
        <v>5</v>
      </c>
      <c r="F13" s="291">
        <v>32</v>
      </c>
      <c r="G13" s="367">
        <v>37</v>
      </c>
      <c r="H13" s="292">
        <v>3.5891124948015367</v>
      </c>
      <c r="I13" s="292">
        <v>171.89601000001113</v>
      </c>
      <c r="J13" s="292">
        <v>0.83631198420035802</v>
      </c>
      <c r="K13" s="368">
        <f t="shared" si="0"/>
        <v>176.32143447901302</v>
      </c>
      <c r="L13" s="292">
        <v>14.367228094806149</v>
      </c>
      <c r="M13" s="292">
        <v>744.88271000004829</v>
      </c>
      <c r="N13" s="292">
        <v>3.3477593842014328</v>
      </c>
      <c r="O13" s="368">
        <f t="shared" si="1"/>
        <v>762.59769747905591</v>
      </c>
      <c r="P13" s="368">
        <v>308954.25318338274</v>
      </c>
      <c r="Q13" s="368">
        <v>1785959.3108499995</v>
      </c>
      <c r="R13" s="368">
        <v>71990.53941083618</v>
      </c>
      <c r="S13" s="368">
        <f t="shared" si="2"/>
        <v>2166904.1034442186</v>
      </c>
      <c r="T13" s="292">
        <v>398679.59292686271</v>
      </c>
      <c r="U13" s="292">
        <v>2321747.1041049995</v>
      </c>
      <c r="V13" s="292">
        <v>92897.762860256174</v>
      </c>
      <c r="W13" s="368">
        <f t="shared" si="3"/>
        <v>2813324.4598921183</v>
      </c>
    </row>
    <row r="14" spans="1:23" x14ac:dyDescent="0.25">
      <c r="A14" s="290" t="s">
        <v>236</v>
      </c>
      <c r="B14" s="291">
        <v>4</v>
      </c>
      <c r="C14" s="291">
        <v>64</v>
      </c>
      <c r="D14" s="367">
        <v>68</v>
      </c>
      <c r="E14" s="291">
        <v>3</v>
      </c>
      <c r="F14" s="291">
        <v>6</v>
      </c>
      <c r="G14" s="367">
        <v>9</v>
      </c>
      <c r="H14" s="292">
        <v>1518.1523604475162</v>
      </c>
      <c r="I14" s="292">
        <v>2883.2510850000017</v>
      </c>
      <c r="J14" s="292">
        <v>353.75013035207911</v>
      </c>
      <c r="K14" s="368">
        <f t="shared" si="0"/>
        <v>4755.1535757995971</v>
      </c>
      <c r="L14" s="292">
        <v>6077.1684578875047</v>
      </c>
      <c r="M14" s="292">
        <v>12494.088035000008</v>
      </c>
      <c r="N14" s="292">
        <v>1416.0628341120764</v>
      </c>
      <c r="O14" s="368">
        <f t="shared" si="1"/>
        <v>19987.31932699959</v>
      </c>
      <c r="P14" s="368">
        <v>179792.68760794657</v>
      </c>
      <c r="Q14" s="368">
        <v>357336.82270000002</v>
      </c>
      <c r="R14" s="368">
        <v>41894.139438622238</v>
      </c>
      <c r="S14" s="368">
        <f t="shared" si="2"/>
        <v>579023.64974656887</v>
      </c>
      <c r="T14" s="292">
        <v>232007.4081136426</v>
      </c>
      <c r="U14" s="292">
        <v>464537.86951000005</v>
      </c>
      <c r="V14" s="292">
        <v>54060.878869006243</v>
      </c>
      <c r="W14" s="368">
        <f t="shared" si="3"/>
        <v>750606.156492649</v>
      </c>
    </row>
    <row r="15" spans="1:23" x14ac:dyDescent="0.25">
      <c r="A15" s="290" t="s">
        <v>252</v>
      </c>
      <c r="B15" s="291">
        <v>242</v>
      </c>
      <c r="C15" s="291">
        <v>151</v>
      </c>
      <c r="D15" s="367">
        <v>393</v>
      </c>
      <c r="E15" s="291">
        <v>232</v>
      </c>
      <c r="F15" s="291">
        <v>51</v>
      </c>
      <c r="G15" s="367">
        <v>283</v>
      </c>
      <c r="H15" s="292">
        <v>0</v>
      </c>
      <c r="I15" s="292">
        <v>0</v>
      </c>
      <c r="J15" s="292">
        <v>0</v>
      </c>
      <c r="K15" s="368">
        <f t="shared" si="0"/>
        <v>0</v>
      </c>
      <c r="L15" s="292"/>
      <c r="M15" s="292"/>
      <c r="N15" s="292"/>
      <c r="O15" s="368">
        <f t="shared" si="1"/>
        <v>0</v>
      </c>
      <c r="P15" s="368">
        <v>9620937.3641853146</v>
      </c>
      <c r="Q15" s="368">
        <v>2733683.4453499997</v>
      </c>
      <c r="R15" s="368">
        <v>2241809.1460112063</v>
      </c>
      <c r="S15" s="368">
        <f t="shared" si="2"/>
        <v>14596429.955546521</v>
      </c>
      <c r="T15" s="292">
        <v>12415014.043038748</v>
      </c>
      <c r="U15" s="292">
        <v>3553788.4789549997</v>
      </c>
      <c r="V15" s="292">
        <v>2892866.9812516347</v>
      </c>
      <c r="W15" s="368">
        <f t="shared" si="3"/>
        <v>18861669.503245384</v>
      </c>
    </row>
    <row r="16" spans="1:23" x14ac:dyDescent="0.25">
      <c r="A16" s="290" t="s">
        <v>253</v>
      </c>
      <c r="B16" s="291">
        <v>335</v>
      </c>
      <c r="C16" s="291">
        <v>829</v>
      </c>
      <c r="D16" s="367">
        <v>1164</v>
      </c>
      <c r="E16" s="291">
        <v>312</v>
      </c>
      <c r="F16" s="291">
        <v>273</v>
      </c>
      <c r="G16" s="367">
        <v>585</v>
      </c>
      <c r="H16" s="292">
        <v>0</v>
      </c>
      <c r="I16" s="292">
        <v>0</v>
      </c>
      <c r="J16" s="292">
        <v>0</v>
      </c>
      <c r="K16" s="368">
        <f t="shared" si="0"/>
        <v>0</v>
      </c>
      <c r="L16" s="292"/>
      <c r="M16" s="292"/>
      <c r="N16" s="292"/>
      <c r="O16" s="368">
        <f t="shared" si="1"/>
        <v>0</v>
      </c>
      <c r="P16" s="368">
        <v>13826416.473367818</v>
      </c>
      <c r="Q16" s="368">
        <v>14949334.950549997</v>
      </c>
      <c r="R16" s="368">
        <v>3221742.9272475769</v>
      </c>
      <c r="S16" s="368">
        <f t="shared" si="2"/>
        <v>31997494.351165392</v>
      </c>
      <c r="T16" s="292">
        <v>17841832.680541433</v>
      </c>
      <c r="U16" s="292">
        <v>19434135.435714997</v>
      </c>
      <c r="V16" s="292">
        <v>4157389.4695266406</v>
      </c>
      <c r="W16" s="368">
        <f t="shared" si="3"/>
        <v>41433357.585783072</v>
      </c>
    </row>
    <row r="17" spans="1:23" x14ac:dyDescent="0.25">
      <c r="A17" s="290" t="s">
        <v>254</v>
      </c>
      <c r="B17" s="291">
        <v>63</v>
      </c>
      <c r="C17" s="291">
        <v>65</v>
      </c>
      <c r="D17" s="367">
        <v>128</v>
      </c>
      <c r="E17" s="291">
        <v>60</v>
      </c>
      <c r="F17" s="291">
        <v>28</v>
      </c>
      <c r="G17" s="367">
        <v>88</v>
      </c>
      <c r="H17" s="292">
        <v>4050.4190125140385</v>
      </c>
      <c r="I17" s="292">
        <v>2207.2993800000122</v>
      </c>
      <c r="J17" s="292">
        <v>943.80267158100889</v>
      </c>
      <c r="K17" s="368">
        <f t="shared" si="0"/>
        <v>7201.52106409506</v>
      </c>
      <c r="L17" s="292">
        <v>16213.839470514153</v>
      </c>
      <c r="M17" s="292">
        <v>9564.9639800000532</v>
      </c>
      <c r="N17" s="292">
        <v>3778.0449285810355</v>
      </c>
      <c r="O17" s="368">
        <f t="shared" si="1"/>
        <v>29556.848379095241</v>
      </c>
      <c r="P17" s="368">
        <v>3297811.7953942958</v>
      </c>
      <c r="Q17" s="368">
        <v>1530984.6051500002</v>
      </c>
      <c r="R17" s="368">
        <v>768434.96271577722</v>
      </c>
      <c r="S17" s="368">
        <f t="shared" si="2"/>
        <v>5597231.3632600736</v>
      </c>
      <c r="T17" s="292">
        <v>4255549.9741148083</v>
      </c>
      <c r="U17" s="292">
        <v>1990279.9866950002</v>
      </c>
      <c r="V17" s="292">
        <v>991600.97318502527</v>
      </c>
      <c r="W17" s="368">
        <f t="shared" si="3"/>
        <v>7237430.9339948334</v>
      </c>
    </row>
    <row r="18" spans="1:23" x14ac:dyDescent="0.25">
      <c r="A18" s="290" t="s">
        <v>255</v>
      </c>
      <c r="B18" s="291">
        <v>3</v>
      </c>
      <c r="C18" s="291">
        <v>23</v>
      </c>
      <c r="D18" s="367">
        <v>26</v>
      </c>
      <c r="E18" s="291">
        <v>2</v>
      </c>
      <c r="F18" s="291">
        <v>11</v>
      </c>
      <c r="G18" s="367">
        <v>13</v>
      </c>
      <c r="H18" s="292">
        <v>0</v>
      </c>
      <c r="I18" s="292">
        <v>951.37185000000522</v>
      </c>
      <c r="J18" s="292">
        <v>0</v>
      </c>
      <c r="K18" s="368">
        <f t="shared" si="0"/>
        <v>951.37185000000522</v>
      </c>
      <c r="L18" s="292"/>
      <c r="M18" s="292">
        <v>4122.6113500000229</v>
      </c>
      <c r="N18" s="292"/>
      <c r="O18" s="368">
        <f t="shared" si="1"/>
        <v>4122.6113500000229</v>
      </c>
      <c r="P18" s="368">
        <v>87792.711777600489</v>
      </c>
      <c r="Q18" s="368">
        <v>613611.74875000003</v>
      </c>
      <c r="R18" s="368">
        <v>20456.894870639921</v>
      </c>
      <c r="S18" s="368">
        <f t="shared" si="2"/>
        <v>721861.35539824038</v>
      </c>
      <c r="T18" s="292">
        <v>113289.14307796849</v>
      </c>
      <c r="U18" s="292">
        <v>797695.27337499999</v>
      </c>
      <c r="V18" s="292">
        <v>26397.90983791192</v>
      </c>
      <c r="W18" s="368">
        <f t="shared" si="3"/>
        <v>937382.32629088045</v>
      </c>
    </row>
    <row r="19" spans="1:23" x14ac:dyDescent="0.25">
      <c r="A19" s="290" t="s">
        <v>237</v>
      </c>
      <c r="B19" s="291">
        <v>3041</v>
      </c>
      <c r="C19" s="291">
        <v>3766</v>
      </c>
      <c r="D19" s="367">
        <v>6807</v>
      </c>
      <c r="E19" s="291">
        <v>2954</v>
      </c>
      <c r="F19" s="291">
        <v>1449</v>
      </c>
      <c r="G19" s="367">
        <v>4403</v>
      </c>
      <c r="H19" s="292">
        <v>0</v>
      </c>
      <c r="I19" s="292">
        <v>0</v>
      </c>
      <c r="J19" s="292">
        <v>0</v>
      </c>
      <c r="K19" s="368">
        <f t="shared" si="0"/>
        <v>0</v>
      </c>
      <c r="L19" s="292">
        <v>0</v>
      </c>
      <c r="M19" s="292">
        <v>0</v>
      </c>
      <c r="N19" s="292">
        <v>0</v>
      </c>
      <c r="O19" s="368">
        <f t="shared" si="1"/>
        <v>0</v>
      </c>
      <c r="P19" s="368">
        <v>127089021.32703619</v>
      </c>
      <c r="Q19" s="368">
        <v>76575623.989150003</v>
      </c>
      <c r="R19" s="368">
        <v>29613468.998266228</v>
      </c>
      <c r="S19" s="368">
        <f t="shared" si="2"/>
        <v>233278114.31445241</v>
      </c>
      <c r="T19" s="292">
        <v>163997740.00865367</v>
      </c>
      <c r="U19" s="292">
        <v>99548311.185894996</v>
      </c>
      <c r="V19" s="292">
        <v>38213702.008411303</v>
      </c>
      <c r="W19" s="368">
        <f t="shared" si="3"/>
        <v>301759753.20295995</v>
      </c>
    </row>
    <row r="20" spans="1:23" x14ac:dyDescent="0.25">
      <c r="A20" s="290" t="s">
        <v>256</v>
      </c>
      <c r="B20" s="291">
        <v>1084</v>
      </c>
      <c r="C20" s="291">
        <v>2340</v>
      </c>
      <c r="D20" s="367">
        <v>3424</v>
      </c>
      <c r="E20" s="291">
        <v>1059</v>
      </c>
      <c r="F20" s="291">
        <v>1069</v>
      </c>
      <c r="G20" s="367">
        <v>2128</v>
      </c>
      <c r="H20" s="292">
        <v>0</v>
      </c>
      <c r="I20" s="292">
        <v>0</v>
      </c>
      <c r="J20" s="292">
        <v>0</v>
      </c>
      <c r="K20" s="368">
        <f t="shared" si="0"/>
        <v>0</v>
      </c>
      <c r="L20" s="292">
        <v>0</v>
      </c>
      <c r="M20" s="292">
        <v>0</v>
      </c>
      <c r="N20" s="292">
        <v>0</v>
      </c>
      <c r="O20" s="368">
        <f t="shared" si="1"/>
        <v>0</v>
      </c>
      <c r="P20" s="368">
        <v>48386783.351719946</v>
      </c>
      <c r="Q20" s="368">
        <v>58186545.710149989</v>
      </c>
      <c r="R20" s="368">
        <v>11274778.055176949</v>
      </c>
      <c r="S20" s="368">
        <f t="shared" si="2"/>
        <v>117848107.11704688</v>
      </c>
      <c r="T20" s="292">
        <v>62439092.166353032</v>
      </c>
      <c r="U20" s="292">
        <v>75642509.423194975</v>
      </c>
      <c r="V20" s="292">
        <v>14549156.967619432</v>
      </c>
      <c r="W20" s="368">
        <f t="shared" si="3"/>
        <v>152630758.55716741</v>
      </c>
    </row>
    <row r="21" spans="1:23" x14ac:dyDescent="0.25">
      <c r="A21" s="294" t="s">
        <v>172</v>
      </c>
      <c r="B21" s="295">
        <v>4793</v>
      </c>
      <c r="C21" s="295">
        <v>7390</v>
      </c>
      <c r="D21" s="295">
        <v>12183</v>
      </c>
      <c r="E21" s="295">
        <v>4642</v>
      </c>
      <c r="F21" s="295">
        <v>2942</v>
      </c>
      <c r="G21" s="295">
        <v>7584</v>
      </c>
      <c r="H21" s="295">
        <v>7445.6772077419591</v>
      </c>
      <c r="I21" s="295">
        <v>14734.12083000002</v>
      </c>
      <c r="J21" s="295">
        <v>1734.9439696696891</v>
      </c>
      <c r="K21" s="1428">
        <f>SUM(K10:K20)</f>
        <v>23914.742007411667</v>
      </c>
      <c r="L21" s="295">
        <v>29805.068221982074</v>
      </c>
      <c r="M21" s="295">
        <v>63847.856930000082</v>
      </c>
      <c r="N21" s="295">
        <v>6944.985920629716</v>
      </c>
      <c r="O21" s="1428">
        <f>SUM(O10:O20)</f>
        <v>100597.91107261188</v>
      </c>
      <c r="P21" s="295">
        <v>203473250.27532342</v>
      </c>
      <c r="Q21" s="295">
        <v>157832559.89214998</v>
      </c>
      <c r="R21" s="295">
        <v>47412032.338334762</v>
      </c>
      <c r="S21" s="1428">
        <f>SUM(S10:S20)</f>
        <v>408717842.50580817</v>
      </c>
      <c r="T21" s="295">
        <v>262565191.30397499</v>
      </c>
      <c r="U21" s="295">
        <v>205182327.85979497</v>
      </c>
      <c r="V21" s="295">
        <v>61181257.606002159</v>
      </c>
      <c r="W21" s="1428">
        <f>SUM(W10:W20)</f>
        <v>528928776.76977205</v>
      </c>
    </row>
    <row r="23" spans="1:23" x14ac:dyDescent="0.25">
      <c r="S23" s="293"/>
    </row>
    <row r="25" spans="1:23" x14ac:dyDescent="0.25">
      <c r="S25" s="293"/>
    </row>
  </sheetData>
  <mergeCells count="22">
    <mergeCell ref="L7:O7"/>
    <mergeCell ref="P7:S7"/>
    <mergeCell ref="T7:W7"/>
    <mergeCell ref="H8:I8"/>
    <mergeCell ref="J8:J9"/>
    <mergeCell ref="K8:K9"/>
    <mergeCell ref="L8:M8"/>
    <mergeCell ref="N8:N9"/>
    <mergeCell ref="O8:O9"/>
    <mergeCell ref="P8:Q8"/>
    <mergeCell ref="R8:R9"/>
    <mergeCell ref="S8:S9"/>
    <mergeCell ref="T8:U8"/>
    <mergeCell ref="V8:V9"/>
    <mergeCell ref="W8:W9"/>
    <mergeCell ref="A1:H1"/>
    <mergeCell ref="A2:H2"/>
    <mergeCell ref="A4:H4"/>
    <mergeCell ref="A7:A9"/>
    <mergeCell ref="B7:D8"/>
    <mergeCell ref="E7:G8"/>
    <mergeCell ref="H7:K7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310A-174A-4085-B1F0-269EAC6D0264}">
  <dimension ref="A1:O15"/>
  <sheetViews>
    <sheetView showGridLines="0" workbookViewId="0">
      <selection activeCell="K23" sqref="K23"/>
    </sheetView>
  </sheetViews>
  <sheetFormatPr defaultColWidth="8.85546875" defaultRowHeight="15" x14ac:dyDescent="0.25"/>
  <cols>
    <col min="1" max="1" width="10.42578125" customWidth="1"/>
    <col min="2" max="2" width="8" bestFit="1" customWidth="1"/>
    <col min="3" max="3" width="9.85546875" bestFit="1" customWidth="1"/>
    <col min="4" max="4" width="7.42578125" bestFit="1" customWidth="1"/>
    <col min="5" max="5" width="8" bestFit="1" customWidth="1"/>
    <col min="6" max="6" width="10.42578125" bestFit="1" customWidth="1"/>
    <col min="7" max="7" width="7.42578125" bestFit="1" customWidth="1"/>
    <col min="8" max="10" width="12.7109375" bestFit="1" customWidth="1"/>
    <col min="11" max="11" width="14" bestFit="1" customWidth="1"/>
    <col min="12" max="14" width="12.7109375" bestFit="1" customWidth="1"/>
    <col min="15" max="15" width="14" bestFit="1" customWidth="1"/>
  </cols>
  <sheetData>
    <row r="1" spans="1:15" ht="15.75" x14ac:dyDescent="0.25">
      <c r="A1" s="1245" t="s">
        <v>257</v>
      </c>
      <c r="B1" s="1245"/>
      <c r="C1" s="1245"/>
      <c r="D1" s="1245"/>
      <c r="E1" s="1245"/>
      <c r="F1" s="1245"/>
      <c r="G1" s="1245"/>
      <c r="H1" s="1245"/>
      <c r="I1" s="288"/>
      <c r="J1" s="288"/>
      <c r="K1" s="288"/>
      <c r="L1" s="288"/>
      <c r="M1" s="288"/>
      <c r="N1" s="288"/>
    </row>
    <row r="2" spans="1:15" ht="15.75" x14ac:dyDescent="0.25">
      <c r="A2" s="1246" t="s">
        <v>224</v>
      </c>
      <c r="B2" s="1246"/>
      <c r="C2" s="1246"/>
      <c r="D2" s="1246"/>
      <c r="E2" s="1246"/>
      <c r="F2" s="1246"/>
      <c r="G2" s="1246"/>
      <c r="H2" s="1246"/>
      <c r="I2" s="289"/>
      <c r="J2" s="289"/>
      <c r="K2" s="289"/>
      <c r="L2" s="289"/>
      <c r="M2" s="289"/>
      <c r="N2" s="289"/>
    </row>
    <row r="3" spans="1:15" ht="15.75" x14ac:dyDescent="0.25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</row>
    <row r="5" spans="1:15" x14ac:dyDescent="0.25">
      <c r="A5" s="1246" t="s">
        <v>258</v>
      </c>
      <c r="B5" s="1246"/>
      <c r="C5" s="1246"/>
      <c r="D5" s="1246"/>
      <c r="E5" s="1246"/>
      <c r="F5" s="1246"/>
      <c r="G5" s="1246"/>
      <c r="H5" s="1246"/>
    </row>
    <row r="6" spans="1:15" ht="15.75" x14ac:dyDescent="0.25">
      <c r="A6" s="289"/>
      <c r="B6" s="289"/>
      <c r="C6" s="289"/>
      <c r="D6" s="289"/>
      <c r="E6" s="289"/>
      <c r="F6" s="289"/>
      <c r="G6" s="289"/>
      <c r="H6" s="289"/>
    </row>
    <row r="8" spans="1:15" x14ac:dyDescent="0.25">
      <c r="A8" s="325" t="s">
        <v>259</v>
      </c>
    </row>
    <row r="9" spans="1:15" ht="15" customHeight="1" x14ac:dyDescent="0.25">
      <c r="A9" s="1247" t="s">
        <v>260</v>
      </c>
      <c r="B9" s="1248" t="s">
        <v>227</v>
      </c>
      <c r="C9" s="1249"/>
      <c r="D9" s="1250"/>
      <c r="E9" s="1248" t="s">
        <v>228</v>
      </c>
      <c r="F9" s="1249"/>
      <c r="G9" s="1250"/>
      <c r="H9" s="1256" t="s">
        <v>230</v>
      </c>
      <c r="I9" s="1256"/>
      <c r="J9" s="1256"/>
      <c r="K9" s="1256"/>
      <c r="L9" s="1256" t="s">
        <v>231</v>
      </c>
      <c r="M9" s="1256"/>
      <c r="N9" s="1256"/>
      <c r="O9" s="1256"/>
    </row>
    <row r="10" spans="1:15" x14ac:dyDescent="0.25">
      <c r="A10" s="1247"/>
      <c r="B10" s="1251"/>
      <c r="C10" s="1252"/>
      <c r="D10" s="1253"/>
      <c r="E10" s="1251"/>
      <c r="F10" s="1252"/>
      <c r="G10" s="1253"/>
      <c r="H10" s="1256" t="s">
        <v>232</v>
      </c>
      <c r="I10" s="1256"/>
      <c r="J10" s="1256" t="s">
        <v>233</v>
      </c>
      <c r="K10" s="1256" t="s">
        <v>172</v>
      </c>
      <c r="L10" s="1256" t="s">
        <v>232</v>
      </c>
      <c r="M10" s="1256"/>
      <c r="N10" s="1256" t="s">
        <v>233</v>
      </c>
      <c r="O10" s="1256" t="s">
        <v>172</v>
      </c>
    </row>
    <row r="11" spans="1:15" ht="38.25" x14ac:dyDescent="0.25">
      <c r="A11" s="1247"/>
      <c r="B11" s="365" t="s">
        <v>234</v>
      </c>
      <c r="C11" s="365" t="s">
        <v>235</v>
      </c>
      <c r="D11" s="365" t="s">
        <v>172</v>
      </c>
      <c r="E11" s="365" t="s">
        <v>234</v>
      </c>
      <c r="F11" s="365" t="s">
        <v>238</v>
      </c>
      <c r="G11" s="365" t="s">
        <v>172</v>
      </c>
      <c r="H11" s="366" t="s">
        <v>234</v>
      </c>
      <c r="I11" s="366" t="s">
        <v>235</v>
      </c>
      <c r="J11" s="1256"/>
      <c r="K11" s="1256"/>
      <c r="L11" s="366" t="s">
        <v>234</v>
      </c>
      <c r="M11" s="366" t="s">
        <v>235</v>
      </c>
      <c r="N11" s="1256"/>
      <c r="O11" s="1256"/>
    </row>
    <row r="12" spans="1:15" x14ac:dyDescent="0.25">
      <c r="A12" s="290" t="s">
        <v>54</v>
      </c>
      <c r="B12" s="291">
        <v>1028</v>
      </c>
      <c r="C12" s="291">
        <v>1060</v>
      </c>
      <c r="D12" s="367">
        <v>2088</v>
      </c>
      <c r="E12" s="291">
        <v>1028</v>
      </c>
      <c r="F12" s="291">
        <v>933</v>
      </c>
      <c r="G12" s="367">
        <v>1961</v>
      </c>
      <c r="H12" s="292">
        <v>41418294.389887705</v>
      </c>
      <c r="I12" s="292">
        <v>52674365.88699998</v>
      </c>
      <c r="J12" s="292">
        <v>9651025.4313767105</v>
      </c>
      <c r="K12" s="368">
        <f>SUM(H12:J12)</f>
        <v>103743685.7082644</v>
      </c>
      <c r="L12" s="292">
        <v>53446840.679303296</v>
      </c>
      <c r="M12" s="292">
        <v>68476675.653099984</v>
      </c>
      <c r="N12" s="292">
        <v>12453840.174274109</v>
      </c>
      <c r="O12" s="368">
        <f>SUM(L12:N12)</f>
        <v>134377356.50667739</v>
      </c>
    </row>
    <row r="13" spans="1:15" x14ac:dyDescent="0.25">
      <c r="A13" s="290" t="s">
        <v>55</v>
      </c>
      <c r="B13" s="291">
        <v>672</v>
      </c>
      <c r="C13" s="291">
        <v>1019</v>
      </c>
      <c r="D13" s="367">
        <v>1691</v>
      </c>
      <c r="E13" s="291">
        <v>672</v>
      </c>
      <c r="F13" s="291">
        <v>843</v>
      </c>
      <c r="G13" s="367">
        <v>1515</v>
      </c>
      <c r="H13" s="292">
        <v>11634186.434489012</v>
      </c>
      <c r="I13" s="292">
        <v>21653341.938799992</v>
      </c>
      <c r="J13" s="292">
        <v>2710923.5376926833</v>
      </c>
      <c r="K13" s="368">
        <f t="shared" ref="K13:K14" si="0">SUM(H13:J13)</f>
        <v>35998451.910981685</v>
      </c>
      <c r="L13" s="292">
        <v>15012943.385453874</v>
      </c>
      <c r="M13" s="292">
        <v>28149344.52043999</v>
      </c>
      <c r="N13" s="292">
        <v>3498219.8216305389</v>
      </c>
      <c r="O13" s="368">
        <f t="shared" ref="O13:O14" si="1">SUM(L13:N13)</f>
        <v>46660507.7275244</v>
      </c>
    </row>
    <row r="14" spans="1:15" x14ac:dyDescent="0.25">
      <c r="A14" s="290" t="s">
        <v>56</v>
      </c>
      <c r="B14" s="291">
        <v>28</v>
      </c>
      <c r="C14" s="291">
        <v>44</v>
      </c>
      <c r="D14" s="367">
        <v>72</v>
      </c>
      <c r="E14" s="291">
        <v>28</v>
      </c>
      <c r="F14" s="291">
        <v>35</v>
      </c>
      <c r="G14" s="367">
        <v>63</v>
      </c>
      <c r="H14" s="292">
        <v>73623.453320511268</v>
      </c>
      <c r="I14" s="292">
        <v>82959.81979999991</v>
      </c>
      <c r="J14" s="292">
        <v>17155.265102261419</v>
      </c>
      <c r="K14" s="368">
        <f t="shared" si="0"/>
        <v>173738.53822277259</v>
      </c>
      <c r="L14" s="292">
        <v>95004.901525887253</v>
      </c>
      <c r="M14" s="292">
        <v>107847.76573999989</v>
      </c>
      <c r="N14" s="292">
        <v>22137.433089365415</v>
      </c>
      <c r="O14" s="368">
        <f t="shared" si="1"/>
        <v>224990.10035525257</v>
      </c>
    </row>
    <row r="15" spans="1:15" x14ac:dyDescent="0.25">
      <c r="A15" s="294" t="s">
        <v>172</v>
      </c>
      <c r="B15" s="295">
        <v>1728</v>
      </c>
      <c r="C15" s="295">
        <v>2123</v>
      </c>
      <c r="D15" s="295">
        <v>3851</v>
      </c>
      <c r="E15" s="295">
        <v>1728</v>
      </c>
      <c r="F15" s="295">
        <v>1811</v>
      </c>
      <c r="G15" s="295">
        <f>SUM(G12:G14)</f>
        <v>3539</v>
      </c>
      <c r="H15" s="295">
        <f t="shared" ref="H15:O15" si="2">SUM(H12:H14)</f>
        <v>53126104.277697228</v>
      </c>
      <c r="I15" s="295">
        <f t="shared" si="2"/>
        <v>74410667.645599976</v>
      </c>
      <c r="J15" s="295">
        <f t="shared" si="2"/>
        <v>12379104.234171655</v>
      </c>
      <c r="K15" s="1428">
        <f t="shared" si="2"/>
        <v>139915876.15746883</v>
      </c>
      <c r="L15" s="295">
        <f t="shared" si="2"/>
        <v>68554788.966283053</v>
      </c>
      <c r="M15" s="295">
        <f t="shared" si="2"/>
        <v>96733867.939279974</v>
      </c>
      <c r="N15" s="295">
        <f t="shared" si="2"/>
        <v>15974197.428994015</v>
      </c>
      <c r="O15" s="1428">
        <f t="shared" si="2"/>
        <v>181262854.33455703</v>
      </c>
    </row>
  </sheetData>
  <mergeCells count="14">
    <mergeCell ref="A1:H1"/>
    <mergeCell ref="A2:H2"/>
    <mergeCell ref="A5:H5"/>
    <mergeCell ref="O10:O11"/>
    <mergeCell ref="A9:A11"/>
    <mergeCell ref="B9:D10"/>
    <mergeCell ref="E9:G10"/>
    <mergeCell ref="H9:K9"/>
    <mergeCell ref="L9:O9"/>
    <mergeCell ref="H10:I10"/>
    <mergeCell ref="J10:J11"/>
    <mergeCell ref="K10:K11"/>
    <mergeCell ref="L10:M10"/>
    <mergeCell ref="N10:N1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C4FA0F84447F4E9A2F2269C5B7C150" ma:contentTypeVersion="12" ma:contentTypeDescription="Crie um novo documento." ma:contentTypeScope="" ma:versionID="88b2a43f953cbd74797e3e00b3aba830">
  <xsd:schema xmlns:xsd="http://www.w3.org/2001/XMLSchema" xmlns:xs="http://www.w3.org/2001/XMLSchema" xmlns:p="http://schemas.microsoft.com/office/2006/metadata/properties" xmlns:ns2="e4ed1fb9-705c-43bb-b5cd-477a1b2dfbeb" xmlns:ns3="a3b65f53-d7fd-4725-9df4-bb7958787ed8" targetNamespace="http://schemas.microsoft.com/office/2006/metadata/properties" ma:root="true" ma:fieldsID="4507d0e12cae4e8140541443473e1f14" ns2:_="" ns3:_="">
    <xsd:import namespace="e4ed1fb9-705c-43bb-b5cd-477a1b2dfbeb"/>
    <xsd:import namespace="a3b65f53-d7fd-4725-9df4-bb7958787e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ed1fb9-705c-43bb-b5cd-477a1b2dfb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65f53-d7fd-4725-9df4-bb7958787ed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a576893-77a7-41e0-aff9-d035c8e8d8ae}" ma:internalName="TaxCatchAll" ma:showField="CatchAllData" ma:web="a3b65f53-d7fd-4725-9df4-bb7958787e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b65f53-d7fd-4725-9df4-bb7958787ed8" xsi:nil="true"/>
    <lcf76f155ced4ddcb4097134ff3c332f xmlns="e4ed1fb9-705c-43bb-b5cd-477a1b2dfb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FCBAE1-ADF9-4E24-89E4-F186789E5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ed1fb9-705c-43bb-b5cd-477a1b2dfbeb"/>
    <ds:schemaRef ds:uri="a3b65f53-d7fd-4725-9df4-bb7958787e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7E1B58-01F1-43D7-8405-6283A1B7A2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5B5707-1D55-4204-A94A-D7C4B55BAEB5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e4ed1fb9-705c-43bb-b5cd-477a1b2dfbeb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a3b65f53-d7fd-4725-9df4-bb7958787e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44</vt:i4>
      </vt:variant>
      <vt:variant>
        <vt:lpstr>Intervalos Nomeados</vt:lpstr>
      </vt:variant>
      <vt:variant>
        <vt:i4>1</vt:i4>
      </vt:variant>
    </vt:vector>
  </HeadingPairs>
  <TitlesOfParts>
    <vt:vector size="45" baseType="lpstr">
      <vt:lpstr>Resumo Geral</vt:lpstr>
      <vt:lpstr>Consolidado-Reajuste</vt:lpstr>
      <vt:lpstr>Consolidado-CriaCargos</vt:lpstr>
      <vt:lpstr>Consolidado-Benef.</vt:lpstr>
      <vt:lpstr>Consolidado-InclusaoEX</vt:lpstr>
      <vt:lpstr>Item1-RSC</vt:lpstr>
      <vt:lpstr>Item2-Med.PCCTAE</vt:lpstr>
      <vt:lpstr>Item3-ATE</vt:lpstr>
      <vt:lpstr>Item 4-PCCCULT</vt:lpstr>
      <vt:lpstr>Item5-RFB e AFT</vt:lpstr>
      <vt:lpstr>5.a-MEM.BÔNU_RFB-APOS.PENS</vt:lpstr>
      <vt:lpstr>5.c-MEM.REAJ_VB_RFB</vt:lpstr>
      <vt:lpstr>5.d-MEM.BÔNU_MTE-APOS.PENS</vt:lpstr>
      <vt:lpstr>5.f-MEM.REAJ_VB_MTE</vt:lpstr>
      <vt:lpstr>Item6-QuadroTI</vt:lpstr>
      <vt:lpstr>Item 7 - TurnosMDR</vt:lpstr>
      <vt:lpstr>Item 8 - TurnosEXEC</vt:lpstr>
      <vt:lpstr>Item9-Loc Estrategica</vt:lpstr>
      <vt:lpstr>Item 10 - Consig.</vt:lpstr>
      <vt:lpstr>Item 11 - Examesmédicos</vt:lpstr>
      <vt:lpstr>Item 12 - Temporários</vt:lpstr>
      <vt:lpstr>Item13-TabAnistiado</vt:lpstr>
      <vt:lpstr>Item14-Anist.PDI</vt:lpstr>
      <vt:lpstr>Item 15 - Lot.Peritos</vt:lpstr>
      <vt:lpstr>Item 16 - CriaçãoCARGOS</vt:lpstr>
      <vt:lpstr>Item17-GTATA </vt:lpstr>
      <vt:lpstr>Item 18 - IPEA</vt:lpstr>
      <vt:lpstr>Pt 0 - FCDF</vt:lpstr>
      <vt:lpstr>Resumo pt1 CGINF</vt:lpstr>
      <vt:lpstr>Resumo pt 2</vt:lpstr>
      <vt:lpstr>Resumo pt 2 (bck)</vt:lpstr>
      <vt:lpstr>Item 19 - Transf.vagos</vt:lpstr>
      <vt:lpstr>Item 20 - Ext Art. 129 - LDO PL</vt:lpstr>
      <vt:lpstr>Item21 - Reabertura Prazo CEEXT</vt:lpstr>
      <vt:lpstr>Item22-Transform.RFB</vt:lpstr>
      <vt:lpstr>Item23-24-25.1-FCDFGeral</vt:lpstr>
      <vt:lpstr>14.1.PCDF.Reajus-Impacto</vt:lpstr>
      <vt:lpstr>23.1.PCDF.Reajus</vt:lpstr>
      <vt:lpstr>23.2.PCPM-CBM-GDF-Reajus</vt:lpstr>
      <vt:lpstr>RESUMO</vt:lpstr>
      <vt:lpstr>Item 24. PCPM-CBM-GDF - Aux.Mor</vt:lpstr>
      <vt:lpstr>Item 25.26-EXTGeral</vt:lpstr>
      <vt:lpstr>Item 25. ReajEXT</vt:lpstr>
      <vt:lpstr>Item 26. MoradiaEXT</vt:lpstr>
      <vt:lpstr>'Item1-RSC'!Area_de_impressao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LUCIANA SANTOS FERREIRA</dc:creator>
  <cp:keywords/>
  <dc:description/>
  <cp:lastModifiedBy>Alex Fraga</cp:lastModifiedBy>
  <cp:revision/>
  <dcterms:created xsi:type="dcterms:W3CDTF">2025-10-28T12:17:15Z</dcterms:created>
  <dcterms:modified xsi:type="dcterms:W3CDTF">2025-11-19T21:58:12Z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0x0101004FC4FA0F84447F4E9A2F2269C5B7C150</vt:lpwstr>
  </property>
  <property fmtid="{D5CDD505-2E9C-101B-9397-08002B2CF9AE}" pid="3" name="MediaServiceImageTags">
    <vt:lpwstr/>
  </property>
</Properties>
</file>