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antonio.santiago\Downloads\"/>
    </mc:Choice>
  </mc:AlternateContent>
  <xr:revisionPtr revIDLastSave="0" documentId="13_ncr:1_{38D11DA3-BFEB-427A-9710-3E90D95E39DB}" xr6:coauthVersionLast="47" xr6:coauthVersionMax="47" xr10:uidLastSave="{00000000-0000-0000-0000-000000000000}"/>
  <bookViews>
    <workbookView xWindow="-28920" yWindow="3825" windowWidth="29040" windowHeight="15840" activeTab="1" xr2:uid="{00000000-000D-0000-FFFF-FFFF00000000}"/>
  </bookViews>
  <sheets>
    <sheet name="OBSERVAÇÃO" sheetId="27" r:id="rId1"/>
    <sheet name="RESUMO - M²" sheetId="3" r:id="rId2"/>
    <sheet name="SERVENTE" sheetId="19" r:id="rId3"/>
    <sheet name="ENCARREGADO" sheetId="22" r:id="rId4"/>
    <sheet name="UNIFORME" sheetId="26" r:id="rId5"/>
    <sheet name="UTENSÍLIOS " sheetId="24" r:id="rId6"/>
    <sheet name="MATERIAL" sheetId="23" r:id="rId7"/>
    <sheet name="EQUIPAMENTO (DEPRECIAÇÃO)" sheetId="25" r:id="rId8"/>
  </sheets>
  <externalReferences>
    <externalReference r:id="rId9"/>
  </externalReferences>
  <definedNames>
    <definedName name="_xlnm.Print_Area" localSheetId="3">ENCARREGADO!$B$1:$E$145</definedName>
    <definedName name="_xlnm.Print_Area" localSheetId="1">'RESUMO - M²'!$A$1:$G$1</definedName>
    <definedName name="_xlnm.Print_Area" localSheetId="2">SERVENTE!$B$1:$E$145</definedName>
    <definedName name="epi">[1]Insumos!$I$109</definedName>
    <definedName name="equipamentos">[1]Insumos!$M$78</definedName>
    <definedName name="materiais">[1]Insumos!$H$34</definedName>
    <definedName name="serventes_insalubridade">[1]Postos_ATC!$Q$4</definedName>
    <definedName name="uniforme">[1]Insumos!$I$100</definedName>
    <definedName name="uniforme_encarregado">[1]Insumos!$G$125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7" i="3" l="1"/>
  <c r="G46" i="3"/>
  <c r="G45" i="3"/>
  <c r="G42" i="3"/>
  <c r="G41" i="3"/>
  <c r="G36" i="3"/>
  <c r="G33" i="3"/>
  <c r="C55" i="3"/>
  <c r="C59" i="3"/>
  <c r="C57" i="3"/>
  <c r="D55" i="3"/>
  <c r="K48" i="3"/>
  <c r="K40" i="3"/>
  <c r="K35" i="3"/>
  <c r="K36" i="3"/>
  <c r="K34" i="3"/>
  <c r="K33" i="3"/>
  <c r="C53" i="3"/>
  <c r="C54" i="3"/>
  <c r="K46" i="3"/>
  <c r="K45" i="3"/>
  <c r="K47" i="3"/>
  <c r="E59" i="22" l="1"/>
  <c r="E58" i="22"/>
  <c r="E59" i="19"/>
  <c r="E58" i="19"/>
  <c r="C72" i="3"/>
  <c r="K44" i="3"/>
  <c r="K43" i="3"/>
  <c r="K42" i="3"/>
  <c r="K41" i="3"/>
  <c r="K39" i="3"/>
  <c r="K38" i="3"/>
  <c r="K37" i="3"/>
  <c r="E72" i="3"/>
  <c r="E71" i="3"/>
  <c r="C71" i="3"/>
  <c r="K51" i="3" l="1"/>
  <c r="E80" i="3" l="1"/>
  <c r="C80" i="3"/>
  <c r="F72" i="3"/>
  <c r="F71" i="3"/>
  <c r="D48" i="3"/>
  <c r="F80" i="3" l="1"/>
  <c r="E129" i="22" l="1"/>
  <c r="E104" i="22"/>
  <c r="E109" i="22" s="1"/>
  <c r="D103" i="22"/>
  <c r="D95" i="22"/>
  <c r="D93" i="22"/>
  <c r="D92" i="22"/>
  <c r="D91" i="22"/>
  <c r="D90" i="22"/>
  <c r="D83" i="22"/>
  <c r="D82" i="22"/>
  <c r="D78" i="22"/>
  <c r="D79" i="22" s="1"/>
  <c r="E65" i="22"/>
  <c r="E73" i="22" s="1"/>
  <c r="D54" i="22"/>
  <c r="D81" i="22" s="1"/>
  <c r="D38" i="22"/>
  <c r="E32" i="22"/>
  <c r="E97" i="22" l="1"/>
  <c r="E95" i="22"/>
  <c r="E89" i="22"/>
  <c r="E78" i="22"/>
  <c r="E53" i="22"/>
  <c r="E51" i="22"/>
  <c r="E49" i="22"/>
  <c r="E47" i="22"/>
  <c r="E39" i="22"/>
  <c r="E38" i="22"/>
  <c r="E138" i="22"/>
  <c r="E83" i="22"/>
  <c r="E82" i="22"/>
  <c r="E81" i="22"/>
  <c r="E80" i="22"/>
  <c r="E52" i="22"/>
  <c r="E50" i="22"/>
  <c r="E48" i="22"/>
  <c r="E46" i="22"/>
  <c r="E79" i="22"/>
  <c r="D94" i="22"/>
  <c r="D96" i="22"/>
  <c r="D97" i="22"/>
  <c r="D41" i="22"/>
  <c r="E96" i="22" l="1"/>
  <c r="E41" i="22"/>
  <c r="E40" i="22"/>
  <c r="E84" i="22"/>
  <c r="E140" i="22" s="1"/>
  <c r="E54" i="22"/>
  <c r="E72" i="22" s="1"/>
  <c r="E42" i="22" l="1"/>
  <c r="E71" i="22" s="1"/>
  <c r="E74" i="22" s="1"/>
  <c r="E139" i="22" s="1"/>
  <c r="E90" i="22"/>
  <c r="E91" i="22"/>
  <c r="E92" i="22"/>
  <c r="E93" i="22"/>
  <c r="E94" i="22" l="1"/>
  <c r="E98" i="22" s="1"/>
  <c r="E108" i="22" s="1"/>
  <c r="E110" i="22" s="1"/>
  <c r="E141" i="22" s="1"/>
  <c r="E119" i="22" l="1"/>
  <c r="E142" i="22" s="1"/>
  <c r="E143" i="22" s="1"/>
  <c r="E123" i="22" l="1"/>
  <c r="E124" i="22" l="1"/>
  <c r="E127" i="22" s="1"/>
  <c r="E128" i="22" l="1"/>
  <c r="E130" i="22"/>
  <c r="D90" i="19"/>
  <c r="D91" i="19"/>
  <c r="D95" i="19"/>
  <c r="D83" i="19"/>
  <c r="D78" i="19"/>
  <c r="E132" i="22" l="1"/>
  <c r="E144" i="22" s="1"/>
  <c r="E145" i="22" s="1"/>
  <c r="E65" i="19"/>
  <c r="D79" i="19"/>
  <c r="C58" i="3" l="1"/>
  <c r="C66" i="3"/>
  <c r="C60" i="3"/>
  <c r="C56" i="3"/>
  <c r="C62" i="3"/>
  <c r="C64" i="3"/>
  <c r="C75" i="3"/>
  <c r="G72" i="3" s="1"/>
  <c r="D103" i="19"/>
  <c r="E129" i="19" l="1"/>
  <c r="E104" i="19"/>
  <c r="E109" i="19" s="1"/>
  <c r="D93" i="19"/>
  <c r="D92" i="19"/>
  <c r="D82" i="19"/>
  <c r="D54" i="19"/>
  <c r="D81" i="19" s="1"/>
  <c r="D38" i="19"/>
  <c r="E32" i="19"/>
  <c r="E89" i="19" l="1"/>
  <c r="E82" i="19"/>
  <c r="E80" i="19"/>
  <c r="E78" i="19"/>
  <c r="E83" i="19"/>
  <c r="E81" i="19"/>
  <c r="E79" i="19"/>
  <c r="E95" i="19"/>
  <c r="E96" i="19" s="1"/>
  <c r="E97" i="19"/>
  <c r="E46" i="19"/>
  <c r="E38" i="19"/>
  <c r="E39" i="19"/>
  <c r="D97" i="19"/>
  <c r="D94" i="19"/>
  <c r="D96" i="19"/>
  <c r="D41" i="19"/>
  <c r="E73" i="19"/>
  <c r="E50" i="19"/>
  <c r="E49" i="19"/>
  <c r="E52" i="19"/>
  <c r="E51" i="19"/>
  <c r="E53" i="19"/>
  <c r="E138" i="19"/>
  <c r="E48" i="19"/>
  <c r="E47" i="19"/>
  <c r="E41" i="19" l="1"/>
  <c r="E54" i="19"/>
  <c r="E72" i="19" s="1"/>
  <c r="E40" i="19"/>
  <c r="E84" i="19" l="1"/>
  <c r="E90" i="19" s="1"/>
  <c r="E42" i="19"/>
  <c r="E71" i="19" s="1"/>
  <c r="E74" i="19" s="1"/>
  <c r="E139" i="19" s="1"/>
  <c r="E92" i="19" l="1"/>
  <c r="E91" i="19"/>
  <c r="E93" i="19"/>
  <c r="E140" i="19"/>
  <c r="E94" i="19" l="1"/>
  <c r="E98" i="19" s="1"/>
  <c r="E108" i="19" s="1"/>
  <c r="E110" i="19" s="1"/>
  <c r="E141" i="19" s="1"/>
  <c r="E119" i="19" l="1"/>
  <c r="E142" i="19" l="1"/>
  <c r="E143" i="19" s="1"/>
  <c r="E123" i="19" s="1"/>
  <c r="E124" i="19" s="1"/>
  <c r="E130" i="19" s="1"/>
  <c r="E127" i="19" l="1"/>
  <c r="E128" i="19"/>
  <c r="E132" i="19" l="1"/>
  <c r="E144" i="19" s="1"/>
  <c r="E145" i="19" s="1"/>
  <c r="C74" i="3" l="1"/>
  <c r="G71" i="3" s="1"/>
  <c r="H71" i="3" s="1"/>
  <c r="G80" i="3" l="1"/>
  <c r="C65" i="3"/>
  <c r="D65" i="3" s="1"/>
  <c r="H47" i="3" s="1"/>
  <c r="I47" i="3" s="1"/>
  <c r="J47" i="3" s="1"/>
  <c r="C63" i="3"/>
  <c r="D63" i="3" s="1"/>
  <c r="C61" i="3"/>
  <c r="D61" i="3" s="1"/>
  <c r="G44" i="3" s="1"/>
  <c r="D59" i="3"/>
  <c r="D57" i="3"/>
  <c r="G40" i="3"/>
  <c r="H40" i="3" s="1"/>
  <c r="H44" i="3" l="1"/>
  <c r="I44" i="3" s="1"/>
  <c r="J44" i="3" s="1"/>
  <c r="I40" i="3"/>
  <c r="J40" i="3" s="1"/>
  <c r="H33" i="3"/>
  <c r="I33" i="3" s="1"/>
  <c r="G39" i="3"/>
  <c r="H39" i="3" s="1"/>
  <c r="G37" i="3"/>
  <c r="G43" i="3"/>
  <c r="H43" i="3" s="1"/>
  <c r="G35" i="3"/>
  <c r="H35" i="3" s="1"/>
  <c r="I35" i="3" s="1"/>
  <c r="J35" i="3" s="1"/>
  <c r="G34" i="3"/>
  <c r="H34" i="3" s="1"/>
  <c r="I34" i="3" s="1"/>
  <c r="G38" i="3"/>
  <c r="H38" i="3" s="1"/>
  <c r="I38" i="3" s="1"/>
  <c r="J38" i="3" s="1"/>
  <c r="H41" i="3"/>
  <c r="H45" i="3"/>
  <c r="I45" i="3" s="1"/>
  <c r="I43" i="3" l="1"/>
  <c r="J43" i="3" s="1"/>
  <c r="I39" i="3"/>
  <c r="J39" i="3" s="1"/>
  <c r="I41" i="3"/>
  <c r="J41" i="3" s="1"/>
  <c r="J33" i="3"/>
  <c r="H42" i="3"/>
  <c r="H36" i="3"/>
  <c r="I36" i="3" s="1"/>
  <c r="J36" i="3" s="1"/>
  <c r="J45" i="3"/>
  <c r="H37" i="3"/>
  <c r="I37" i="3" s="1"/>
  <c r="J37" i="3" s="1"/>
  <c r="J34" i="3"/>
  <c r="I42" i="3" l="1"/>
  <c r="I48" i="3" s="1"/>
  <c r="J42" i="3" l="1"/>
  <c r="J48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Liana Lopes Schaefer</author>
    <author>SEGES</author>
  </authors>
  <commentList>
    <comment ref="E28" authorId="0" shapeId="0" xr:uid="{00000000-0006-0000-0100-000001000000}">
      <text>
        <r>
          <rPr>
            <b/>
            <sz val="9"/>
            <color indexed="81"/>
            <rFont val="Segoe UI"/>
          </rPr>
          <t>Liana Lopes Schaefer:</t>
        </r>
        <r>
          <rPr>
            <sz val="9"/>
            <color indexed="81"/>
            <rFont val="Segoe UI"/>
          </rPr>
          <t xml:space="preserve">
Utilizado mesmo cálculo da planilha (17117553) aceita no pregão de limpeza da PFPV:
*Pegamos o salario, divimos por 220hs, multiplicado por 50% (1,5).Ps.( I26/220*1,5*)
Com o valor da hora extra calculado, multiplicar pelo número de funcionários que trabalharão no domingo ou feriado (4), multiplicar pelo número de horas que cada um trabalhará nesses dias (4). ps.( 4*4)
Multiplicar pela quantidade de domingos e feriados que teremos no ano (365/7+9); onde 365/7 é a quantidade média de domingos e 9 é a quantidade média de feriados no ano.
Este cálculo nos dá o valor anual gasto com horas-extras. Este valor deverá ser dividido por 12 para obtermos o valor mensal. E após, dividido pela quantidade de serventes do contrato (no caso, são 11) para que o senhor chegue ao valor mensal de cada funcionário no mês.</t>
        </r>
      </text>
    </comment>
    <comment ref="C58" authorId="1" shapeId="0" xr:uid="{00000000-0006-0000-0100-000002000000}">
      <text>
        <r>
          <rPr>
            <b/>
            <sz val="8"/>
            <color indexed="81"/>
            <rFont val="Segoe UI"/>
            <family val="2"/>
          </rPr>
          <t>Baseado na Informação 29 (16297232)</t>
        </r>
      </text>
    </comment>
    <comment ref="C59" authorId="1" shapeId="0" xr:uid="{00000000-0006-0000-0100-000003000000}">
      <text>
        <r>
          <rPr>
            <b/>
            <sz val="8"/>
            <color indexed="81"/>
            <rFont val="Segoe UI"/>
            <family val="2"/>
          </rPr>
          <t>Jornada 44h</t>
        </r>
        <r>
          <rPr>
            <sz val="8"/>
            <color indexed="81"/>
            <rFont val="Segoe UI"/>
            <family val="2"/>
          </rPr>
          <t xml:space="preserve">
365 dias : 7 dias = 52,14 semanas.
Segunda a sexta = 5 dias uteis por semana
52,14 semanas x 5 dias uteis por semana = 260,7 dias uteis por ano
260,7 dias uteis por ano – 9 feriados (aproximado) = 251,7 dias uteis ≈ 252
252 dias uteis / 12 meses =</t>
        </r>
        <r>
          <rPr>
            <u/>
            <sz val="8"/>
            <color indexed="81"/>
            <rFont val="Segoe UI"/>
            <family val="2"/>
          </rPr>
          <t xml:space="preserve"> 21 dias uteis por mês</t>
        </r>
        <r>
          <rPr>
            <sz val="8"/>
            <color indexed="81"/>
            <rFont val="Segoe UI"/>
            <family val="2"/>
          </rPr>
          <t xml:space="preserve">
</t>
        </r>
        <r>
          <rPr>
            <b/>
            <sz val="8"/>
            <color indexed="81"/>
            <rFont val="Segoe UI"/>
            <family val="2"/>
          </rPr>
          <t>Jornada 12x36h</t>
        </r>
        <r>
          <rPr>
            <sz val="8"/>
            <color indexed="81"/>
            <rFont val="Segoe UI"/>
            <family val="2"/>
          </rPr>
          <t xml:space="preserve">
365:12=30,4 dias 
Considerando que cada trabalhador labora em dias alternados:
30,4/2=</t>
        </r>
        <r>
          <rPr>
            <u/>
            <sz val="8"/>
            <color indexed="81"/>
            <rFont val="Segoe UI"/>
            <family val="2"/>
          </rPr>
          <t>15,2 dias trabalhados por mê</t>
        </r>
        <r>
          <rPr>
            <sz val="8"/>
            <color indexed="81"/>
            <rFont val="Segoe UI"/>
            <family val="2"/>
          </rPr>
          <t xml:space="preserve">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SEGES</author>
  </authors>
  <commentList>
    <comment ref="C58" authorId="0" shapeId="0" xr:uid="{00000000-0006-0000-0200-000001000000}">
      <text>
        <r>
          <rPr>
            <b/>
            <sz val="8"/>
            <color indexed="81"/>
            <rFont val="Segoe UI"/>
            <family val="2"/>
          </rPr>
          <t>Jornada 44h</t>
        </r>
        <r>
          <rPr>
            <sz val="8"/>
            <color indexed="81"/>
            <rFont val="Segoe UI"/>
            <family val="2"/>
          </rPr>
          <t xml:space="preserve">
365 dias : 7 dias = 52,14 semanas.
Segunda a sexta = 5 dias uteis por semana
52,14 semanas x 5 dias uteis por semana = 260,7 dias uteis por ano
260,7 dias uteis por ano – 9 feriados (aproximado) = 251,7 dias uteis “reais” ≈ 252
252 dias uteis / 12 meses = </t>
        </r>
        <r>
          <rPr>
            <u/>
            <sz val="8"/>
            <color indexed="81"/>
            <rFont val="Segoe UI"/>
            <family val="2"/>
          </rPr>
          <t>21 dias uteis por mês</t>
        </r>
        <r>
          <rPr>
            <sz val="8"/>
            <color indexed="81"/>
            <rFont val="Segoe UI"/>
            <family val="2"/>
          </rPr>
          <t xml:space="preserve">
</t>
        </r>
        <r>
          <rPr>
            <b/>
            <sz val="8"/>
            <color indexed="81"/>
            <rFont val="Segoe UI"/>
            <family val="2"/>
          </rPr>
          <t>Jornada 12x36h</t>
        </r>
        <r>
          <rPr>
            <sz val="8"/>
            <color indexed="81"/>
            <rFont val="Segoe UI"/>
            <family val="2"/>
          </rPr>
          <t xml:space="preserve">
365:12=30,4 dias 
Considerando que cada trabalhador labora em dias alternados:
30,4/2=</t>
        </r>
        <r>
          <rPr>
            <u/>
            <sz val="8"/>
            <color indexed="81"/>
            <rFont val="Segoe UI"/>
            <family val="2"/>
          </rPr>
          <t>15,2 dias trabalhados por mês</t>
        </r>
      </text>
    </comment>
    <comment ref="C59" authorId="0" shapeId="0" xr:uid="{00000000-0006-0000-0200-000002000000}">
      <text>
        <r>
          <rPr>
            <b/>
            <sz val="8"/>
            <color indexed="81"/>
            <rFont val="Segoe UI"/>
            <family val="2"/>
          </rPr>
          <t>Jornada 44h</t>
        </r>
        <r>
          <rPr>
            <sz val="8"/>
            <color indexed="81"/>
            <rFont val="Segoe UI"/>
            <family val="2"/>
          </rPr>
          <t xml:space="preserve">
365 dias : 7 dias = 52,14 semanas.
Segunda a sexta = 5 dias uteis por semana
52,14 semanas x 5 dias uteis por semana = 260,7 dias uteis por ano
260,7 dias uteis por ano – 9 feriados (aproximado) = 251,7 dias uteis ≈ 252
252 dias uteis / 12 meses =</t>
        </r>
        <r>
          <rPr>
            <u/>
            <sz val="8"/>
            <color indexed="81"/>
            <rFont val="Segoe UI"/>
            <family val="2"/>
          </rPr>
          <t xml:space="preserve"> 21 dias uteis por mês</t>
        </r>
        <r>
          <rPr>
            <sz val="8"/>
            <color indexed="81"/>
            <rFont val="Segoe UI"/>
            <family val="2"/>
          </rPr>
          <t xml:space="preserve">
</t>
        </r>
        <r>
          <rPr>
            <b/>
            <sz val="8"/>
            <color indexed="81"/>
            <rFont val="Segoe UI"/>
            <family val="2"/>
          </rPr>
          <t>Jornada 12x36h</t>
        </r>
        <r>
          <rPr>
            <sz val="8"/>
            <color indexed="81"/>
            <rFont val="Segoe UI"/>
            <family val="2"/>
          </rPr>
          <t xml:space="preserve">
365:12=30,4 dias 
Considerando que cada trabalhador labora em dias alternados:
30,4/2=</t>
        </r>
        <r>
          <rPr>
            <u/>
            <sz val="8"/>
            <color indexed="81"/>
            <rFont val="Segoe UI"/>
            <family val="2"/>
          </rPr>
          <t>15,2 dias trabalhados por mê</t>
        </r>
        <r>
          <rPr>
            <sz val="8"/>
            <color indexed="81"/>
            <rFont val="Segoe UI"/>
            <family val="2"/>
          </rPr>
          <t xml:space="preserve">s
</t>
        </r>
      </text>
    </comment>
  </commentList>
</comments>
</file>

<file path=xl/sharedStrings.xml><?xml version="1.0" encoding="utf-8"?>
<sst xmlns="http://schemas.openxmlformats.org/spreadsheetml/2006/main" count="603" uniqueCount="280">
  <si>
    <t>Data de apresentação da proposta (dia/mês/ano)</t>
  </si>
  <si>
    <t>B</t>
  </si>
  <si>
    <t>C</t>
  </si>
  <si>
    <t>D</t>
  </si>
  <si>
    <t>Nº de meses de execução contratual</t>
  </si>
  <si>
    <t>Unidade de Medida</t>
  </si>
  <si>
    <t>Classificação Brasileira de Ocupações (CBO)</t>
  </si>
  <si>
    <t>MÓDULO 1 :   COMPOSIÇÃO DA REMUNERAÇÃO</t>
  </si>
  <si>
    <t>Composição da Remuneração</t>
  </si>
  <si>
    <t>Valor (R$)</t>
  </si>
  <si>
    <t>A</t>
  </si>
  <si>
    <t>E</t>
  </si>
  <si>
    <t>F</t>
  </si>
  <si>
    <t>G</t>
  </si>
  <si>
    <t>H</t>
  </si>
  <si>
    <t>I</t>
  </si>
  <si>
    <t>TOTAL DA REMUNERAÇÃO (A+B+C+D+E+F+G+H+I+J+L)</t>
  </si>
  <si>
    <t>MÓDULO 2: ENCARGOS E BENEFÍCIOS ANUAIS, MENSAIS E DIÁRIOS</t>
  </si>
  <si>
    <t>SUBMÓDULO 2.1: 13º (décimo terceiro) Salário, Férias e Adicional de Férias</t>
  </si>
  <si>
    <t>2.1</t>
  </si>
  <si>
    <t>13º (décimo terceiro) Salário, Férias e Adicional de Férias</t>
  </si>
  <si>
    <t>SUBTOTAL (A+B)</t>
  </si>
  <si>
    <t>TOTAL DE 13º (DÉCIMO TERCEIRO) SALÁRIO, FÉRIAS E ADICIONAL DE FÉRIAS (A+B+C)</t>
  </si>
  <si>
    <t>SUBMÓDULO 2.2: Encargos Previdenciários (GPS), Fundo de Garantia por Tempo de Serviço (FGTS) e outras contribuições.</t>
  </si>
  <si>
    <t>2.2</t>
  </si>
  <si>
    <t>GPS, FGTS e outras contribuições</t>
  </si>
  <si>
    <t>Percentual (%)</t>
  </si>
  <si>
    <t>Salário Educação</t>
  </si>
  <si>
    <t>SESC ou SESI</t>
  </si>
  <si>
    <t>SEBRAE</t>
  </si>
  <si>
    <t>INCRA</t>
  </si>
  <si>
    <t>FGTS</t>
  </si>
  <si>
    <t>TOTAL GPS, FGTS E OUTRAS CONTRIBUIÇÕES (A+B+C+D+E+F+G+H)</t>
  </si>
  <si>
    <t>SUBMÓDULO 2.3: Benefícios Mensais e Diários</t>
  </si>
  <si>
    <t>Benefícios  Mensais e Diários</t>
  </si>
  <si>
    <t>TOTAL BENEFÍCIOS  MENSAIS E DIÁRIOS (A+B+C+D+E+F+G)</t>
  </si>
  <si>
    <t>Quadro-Resumo do Módulo 2 - Encargos e Benefícios anuais, mensais e diários</t>
  </si>
  <si>
    <t>Encargos e Benefícios Anuais, Mensais e Diários</t>
  </si>
  <si>
    <t>2.3</t>
  </si>
  <si>
    <t>TOTAL ENCARGOS BENEFÍCIOS ANUAIS, MENSAIS E DIÁRIOS</t>
  </si>
  <si>
    <t>MÓDULO 3: PROVISÃO PARA RESCISÃO</t>
  </si>
  <si>
    <t>Provisão para Rescisão</t>
  </si>
  <si>
    <t>TOTAL PROVISÃO PARA RESCISÃO</t>
  </si>
  <si>
    <t>MÓDULO 4: CUSTO DE REPOSIÇÃO DE PROFISSIONAL AUSENTE</t>
  </si>
  <si>
    <t>SUBMÓDULO 4.1: Ausências legais</t>
  </si>
  <si>
    <t>4.1</t>
  </si>
  <si>
    <t>Ausências Legais</t>
  </si>
  <si>
    <t>SUBMÓDULO 4.2: Intrajornada</t>
  </si>
  <si>
    <t>4.2</t>
  </si>
  <si>
    <t>Intrajornada</t>
  </si>
  <si>
    <t>TOTAL INTRAJORNADA (A)</t>
  </si>
  <si>
    <t>Quadro-Resumo do Módulo 4 - Custo de Reposição do Profissional Ausente</t>
  </si>
  <si>
    <t>Ausências legais</t>
  </si>
  <si>
    <t>MÓDULO 5: INSUMOS DIVERSOS</t>
  </si>
  <si>
    <t>Insumos Diversos</t>
  </si>
  <si>
    <t>TOTAL DE INSUMOS DIVERSOS</t>
  </si>
  <si>
    <t>MÓDULO 6: CUSTOS INDIRETOS, TRIBUTOS E LUCRO</t>
  </si>
  <si>
    <t>Custos Indiretos, Tributos e Lucro</t>
  </si>
  <si>
    <t>%</t>
  </si>
  <si>
    <t xml:space="preserve">Custos Indiretos        </t>
  </si>
  <si>
    <t>Lucro</t>
  </si>
  <si>
    <t>Tributos</t>
  </si>
  <si>
    <t xml:space="preserve">        C.1.1  PIS</t>
  </si>
  <si>
    <t xml:space="preserve">        C.1.2 COFINS</t>
  </si>
  <si>
    <t>C.3   Tributos Municipais</t>
  </si>
  <si>
    <t xml:space="preserve">          C.3.1 - ISS          </t>
  </si>
  <si>
    <t>TOTAL</t>
  </si>
  <si>
    <t>2 - QUADRO RESUMO DO CUSTO POR EMPREGADO</t>
  </si>
  <si>
    <t>Mão-de-obra vinculada à execução contratual (valor por empregado)</t>
  </si>
  <si>
    <t>(R$)</t>
  </si>
  <si>
    <t>Módulo 1 – Composição da Remuneração</t>
  </si>
  <si>
    <t>Módulo 2 – Encargos e Benefícios Anuais, Mensais e Diários</t>
  </si>
  <si>
    <t>Módulo 3 – Provisão para rescisão</t>
  </si>
  <si>
    <t>Módulo 4 - Custo de Reposição do Profissional Ausente</t>
  </si>
  <si>
    <t>Módulo 5 – Insumos diversos</t>
  </si>
  <si>
    <t>Subtotal (A + B +C+ D+E)</t>
  </si>
  <si>
    <t>Módulo 6 – Custos indiretos, tributos e lucro</t>
  </si>
  <si>
    <t>Valor total por empregado</t>
  </si>
  <si>
    <t>TOTAL AUSÊNCIAS LEGAIS (A+B+C+D+E+F+G+H+I)</t>
  </si>
  <si>
    <t>SENAI ou SENAC</t>
  </si>
  <si>
    <t>RAT Ajustado</t>
  </si>
  <si>
    <t>Substituição no intervalo para repouso e alimentação (intrajornada)</t>
  </si>
  <si>
    <t>C.2  Contribuição Previdenciária sobre a Receita Bruta (CPRB), caso optante</t>
  </si>
  <si>
    <t>C.1 Tributos Federais</t>
  </si>
  <si>
    <t>INSS (no caso de optante pela desoneração, zerar esse item e incluir no Módulo 6)</t>
  </si>
  <si>
    <r>
      <t>Adicional  de periculosidade -</t>
    </r>
    <r>
      <rPr>
        <sz val="9"/>
        <color rgb="FF000000"/>
        <rFont val="Arial"/>
        <family val="2"/>
      </rPr>
      <t xml:space="preserve"> (30% do salário base)</t>
    </r>
  </si>
  <si>
    <r>
      <t xml:space="preserve">Adicional  de insalubridade - </t>
    </r>
    <r>
      <rPr>
        <sz val="9"/>
        <color rgb="FF000000"/>
        <rFont val="Arial"/>
        <family val="2"/>
      </rPr>
      <t>(10%, 20% ou 40% do salário mínimo)</t>
    </r>
  </si>
  <si>
    <r>
      <t xml:space="preserve">Reflexo no DSR - </t>
    </r>
    <r>
      <rPr>
        <sz val="9"/>
        <color rgb="FF000000"/>
        <rFont val="Arial"/>
        <family val="2"/>
      </rPr>
      <t>(((valor das horas extras) ÷ nº de dias úteis do mês) x nº RSR do mês)</t>
    </r>
  </si>
  <si>
    <r>
      <t xml:space="preserve">13º (décimo terceiro) Salário - </t>
    </r>
    <r>
      <rPr>
        <b/>
        <sz val="9"/>
        <color rgb="FF000000"/>
        <rFont val="Arial"/>
        <family val="2"/>
      </rPr>
      <t>(Rem x 8,33%)</t>
    </r>
  </si>
  <si>
    <r>
      <t xml:space="preserve">Incidência do submódulo 2.2 no 13º, férias e adicional de férias - </t>
    </r>
    <r>
      <rPr>
        <b/>
        <sz val="9"/>
        <color rgb="FF000000"/>
        <rFont val="Arial"/>
        <family val="2"/>
      </rPr>
      <t>(A+B)x%do submódulo 2.2</t>
    </r>
  </si>
  <si>
    <r>
      <rPr>
        <b/>
        <sz val="9"/>
        <color rgb="FF000000"/>
        <rFont val="Arial"/>
        <family val="2"/>
      </rPr>
      <t xml:space="preserve">Incidência do FGTS sobre o Aviso Prévio Indenizado - </t>
    </r>
    <r>
      <rPr>
        <sz val="9"/>
        <color rgb="FF000000"/>
        <rFont val="Arial"/>
        <family val="2"/>
      </rPr>
      <t>(Aviso Prévio Indenizado * 8% FGTS)</t>
    </r>
  </si>
  <si>
    <r>
      <t xml:space="preserve">Aviso Prévio Trabalhado - </t>
    </r>
    <r>
      <rPr>
        <sz val="9"/>
        <color rgb="FF000000"/>
        <rFont val="Arial"/>
        <family val="2"/>
      </rPr>
      <t>(REM/12)/30)x7)x100%</t>
    </r>
  </si>
  <si>
    <r>
      <t xml:space="preserve">Incidência dos encargos do submódulo 2.2 sobre o Aviso Prévio
Trabalhado - </t>
    </r>
    <r>
      <rPr>
        <sz val="9"/>
        <color rgb="FF000000"/>
        <rFont val="Arial"/>
        <family val="2"/>
      </rPr>
      <t>(Aviso Prévio Trabalhado) x % do Submódulo 2.2</t>
    </r>
  </si>
  <si>
    <r>
      <t xml:space="preserve">Substituto nas Ausências por acidente de trabalho - </t>
    </r>
    <r>
      <rPr>
        <sz val="9"/>
        <color rgb="FF000000"/>
        <rFont val="Arial"/>
        <family val="2"/>
      </rPr>
      <t>((Rem/30/12)x30 dias)x8%</t>
    </r>
  </si>
  <si>
    <r>
      <t xml:space="preserve">Substituto em outros afastamentos – Ex. Ausência por doença - </t>
    </r>
    <r>
      <rPr>
        <sz val="9"/>
        <color rgb="FF000000"/>
        <rFont val="Arial"/>
        <family val="2"/>
      </rPr>
      <t>(Rem/30/12)x5 diasx40%</t>
    </r>
  </si>
  <si>
    <r>
      <t xml:space="preserve">Incidência dos Encargos do Submódulo 2.2 sobre as ausências legais – </t>
    </r>
    <r>
      <rPr>
        <sz val="9"/>
        <color rgb="FF000000"/>
        <rFont val="Arial"/>
        <family val="2"/>
      </rPr>
      <t>(A+B+C+D+E) x % do submódulo 2.2</t>
    </r>
  </si>
  <si>
    <r>
      <t xml:space="preserve">Afastamento Maternidade (Férias pagas ao substituto pelos 120 dias de reposição) - </t>
    </r>
    <r>
      <rPr>
        <sz val="9"/>
        <color rgb="FF000000"/>
        <rFont val="Arial"/>
        <family val="2"/>
      </rPr>
      <t>(((Rem+(Rem ÷ 3)) x (4/12)) ÷ 12) x 1,416%</t>
    </r>
  </si>
  <si>
    <r>
      <t xml:space="preserve">Incidência dos encargos do submódulo 2.2 sobre as férias pagas ao substituto pelos 120 dias de reposição – </t>
    </r>
    <r>
      <rPr>
        <sz val="9"/>
        <color rgb="FF000000"/>
        <rFont val="Arial"/>
        <family val="2"/>
      </rPr>
      <t>(G x % do submódulo 2.2)</t>
    </r>
  </si>
  <si>
    <r>
      <t xml:space="preserve">Incidência do submódulo 2.2 sobre remuneração e 13º salário proporcionais aos 120 dias de reposição - </t>
    </r>
    <r>
      <rPr>
        <sz val="9"/>
        <color rgb="FF000000"/>
        <rFont val="Arial"/>
        <family val="2"/>
      </rPr>
      <t>(((Rem + (Rem ÷ 12)) x (4÷12)) x 1,416%) x % do submódulo 2.2</t>
    </r>
  </si>
  <si>
    <t>PLANILHA ANALÍTICA DE CUSTOS E FORMAÇÃO DE PREÇOS</t>
  </si>
  <si>
    <t>Dados da mão de obra para composição dos custos</t>
  </si>
  <si>
    <t>Posto</t>
  </si>
  <si>
    <t xml:space="preserve">Quantidade da unidade de medida </t>
  </si>
  <si>
    <t>Quantidade de empregados por unidade de medida</t>
  </si>
  <si>
    <t>Piso da Categoria Profissional (Salário Normativo da Categoria)</t>
  </si>
  <si>
    <t>Acordo, Convenção ou Sentença Normativa em Dissídio Coletivo</t>
  </si>
  <si>
    <t>Número do registro do intrumento coletivo no sistema Mediador</t>
  </si>
  <si>
    <t xml:space="preserve">Data base da categoria </t>
  </si>
  <si>
    <t>Serviço</t>
  </si>
  <si>
    <t>Tipo de jornada</t>
  </si>
  <si>
    <t>Outros</t>
  </si>
  <si>
    <t>Nota: Em caso de renovação, o Aviso Prévio Trabalhado torna-se custo não renovável, conforme Lei nº 12506/2011, devendo ser ajustado para o quantitativo de dias proporcional.</t>
  </si>
  <si>
    <r>
      <t xml:space="preserve">Multa do FGTS sobre o Aviso Prévio Trabalhado - </t>
    </r>
    <r>
      <rPr>
        <sz val="9"/>
        <color rgb="FF000000"/>
        <rFont val="Arial"/>
        <family val="2"/>
      </rPr>
      <t>(Aviso Prévio Trabalhado)x40%)x8%)</t>
    </r>
  </si>
  <si>
    <r>
      <t xml:space="preserve"> Os valores </t>
    </r>
    <r>
      <rPr>
        <b/>
        <u/>
        <sz val="8"/>
        <color indexed="8"/>
        <rFont val="Arial"/>
        <family val="2"/>
      </rPr>
      <t>finais</t>
    </r>
    <r>
      <rPr>
        <sz val="8"/>
        <color indexed="8"/>
        <rFont val="Arial"/>
        <family val="2"/>
      </rPr>
      <t xml:space="preserve"> foram arredondados em 2 casas decimais, segundo a Norma ABNT NBR 5891. </t>
    </r>
  </si>
  <si>
    <r>
      <t xml:space="preserve">Adicional noturno - </t>
    </r>
    <r>
      <rPr>
        <sz val="9"/>
        <color rgb="FF000000"/>
        <rFont val="Arial"/>
        <family val="2"/>
      </rPr>
      <t xml:space="preserve">(((((Sal. Base+Periculosidade ou insalubridade+gratificações/(180, 200 ou 220))*20%))*qtd horas noturnas)*qtd dias com adicional noturno) </t>
    </r>
  </si>
  <si>
    <r>
      <t xml:space="preserve">Intervalo Intrajornada - </t>
    </r>
    <r>
      <rPr>
        <sz val="9"/>
        <color rgb="FF000000"/>
        <rFont val="Arial"/>
        <family val="2"/>
      </rPr>
      <t>((((salário base + periculosidade ou insalubridade + gratificações) ÷ (180, 200 ou 220) x 150%) x quantidade de horas suprimidas)x quantidade de dias)</t>
    </r>
    <r>
      <rPr>
        <b/>
        <sz val="9"/>
        <color rgb="FF000000"/>
        <rFont val="Arial"/>
        <family val="2"/>
      </rPr>
      <t xml:space="preserve"> - </t>
    </r>
    <r>
      <rPr>
        <sz val="9"/>
        <color rgb="FF000000"/>
        <rFont val="Arial"/>
        <family val="2"/>
      </rPr>
      <t>Cláusula 31ª CCT</t>
    </r>
  </si>
  <si>
    <r>
      <t xml:space="preserve">Adicional de hora noturna reduzida - </t>
    </r>
    <r>
      <rPr>
        <sz val="9"/>
        <color rgb="FF000000"/>
        <rFont val="Arial"/>
        <family val="2"/>
      </rPr>
      <t>((((salário base + periculosidade ou insalubridade + gratificações) ÷ (180, 200 ou 220) x quantidade de hora noturna adicional) x 120%)x quantidade de dias trabalhados)  - Cláusula 31ª CCT</t>
    </r>
  </si>
  <si>
    <r>
      <t xml:space="preserve">Salário Base </t>
    </r>
    <r>
      <rPr>
        <sz val="9"/>
        <color rgb="FF000000"/>
        <rFont val="Arial"/>
        <family val="2"/>
      </rPr>
      <t>(Cláusula 3º CCT)</t>
    </r>
  </si>
  <si>
    <r>
      <t xml:space="preserve">Outros - </t>
    </r>
    <r>
      <rPr>
        <sz val="9"/>
        <color rgb="FF000000"/>
        <rFont val="Arial"/>
        <family val="2"/>
      </rPr>
      <t>Gratificação POR POSTO (Cláusula XXª CCT)</t>
    </r>
  </si>
  <si>
    <r>
      <t>Adicional Horas extras -</t>
    </r>
    <r>
      <rPr>
        <sz val="9"/>
        <color rgb="FF000000"/>
        <rFont val="Arial"/>
        <family val="2"/>
      </rPr>
      <t xml:space="preserve"> [(verbas de natureza salarial/(180, 200 ou 220)+((verbas de natureza salarial/189,200 ou 180hs)*50% ou 100%)] * quantidade de horas extras</t>
    </r>
  </si>
  <si>
    <r>
      <t xml:space="preserve">Substituto nas Ausências legais - </t>
    </r>
    <r>
      <rPr>
        <sz val="9"/>
        <color rgb="FF000000"/>
        <rFont val="Arial"/>
        <family val="2"/>
      </rPr>
      <t>((Rem/30/12)x3 dia</t>
    </r>
  </si>
  <si>
    <t>1/188,76</t>
  </si>
  <si>
    <t>Produtividade</t>
  </si>
  <si>
    <t>1/1132,6</t>
  </si>
  <si>
    <t>ENCARREGADO</t>
  </si>
  <si>
    <t>SERVENTE DE LIMPEZA</t>
  </si>
  <si>
    <r>
      <t xml:space="preserve">Aviso Prévio Indenizado - </t>
    </r>
    <r>
      <rPr>
        <sz val="9"/>
        <color rgb="FF000000"/>
        <rFont val="Arial"/>
        <family val="2"/>
      </rPr>
      <t>((rem/12)*5,55%)</t>
    </r>
  </si>
  <si>
    <r>
      <t xml:space="preserve">Multa do FGTS - </t>
    </r>
    <r>
      <rPr>
        <sz val="9"/>
        <color rgb="FF000000"/>
        <rFont val="Arial"/>
        <family val="2"/>
      </rPr>
      <t>(Rem+Férias+13º+Adicional de Férias)x8%)x40%)*90%</t>
    </r>
  </si>
  <si>
    <t>Município/UF</t>
  </si>
  <si>
    <t>44 h</t>
  </si>
  <si>
    <r>
      <rPr>
        <b/>
        <sz val="9"/>
        <color rgb="FF000000"/>
        <rFont val="Arial"/>
        <family val="2"/>
      </rPr>
      <t>Nota 1</t>
    </r>
    <r>
      <rPr>
        <sz val="9"/>
        <color rgb="FF000000"/>
        <rFont val="Arial"/>
        <family val="2"/>
      </rPr>
      <t>: O Módulo 1 refere-se ao valor mensal devido ao empregado pela prestação do serviço no período de 12 meses.</t>
    </r>
  </si>
  <si>
    <r>
      <rPr>
        <b/>
        <sz val="9"/>
        <color rgb="FF000000"/>
        <rFont val="Arial"/>
        <family val="2"/>
      </rPr>
      <t xml:space="preserve">Nota 1: </t>
    </r>
    <r>
      <rPr>
        <sz val="9"/>
        <color rgb="FF000000"/>
        <rFont val="Arial"/>
        <family val="2"/>
      </rPr>
      <t>O valor informado deverá ser o custo real do benefício (descontado o valor eventualmente pago pelo empregado).</t>
    </r>
  </si>
  <si>
    <r>
      <rPr>
        <b/>
        <sz val="9"/>
        <color rgb="FF000000"/>
        <rFont val="Arial"/>
        <family val="2"/>
      </rPr>
      <t>Nota 2:</t>
    </r>
    <r>
      <rPr>
        <sz val="9"/>
        <color rgb="FF000000"/>
        <rFont val="Arial"/>
        <family val="2"/>
      </rPr>
      <t xml:space="preserve"> Observar a previsão dos benefícios contidos em Acordos, Convenções e Dissídios Coletivos de Trabalho e atentar-se ao disposto no art. 6º desta Instrução Normativa.</t>
    </r>
  </si>
  <si>
    <t>Nota: As férias, adicional de férias e 13º do susbtituto tornam-se custo não renováveis no último ano de vigência do contrato.</t>
  </si>
  <si>
    <r>
      <rPr>
        <b/>
        <sz val="9"/>
        <color rgb="FF000000"/>
        <rFont val="Arial"/>
        <family val="2"/>
      </rPr>
      <t xml:space="preserve">Nota 1: </t>
    </r>
    <r>
      <rPr>
        <sz val="9"/>
        <color rgb="FF000000"/>
        <rFont val="Arial"/>
        <family val="2"/>
      </rPr>
      <t>Os itens que contemplam o módulo 4 se referem ao custo dos dias trabalhados pelo repositor/substituto, quando o empregado alocado na prestação de serviço estiver ausente, conforme as previsões estabelecidas na legislação. (Redação dada pela Instrução Normativa nº 7, de 2018)</t>
    </r>
  </si>
  <si>
    <r>
      <rPr>
        <b/>
        <sz val="9"/>
        <color rgb="FF000000"/>
        <rFont val="Arial"/>
        <family val="2"/>
      </rPr>
      <t>Nota 1:</t>
    </r>
    <r>
      <rPr>
        <sz val="9"/>
        <color rgb="FF000000"/>
        <rFont val="Arial"/>
        <family val="2"/>
      </rPr>
      <t> Custos Indiretos, Tributos e Lucro por empregado.</t>
    </r>
  </si>
  <si>
    <r>
      <rPr>
        <b/>
        <sz val="9"/>
        <color rgb="FF000000"/>
        <rFont val="Arial"/>
        <family val="2"/>
      </rPr>
      <t>Nota 2: </t>
    </r>
    <r>
      <rPr>
        <sz val="9"/>
        <color rgb="FF000000"/>
        <rFont val="Arial"/>
        <family val="2"/>
      </rPr>
      <t>O valor referente a tributos é obtido aplicando-se o percentual sobre o valor do faturamento.</t>
    </r>
  </si>
  <si>
    <r>
      <t xml:space="preserve">Substituto nas Licença paternidade - </t>
    </r>
    <r>
      <rPr>
        <sz val="9"/>
        <color rgb="FF000000"/>
        <rFont val="Arial"/>
        <family val="2"/>
      </rPr>
      <t>((Rem/30/12)x20 dias)x2%)</t>
    </r>
  </si>
  <si>
    <t>Utensílios</t>
  </si>
  <si>
    <t>Uniformes</t>
  </si>
  <si>
    <t>Material de consumo</t>
  </si>
  <si>
    <t>Equipamentos - depreciação</t>
  </si>
  <si>
    <t>Memória Cálculos produtividade e valor final do m²</t>
  </si>
  <si>
    <t>GERAL</t>
  </si>
  <si>
    <t>Fórmula Servente</t>
  </si>
  <si>
    <t>1/(produtividade)</t>
  </si>
  <si>
    <t>Fórmula Encarregado</t>
  </si>
  <si>
    <t>1/(produtividade * 30)</t>
  </si>
  <si>
    <t>ESQUADRIAS</t>
  </si>
  <si>
    <t>B (frequência no mês)</t>
  </si>
  <si>
    <t>AxBxC= Ki</t>
  </si>
  <si>
    <t>Ki x Preço Posto</t>
  </si>
  <si>
    <t>FACHADA</t>
  </si>
  <si>
    <t>B(frequência semest.)</t>
  </si>
  <si>
    <t>1/(produtividade * 4)</t>
  </si>
  <si>
    <t>Cálculo para periodicidades diferentes</t>
  </si>
  <si>
    <t>Encontrar o valor m² diário:</t>
  </si>
  <si>
    <t>xx</t>
  </si>
  <si>
    <t>valor m² semestral:</t>
  </si>
  <si>
    <t>xx/180</t>
  </si>
  <si>
    <t>valor m² mensal:</t>
  </si>
  <si>
    <t>xx/30</t>
  </si>
  <si>
    <t>valor m² quinzenal:</t>
  </si>
  <si>
    <t>xx/15</t>
  </si>
  <si>
    <t>valor m² semanal</t>
  </si>
  <si>
    <t>(xx*4)/30</t>
  </si>
  <si>
    <t>Quantidade de serventes:</t>
  </si>
  <si>
    <t>área/produtividade</t>
  </si>
  <si>
    <t>Periodicidade semestral</t>
  </si>
  <si>
    <t xml:space="preserve">área/(produtividade*180) </t>
  </si>
  <si>
    <t>Periodicidade mensal</t>
  </si>
  <si>
    <t xml:space="preserve">área/(produtividade*30) </t>
  </si>
  <si>
    <t>Periodicidade quinzenal</t>
  </si>
  <si>
    <t>área/(produtividade*15)</t>
  </si>
  <si>
    <t>Periodicidade semanal</t>
  </si>
  <si>
    <t>área/(produtividade*15)/2</t>
  </si>
  <si>
    <t>MEMÓRIA CÁLCULO</t>
  </si>
  <si>
    <t>RESUMO ESTIMATIVA</t>
  </si>
  <si>
    <t>Dados Termo de Referência</t>
  </si>
  <si>
    <t>Área (m²)</t>
  </si>
  <si>
    <t>Periodicidade</t>
  </si>
  <si>
    <t>Valor m² Diário</t>
  </si>
  <si>
    <t>Valor cfe periodicidade</t>
  </si>
  <si>
    <t>Total Mensal</t>
  </si>
  <si>
    <t>Total Anual</t>
  </si>
  <si>
    <t>Cálculo nº serventes</t>
  </si>
  <si>
    <t>Item 01</t>
  </si>
  <si>
    <t>Diária</t>
  </si>
  <si>
    <t>Item 02</t>
  </si>
  <si>
    <t>Semanal</t>
  </si>
  <si>
    <t>Item 03</t>
  </si>
  <si>
    <t>Concreto cimentado - pátios de sol da vivência (34,50 x 15,40) x 4</t>
  </si>
  <si>
    <t>Concreto cimentado -  Pátio de Espera de Visitas - frente SESAU (17,40 x 10,45)m</t>
  </si>
  <si>
    <t>Item 06</t>
  </si>
  <si>
    <t>Semestral</t>
  </si>
  <si>
    <t>Item 07</t>
  </si>
  <si>
    <t>Item 08</t>
  </si>
  <si>
    <t>Diário</t>
  </si>
  <si>
    <t>Mensal</t>
  </si>
  <si>
    <t>Item 10</t>
  </si>
  <si>
    <t>Áreas hospitalares e assemelhados</t>
  </si>
  <si>
    <t>Total estimado:</t>
  </si>
  <si>
    <t>Cálculo do m² conforme produtividade</t>
  </si>
  <si>
    <t xml:space="preserve">SERVENTE GERAL </t>
  </si>
  <si>
    <t>Valor Posto Servente</t>
  </si>
  <si>
    <t>Posto Engarregado</t>
  </si>
  <si>
    <t>valor m²</t>
  </si>
  <si>
    <r>
      <t xml:space="preserve">Produtividade </t>
    </r>
    <r>
      <rPr>
        <b/>
        <sz val="11"/>
        <color theme="1"/>
        <rFont val="Calibri"/>
        <family val="2"/>
        <scheme val="minor"/>
      </rPr>
      <t>850</t>
    </r>
  </si>
  <si>
    <r>
      <t xml:space="preserve">Produtividade </t>
    </r>
    <r>
      <rPr>
        <b/>
        <sz val="11"/>
        <color theme="1"/>
        <rFont val="Calibri"/>
        <family val="2"/>
        <scheme val="minor"/>
      </rPr>
      <t>1200</t>
    </r>
  </si>
  <si>
    <r>
      <t>Produtividade</t>
    </r>
    <r>
      <rPr>
        <b/>
        <sz val="11"/>
        <color theme="1"/>
        <rFont val="Calibri"/>
        <family val="2"/>
        <scheme val="minor"/>
      </rPr>
      <t xml:space="preserve"> 1800</t>
    </r>
  </si>
  <si>
    <r>
      <t>Produtividade</t>
    </r>
    <r>
      <rPr>
        <b/>
        <sz val="11"/>
        <color theme="1"/>
        <rFont val="Calibri"/>
        <family val="2"/>
        <scheme val="minor"/>
      </rPr>
      <t xml:space="preserve"> 2500</t>
    </r>
  </si>
  <si>
    <r>
      <t>Produtividade</t>
    </r>
    <r>
      <rPr>
        <b/>
        <sz val="11"/>
        <color theme="1"/>
        <rFont val="Calibri"/>
        <family val="2"/>
        <scheme val="minor"/>
      </rPr>
      <t xml:space="preserve"> 360</t>
    </r>
  </si>
  <si>
    <t xml:space="preserve">B </t>
  </si>
  <si>
    <t>Produtividade 300</t>
  </si>
  <si>
    <t xml:space="preserve">Valor Posto Servente </t>
  </si>
  <si>
    <t>Valor Posto Engarregado</t>
  </si>
  <si>
    <t>produtividade 160</t>
  </si>
  <si>
    <t>1/1.132,6</t>
  </si>
  <si>
    <t>Obs. Verificar numero de colabores no cálculo do encarregado</t>
  </si>
  <si>
    <r>
      <t>Adicional Horas extras -</t>
    </r>
    <r>
      <rPr>
        <sz val="9"/>
        <color rgb="FF000000"/>
        <rFont val="Arial"/>
        <family val="2"/>
      </rPr>
      <t xml:space="preserve"> [(verbas de natureza salarial/(180, 200 ou 220)+ * quantidade de horas extras</t>
    </r>
  </si>
  <si>
    <r>
      <t xml:space="preserve">Transporte - </t>
    </r>
    <r>
      <rPr>
        <sz val="9"/>
        <color rgb="FF000000"/>
        <rFont val="Arial"/>
        <family val="2"/>
      </rPr>
      <t>(valor do VT*2*numero de dias trabalhados - 15)-(salário base*6%)</t>
    </r>
    <r>
      <rPr>
        <b/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-  Cláusula 15  CCT</t>
    </r>
  </si>
  <si>
    <r>
      <t xml:space="preserve">Vale-alimentação - </t>
    </r>
    <r>
      <rPr>
        <sz val="9"/>
        <color rgb="FF000000"/>
        <rFont val="Arial"/>
        <family val="2"/>
      </rPr>
      <t>Cláusula 14º CCT</t>
    </r>
  </si>
  <si>
    <t>(-) Desconto do vale-alimentação  -</t>
  </si>
  <si>
    <t xml:space="preserve">(-) Desconto do vale-alimentação  - </t>
  </si>
  <si>
    <r>
      <t xml:space="preserve">Transporte - </t>
    </r>
    <r>
      <rPr>
        <sz val="9"/>
        <color rgb="FF000000"/>
        <rFont val="Arial"/>
        <family val="2"/>
      </rPr>
      <t>(valor do VT*2*numero de dias trabalhados - 15)-(salário base*6%)</t>
    </r>
    <r>
      <rPr>
        <b/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-  Cláusula 15º CCT</t>
    </r>
  </si>
  <si>
    <t>Item 11</t>
  </si>
  <si>
    <r>
      <t>Produtividade</t>
    </r>
    <r>
      <rPr>
        <b/>
        <sz val="11"/>
        <color theme="1"/>
        <rFont val="Calibri"/>
        <family val="2"/>
        <scheme val="minor"/>
      </rPr>
      <t xml:space="preserve"> 200</t>
    </r>
  </si>
  <si>
    <t>1/(produtividade *13)</t>
  </si>
  <si>
    <t>TOTAL DA ÁREA</t>
  </si>
  <si>
    <r>
      <t>Adicional de Férias -</t>
    </r>
    <r>
      <rPr>
        <b/>
        <sz val="9"/>
        <color rgb="FF000000"/>
        <rFont val="Arial"/>
        <family val="2"/>
      </rPr>
      <t xml:space="preserve"> (Rem x 2,78%)</t>
    </r>
  </si>
  <si>
    <t xml:space="preserve">Benefício CCT  - </t>
  </si>
  <si>
    <t xml:space="preserve">Benefício CCT </t>
  </si>
  <si>
    <r>
      <t>Férias e Adicional de Férias -</t>
    </r>
    <r>
      <rPr>
        <b/>
        <sz val="9"/>
        <color rgb="FF000000"/>
        <rFont val="Arial"/>
        <family val="2"/>
      </rPr>
      <t xml:space="preserve"> (Rem x 2,78%)</t>
    </r>
  </si>
  <si>
    <r>
      <t>Processo xxxxxxxxxx -</t>
    </r>
    <r>
      <rPr>
        <b/>
        <sz val="14"/>
        <color theme="0"/>
        <rFont val="Arial"/>
        <family val="2"/>
      </rPr>
      <t xml:space="preserve"> Limpeza </t>
    </r>
  </si>
  <si>
    <r>
      <t xml:space="preserve">Salário Base </t>
    </r>
    <r>
      <rPr>
        <sz val="9"/>
        <color rgb="FF000000"/>
        <rFont val="Arial"/>
        <family val="2"/>
      </rPr>
      <t>(Cláusula xxº CCT)</t>
    </r>
  </si>
  <si>
    <r>
      <t xml:space="preserve">Substituto na cobertura de férias - </t>
    </r>
    <r>
      <rPr>
        <sz val="9"/>
        <color rgb="FF000000"/>
        <rFont val="Arial"/>
        <family val="2"/>
      </rPr>
      <t>(Rem x 8,33%)</t>
    </r>
    <r>
      <rPr>
        <b/>
        <sz val="9"/>
        <color rgb="FF000000"/>
        <rFont val="Arial"/>
        <family val="2"/>
      </rPr>
      <t xml:space="preserve"> </t>
    </r>
  </si>
  <si>
    <t>ESTA ABA DA PLANILHA DEVERÁ SER EXCLUÍDA</t>
  </si>
  <si>
    <t>Tendo em vista as peculiaridades desta contratação, apresentam-se os esclarecimentos referentes ao preenchimento da planilha de custos e formação de preços, os quais deverão ser observados pela empresa licitante melhor classificada quando da elaboração de suas propostas de preço:</t>
  </si>
  <si>
    <t>Para a elaboração da planilha de custos e formação de preços, considerar o piso salarial estabelecido na(s) convenção(ões) coletiva(s) de trabalho do(s) sindicato(s) dos trabalhadores envolvidos na prestação de serviços ora terceirizados, vigentes neste ano no estado em que os serviços serão prestados.</t>
  </si>
  <si>
    <t>A licitante deverá apresentar planilha em Excel com as fórmulas (memória de cálculo) explicitadas, células não bloqueadas e não utilizar a função truncar.</t>
  </si>
  <si>
    <t>As planilhas deverão ser individualizadas por tipo de posto (um em cada aba), no entanto, a proposta para a contratação terá que ser consolidada.</t>
  </si>
  <si>
    <t>A licitante deverá apresentar a planilha de custos e formação de preços com base na Convenção Coletiva de Trabalho do local da prestação de serviço, em atendimento ao Princípio da Territorialidade, indicando a convenção coletiva de trabalho ou norma coletiva a que esteja obrigada (atividade preponderante da empresa).</t>
  </si>
  <si>
    <t>Os salários a serem pagos serão aqueles apresentados na proposta da licitante vencedora, não podendo ser inferiores aos da norma coletiva a que a licitante estiver obrigada.</t>
  </si>
  <si>
    <t>No módulo 2.1 - Ao invés de férias e adicional de férias deve ser registrado na planilha somente o adicional de férias com percentual de 2,78%.</t>
  </si>
  <si>
    <t>A cobertura de férias do submódulo 4.1 deverá ser orçada com 8,33%</t>
  </si>
  <si>
    <t>A base de incidência do submódulo 4.1 é o Módulo 1.</t>
  </si>
  <si>
    <t>Incluir no final do submódulo 4.1 linha para explicitar a incidência do submódulo 2.2 sobre o submódulo 4.1</t>
  </si>
  <si>
    <t>O LDI (Lucros e Despesas Indiretas) constantes das planilhas de composição de custos e formação de preços englobam o lucro e as despesas administrativas e operacionais (Acordão 2.369/2011 - TCU- Plenário).</t>
  </si>
  <si>
    <t>Eventuais custos não previstos expressamente na planilha devem ser cobertos pelos Custos Indiretos.</t>
  </si>
  <si>
    <t>A licitante deve preencher a linha SAT = RAT x FAP, a ser comprovado mediante apresentação da Guia de Recolhimento do FGTS e de Informações à Previdência Social - GFIP  ou FapWEB ou outro documento apto a fazê-lo.</t>
  </si>
  <si>
    <t>A Licitante optante pelo regime do lucro real deverá apresentar a Escrituração Fiscal Digital Contribuições - EFD para comprovação do regime tributário.</t>
  </si>
  <si>
    <t>A licitante deve elaborar sua proposta/planilha com base no regime de tributação ao qual estará submetida durante a execução do contrato, devendo apresentar a Declaração de débitos e créditos Tributários Federais para a comprovação da alíquota efetiva de PIS e COFINS.</t>
  </si>
  <si>
    <t>A licitante deve apresentar a Escrituração Fiscal Digital Contribuições - EFD para comprovação do regime tributário.</t>
  </si>
  <si>
    <t>Para fins de cálculo dos benefícios mensais e diários considera-se 21 dias efetivamente trabalhados pelos empregados no mês para serviços executados de 2º a 6º feira.</t>
  </si>
  <si>
    <r>
      <t xml:space="preserve">As Horas </t>
    </r>
    <r>
      <rPr>
        <i/>
        <sz val="11"/>
        <color theme="1"/>
        <rFont val="Arial1"/>
      </rPr>
      <t xml:space="preserve">in itinere </t>
    </r>
    <r>
      <rPr>
        <sz val="11"/>
        <color theme="1"/>
        <rFont val="Arial1"/>
      </rPr>
      <t>só serão aceitas se previstas na CCT. Ressalta-se a necessidade de fornecimento de transporte fornecido pela empresa que deverá se cotado nos Custos Indiretos.</t>
    </r>
  </si>
  <si>
    <r>
      <t>Quanto aos adicionais de insalubridade e periculosidade, tendo em vista o entendimento da 5ª Turma do Tribunal Superior do Trabalho, na qual </t>
    </r>
    <r>
      <rPr>
        <b/>
        <sz val="11"/>
        <color theme="1"/>
        <rFont val="Arial1"/>
      </rPr>
      <t>não</t>
    </r>
    <r>
      <rPr>
        <sz val="11"/>
        <color theme="1"/>
        <rFont val="Arial1"/>
      </rPr>
      <t xml:space="preserve"> é possível acumular tais adicionais dentro da mesma função e jornada de trabalho, conforme o art. 193 § 2° da CLT. A Contratante, deverá vislumbrar na elaboração da proposta comercial o pagamento de 40% (grau máximo de insalubridade, previsto na Legislação Especial) </t>
    </r>
    <r>
      <rPr>
        <b/>
        <u/>
        <sz val="11"/>
        <color theme="1"/>
        <rFont val="Arial1"/>
      </rPr>
      <t>ou</t>
    </r>
    <r>
      <rPr>
        <sz val="11"/>
        <color theme="1"/>
        <rFont val="Arial1"/>
      </rPr>
      <t xml:space="preserve"> 30% de periculosidade, o que for mais benéfico ao prestador de serviço, sobre os proventos de seus colaboradores.</t>
    </r>
  </si>
  <si>
    <r>
      <t>Após a emissão do Laudo Pericial (que de responsabilidade da empresa, conforme especificado em edital) e a confirmação do percentual de risco na qual os colaboradores estão expostos, se for verificado que o valor devido é </t>
    </r>
    <r>
      <rPr>
        <b/>
        <u/>
        <sz val="11"/>
        <color theme="1"/>
        <rFont val="Arial1"/>
      </rPr>
      <t>inferior</t>
    </r>
    <r>
      <rPr>
        <sz val="11"/>
        <color theme="1"/>
        <rFont val="Arial1"/>
      </rPr>
      <t> ao utilizado na proposta comercial da Contratada, será realizada a supressão por meio de apostilamento.</t>
    </r>
  </si>
  <si>
    <t>Caso a proposta da licitante apresente eventuais equívocos o pregoeiro fixará prazo para ajuste da proposta, conforme previsto em edital.</t>
  </si>
  <si>
    <t>O não atendimento à solicitação do pregoeiro no prazo fixado, ou a recusa em fazê-lo, implica na desclassificação da proposta.</t>
  </si>
  <si>
    <t>Os ajustes da proposta não poderá implicar aumento do seu valor global.</t>
  </si>
  <si>
    <t>Este modelo não é de uso obrigatório pelo licitante e também não está isento de erros, os quais poderão ser identificados e sanados durante a Sessão Pública.</t>
  </si>
  <si>
    <t>Descrição</t>
  </si>
  <si>
    <t>Celas da Vivência de Triagem (2 x 13,17 m²)</t>
  </si>
  <si>
    <t>Asfalto</t>
  </si>
  <si>
    <t>Item 04</t>
  </si>
  <si>
    <t>Item 05</t>
  </si>
  <si>
    <t>TOTAL DE SERVENTES ARREDONDADO</t>
  </si>
  <si>
    <t>XX</t>
  </si>
  <si>
    <t>Piso Interno: epóxi</t>
  </si>
  <si>
    <t>Celas Encontro Íntimo (16 celas de 6,91 m²)</t>
  </si>
  <si>
    <t>- Celas de Área de saúde (3 x 10,49 m²)</t>
  </si>
  <si>
    <t xml:space="preserve"> - Celas Serviço de Apoio (12 celas de 12,01m²)</t>
  </si>
  <si>
    <t xml:space="preserve"> - Celas vivência (200 celas de 7,42m²)</t>
  </si>
  <si>
    <t>Concreto cimentado</t>
  </si>
  <si>
    <t>Brita (área externa em volta de todos os Pavilhões, exceto Administração)</t>
  </si>
  <si>
    <t>Blocos de concreto sextavados (estacionamento)</t>
  </si>
  <si>
    <r>
      <t xml:space="preserve">Áreas de </t>
    </r>
    <r>
      <rPr>
        <b/>
        <sz val="10"/>
        <color theme="1"/>
        <rFont val="Arial"/>
        <family val="2"/>
      </rPr>
      <t>esquadrias</t>
    </r>
    <r>
      <rPr>
        <sz val="10"/>
        <color theme="1"/>
        <rFont val="Arial"/>
        <family val="2"/>
      </rPr>
      <t xml:space="preserve"> internas/externas</t>
    </r>
  </si>
  <si>
    <t>Item 09</t>
  </si>
  <si>
    <t>Item 12</t>
  </si>
  <si>
    <t>Banheiros Internos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</si>
</sst>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#,##0.00&quot; &quot;;#,##0.00&quot; &quot;;&quot;-&quot;#&quot; &quot;;&quot; &quot;@&quot; &quot;"/>
    <numFmt numFmtId="166" formatCode="&quot;R$ &quot;#,##0.00"/>
    <numFmt numFmtId="167" formatCode="&quot;R$ &quot;#,##0.00;[Red]&quot;-R$ &quot;#,##0.00"/>
    <numFmt numFmtId="168" formatCode="#,##0.00&quot; &quot;;&quot;(&quot;#,##0.00&quot;)&quot;;&quot;-&quot;#&quot; &quot;;&quot; &quot;@&quot; &quot;"/>
    <numFmt numFmtId="169" formatCode="&quot;R$ &quot;#,##0"/>
    <numFmt numFmtId="170" formatCode="0.0000000"/>
    <numFmt numFmtId="171" formatCode="0.000%"/>
    <numFmt numFmtId="172" formatCode="0.00000000"/>
    <numFmt numFmtId="173" formatCode="_(&quot;R$ &quot;* #,##0.00_);_(&quot;R$ &quot;* \(#,##0.00\);_(&quot;R$ &quot;* &quot;-&quot;??_);_(@_)"/>
  </numFmts>
  <fonts count="60">
    <font>
      <sz val="11"/>
      <color theme="1"/>
      <name val="Arial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1"/>
    </font>
    <font>
      <b/>
      <sz val="10"/>
      <color rgb="FF000000"/>
      <name val="Arial1"/>
    </font>
    <font>
      <sz val="10"/>
      <color rgb="FFFFFFFF"/>
      <name val="Arial1"/>
    </font>
    <font>
      <sz val="10"/>
      <color rgb="FFCC0000"/>
      <name val="Arial1"/>
    </font>
    <font>
      <b/>
      <sz val="10"/>
      <color rgb="FFFFFFFF"/>
      <name val="Arial1"/>
    </font>
    <font>
      <i/>
      <sz val="10"/>
      <color rgb="FF808080"/>
      <name val="Arial1"/>
    </font>
    <font>
      <sz val="10"/>
      <color rgb="FF006600"/>
      <name val="Arial1"/>
    </font>
    <font>
      <b/>
      <sz val="24"/>
      <color rgb="FF000000"/>
      <name val="Arial1"/>
    </font>
    <font>
      <sz val="18"/>
      <color rgb="FF000000"/>
      <name val="Arial1"/>
    </font>
    <font>
      <sz val="12"/>
      <color rgb="FF000000"/>
      <name val="Arial1"/>
    </font>
    <font>
      <sz val="10"/>
      <color theme="1"/>
      <name val="Arial"/>
      <family val="2"/>
    </font>
    <font>
      <sz val="10"/>
      <color rgb="FF996600"/>
      <name val="Arial1"/>
    </font>
    <font>
      <sz val="11"/>
      <color rgb="FF000000"/>
      <name val="Calibri"/>
      <family val="2"/>
    </font>
    <font>
      <sz val="10"/>
      <color rgb="FF333333"/>
      <name val="Arial1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theme="1"/>
      <name val="Arial1"/>
    </font>
    <font>
      <sz val="9"/>
      <color rgb="FF000000"/>
      <name val="Calibri"/>
      <family val="2"/>
    </font>
    <font>
      <b/>
      <sz val="11"/>
      <color indexed="8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sz val="8"/>
      <color indexed="8"/>
      <name val="Arial"/>
      <family val="2"/>
    </font>
    <font>
      <b/>
      <u/>
      <sz val="8"/>
      <color indexed="8"/>
      <name val="Arial"/>
      <family val="2"/>
    </font>
    <font>
      <sz val="11"/>
      <color rgb="FF000000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sz val="8"/>
      <color indexed="81"/>
      <name val="Segoe UI"/>
      <family val="2"/>
    </font>
    <font>
      <b/>
      <sz val="8"/>
      <color indexed="81"/>
      <name val="Segoe UI"/>
      <family val="2"/>
    </font>
    <font>
      <u/>
      <sz val="8"/>
      <color indexed="81"/>
      <name val="Segoe UI"/>
      <family val="2"/>
    </font>
    <font>
      <i/>
      <sz val="9"/>
      <color theme="8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4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0"/>
      <name val="Calibri"/>
      <family val="2"/>
      <scheme val="minor"/>
    </font>
    <font>
      <b/>
      <sz val="16"/>
      <color theme="0"/>
      <name val="Arial"/>
      <family val="2"/>
    </font>
    <font>
      <i/>
      <sz val="8"/>
      <color theme="1"/>
      <name val="Arial"/>
      <family val="2"/>
    </font>
    <font>
      <sz val="9"/>
      <color indexed="81"/>
      <name val="Segoe UI"/>
    </font>
    <font>
      <b/>
      <sz val="9"/>
      <color indexed="81"/>
      <name val="Segoe UI"/>
    </font>
    <font>
      <sz val="11"/>
      <color rgb="FF000000"/>
      <name val="Calibri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28"/>
      <color theme="1"/>
      <name val="Arial1"/>
    </font>
    <font>
      <i/>
      <sz val="11"/>
      <color theme="1"/>
      <name val="Arial1"/>
    </font>
    <font>
      <b/>
      <sz val="11"/>
      <color theme="1"/>
      <name val="Arial1"/>
    </font>
    <font>
      <b/>
      <u/>
      <sz val="11"/>
      <color theme="1"/>
      <name val="Arial1"/>
    </font>
    <font>
      <b/>
      <sz val="11"/>
      <color rgb="FFFF0000"/>
      <name val="Arial1"/>
    </font>
    <font>
      <sz val="8"/>
      <name val="Arial1"/>
    </font>
    <font>
      <sz val="12"/>
      <color theme="1"/>
      <name val="Arial"/>
      <family val="2"/>
    </font>
    <font>
      <b/>
      <sz val="11"/>
      <color theme="0"/>
      <name val="Arial"/>
      <family val="2"/>
    </font>
    <font>
      <b/>
      <sz val="10"/>
      <color theme="1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CCCCCC"/>
        <bgColor rgb="FFCCCCCC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rgb="FFCCCCCC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-0.249977111117893"/>
        <bgColor indexed="64"/>
      </patternFill>
    </fill>
  </fills>
  <borders count="5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2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0" fontId="5" fillId="2" borderId="0"/>
    <xf numFmtId="0" fontId="5" fillId="3" borderId="0"/>
    <xf numFmtId="0" fontId="4" fillId="4" borderId="0"/>
    <xf numFmtId="0" fontId="6" fillId="5" borderId="0"/>
    <xf numFmtId="0" fontId="7" fillId="6" borderId="0"/>
    <xf numFmtId="165" fontId="3" fillId="0" borderId="0"/>
    <xf numFmtId="9" fontId="3" fillId="0" borderId="0"/>
    <xf numFmtId="0" fontId="8" fillId="0" borderId="0"/>
    <xf numFmtId="0" fontId="9" fillId="7" borderId="0"/>
    <xf numFmtId="0" fontId="10" fillId="0" borderId="0"/>
    <xf numFmtId="0" fontId="11" fillId="0" borderId="0"/>
    <xf numFmtId="0" fontId="12" fillId="0" borderId="0"/>
    <xf numFmtId="165" fontId="3" fillId="0" borderId="0"/>
    <xf numFmtId="168" fontId="13" fillId="0" borderId="0"/>
    <xf numFmtId="168" fontId="3" fillId="0" borderId="0"/>
    <xf numFmtId="0" fontId="14" fillId="8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6" fillId="8" borderId="1"/>
    <xf numFmtId="9" fontId="3" fillId="0" borderId="0"/>
    <xf numFmtId="9" fontId="3" fillId="0" borderId="0"/>
    <xf numFmtId="0" fontId="3" fillId="0" borderId="0"/>
    <xf numFmtId="0" fontId="3" fillId="0" borderId="0"/>
    <xf numFmtId="0" fontId="6" fillId="0" borderId="0"/>
    <xf numFmtId="43" fontId="3" fillId="0" borderId="0" applyFont="0" applyFill="0" applyBorder="0" applyAlignment="0" applyProtection="0"/>
    <xf numFmtId="0" fontId="30" fillId="0" borderId="0"/>
    <xf numFmtId="0" fontId="47" fillId="0" borderId="0"/>
    <xf numFmtId="4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49" fillId="0" borderId="0"/>
    <xf numFmtId="0" fontId="15" fillId="0" borderId="0"/>
    <xf numFmtId="164" fontId="15" fillId="0" borderId="0" applyFont="0" applyFill="0" applyBorder="0" applyAlignment="0" applyProtection="0"/>
    <xf numFmtId="0" fontId="1" fillId="0" borderId="0"/>
    <xf numFmtId="173" fontId="49" fillId="0" borderId="0" applyFont="0" applyFill="0" applyBorder="0" applyAlignment="0" applyProtection="0"/>
    <xf numFmtId="164" fontId="50" fillId="0" borderId="0" applyFont="0" applyFill="0" applyBorder="0" applyAlignment="0" applyProtection="0"/>
    <xf numFmtId="0" fontId="15" fillId="0" borderId="0"/>
    <xf numFmtId="164" fontId="48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7" fillId="0" borderId="0"/>
    <xf numFmtId="9" fontId="57" fillId="0" borderId="0" applyFont="0" applyFill="0" applyBorder="0" applyAlignment="0" applyProtection="0"/>
    <xf numFmtId="44" fontId="57" fillId="0" borderId="0" applyFont="0" applyFill="0" applyBorder="0" applyAlignment="0" applyProtection="0"/>
    <xf numFmtId="168" fontId="17" fillId="0" borderId="0" applyBorder="0" applyProtection="0"/>
  </cellStyleXfs>
  <cellXfs count="228">
    <xf numFmtId="0" fontId="0" fillId="0" borderId="0" xfId="0"/>
    <xf numFmtId="0" fontId="17" fillId="0" borderId="0" xfId="20" applyFont="1"/>
    <xf numFmtId="0" fontId="17" fillId="0" borderId="0" xfId="20" applyFont="1" applyAlignment="1">
      <alignment vertical="center"/>
    </xf>
    <xf numFmtId="0" fontId="22" fillId="0" borderId="0" xfId="0" applyFont="1"/>
    <xf numFmtId="0" fontId="18" fillId="0" borderId="0" xfId="20" applyFont="1"/>
    <xf numFmtId="0" fontId="18" fillId="0" borderId="0" xfId="20" applyFont="1" applyAlignment="1">
      <alignment vertical="center"/>
    </xf>
    <xf numFmtId="0" fontId="18" fillId="0" borderId="0" xfId="20" applyFont="1" applyAlignment="1">
      <alignment horizontal="center"/>
    </xf>
    <xf numFmtId="0" fontId="18" fillId="0" borderId="2" xfId="20" applyFont="1" applyBorder="1" applyAlignment="1">
      <alignment horizontal="center" vertical="center" wrapText="1"/>
    </xf>
    <xf numFmtId="0" fontId="18" fillId="0" borderId="6" xfId="20" applyFont="1" applyBorder="1" applyAlignment="1">
      <alignment horizontal="center" vertical="center" wrapText="1"/>
    </xf>
    <xf numFmtId="166" fontId="18" fillId="0" borderId="2" xfId="20" applyNumberFormat="1" applyFont="1" applyBorder="1" applyAlignment="1">
      <alignment horizontal="center" vertical="center" wrapText="1"/>
    </xf>
    <xf numFmtId="169" fontId="18" fillId="0" borderId="0" xfId="20" applyNumberFormat="1" applyFont="1" applyAlignment="1">
      <alignment horizontal="center" vertical="center" wrapText="1"/>
    </xf>
    <xf numFmtId="166" fontId="18" fillId="0" borderId="0" xfId="20" applyNumberFormat="1" applyFont="1" applyAlignment="1">
      <alignment horizontal="center"/>
    </xf>
    <xf numFmtId="43" fontId="18" fillId="0" borderId="0" xfId="31" applyFont="1" applyAlignment="1">
      <alignment horizontal="center"/>
    </xf>
    <xf numFmtId="166" fontId="18" fillId="0" borderId="0" xfId="20" applyNumberFormat="1" applyFont="1"/>
    <xf numFmtId="0" fontId="18" fillId="9" borderId="2" xfId="20" applyFont="1" applyFill="1" applyBorder="1" applyAlignment="1">
      <alignment horizontal="center" vertical="center" wrapText="1"/>
    </xf>
    <xf numFmtId="166" fontId="21" fillId="9" borderId="2" xfId="20" applyNumberFormat="1" applyFont="1" applyFill="1" applyBorder="1" applyAlignment="1">
      <alignment horizontal="center" vertical="center" wrapText="1"/>
    </xf>
    <xf numFmtId="9" fontId="18" fillId="0" borderId="0" xfId="2" applyFont="1"/>
    <xf numFmtId="0" fontId="18" fillId="0" borderId="2" xfId="20" applyFont="1" applyBorder="1" applyAlignment="1">
      <alignment vertical="center" wrapText="1"/>
    </xf>
    <xf numFmtId="10" fontId="18" fillId="0" borderId="2" xfId="10" applyNumberFormat="1" applyFont="1" applyBorder="1" applyAlignment="1">
      <alignment horizontal="center" vertical="center" wrapText="1"/>
    </xf>
    <xf numFmtId="166" fontId="21" fillId="0" borderId="2" xfId="20" applyNumberFormat="1" applyFont="1" applyBorder="1" applyAlignment="1">
      <alignment horizontal="center" vertical="center" wrapText="1"/>
    </xf>
    <xf numFmtId="0" fontId="21" fillId="9" borderId="2" xfId="20" applyFont="1" applyFill="1" applyBorder="1" applyAlignment="1">
      <alignment vertical="center" wrapText="1"/>
    </xf>
    <xf numFmtId="10" fontId="21" fillId="9" borderId="2" xfId="10" applyNumberFormat="1" applyFont="1" applyFill="1" applyBorder="1" applyAlignment="1">
      <alignment horizontal="center" vertical="center" wrapText="1"/>
    </xf>
    <xf numFmtId="0" fontId="23" fillId="0" borderId="0" xfId="20" applyFont="1"/>
    <xf numFmtId="0" fontId="21" fillId="0" borderId="2" xfId="20" applyFont="1" applyBorder="1" applyAlignment="1">
      <alignment vertical="center" wrapText="1"/>
    </xf>
    <xf numFmtId="10" fontId="18" fillId="0" borderId="0" xfId="2" applyNumberFormat="1" applyFont="1"/>
    <xf numFmtId="0" fontId="21" fillId="0" borderId="4" xfId="20" applyFont="1" applyBorder="1" applyAlignment="1">
      <alignment horizontal="left" vertical="center" wrapText="1"/>
    </xf>
    <xf numFmtId="10" fontId="18" fillId="0" borderId="2" xfId="2" applyNumberFormat="1" applyFont="1" applyFill="1" applyBorder="1" applyAlignment="1">
      <alignment horizontal="center" vertical="center" wrapText="1"/>
    </xf>
    <xf numFmtId="0" fontId="21" fillId="10" borderId="5" xfId="20" applyFont="1" applyFill="1" applyBorder="1" applyAlignment="1">
      <alignment horizontal="center" vertical="center" wrapText="1"/>
    </xf>
    <xf numFmtId="0" fontId="18" fillId="0" borderId="7" xfId="20" applyFont="1" applyBorder="1" applyAlignment="1">
      <alignment vertical="center" wrapText="1"/>
    </xf>
    <xf numFmtId="10" fontId="18" fillId="0" borderId="6" xfId="20" applyNumberFormat="1" applyFont="1" applyBorder="1" applyAlignment="1">
      <alignment horizontal="center" vertical="center" wrapText="1"/>
    </xf>
    <xf numFmtId="10" fontId="18" fillId="0" borderId="2" xfId="20" applyNumberFormat="1" applyFont="1" applyBorder="1" applyAlignment="1">
      <alignment horizontal="center" vertical="center" wrapText="1"/>
    </xf>
    <xf numFmtId="0" fontId="18" fillId="0" borderId="9" xfId="20" applyFont="1" applyBorder="1" applyAlignment="1">
      <alignment vertical="center" wrapText="1"/>
    </xf>
    <xf numFmtId="10" fontId="18" fillId="0" borderId="9" xfId="20" applyNumberFormat="1" applyFont="1" applyBorder="1" applyAlignment="1">
      <alignment horizontal="center" vertical="center" wrapText="1"/>
    </xf>
    <xf numFmtId="164" fontId="18" fillId="0" borderId="10" xfId="1" applyFont="1" applyFill="1" applyBorder="1" applyAlignment="1">
      <alignment horizontal="center" vertical="center" wrapText="1"/>
    </xf>
    <xf numFmtId="0" fontId="18" fillId="0" borderId="11" xfId="20" applyFont="1" applyBorder="1" applyAlignment="1">
      <alignment vertical="center" wrapText="1"/>
    </xf>
    <xf numFmtId="10" fontId="18" fillId="0" borderId="12" xfId="20" applyNumberFormat="1" applyFont="1" applyBorder="1" applyAlignment="1">
      <alignment horizontal="center" vertical="center" wrapText="1"/>
    </xf>
    <xf numFmtId="164" fontId="18" fillId="0" borderId="9" xfId="1" applyFont="1" applyFill="1" applyBorder="1" applyAlignment="1">
      <alignment horizontal="center" vertical="center" wrapText="1"/>
    </xf>
    <xf numFmtId="164" fontId="18" fillId="0" borderId="0" xfId="20" applyNumberFormat="1" applyFont="1"/>
    <xf numFmtId="0" fontId="18" fillId="0" borderId="8" xfId="20" applyFont="1" applyBorder="1" applyAlignment="1">
      <alignment vertical="center" wrapText="1"/>
    </xf>
    <xf numFmtId="166" fontId="21" fillId="10" borderId="5" xfId="20" applyNumberFormat="1" applyFont="1" applyFill="1" applyBorder="1" applyAlignment="1">
      <alignment horizontal="center" vertical="center" wrapText="1"/>
    </xf>
    <xf numFmtId="0" fontId="18" fillId="9" borderId="2" xfId="20" applyFont="1" applyFill="1" applyBorder="1" applyAlignment="1">
      <alignment vertical="center" wrapText="1"/>
    </xf>
    <xf numFmtId="10" fontId="18" fillId="0" borderId="0" xfId="2" applyNumberFormat="1" applyFont="1" applyAlignment="1">
      <alignment wrapText="1"/>
    </xf>
    <xf numFmtId="0" fontId="25" fillId="0" borderId="13" xfId="0" applyFont="1" applyBorder="1" applyAlignment="1">
      <alignment horizontal="center" vertical="center"/>
    </xf>
    <xf numFmtId="0" fontId="25" fillId="0" borderId="22" xfId="0" applyFont="1" applyBorder="1" applyAlignment="1">
      <alignment vertical="center"/>
    </xf>
    <xf numFmtId="0" fontId="25" fillId="0" borderId="22" xfId="0" applyFont="1" applyBorder="1" applyAlignment="1">
      <alignment horizontal="left" vertical="center"/>
    </xf>
    <xf numFmtId="0" fontId="25" fillId="0" borderId="24" xfId="0" applyFont="1" applyBorder="1" applyAlignment="1">
      <alignment vertical="center"/>
    </xf>
    <xf numFmtId="0" fontId="21" fillId="0" borderId="26" xfId="20" applyFont="1" applyBorder="1" applyAlignment="1">
      <alignment vertical="center"/>
    </xf>
    <xf numFmtId="0" fontId="25" fillId="0" borderId="22" xfId="0" applyFont="1" applyBorder="1" applyAlignment="1">
      <alignment horizontal="center" vertical="center"/>
    </xf>
    <xf numFmtId="164" fontId="25" fillId="0" borderId="13" xfId="1" applyFont="1" applyBorder="1" applyAlignment="1" applyProtection="1">
      <alignment horizontal="center" vertical="center"/>
      <protection locked="0"/>
    </xf>
    <xf numFmtId="0" fontId="27" fillId="0" borderId="0" xfId="20" applyFont="1"/>
    <xf numFmtId="164" fontId="18" fillId="0" borderId="0" xfId="1" applyFont="1" applyFill="1" applyAlignment="1">
      <alignment horizontal="center"/>
    </xf>
    <xf numFmtId="0" fontId="22" fillId="0" borderId="20" xfId="0" applyFont="1" applyBorder="1" applyAlignment="1">
      <alignment horizontal="center" vertical="center"/>
    </xf>
    <xf numFmtId="164" fontId="18" fillId="0" borderId="0" xfId="1" applyFont="1"/>
    <xf numFmtId="166" fontId="32" fillId="0" borderId="2" xfId="20" applyNumberFormat="1" applyFont="1" applyBorder="1" applyAlignment="1">
      <alignment horizontal="center" vertical="center" wrapText="1"/>
    </xf>
    <xf numFmtId="171" fontId="18" fillId="0" borderId="2" xfId="10" applyNumberFormat="1" applyFont="1" applyBorder="1" applyAlignment="1">
      <alignment horizontal="center" vertical="center" wrapText="1"/>
    </xf>
    <xf numFmtId="171" fontId="18" fillId="0" borderId="0" xfId="2" applyNumberFormat="1" applyFont="1"/>
    <xf numFmtId="0" fontId="21" fillId="9" borderId="2" xfId="20" applyFont="1" applyFill="1" applyBorder="1" applyAlignment="1">
      <alignment horizontal="center" vertical="center" wrapText="1"/>
    </xf>
    <xf numFmtId="164" fontId="18" fillId="0" borderId="2" xfId="1" applyFont="1" applyFill="1" applyBorder="1" applyAlignment="1">
      <alignment horizontal="center" vertical="center" wrapText="1"/>
    </xf>
    <xf numFmtId="0" fontId="20" fillId="0" borderId="13" xfId="0" applyFont="1" applyBorder="1" applyAlignment="1" applyProtection="1">
      <alignment horizontal="center" vertical="center"/>
      <protection hidden="1"/>
    </xf>
    <xf numFmtId="0" fontId="20" fillId="0" borderId="13" xfId="0" applyFont="1" applyBorder="1" applyAlignment="1" applyProtection="1">
      <alignment horizontal="center" vertical="center" wrapText="1"/>
      <protection hidden="1"/>
    </xf>
    <xf numFmtId="10" fontId="18" fillId="0" borderId="0" xfId="20" applyNumberFormat="1" applyFont="1"/>
    <xf numFmtId="0" fontId="28" fillId="11" borderId="0" xfId="0" applyFont="1" applyFill="1" applyAlignment="1" applyProtection="1">
      <alignment horizontal="center" vertical="top"/>
      <protection locked="0"/>
    </xf>
    <xf numFmtId="167" fontId="18" fillId="0" borderId="2" xfId="20" applyNumberFormat="1" applyFont="1" applyBorder="1" applyAlignment="1">
      <alignment horizontal="center" vertical="center" wrapText="1"/>
    </xf>
    <xf numFmtId="0" fontId="18" fillId="0" borderId="0" xfId="20" applyFont="1" applyAlignment="1">
      <alignment horizontal="left" vertical="center" wrapText="1"/>
    </xf>
    <xf numFmtId="0" fontId="21" fillId="0" borderId="2" xfId="20" applyFont="1" applyBorder="1" applyAlignment="1">
      <alignment horizontal="left" vertical="center" wrapText="1"/>
    </xf>
    <xf numFmtId="14" fontId="20" fillId="11" borderId="13" xfId="0" applyNumberFormat="1" applyFont="1" applyFill="1" applyBorder="1" applyAlignment="1" applyProtection="1">
      <alignment horizontal="center" vertical="center"/>
      <protection hidden="1"/>
    </xf>
    <xf numFmtId="4" fontId="18" fillId="0" borderId="0" xfId="20" applyNumberFormat="1" applyFont="1"/>
    <xf numFmtId="164" fontId="18" fillId="0" borderId="0" xfId="2" applyNumberFormat="1" applyFont="1"/>
    <xf numFmtId="16" fontId="20" fillId="0" borderId="13" xfId="0" applyNumberFormat="1" applyFont="1" applyBorder="1" applyAlignment="1" applyProtection="1">
      <alignment horizontal="center" vertical="center"/>
      <protection hidden="1"/>
    </xf>
    <xf numFmtId="0" fontId="40" fillId="0" borderId="31" xfId="0" applyFont="1" applyBorder="1"/>
    <xf numFmtId="0" fontId="37" fillId="0" borderId="0" xfId="0" applyFont="1" applyAlignment="1">
      <alignment vertical="center"/>
    </xf>
    <xf numFmtId="0" fontId="40" fillId="0" borderId="0" xfId="0" applyFont="1"/>
    <xf numFmtId="0" fontId="37" fillId="0" borderId="0" xfId="0" applyFont="1"/>
    <xf numFmtId="0" fontId="40" fillId="12" borderId="28" xfId="0" applyFont="1" applyFill="1" applyBorder="1"/>
    <xf numFmtId="0" fontId="40" fillId="12" borderId="30" xfId="0" applyFont="1" applyFill="1" applyBorder="1"/>
    <xf numFmtId="0" fontId="37" fillId="0" borderId="42" xfId="0" applyFont="1" applyBorder="1"/>
    <xf numFmtId="0" fontId="37" fillId="0" borderId="43" xfId="0" applyFont="1" applyBorder="1"/>
    <xf numFmtId="0" fontId="37" fillId="0" borderId="17" xfId="0" applyFont="1" applyBorder="1"/>
    <xf numFmtId="0" fontId="37" fillId="0" borderId="18" xfId="0" applyFont="1" applyBorder="1"/>
    <xf numFmtId="0" fontId="40" fillId="12" borderId="29" xfId="0" applyFont="1" applyFill="1" applyBorder="1" applyAlignment="1">
      <alignment horizontal="center"/>
    </xf>
    <xf numFmtId="0" fontId="37" fillId="12" borderId="29" xfId="0" applyFont="1" applyFill="1" applyBorder="1" applyAlignment="1">
      <alignment horizontal="center"/>
    </xf>
    <xf numFmtId="0" fontId="40" fillId="12" borderId="30" xfId="0" applyFont="1" applyFill="1" applyBorder="1" applyAlignment="1">
      <alignment horizontal="center"/>
    </xf>
    <xf numFmtId="0" fontId="40" fillId="11" borderId="0" xfId="0" applyFont="1" applyFill="1" applyAlignment="1">
      <alignment horizontal="center"/>
    </xf>
    <xf numFmtId="0" fontId="40" fillId="0" borderId="37" xfId="0" applyFont="1" applyBorder="1"/>
    <xf numFmtId="0" fontId="40" fillId="0" borderId="20" xfId="0" applyFont="1" applyBorder="1"/>
    <xf numFmtId="0" fontId="40" fillId="0" borderId="20" xfId="0" applyFont="1" applyBorder="1" applyAlignment="1">
      <alignment horizontal="center"/>
    </xf>
    <xf numFmtId="0" fontId="40" fillId="0" borderId="38" xfId="0" applyFont="1" applyBorder="1"/>
    <xf numFmtId="0" fontId="40" fillId="0" borderId="17" xfId="0" applyFont="1" applyBorder="1"/>
    <xf numFmtId="0" fontId="40" fillId="0" borderId="19" xfId="0" applyFont="1" applyBorder="1"/>
    <xf numFmtId="0" fontId="40" fillId="0" borderId="19" xfId="0" applyFont="1" applyBorder="1" applyAlignment="1">
      <alignment horizontal="center"/>
    </xf>
    <xf numFmtId="0" fontId="40" fillId="0" borderId="18" xfId="0" applyFont="1" applyBorder="1"/>
    <xf numFmtId="0" fontId="40" fillId="0" borderId="0" xfId="0" applyFont="1" applyAlignment="1">
      <alignment horizontal="center"/>
    </xf>
    <xf numFmtId="0" fontId="40" fillId="11" borderId="31" xfId="0" applyFont="1" applyFill="1" applyBorder="1"/>
    <xf numFmtId="0" fontId="40" fillId="11" borderId="33" xfId="0" applyFont="1" applyFill="1" applyBorder="1"/>
    <xf numFmtId="0" fontId="40" fillId="0" borderId="15" xfId="0" applyFont="1" applyBorder="1"/>
    <xf numFmtId="0" fontId="40" fillId="0" borderId="16" xfId="0" applyFont="1" applyBorder="1"/>
    <xf numFmtId="0" fontId="40" fillId="12" borderId="42" xfId="0" applyFont="1" applyFill="1" applyBorder="1"/>
    <xf numFmtId="0" fontId="40" fillId="12" borderId="43" xfId="0" applyFont="1" applyFill="1" applyBorder="1"/>
    <xf numFmtId="4" fontId="40" fillId="0" borderId="0" xfId="0" applyNumberFormat="1" applyFont="1"/>
    <xf numFmtId="0" fontId="40" fillId="11" borderId="15" xfId="0" applyFont="1" applyFill="1" applyBorder="1"/>
    <xf numFmtId="0" fontId="40" fillId="11" borderId="16" xfId="0" applyFont="1" applyFill="1" applyBorder="1"/>
    <xf numFmtId="44" fontId="40" fillId="0" borderId="0" xfId="0" applyNumberFormat="1" applyFont="1"/>
    <xf numFmtId="0" fontId="40" fillId="11" borderId="17" xfId="0" applyFont="1" applyFill="1" applyBorder="1"/>
    <xf numFmtId="0" fontId="40" fillId="11" borderId="18" xfId="0" applyFont="1" applyFill="1" applyBorder="1"/>
    <xf numFmtId="44" fontId="40" fillId="0" borderId="20" xfId="0" applyNumberFormat="1" applyFont="1" applyBorder="1"/>
    <xf numFmtId="164" fontId="40" fillId="0" borderId="35" xfId="1" applyFont="1" applyBorder="1"/>
    <xf numFmtId="0" fontId="40" fillId="0" borderId="13" xfId="0" applyFont="1" applyBorder="1" applyAlignment="1">
      <alignment horizontal="center"/>
    </xf>
    <xf numFmtId="44" fontId="40" fillId="0" borderId="13" xfId="0" applyNumberFormat="1" applyFont="1" applyBorder="1"/>
    <xf numFmtId="164" fontId="40" fillId="0" borderId="14" xfId="1" applyFont="1" applyBorder="1"/>
    <xf numFmtId="164" fontId="40" fillId="0" borderId="0" xfId="1" applyFont="1"/>
    <xf numFmtId="0" fontId="37" fillId="17" borderId="0" xfId="0" applyFont="1" applyFill="1"/>
    <xf numFmtId="0" fontId="40" fillId="17" borderId="0" xfId="0" applyFont="1" applyFill="1"/>
    <xf numFmtId="0" fontId="37" fillId="18" borderId="28" xfId="0" applyFont="1" applyFill="1" applyBorder="1"/>
    <xf numFmtId="0" fontId="40" fillId="18" borderId="30" xfId="0" applyFont="1" applyFill="1" applyBorder="1"/>
    <xf numFmtId="0" fontId="40" fillId="17" borderId="48" xfId="0" applyFont="1" applyFill="1" applyBorder="1" applyAlignment="1">
      <alignment horizontal="center" vertical="center"/>
    </xf>
    <xf numFmtId="0" fontId="40" fillId="0" borderId="42" xfId="0" applyFont="1" applyBorder="1"/>
    <xf numFmtId="164" fontId="40" fillId="0" borderId="23" xfId="1" applyFont="1" applyBorder="1"/>
    <xf numFmtId="44" fontId="37" fillId="0" borderId="48" xfId="0" applyNumberFormat="1" applyFont="1" applyBorder="1"/>
    <xf numFmtId="0" fontId="40" fillId="0" borderId="44" xfId="0" applyFont="1" applyBorder="1"/>
    <xf numFmtId="164" fontId="40" fillId="0" borderId="45" xfId="1" applyFont="1" applyBorder="1"/>
    <xf numFmtId="0" fontId="37" fillId="0" borderId="49" xfId="0" applyFont="1" applyBorder="1"/>
    <xf numFmtId="164" fontId="40" fillId="0" borderId="0" xfId="1" applyFont="1" applyBorder="1"/>
    <xf numFmtId="0" fontId="40" fillId="0" borderId="13" xfId="0" applyFont="1" applyBorder="1"/>
    <xf numFmtId="172" fontId="40" fillId="0" borderId="13" xfId="1" applyNumberFormat="1" applyFont="1" applyBorder="1"/>
    <xf numFmtId="44" fontId="37" fillId="0" borderId="49" xfId="0" applyNumberFormat="1" applyFont="1" applyBorder="1"/>
    <xf numFmtId="170" fontId="40" fillId="0" borderId="0" xfId="0" applyNumberFormat="1" applyFont="1"/>
    <xf numFmtId="164" fontId="40" fillId="0" borderId="13" xfId="1" applyFont="1" applyBorder="1"/>
    <xf numFmtId="0" fontId="40" fillId="19" borderId="28" xfId="0" applyFont="1" applyFill="1" applyBorder="1"/>
    <xf numFmtId="0" fontId="40" fillId="19" borderId="29" xfId="0" applyFont="1" applyFill="1" applyBorder="1" applyAlignment="1">
      <alignment horizontal="center"/>
    </xf>
    <xf numFmtId="0" fontId="37" fillId="19" borderId="29" xfId="0" applyFont="1" applyFill="1" applyBorder="1" applyAlignment="1">
      <alignment horizontal="center"/>
    </xf>
    <xf numFmtId="0" fontId="40" fillId="19" borderId="30" xfId="0" applyFont="1" applyFill="1" applyBorder="1" applyAlignment="1">
      <alignment horizontal="center"/>
    </xf>
    <xf numFmtId="44" fontId="41" fillId="14" borderId="37" xfId="0" applyNumberFormat="1" applyFont="1" applyFill="1" applyBorder="1"/>
    <xf numFmtId="44" fontId="41" fillId="14" borderId="38" xfId="0" applyNumberFormat="1" applyFont="1" applyFill="1" applyBorder="1"/>
    <xf numFmtId="0" fontId="43" fillId="15" borderId="28" xfId="0" applyFont="1" applyFill="1" applyBorder="1" applyAlignment="1">
      <alignment horizontal="center" vertical="center"/>
    </xf>
    <xf numFmtId="0" fontId="40" fillId="0" borderId="32" xfId="0" applyFont="1" applyBorder="1"/>
    <xf numFmtId="0" fontId="40" fillId="0" borderId="32" xfId="0" applyFont="1" applyBorder="1" applyAlignment="1">
      <alignment horizontal="center"/>
    </xf>
    <xf numFmtId="0" fontId="40" fillId="0" borderId="33" xfId="0" applyFont="1" applyBorder="1"/>
    <xf numFmtId="0" fontId="40" fillId="0" borderId="50" xfId="0" applyFont="1" applyBorder="1" applyAlignment="1">
      <alignment horizontal="center"/>
    </xf>
    <xf numFmtId="0" fontId="41" fillId="14" borderId="47" xfId="0" applyFont="1" applyFill="1" applyBorder="1" applyAlignment="1">
      <alignment horizontal="center" vertical="center"/>
    </xf>
    <xf numFmtId="0" fontId="41" fillId="14" borderId="39" xfId="0" applyFont="1" applyFill="1" applyBorder="1" applyAlignment="1">
      <alignment horizontal="center" vertical="center"/>
    </xf>
    <xf numFmtId="0" fontId="41" fillId="14" borderId="40" xfId="0" applyFont="1" applyFill="1" applyBorder="1" applyAlignment="1">
      <alignment horizontal="center" vertical="center"/>
    </xf>
    <xf numFmtId="0" fontId="41" fillId="14" borderId="41" xfId="0" applyFont="1" applyFill="1" applyBorder="1" applyAlignment="1">
      <alignment horizontal="center" vertical="center"/>
    </xf>
    <xf numFmtId="0" fontId="41" fillId="0" borderId="51" xfId="0" applyFont="1" applyBorder="1" applyAlignment="1">
      <alignment horizontal="center" vertical="center" wrapText="1"/>
    </xf>
    <xf numFmtId="0" fontId="41" fillId="0" borderId="52" xfId="0" applyFont="1" applyBorder="1" applyAlignment="1">
      <alignment horizontal="center" vertical="center" wrapText="1"/>
    </xf>
    <xf numFmtId="44" fontId="39" fillId="15" borderId="34" xfId="0" applyNumberFormat="1" applyFont="1" applyFill="1" applyBorder="1" applyAlignment="1">
      <alignment horizontal="center" vertical="center"/>
    </xf>
    <xf numFmtId="44" fontId="39" fillId="15" borderId="41" xfId="0" applyNumberFormat="1" applyFont="1" applyFill="1" applyBorder="1" applyAlignment="1">
      <alignment horizontal="center" vertical="center"/>
    </xf>
    <xf numFmtId="0" fontId="40" fillId="18" borderId="29" xfId="0" applyFont="1" applyFill="1" applyBorder="1" applyAlignment="1">
      <alignment horizontal="center"/>
    </xf>
    <xf numFmtId="0" fontId="40" fillId="18" borderId="30" xfId="0" applyFont="1" applyFill="1" applyBorder="1" applyAlignment="1">
      <alignment horizontal="center"/>
    </xf>
    <xf numFmtId="0" fontId="40" fillId="17" borderId="43" xfId="0" applyFont="1" applyFill="1" applyBorder="1" applyAlignment="1">
      <alignment horizontal="center" vertical="center"/>
    </xf>
    <xf numFmtId="44" fontId="37" fillId="0" borderId="46" xfId="0" applyNumberFormat="1" applyFont="1" applyBorder="1"/>
    <xf numFmtId="44" fontId="40" fillId="0" borderId="16" xfId="0" applyNumberFormat="1" applyFont="1" applyBorder="1"/>
    <xf numFmtId="172" fontId="40" fillId="0" borderId="19" xfId="1" applyNumberFormat="1" applyFont="1" applyBorder="1"/>
    <xf numFmtId="44" fontId="40" fillId="0" borderId="18" xfId="0" applyNumberFormat="1" applyFont="1" applyBorder="1"/>
    <xf numFmtId="0" fontId="19" fillId="22" borderId="13" xfId="0" applyFont="1" applyFill="1" applyBorder="1" applyAlignment="1" applyProtection="1">
      <alignment horizontal="center" vertical="center"/>
      <protection hidden="1"/>
    </xf>
    <xf numFmtId="166" fontId="18" fillId="22" borderId="2" xfId="20" applyNumberFormat="1" applyFont="1" applyFill="1" applyBorder="1" applyAlignment="1">
      <alignment horizontal="center" vertical="center" wrapText="1"/>
    </xf>
    <xf numFmtId="0" fontId="19" fillId="20" borderId="13" xfId="0" applyFont="1" applyFill="1" applyBorder="1" applyAlignment="1" applyProtection="1">
      <alignment horizontal="center" vertical="center"/>
      <protection hidden="1"/>
    </xf>
    <xf numFmtId="166" fontId="18" fillId="20" borderId="2" xfId="20" applyNumberFormat="1" applyFont="1" applyFill="1" applyBorder="1" applyAlignment="1">
      <alignment horizontal="center" vertical="center" wrapText="1"/>
    </xf>
    <xf numFmtId="166" fontId="21" fillId="23" borderId="2" xfId="2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55" fillId="24" borderId="0" xfId="0" applyFont="1" applyFill="1" applyAlignment="1">
      <alignment horizontal="center" vertical="center"/>
    </xf>
    <xf numFmtId="0" fontId="0" fillId="0" borderId="13" xfId="0" applyBorder="1" applyAlignment="1">
      <alignment horizontal="left" vertical="center" wrapText="1"/>
    </xf>
    <xf numFmtId="0" fontId="0" fillId="25" borderId="13" xfId="0" applyFill="1" applyBorder="1" applyAlignment="1">
      <alignment horizontal="left" vertical="center" wrapText="1"/>
    </xf>
    <xf numFmtId="4" fontId="48" fillId="11" borderId="32" xfId="48" applyNumberFormat="1" applyFont="1" applyFill="1" applyBorder="1" applyAlignment="1">
      <alignment horizontal="center"/>
    </xf>
    <xf numFmtId="0" fontId="40" fillId="11" borderId="32" xfId="48" applyFont="1" applyFill="1" applyBorder="1" applyAlignment="1">
      <alignment horizontal="center"/>
    </xf>
    <xf numFmtId="0" fontId="58" fillId="26" borderId="0" xfId="0" applyFont="1" applyFill="1" applyAlignment="1">
      <alignment horizontal="center"/>
    </xf>
    <xf numFmtId="0" fontId="58" fillId="26" borderId="0" xfId="0" applyFont="1" applyFill="1"/>
    <xf numFmtId="0" fontId="58" fillId="26" borderId="0" xfId="0" applyFont="1" applyFill="1" applyAlignment="1">
      <alignment horizontal="center" vertical="center"/>
    </xf>
    <xf numFmtId="0" fontId="41" fillId="0" borderId="55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 shrinkToFit="1"/>
    </xf>
    <xf numFmtId="0" fontId="13" fillId="0" borderId="24" xfId="0" applyFont="1" applyBorder="1" applyAlignment="1">
      <alignment horizontal="center" vertical="center" wrapText="1" shrinkToFit="1"/>
    </xf>
    <xf numFmtId="0" fontId="13" fillId="0" borderId="58" xfId="0" applyFont="1" applyBorder="1" applyAlignment="1">
      <alignment horizontal="center" vertical="center" wrapText="1" shrinkToFit="1"/>
    </xf>
    <xf numFmtId="4" fontId="30" fillId="0" borderId="20" xfId="0" applyNumberFormat="1" applyFont="1" applyBorder="1" applyAlignment="1">
      <alignment horizontal="center"/>
    </xf>
    <xf numFmtId="4" fontId="40" fillId="0" borderId="13" xfId="0" applyNumberFormat="1" applyFont="1" applyBorder="1" applyAlignment="1">
      <alignment horizontal="center"/>
    </xf>
    <xf numFmtId="4" fontId="40" fillId="0" borderId="19" xfId="0" applyNumberFormat="1" applyFont="1" applyBorder="1" applyAlignment="1">
      <alignment horizontal="center"/>
    </xf>
    <xf numFmtId="0" fontId="51" fillId="24" borderId="0" xfId="0" applyFont="1" applyFill="1" applyAlignment="1">
      <alignment horizontal="center" vertical="center"/>
    </xf>
    <xf numFmtId="0" fontId="40" fillId="0" borderId="53" xfId="0" applyFont="1" applyBorder="1" applyAlignment="1">
      <alignment horizontal="center" vertical="center"/>
    </xf>
    <xf numFmtId="0" fontId="40" fillId="0" borderId="54" xfId="0" applyFont="1" applyBorder="1" applyAlignment="1">
      <alignment horizontal="center" vertical="center"/>
    </xf>
    <xf numFmtId="0" fontId="41" fillId="16" borderId="25" xfId="0" applyFont="1" applyFill="1" applyBorder="1" applyAlignment="1">
      <alignment horizontal="center" vertical="center" wrapText="1"/>
    </xf>
    <xf numFmtId="0" fontId="42" fillId="15" borderId="42" xfId="0" applyFont="1" applyFill="1" applyBorder="1" applyAlignment="1">
      <alignment horizontal="center" vertical="center"/>
    </xf>
    <xf numFmtId="0" fontId="42" fillId="15" borderId="23" xfId="0" applyFont="1" applyFill="1" applyBorder="1" applyAlignment="1">
      <alignment horizontal="center" vertical="center"/>
    </xf>
    <xf numFmtId="0" fontId="42" fillId="15" borderId="43" xfId="0" applyFont="1" applyFill="1" applyBorder="1" applyAlignment="1">
      <alignment horizontal="center" vertical="center"/>
    </xf>
    <xf numFmtId="0" fontId="42" fillId="15" borderId="44" xfId="0" applyFont="1" applyFill="1" applyBorder="1" applyAlignment="1">
      <alignment horizontal="center" vertical="center"/>
    </xf>
    <xf numFmtId="0" fontId="42" fillId="15" borderId="45" xfId="0" applyFont="1" applyFill="1" applyBorder="1" applyAlignment="1">
      <alignment horizontal="center" vertical="center"/>
    </xf>
    <xf numFmtId="0" fontId="42" fillId="15" borderId="46" xfId="0" applyFont="1" applyFill="1" applyBorder="1" applyAlignment="1">
      <alignment horizontal="center" vertical="center"/>
    </xf>
    <xf numFmtId="0" fontId="39" fillId="15" borderId="28" xfId="0" applyFont="1" applyFill="1" applyBorder="1" applyAlignment="1">
      <alignment horizontal="center" vertical="center"/>
    </xf>
    <xf numFmtId="0" fontId="39" fillId="15" borderId="29" xfId="0" applyFont="1" applyFill="1" applyBorder="1" applyAlignment="1">
      <alignment horizontal="center" vertical="center"/>
    </xf>
    <xf numFmtId="0" fontId="39" fillId="15" borderId="30" xfId="0" applyFont="1" applyFill="1" applyBorder="1" applyAlignment="1">
      <alignment horizontal="center" vertical="center"/>
    </xf>
    <xf numFmtId="0" fontId="40" fillId="0" borderId="25" xfId="0" applyFont="1" applyBorder="1" applyAlignment="1">
      <alignment horizontal="center"/>
    </xf>
    <xf numFmtId="0" fontId="40" fillId="0" borderId="0" xfId="0" applyFont="1" applyAlignment="1">
      <alignment horizontal="center"/>
    </xf>
    <xf numFmtId="44" fontId="58" fillId="26" borderId="0" xfId="0" applyNumberFormat="1" applyFont="1" applyFill="1" applyAlignment="1">
      <alignment horizontal="center"/>
    </xf>
    <xf numFmtId="0" fontId="44" fillId="24" borderId="25" xfId="0" applyFont="1" applyFill="1" applyBorder="1" applyAlignment="1">
      <alignment horizontal="center"/>
    </xf>
    <xf numFmtId="0" fontId="44" fillId="24" borderId="0" xfId="0" applyFont="1" applyFill="1" applyAlignment="1">
      <alignment horizontal="center"/>
    </xf>
    <xf numFmtId="0" fontId="41" fillId="0" borderId="55" xfId="0" applyFont="1" applyBorder="1" applyAlignment="1">
      <alignment horizontal="center" vertical="center" wrapText="1"/>
    </xf>
    <xf numFmtId="0" fontId="41" fillId="0" borderId="56" xfId="0" applyFont="1" applyBorder="1" applyAlignment="1">
      <alignment horizontal="center" vertical="center" wrapText="1"/>
    </xf>
    <xf numFmtId="0" fontId="41" fillId="0" borderId="57" xfId="0" applyFont="1" applyBorder="1" applyAlignment="1">
      <alignment horizontal="center" vertical="center" wrapText="1"/>
    </xf>
    <xf numFmtId="0" fontId="18" fillId="0" borderId="0" xfId="20" applyFont="1" applyAlignment="1">
      <alignment horizontal="left" vertical="top" wrapText="1"/>
    </xf>
    <xf numFmtId="0" fontId="18" fillId="0" borderId="0" xfId="20" applyFont="1" applyAlignment="1">
      <alignment horizontal="left" wrapText="1"/>
    </xf>
    <xf numFmtId="0" fontId="18" fillId="0" borderId="27" xfId="20" applyFont="1" applyBorder="1" applyAlignment="1">
      <alignment horizontal="left"/>
    </xf>
    <xf numFmtId="0" fontId="18" fillId="0" borderId="2" xfId="20" applyFont="1" applyBorder="1" applyAlignment="1">
      <alignment horizontal="left" vertical="center" wrapText="1"/>
    </xf>
    <xf numFmtId="0" fontId="21" fillId="9" borderId="2" xfId="20" applyFont="1" applyFill="1" applyBorder="1" applyAlignment="1">
      <alignment horizontal="center" vertical="center" wrapText="1"/>
    </xf>
    <xf numFmtId="0" fontId="21" fillId="0" borderId="0" xfId="20" applyFont="1" applyAlignment="1">
      <alignment horizontal="center" vertical="center"/>
    </xf>
    <xf numFmtId="0" fontId="18" fillId="0" borderId="8" xfId="20" applyFont="1" applyBorder="1" applyAlignment="1">
      <alignment horizontal="center" vertical="center" wrapText="1"/>
    </xf>
    <xf numFmtId="10" fontId="18" fillId="0" borderId="2" xfId="20" applyNumberFormat="1" applyFont="1" applyBorder="1" applyAlignment="1">
      <alignment horizontal="center" vertical="center" wrapText="1"/>
    </xf>
    <xf numFmtId="0" fontId="21" fillId="0" borderId="2" xfId="20" applyFont="1" applyBorder="1" applyAlignment="1">
      <alignment horizontal="center" vertical="center" wrapText="1"/>
    </xf>
    <xf numFmtId="0" fontId="21" fillId="23" borderId="2" xfId="20" applyFont="1" applyFill="1" applyBorder="1" applyAlignment="1">
      <alignment horizontal="center" vertical="center" wrapText="1"/>
    </xf>
    <xf numFmtId="0" fontId="21" fillId="0" borderId="3" xfId="20" applyFont="1" applyBorder="1" applyAlignment="1">
      <alignment horizontal="center" vertical="center"/>
    </xf>
    <xf numFmtId="164" fontId="18" fillId="0" borderId="2" xfId="1" applyFont="1" applyFill="1" applyBorder="1" applyAlignment="1">
      <alignment horizontal="center" vertical="center" wrapText="1"/>
    </xf>
    <xf numFmtId="0" fontId="36" fillId="0" borderId="27" xfId="20" applyFont="1" applyBorder="1" applyAlignment="1">
      <alignment horizontal="left" vertical="top" wrapText="1"/>
    </xf>
    <xf numFmtId="0" fontId="21" fillId="0" borderId="0" xfId="20" applyFont="1" applyAlignment="1">
      <alignment horizontal="left"/>
    </xf>
    <xf numFmtId="0" fontId="21" fillId="0" borderId="3" xfId="20" applyFont="1" applyBorder="1" applyAlignment="1">
      <alignment horizontal="center"/>
    </xf>
    <xf numFmtId="0" fontId="21" fillId="0" borderId="0" xfId="20" applyFont="1" applyAlignment="1">
      <alignment horizontal="center"/>
    </xf>
    <xf numFmtId="0" fontId="21" fillId="9" borderId="4" xfId="20" applyFont="1" applyFill="1" applyBorder="1" applyAlignment="1">
      <alignment horizontal="center" vertical="center" wrapText="1"/>
    </xf>
    <xf numFmtId="0" fontId="21" fillId="9" borderId="5" xfId="20" applyFont="1" applyFill="1" applyBorder="1" applyAlignment="1">
      <alignment horizontal="center" vertical="center" wrapText="1"/>
    </xf>
    <xf numFmtId="0" fontId="21" fillId="0" borderId="4" xfId="20" applyFont="1" applyBorder="1" applyAlignment="1">
      <alignment horizontal="left" vertical="center" wrapText="1"/>
    </xf>
    <xf numFmtId="0" fontId="21" fillId="0" borderId="5" xfId="20" applyFont="1" applyBorder="1" applyAlignment="1">
      <alignment horizontal="left" vertical="center" wrapText="1"/>
    </xf>
    <xf numFmtId="0" fontId="31" fillId="0" borderId="2" xfId="20" applyFont="1" applyBorder="1" applyAlignment="1">
      <alignment horizontal="left" vertical="center" wrapText="1"/>
    </xf>
    <xf numFmtId="0" fontId="21" fillId="0" borderId="2" xfId="20" applyFont="1" applyBorder="1" applyAlignment="1">
      <alignment horizontal="left" vertical="center" wrapText="1"/>
    </xf>
    <xf numFmtId="0" fontId="21" fillId="9" borderId="2" xfId="20" applyFont="1" applyFill="1" applyBorder="1" applyAlignment="1">
      <alignment horizontal="right" vertical="center" wrapText="1"/>
    </xf>
    <xf numFmtId="0" fontId="18" fillId="0" borderId="27" xfId="20" applyFont="1" applyBorder="1" applyAlignment="1">
      <alignment horizontal="left" vertical="center" wrapText="1"/>
    </xf>
    <xf numFmtId="0" fontId="24" fillId="11" borderId="0" xfId="0" applyFont="1" applyFill="1" applyAlignment="1" applyProtection="1">
      <alignment horizontal="center"/>
      <protection locked="0"/>
    </xf>
    <xf numFmtId="0" fontId="28" fillId="11" borderId="0" xfId="0" applyFont="1" applyFill="1" applyAlignment="1" applyProtection="1">
      <alignment horizontal="center" vertical="top"/>
      <protection locked="0"/>
    </xf>
    <xf numFmtId="0" fontId="38" fillId="21" borderId="28" xfId="0" applyFont="1" applyFill="1" applyBorder="1" applyAlignment="1" applyProtection="1">
      <alignment horizontal="center" vertical="center"/>
      <protection hidden="1"/>
    </xf>
    <xf numFmtId="0" fontId="38" fillId="21" borderId="29" xfId="0" applyFont="1" applyFill="1" applyBorder="1" applyAlignment="1" applyProtection="1">
      <alignment horizontal="center" vertical="center"/>
      <protection hidden="1"/>
    </xf>
    <xf numFmtId="0" fontId="38" fillId="21" borderId="30" xfId="0" applyFont="1" applyFill="1" applyBorder="1" applyAlignment="1" applyProtection="1">
      <alignment horizontal="center" vertical="center"/>
      <protection hidden="1"/>
    </xf>
    <xf numFmtId="0" fontId="26" fillId="13" borderId="35" xfId="0" applyFont="1" applyFill="1" applyBorder="1" applyAlignment="1" applyProtection="1">
      <alignment horizontal="center" vertical="center"/>
      <protection locked="0"/>
    </xf>
    <xf numFmtId="0" fontId="26" fillId="13" borderId="21" xfId="0" applyFont="1" applyFill="1" applyBorder="1" applyAlignment="1" applyProtection="1">
      <alignment horizontal="center" vertical="center"/>
      <protection locked="0"/>
    </xf>
    <xf numFmtId="0" fontId="26" fillId="13" borderId="36" xfId="0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center"/>
    </xf>
  </cellXfs>
  <cellStyles count="52">
    <cellStyle name="Accent" xfId="3" xr:uid="{00000000-0005-0000-0000-000000000000}"/>
    <cellStyle name="Accent 1" xfId="4" xr:uid="{00000000-0005-0000-0000-000001000000}"/>
    <cellStyle name="Accent 2" xfId="5" xr:uid="{00000000-0005-0000-0000-000002000000}"/>
    <cellStyle name="Accent 3" xfId="6" xr:uid="{00000000-0005-0000-0000-000003000000}"/>
    <cellStyle name="Bad" xfId="7" xr:uid="{00000000-0005-0000-0000-000004000000}"/>
    <cellStyle name="Comma 2" xfId="34" xr:uid="{952EF4BA-FFC3-4E60-8FA2-F6EB0EDEA4CF}"/>
    <cellStyle name="Currency 2" xfId="35" xr:uid="{7419267B-AC0C-4404-A091-C38E67EFF4AA}"/>
    <cellStyle name="Currency 3" xfId="38" xr:uid="{E44FDC7E-FBA2-4B12-BF7A-4C3445E1884C}"/>
    <cellStyle name="Currency 4" xfId="41" xr:uid="{14D2E843-F184-4A70-A96C-E3A5CFB5F8B2}"/>
    <cellStyle name="Error" xfId="8" xr:uid="{00000000-0005-0000-0000-000005000000}"/>
    <cellStyle name="Excel Built-in Currency" xfId="9" xr:uid="{00000000-0005-0000-0000-000006000000}"/>
    <cellStyle name="Excel Built-in Percent" xfId="10" xr:uid="{00000000-0005-0000-0000-000007000000}"/>
    <cellStyle name="Excel_BuiltIn_Currency" xfId="51" xr:uid="{22229113-030F-4CAE-BE39-8C4CE4D4A810}"/>
    <cellStyle name="Footnote" xfId="11" xr:uid="{00000000-0005-0000-0000-000008000000}"/>
    <cellStyle name="Good" xfId="12" xr:uid="{00000000-0005-0000-0000-000009000000}"/>
    <cellStyle name="Heading (user)" xfId="13" xr:uid="{00000000-0005-0000-0000-00000A000000}"/>
    <cellStyle name="Heading 1" xfId="14" xr:uid="{00000000-0005-0000-0000-00000B000000}"/>
    <cellStyle name="Heading 2" xfId="15" xr:uid="{00000000-0005-0000-0000-00000C000000}"/>
    <cellStyle name="Moeda" xfId="1" builtinId="4"/>
    <cellStyle name="Moeda 2" xfId="16" xr:uid="{00000000-0005-0000-0000-00000E000000}"/>
    <cellStyle name="Moeda 2 2" xfId="17" xr:uid="{00000000-0005-0000-0000-00000F000000}"/>
    <cellStyle name="Moeda 2 2 2" xfId="40" xr:uid="{9506E116-C06A-4429-847B-11B3479CD005}"/>
    <cellStyle name="Moeda 3" xfId="18" xr:uid="{00000000-0005-0000-0000-000010000000}"/>
    <cellStyle name="Moeda 4" xfId="43" xr:uid="{D1F43AE2-587D-44D0-804C-0CBA5A975539}"/>
    <cellStyle name="Moeda 5" xfId="45" xr:uid="{F15EF781-AADB-4878-93DE-BD0FC778C06A}"/>
    <cellStyle name="Moeda 6" xfId="50" xr:uid="{BE97C31F-6A15-41DC-86D1-58F6D702D814}"/>
    <cellStyle name="Neutral" xfId="19" xr:uid="{00000000-0005-0000-0000-000011000000}"/>
    <cellStyle name="Normal" xfId="0" builtinId="0" customBuiltin="1"/>
    <cellStyle name="Normal 2" xfId="20" xr:uid="{00000000-0005-0000-0000-000013000000}"/>
    <cellStyle name="Normal 2 2" xfId="21" xr:uid="{00000000-0005-0000-0000-000014000000}"/>
    <cellStyle name="Normal 2 2 2" xfId="42" xr:uid="{10AA1D51-05A5-4D46-85E1-73F95F55B345}"/>
    <cellStyle name="Normal 2 3" xfId="22" xr:uid="{00000000-0005-0000-0000-000015000000}"/>
    <cellStyle name="Normal 2 4" xfId="23" xr:uid="{00000000-0005-0000-0000-000016000000}"/>
    <cellStyle name="Normal 3" xfId="24" xr:uid="{00000000-0005-0000-0000-000017000000}"/>
    <cellStyle name="Normal 3 2" xfId="36" xr:uid="{E6C35590-0CAF-47E5-BCEA-91466CC75E55}"/>
    <cellStyle name="Normal 4" xfId="32" xr:uid="{00000000-0005-0000-0000-000018000000}"/>
    <cellStyle name="Normal 4 2" xfId="37" xr:uid="{04D0A2BA-4FCE-48E1-8330-64EB7ABCEC4F}"/>
    <cellStyle name="Normal 5" xfId="39" xr:uid="{4ACBE63D-8D19-43B2-B82D-6CE7DFD02C87}"/>
    <cellStyle name="Normal 5 2" xfId="44" xr:uid="{8FCE1508-FD4A-402B-A6E4-15F19F311FB6}"/>
    <cellStyle name="Normal 6" xfId="33" xr:uid="{4B4DFE55-858C-4F6F-A8C7-F2DD09B9DCD1}"/>
    <cellStyle name="Normal 7" xfId="48" xr:uid="{CA7010AB-9053-4419-B33E-8303F0C00A18}"/>
    <cellStyle name="Note" xfId="25" xr:uid="{00000000-0005-0000-0000-000019000000}"/>
    <cellStyle name="Porcentagem" xfId="2" builtinId="5"/>
    <cellStyle name="Porcentagem 2" xfId="26" xr:uid="{00000000-0005-0000-0000-00001B000000}"/>
    <cellStyle name="Porcentagem 2 2" xfId="27" xr:uid="{00000000-0005-0000-0000-00001C000000}"/>
    <cellStyle name="Porcentagem 3" xfId="46" xr:uid="{D7220DAE-1089-4994-B42E-341A7A60A27D}"/>
    <cellStyle name="Porcentagem 4" xfId="49" xr:uid="{19A956E4-3DB0-4EB2-B4AA-19717881B2C0}"/>
    <cellStyle name="Status" xfId="28" xr:uid="{00000000-0005-0000-0000-00001D000000}"/>
    <cellStyle name="Text" xfId="29" xr:uid="{00000000-0005-0000-0000-00001E000000}"/>
    <cellStyle name="Vírgula" xfId="31" builtinId="3"/>
    <cellStyle name="Vírgula 2" xfId="47" xr:uid="{E803F176-C2FC-480D-972C-DAAF420637E4}"/>
    <cellStyle name="Warning" xfId="30" xr:uid="{00000000-0005-0000-0000-00002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eu%20Drive\CURSOS%20E%20CAPACITA&#199;&#213;ES\2022\ONE\PLANILHA%20MODELO%20-%20LIMPEZA%20(PRODUTIVIDADE%20DIFERENCIADA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Proposta"/>
      <sheetName val="Encarregado"/>
      <sheetName val="Servente"/>
      <sheetName val="Servente_Insalubridade"/>
      <sheetName val="Insumos"/>
      <sheetName val="Postos_ATC"/>
      <sheetName val="Postos"/>
      <sheetName val="Preço_M2"/>
      <sheetName val="Área_Reitoria"/>
      <sheetName val="Área_ReitoriaX"/>
      <sheetName val="Área_Jaru"/>
      <sheetName val="Área_ZN"/>
      <sheetName val="Tipo_Limpeza"/>
      <sheetName val="IMR"/>
    </sheetNames>
    <sheetDataSet>
      <sheetData sheetId="0"/>
      <sheetData sheetId="1"/>
      <sheetData sheetId="2"/>
      <sheetData sheetId="3"/>
      <sheetData sheetId="4"/>
      <sheetData sheetId="5">
        <row r="34">
          <cell r="H34">
            <v>411.94928571428585</v>
          </cell>
        </row>
        <row r="78">
          <cell r="M78">
            <v>51.316269841269829</v>
          </cell>
        </row>
        <row r="100">
          <cell r="I100">
            <v>131.88999999999999</v>
          </cell>
        </row>
        <row r="109">
          <cell r="I109">
            <v>82.325000000000003</v>
          </cell>
        </row>
        <row r="125">
          <cell r="G125">
            <v>42.44</v>
          </cell>
        </row>
      </sheetData>
      <sheetData sheetId="6">
        <row r="4">
          <cell r="Q4">
            <v>3.9988222222222225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11C37-68E6-4B0F-9044-4A00AE916132}">
  <dimension ref="A1:A29"/>
  <sheetViews>
    <sheetView showGridLines="0" workbookViewId="0">
      <selection activeCell="A4" sqref="A4"/>
    </sheetView>
  </sheetViews>
  <sheetFormatPr defaultRowHeight="14.25"/>
  <cols>
    <col min="1" max="1" width="152.75" customWidth="1"/>
  </cols>
  <sheetData>
    <row r="1" spans="1:1" ht="14.25" customHeight="1">
      <c r="A1" s="174" t="s">
        <v>236</v>
      </c>
    </row>
    <row r="2" spans="1:1">
      <c r="A2" s="174"/>
    </row>
    <row r="3" spans="1:1">
      <c r="A3" s="174"/>
    </row>
    <row r="4" spans="1:1" ht="15">
      <c r="A4" s="159" t="s">
        <v>260</v>
      </c>
    </row>
    <row r="6" spans="1:1" ht="28.5">
      <c r="A6" s="161" t="s">
        <v>237</v>
      </c>
    </row>
    <row r="7" spans="1:1" ht="28.5">
      <c r="A7" s="160" t="s">
        <v>238</v>
      </c>
    </row>
    <row r="8" spans="1:1">
      <c r="A8" s="161" t="s">
        <v>239</v>
      </c>
    </row>
    <row r="9" spans="1:1">
      <c r="A9" s="160" t="s">
        <v>240</v>
      </c>
    </row>
    <row r="10" spans="1:1" ht="28.5">
      <c r="A10" s="161" t="s">
        <v>241</v>
      </c>
    </row>
    <row r="11" spans="1:1">
      <c r="A11" s="160" t="s">
        <v>242</v>
      </c>
    </row>
    <row r="12" spans="1:1">
      <c r="A12" s="161" t="s">
        <v>243</v>
      </c>
    </row>
    <row r="13" spans="1:1">
      <c r="A13" s="160" t="s">
        <v>244</v>
      </c>
    </row>
    <row r="14" spans="1:1">
      <c r="A14" s="161" t="s">
        <v>245</v>
      </c>
    </row>
    <row r="15" spans="1:1">
      <c r="A15" s="160" t="s">
        <v>246</v>
      </c>
    </row>
    <row r="16" spans="1:1" ht="28.5">
      <c r="A16" s="161" t="s">
        <v>247</v>
      </c>
    </row>
    <row r="17" spans="1:1">
      <c r="A17" s="160" t="s">
        <v>248</v>
      </c>
    </row>
    <row r="18" spans="1:1" ht="28.5">
      <c r="A18" s="161" t="s">
        <v>249</v>
      </c>
    </row>
    <row r="19" spans="1:1">
      <c r="A19" s="160" t="s">
        <v>250</v>
      </c>
    </row>
    <row r="20" spans="1:1" ht="28.5">
      <c r="A20" s="161" t="s">
        <v>251</v>
      </c>
    </row>
    <row r="21" spans="1:1">
      <c r="A21" s="160" t="s">
        <v>252</v>
      </c>
    </row>
    <row r="22" spans="1:1">
      <c r="A22" s="161" t="s">
        <v>253</v>
      </c>
    </row>
    <row r="23" spans="1:1" ht="28.5">
      <c r="A23" s="160" t="s">
        <v>254</v>
      </c>
    </row>
    <row r="24" spans="1:1" ht="58.5">
      <c r="A24" s="161" t="s">
        <v>255</v>
      </c>
    </row>
    <row r="25" spans="1:1" ht="29.25">
      <c r="A25" s="160" t="s">
        <v>256</v>
      </c>
    </row>
    <row r="26" spans="1:1">
      <c r="A26" s="161" t="s">
        <v>257</v>
      </c>
    </row>
    <row r="27" spans="1:1">
      <c r="A27" s="160" t="s">
        <v>258</v>
      </c>
    </row>
    <row r="28" spans="1:1">
      <c r="A28" s="161" t="s">
        <v>259</v>
      </c>
    </row>
    <row r="29" spans="1:1">
      <c r="A29" s="158"/>
    </row>
  </sheetData>
  <mergeCells count="1">
    <mergeCell ref="A1:A3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MH83"/>
  <sheetViews>
    <sheetView showGridLines="0" tabSelected="1" topLeftCell="A38" zoomScaleNormal="100" workbookViewId="0">
      <selection activeCell="G58" sqref="G58"/>
    </sheetView>
  </sheetViews>
  <sheetFormatPr defaultRowHeight="14.25"/>
  <cols>
    <col min="1" max="1" width="2.375" style="2" customWidth="1"/>
    <col min="2" max="2" width="29.125" style="2" customWidth="1"/>
    <col min="3" max="3" width="25.25" style="2" customWidth="1"/>
    <col min="4" max="4" width="18" style="1" customWidth="1"/>
    <col min="5" max="5" width="14.375" style="1" customWidth="1"/>
    <col min="6" max="6" width="13.125" style="1" customWidth="1"/>
    <col min="7" max="7" width="17.75" style="1" customWidth="1"/>
    <col min="8" max="8" width="24" style="1" customWidth="1"/>
    <col min="9" max="9" width="18.625" style="1" customWidth="1"/>
    <col min="10" max="10" width="20.5" style="1" customWidth="1"/>
    <col min="11" max="11" width="15.375" style="1" customWidth="1"/>
    <col min="12" max="253" width="8.5" style="1" customWidth="1"/>
    <col min="254" max="254" width="18.875" style="1" customWidth="1"/>
    <col min="255" max="255" width="17.625" style="1" customWidth="1"/>
    <col min="256" max="256" width="56.375" style="1" customWidth="1"/>
    <col min="257" max="257" width="24.875" style="1" customWidth="1"/>
    <col min="258" max="258" width="20.125" style="1" customWidth="1"/>
    <col min="259" max="259" width="11.125" style="1" customWidth="1"/>
    <col min="260" max="260" width="15.375" style="1" customWidth="1"/>
    <col min="261" max="509" width="8.5" style="1" customWidth="1"/>
    <col min="510" max="510" width="18.875" style="1" customWidth="1"/>
    <col min="511" max="511" width="17.625" style="1" customWidth="1"/>
    <col min="512" max="512" width="56.375" style="1" customWidth="1"/>
    <col min="513" max="513" width="24.875" style="1" customWidth="1"/>
    <col min="514" max="514" width="20.125" style="1" customWidth="1"/>
    <col min="515" max="515" width="11.125" style="1" customWidth="1"/>
    <col min="516" max="516" width="15.375" style="1" customWidth="1"/>
    <col min="517" max="765" width="8.5" style="1" customWidth="1"/>
    <col min="766" max="766" width="18.875" style="1" customWidth="1"/>
    <col min="767" max="767" width="17.625" style="1" customWidth="1"/>
    <col min="768" max="768" width="56.375" style="1" customWidth="1"/>
    <col min="769" max="769" width="24.875" style="1" customWidth="1"/>
    <col min="770" max="770" width="20.125" style="1" customWidth="1"/>
    <col min="771" max="771" width="11.125" style="1" customWidth="1"/>
    <col min="772" max="772" width="15.375" style="1" customWidth="1"/>
    <col min="773" max="1021" width="8.5" style="1" customWidth="1"/>
    <col min="1022" max="1022" width="18.875" style="1" customWidth="1"/>
  </cols>
  <sheetData>
    <row r="2" spans="1:13" ht="15" thickBot="1">
      <c r="B2" s="1"/>
      <c r="C2" s="1"/>
    </row>
    <row r="3" spans="1:13" ht="15">
      <c r="A3"/>
      <c r="B3" s="178" t="s">
        <v>142</v>
      </c>
      <c r="C3" s="179"/>
      <c r="D3" s="179"/>
      <c r="E3" s="180"/>
      <c r="F3" s="70"/>
      <c r="G3" s="70"/>
      <c r="H3" s="70"/>
      <c r="I3" s="70"/>
      <c r="J3" s="70"/>
      <c r="K3" s="71"/>
      <c r="L3"/>
      <c r="M3"/>
    </row>
    <row r="4" spans="1:13" ht="15.75" thickBot="1">
      <c r="A4"/>
      <c r="B4" s="181"/>
      <c r="C4" s="182"/>
      <c r="D4" s="182"/>
      <c r="E4" s="183"/>
      <c r="F4" s="70"/>
      <c r="G4" s="70"/>
      <c r="H4" s="70"/>
      <c r="I4" s="70"/>
      <c r="J4" s="70"/>
      <c r="K4" s="71"/>
      <c r="L4"/>
      <c r="M4"/>
    </row>
    <row r="5" spans="1:13" ht="15.75" thickBot="1">
      <c r="A5"/>
      <c r="B5" s="71"/>
      <c r="C5" s="72"/>
      <c r="D5" s="71"/>
      <c r="E5" s="71"/>
      <c r="F5" s="71"/>
      <c r="G5" s="71"/>
      <c r="H5" s="71"/>
      <c r="I5" s="71"/>
      <c r="J5" s="71"/>
      <c r="K5" s="71"/>
      <c r="L5"/>
      <c r="M5"/>
    </row>
    <row r="6" spans="1:13" ht="15" thickBot="1">
      <c r="A6"/>
      <c r="B6" s="73" t="s">
        <v>143</v>
      </c>
      <c r="C6" s="74"/>
      <c r="D6" s="71"/>
      <c r="E6" s="71"/>
      <c r="F6" s="71"/>
      <c r="G6" s="71"/>
      <c r="H6" s="71"/>
      <c r="I6" s="71"/>
      <c r="J6" s="71"/>
      <c r="K6" s="71"/>
      <c r="L6"/>
      <c r="M6"/>
    </row>
    <row r="7" spans="1:13" ht="15">
      <c r="A7"/>
      <c r="B7" s="75" t="s">
        <v>144</v>
      </c>
      <c r="C7" s="76" t="s">
        <v>145</v>
      </c>
      <c r="D7" s="71"/>
      <c r="E7" s="71"/>
      <c r="F7" s="71"/>
      <c r="G7" s="71"/>
      <c r="H7" s="71"/>
      <c r="I7" s="71"/>
      <c r="J7" s="71"/>
      <c r="K7" s="71"/>
      <c r="L7"/>
      <c r="M7"/>
    </row>
    <row r="8" spans="1:13" ht="15.75" thickBot="1">
      <c r="A8"/>
      <c r="B8" s="77" t="s">
        <v>146</v>
      </c>
      <c r="C8" s="78" t="s">
        <v>147</v>
      </c>
      <c r="D8" s="190" t="s">
        <v>218</v>
      </c>
      <c r="E8" s="191"/>
      <c r="F8" s="191"/>
      <c r="G8" s="71"/>
      <c r="H8" s="71"/>
      <c r="I8" s="71"/>
      <c r="J8" s="71"/>
      <c r="K8" s="71"/>
      <c r="L8"/>
      <c r="M8"/>
    </row>
    <row r="9" spans="1:13" ht="15" thickBot="1">
      <c r="A9"/>
      <c r="B9" s="71"/>
      <c r="C9" s="71"/>
      <c r="D9" s="71"/>
      <c r="E9" s="71"/>
      <c r="F9" s="71"/>
      <c r="G9" s="71"/>
      <c r="H9" s="71"/>
      <c r="I9" s="71"/>
      <c r="J9" s="71"/>
      <c r="K9" s="71"/>
      <c r="L9"/>
      <c r="M9"/>
    </row>
    <row r="10" spans="1:13" ht="15.75" thickBot="1">
      <c r="A10"/>
      <c r="B10" s="73" t="s">
        <v>148</v>
      </c>
      <c r="C10" s="79" t="s">
        <v>10</v>
      </c>
      <c r="D10" s="80" t="s">
        <v>149</v>
      </c>
      <c r="E10" s="79" t="s">
        <v>2</v>
      </c>
      <c r="F10" s="79" t="s">
        <v>150</v>
      </c>
      <c r="G10" s="81" t="s">
        <v>151</v>
      </c>
      <c r="H10" s="82"/>
      <c r="I10" s="82"/>
      <c r="J10" s="82"/>
      <c r="K10" s="71"/>
      <c r="L10"/>
      <c r="M10"/>
    </row>
    <row r="11" spans="1:13">
      <c r="A11"/>
      <c r="B11" s="83" t="s">
        <v>144</v>
      </c>
      <c r="C11" s="84" t="s">
        <v>145</v>
      </c>
      <c r="D11" s="85">
        <v>16</v>
      </c>
      <c r="E11" s="85" t="s">
        <v>121</v>
      </c>
      <c r="F11" s="84"/>
      <c r="G11" s="86"/>
      <c r="H11" s="71"/>
      <c r="I11" s="71"/>
      <c r="J11" s="71"/>
      <c r="K11" s="71"/>
      <c r="L11"/>
      <c r="M11"/>
    </row>
    <row r="12" spans="1:13" ht="15" thickBot="1">
      <c r="A12"/>
      <c r="B12" s="87" t="s">
        <v>146</v>
      </c>
      <c r="C12" s="88" t="s">
        <v>147</v>
      </c>
      <c r="D12" s="89">
        <v>16</v>
      </c>
      <c r="E12" s="85" t="s">
        <v>121</v>
      </c>
      <c r="F12" s="88"/>
      <c r="G12" s="90"/>
      <c r="H12" s="71"/>
      <c r="I12" s="71"/>
      <c r="J12" s="71"/>
      <c r="K12" s="71"/>
      <c r="L12"/>
      <c r="M12"/>
    </row>
    <row r="13" spans="1:13" ht="15" thickBot="1">
      <c r="A13"/>
      <c r="B13" s="71"/>
      <c r="C13" s="71"/>
      <c r="D13" s="91"/>
      <c r="E13" s="91"/>
      <c r="F13" s="71"/>
      <c r="G13" s="71"/>
      <c r="H13" s="71"/>
      <c r="I13" s="71"/>
      <c r="J13" s="71"/>
      <c r="K13" s="71"/>
      <c r="L13"/>
      <c r="M13"/>
    </row>
    <row r="14" spans="1:13" ht="15.75" thickBot="1">
      <c r="A14"/>
      <c r="B14" s="73" t="s">
        <v>152</v>
      </c>
      <c r="C14" s="79" t="s">
        <v>10</v>
      </c>
      <c r="D14" s="80" t="s">
        <v>153</v>
      </c>
      <c r="E14" s="79" t="s">
        <v>2</v>
      </c>
      <c r="F14" s="79" t="s">
        <v>150</v>
      </c>
      <c r="G14" s="81" t="s">
        <v>151</v>
      </c>
      <c r="H14" s="71"/>
      <c r="I14" s="71"/>
      <c r="J14" s="71"/>
      <c r="K14" s="71"/>
      <c r="L14"/>
      <c r="M14"/>
    </row>
    <row r="15" spans="1:13">
      <c r="A15"/>
      <c r="B15" s="69" t="s">
        <v>144</v>
      </c>
      <c r="C15" s="134" t="s">
        <v>145</v>
      </c>
      <c r="D15" s="135">
        <v>8</v>
      </c>
      <c r="E15" s="135" t="s">
        <v>217</v>
      </c>
      <c r="F15" s="134"/>
      <c r="G15" s="136"/>
      <c r="H15" s="71"/>
      <c r="I15" s="71"/>
      <c r="J15" s="71"/>
      <c r="K15" s="71"/>
      <c r="L15"/>
      <c r="M15"/>
    </row>
    <row r="16" spans="1:13" ht="15" thickBot="1">
      <c r="A16"/>
      <c r="B16" s="87" t="s">
        <v>146</v>
      </c>
      <c r="C16" s="88" t="s">
        <v>154</v>
      </c>
      <c r="D16" s="89">
        <v>8</v>
      </c>
      <c r="E16" s="137" t="s">
        <v>217</v>
      </c>
      <c r="F16" s="88"/>
      <c r="G16" s="90"/>
      <c r="H16" s="71"/>
      <c r="I16" s="71"/>
      <c r="J16" s="71"/>
      <c r="K16" s="71"/>
      <c r="L16"/>
      <c r="M16"/>
    </row>
    <row r="17" spans="1:13" ht="15" thickBot="1">
      <c r="A17"/>
      <c r="B17" s="71"/>
      <c r="C17" s="71"/>
      <c r="D17" s="71"/>
      <c r="E17" s="71"/>
      <c r="F17" s="71"/>
      <c r="G17" s="71"/>
      <c r="H17" s="71"/>
      <c r="I17" s="71"/>
      <c r="J17" s="71"/>
      <c r="K17" s="71"/>
      <c r="L17"/>
      <c r="M17"/>
    </row>
    <row r="18" spans="1:13" ht="15" thickBot="1">
      <c r="A18"/>
      <c r="B18" s="73" t="s">
        <v>155</v>
      </c>
      <c r="C18" s="74"/>
      <c r="D18" s="71"/>
      <c r="E18" s="71"/>
      <c r="F18" s="71"/>
      <c r="G18" s="71"/>
      <c r="H18" s="71"/>
      <c r="I18" s="71"/>
      <c r="J18" s="71"/>
      <c r="K18" s="71"/>
      <c r="L18"/>
      <c r="M18"/>
    </row>
    <row r="19" spans="1:13">
      <c r="A19"/>
      <c r="B19" s="92" t="s">
        <v>156</v>
      </c>
      <c r="C19" s="93" t="s">
        <v>157</v>
      </c>
      <c r="D19" s="71"/>
      <c r="E19" s="71"/>
      <c r="F19" s="71"/>
      <c r="G19" s="71"/>
      <c r="H19" s="71"/>
      <c r="I19" s="71"/>
      <c r="J19" s="71"/>
      <c r="K19" s="71"/>
      <c r="L19"/>
      <c r="M19"/>
    </row>
    <row r="20" spans="1:13">
      <c r="A20"/>
      <c r="B20" s="94" t="s">
        <v>158</v>
      </c>
      <c r="C20" s="95" t="s">
        <v>159</v>
      </c>
      <c r="D20" s="71"/>
      <c r="E20" s="71"/>
      <c r="F20" s="71"/>
      <c r="G20" s="71"/>
      <c r="H20" s="71"/>
      <c r="I20" s="71"/>
      <c r="J20" s="71"/>
      <c r="K20" s="71"/>
      <c r="L20"/>
      <c r="M20"/>
    </row>
    <row r="21" spans="1:13">
      <c r="A21"/>
      <c r="B21" s="94" t="s">
        <v>160</v>
      </c>
      <c r="C21" s="95" t="s">
        <v>161</v>
      </c>
      <c r="D21" s="71"/>
      <c r="E21" s="71"/>
      <c r="F21" s="71"/>
      <c r="G21" s="71"/>
      <c r="H21" s="71"/>
      <c r="I21" s="71"/>
      <c r="J21" s="71"/>
      <c r="K21" s="71"/>
      <c r="L21"/>
      <c r="M21"/>
    </row>
    <row r="22" spans="1:13">
      <c r="A22"/>
      <c r="B22" s="94" t="s">
        <v>162</v>
      </c>
      <c r="C22" s="95" t="s">
        <v>163</v>
      </c>
      <c r="D22" s="71"/>
      <c r="E22" s="71"/>
      <c r="F22" s="71"/>
      <c r="G22" s="71"/>
      <c r="H22" s="71"/>
      <c r="I22" s="71"/>
      <c r="J22" s="71"/>
      <c r="K22" s="71"/>
      <c r="L22"/>
      <c r="M22"/>
    </row>
    <row r="23" spans="1:13" ht="15" thickBot="1">
      <c r="A23"/>
      <c r="B23" s="87" t="s">
        <v>164</v>
      </c>
      <c r="C23" s="90" t="s">
        <v>165</v>
      </c>
      <c r="D23" s="71"/>
      <c r="E23" s="71"/>
      <c r="F23" s="71"/>
      <c r="G23" s="71"/>
      <c r="H23" s="71"/>
      <c r="I23" s="71"/>
      <c r="J23" s="71"/>
      <c r="K23" s="71"/>
      <c r="L23"/>
      <c r="M23"/>
    </row>
    <row r="24" spans="1:13" ht="15" thickBot="1">
      <c r="A24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/>
      <c r="M24"/>
    </row>
    <row r="25" spans="1:13">
      <c r="A25"/>
      <c r="B25" s="96" t="s">
        <v>166</v>
      </c>
      <c r="C25" s="97" t="s">
        <v>167</v>
      </c>
      <c r="D25" s="71"/>
      <c r="E25" s="71"/>
      <c r="F25" s="71"/>
      <c r="G25" s="71"/>
      <c r="H25" s="71"/>
      <c r="I25" s="71"/>
      <c r="J25" s="98"/>
      <c r="K25" s="71"/>
      <c r="L25"/>
      <c r="M25"/>
    </row>
    <row r="26" spans="1:13">
      <c r="A26"/>
      <c r="B26" s="99" t="s">
        <v>168</v>
      </c>
      <c r="C26" s="100" t="s">
        <v>169</v>
      </c>
      <c r="D26" s="71"/>
      <c r="E26" s="71"/>
      <c r="F26" s="71"/>
      <c r="G26" s="71"/>
      <c r="H26" s="71"/>
      <c r="I26" s="71"/>
      <c r="J26" s="101"/>
      <c r="K26" s="71"/>
      <c r="L26"/>
      <c r="M26"/>
    </row>
    <row r="27" spans="1:13">
      <c r="A27"/>
      <c r="B27" s="99" t="s">
        <v>170</v>
      </c>
      <c r="C27" s="100" t="s">
        <v>171</v>
      </c>
      <c r="D27" s="71"/>
      <c r="E27" s="71"/>
      <c r="F27" s="71"/>
      <c r="G27" s="71"/>
      <c r="H27" s="71"/>
      <c r="I27" s="71"/>
      <c r="J27" s="101"/>
      <c r="K27" s="71"/>
      <c r="L27"/>
      <c r="M27"/>
    </row>
    <row r="28" spans="1:13">
      <c r="A28"/>
      <c r="B28" s="99" t="s">
        <v>172</v>
      </c>
      <c r="C28" s="100" t="s">
        <v>173</v>
      </c>
      <c r="D28" s="71"/>
      <c r="E28" s="71"/>
      <c r="F28" s="71"/>
      <c r="G28" s="71"/>
      <c r="H28" s="71"/>
      <c r="I28" s="71"/>
      <c r="J28" s="71"/>
      <c r="K28" s="71"/>
      <c r="L28"/>
      <c r="M28"/>
    </row>
    <row r="29" spans="1:13" ht="15" thickBot="1">
      <c r="A29"/>
      <c r="B29" s="102" t="s">
        <v>174</v>
      </c>
      <c r="C29" s="103" t="s">
        <v>175</v>
      </c>
      <c r="D29" s="71"/>
      <c r="E29" s="71"/>
      <c r="F29" s="71"/>
      <c r="G29" s="71"/>
      <c r="H29" s="71"/>
      <c r="I29" s="71"/>
      <c r="J29" s="71"/>
      <c r="K29" s="71"/>
      <c r="L29"/>
      <c r="M29"/>
    </row>
    <row r="30" spans="1:13" ht="15" thickBot="1">
      <c r="A30"/>
      <c r="B30" s="71"/>
      <c r="C30" s="71"/>
      <c r="D30" s="71"/>
      <c r="E30" s="71"/>
      <c r="F30" s="71"/>
      <c r="G30" s="71"/>
      <c r="H30" s="71"/>
      <c r="I30" s="71"/>
      <c r="J30" s="71"/>
      <c r="K30" s="71"/>
      <c r="L30"/>
      <c r="M30"/>
    </row>
    <row r="31" spans="1:13" ht="27.75" customHeight="1" thickBot="1">
      <c r="A31"/>
      <c r="B31" s="184" t="s">
        <v>176</v>
      </c>
      <c r="C31" s="185"/>
      <c r="D31" s="185"/>
      <c r="E31" s="185"/>
      <c r="F31" s="185"/>
      <c r="G31" s="185"/>
      <c r="H31" s="186"/>
      <c r="I31" s="184" t="s">
        <v>177</v>
      </c>
      <c r="J31" s="186"/>
      <c r="K31" s="177" t="s">
        <v>185</v>
      </c>
      <c r="L31" s="71"/>
      <c r="M31"/>
    </row>
    <row r="32" spans="1:13" ht="27.75" customHeight="1" thickBot="1">
      <c r="A32"/>
      <c r="B32" s="138" t="s">
        <v>178</v>
      </c>
      <c r="C32" s="139" t="s">
        <v>261</v>
      </c>
      <c r="D32" s="139" t="s">
        <v>179</v>
      </c>
      <c r="E32" s="139" t="s">
        <v>122</v>
      </c>
      <c r="F32" s="140" t="s">
        <v>180</v>
      </c>
      <c r="G32" s="139" t="s">
        <v>181</v>
      </c>
      <c r="H32" s="140" t="s">
        <v>182</v>
      </c>
      <c r="I32" s="138" t="s">
        <v>183</v>
      </c>
      <c r="J32" s="141" t="s">
        <v>184</v>
      </c>
      <c r="K32" s="177"/>
      <c r="L32" s="71"/>
      <c r="M32"/>
    </row>
    <row r="33" spans="1:13" ht="21" customHeight="1">
      <c r="A33"/>
      <c r="B33" s="142" t="s">
        <v>186</v>
      </c>
      <c r="C33" s="168" t="s">
        <v>268</v>
      </c>
      <c r="D33" s="171">
        <v>6332.82</v>
      </c>
      <c r="E33" s="85">
        <v>850</v>
      </c>
      <c r="F33" s="85" t="s">
        <v>187</v>
      </c>
      <c r="G33" s="104">
        <f>D55</f>
        <v>0</v>
      </c>
      <c r="H33" s="105">
        <f>G33</f>
        <v>0</v>
      </c>
      <c r="I33" s="131">
        <f>H33*D33</f>
        <v>0</v>
      </c>
      <c r="J33" s="132">
        <f t="shared" ref="J33:J44" si="0">I33*12</f>
        <v>0</v>
      </c>
      <c r="K33" s="71">
        <f>D33/E33</f>
        <v>7.4503764705882354</v>
      </c>
      <c r="L33" s="71"/>
      <c r="M33"/>
    </row>
    <row r="34" spans="1:13" ht="25.5">
      <c r="A34"/>
      <c r="B34" s="143" t="s">
        <v>188</v>
      </c>
      <c r="C34" s="169" t="s">
        <v>269</v>
      </c>
      <c r="D34" s="172">
        <v>110.56</v>
      </c>
      <c r="E34" s="106">
        <v>850</v>
      </c>
      <c r="F34" s="106" t="s">
        <v>189</v>
      </c>
      <c r="G34" s="107">
        <f>D55</f>
        <v>0</v>
      </c>
      <c r="H34" s="108">
        <f>(G34*4)/30</f>
        <v>0</v>
      </c>
      <c r="I34" s="131">
        <f>H34*D34</f>
        <v>0</v>
      </c>
      <c r="J34" s="132">
        <f t="shared" si="0"/>
        <v>0</v>
      </c>
      <c r="K34" s="71">
        <f>D34/(E34*15)/2</f>
        <v>4.3356862745098038E-3</v>
      </c>
      <c r="L34" s="71"/>
      <c r="M34"/>
    </row>
    <row r="35" spans="1:13" ht="25.5">
      <c r="A35"/>
      <c r="B35" s="143" t="s">
        <v>190</v>
      </c>
      <c r="C35" s="169" t="s">
        <v>262</v>
      </c>
      <c r="D35" s="172">
        <v>26.34</v>
      </c>
      <c r="E35" s="106">
        <v>850</v>
      </c>
      <c r="F35" s="106" t="s">
        <v>189</v>
      </c>
      <c r="G35" s="107">
        <f>D55</f>
        <v>0</v>
      </c>
      <c r="H35" s="108">
        <f>(G35*4)/30</f>
        <v>0</v>
      </c>
      <c r="I35" s="131">
        <f>H35*D35</f>
        <v>0</v>
      </c>
      <c r="J35" s="132">
        <f t="shared" si="0"/>
        <v>0</v>
      </c>
      <c r="K35" s="71">
        <f>D35/(E35*15)/2</f>
        <v>1.0329411764705883E-3</v>
      </c>
      <c r="L35" s="71"/>
      <c r="M35"/>
    </row>
    <row r="36" spans="1:13" ht="38.25">
      <c r="A36"/>
      <c r="B36" s="192" t="s">
        <v>264</v>
      </c>
      <c r="C36" s="169" t="s">
        <v>191</v>
      </c>
      <c r="D36" s="172">
        <v>2125.1999999999998</v>
      </c>
      <c r="E36" s="106">
        <v>1200</v>
      </c>
      <c r="F36" s="106" t="s">
        <v>189</v>
      </c>
      <c r="G36" s="107">
        <f>D57</f>
        <v>0</v>
      </c>
      <c r="H36" s="108">
        <f>(G36*4)/30</f>
        <v>0</v>
      </c>
      <c r="I36" s="131">
        <f>H36*D36</f>
        <v>0</v>
      </c>
      <c r="J36" s="132">
        <f t="shared" si="0"/>
        <v>0</v>
      </c>
      <c r="K36" s="71">
        <f>D36/(E36*15)/2</f>
        <v>5.9033333333333327E-2</v>
      </c>
      <c r="L36" s="71"/>
      <c r="M36"/>
    </row>
    <row r="37" spans="1:13" ht="38.25">
      <c r="A37"/>
      <c r="B37" s="193"/>
      <c r="C37" s="169" t="s">
        <v>192</v>
      </c>
      <c r="D37" s="172">
        <v>181.83</v>
      </c>
      <c r="E37" s="106">
        <v>1200</v>
      </c>
      <c r="F37" s="106" t="s">
        <v>189</v>
      </c>
      <c r="G37" s="107">
        <f>D57</f>
        <v>0</v>
      </c>
      <c r="H37" s="108">
        <f>(G37*4)/30</f>
        <v>0</v>
      </c>
      <c r="I37" s="131">
        <f t="shared" ref="I37:I38" si="1">H37*D37</f>
        <v>0</v>
      </c>
      <c r="J37" s="132">
        <f t="shared" si="0"/>
        <v>0</v>
      </c>
      <c r="K37" s="71">
        <f>D37/(E37*15)/2</f>
        <v>5.0508333333333334E-3</v>
      </c>
      <c r="L37" s="71"/>
      <c r="M37"/>
    </row>
    <row r="38" spans="1:13" ht="25.5">
      <c r="A38"/>
      <c r="B38" s="143" t="s">
        <v>265</v>
      </c>
      <c r="C38" s="169" t="s">
        <v>270</v>
      </c>
      <c r="D38" s="172">
        <v>31.47</v>
      </c>
      <c r="E38" s="106">
        <v>850</v>
      </c>
      <c r="F38" s="106" t="s">
        <v>189</v>
      </c>
      <c r="G38" s="107">
        <f>D55</f>
        <v>0</v>
      </c>
      <c r="H38" s="108">
        <f>(G38*4)/30</f>
        <v>0</v>
      </c>
      <c r="I38" s="131">
        <f t="shared" si="1"/>
        <v>0</v>
      </c>
      <c r="J38" s="132">
        <f t="shared" si="0"/>
        <v>0</v>
      </c>
      <c r="K38" s="71">
        <f>D38/(E38*15)/2</f>
        <v>1.2341176470588235E-3</v>
      </c>
      <c r="L38" s="71"/>
      <c r="M38"/>
    </row>
    <row r="39" spans="1:13" ht="25.5">
      <c r="A39"/>
      <c r="B39" s="143" t="s">
        <v>193</v>
      </c>
      <c r="C39" s="169" t="s">
        <v>271</v>
      </c>
      <c r="D39" s="172">
        <v>144.12</v>
      </c>
      <c r="E39" s="106">
        <v>850</v>
      </c>
      <c r="F39" s="106" t="s">
        <v>194</v>
      </c>
      <c r="G39" s="107">
        <f>D55</f>
        <v>0</v>
      </c>
      <c r="H39" s="108">
        <f>G39/180</f>
        <v>0</v>
      </c>
      <c r="I39" s="131">
        <f t="shared" ref="I39:I45" si="2">H39*D39</f>
        <v>0</v>
      </c>
      <c r="J39" s="132">
        <f t="shared" si="0"/>
        <v>0</v>
      </c>
      <c r="K39" s="71">
        <f>D39/(E39*180)</f>
        <v>9.4196078431372555E-4</v>
      </c>
      <c r="L39" s="71"/>
      <c r="M39"/>
    </row>
    <row r="40" spans="1:13" ht="25.5">
      <c r="A40"/>
      <c r="B40" s="143" t="s">
        <v>195</v>
      </c>
      <c r="C40" s="169" t="s">
        <v>272</v>
      </c>
      <c r="D40" s="172">
        <v>1485.12</v>
      </c>
      <c r="E40" s="106">
        <v>850</v>
      </c>
      <c r="F40" s="106" t="s">
        <v>194</v>
      </c>
      <c r="G40" s="107">
        <f>D55</f>
        <v>0</v>
      </c>
      <c r="H40" s="108">
        <f>G40/180</f>
        <v>0</v>
      </c>
      <c r="I40" s="131">
        <f t="shared" si="2"/>
        <v>0</v>
      </c>
      <c r="J40" s="132">
        <f t="shared" si="0"/>
        <v>0</v>
      </c>
      <c r="K40" s="71">
        <f>D40/(E40*180)</f>
        <v>9.7066666666666655E-3</v>
      </c>
      <c r="L40" s="71"/>
      <c r="M40"/>
    </row>
    <row r="41" spans="1:13" ht="21" customHeight="1">
      <c r="A41"/>
      <c r="B41" s="167" t="s">
        <v>196</v>
      </c>
      <c r="C41" s="169" t="s">
        <v>273</v>
      </c>
      <c r="D41" s="172">
        <v>3751.26</v>
      </c>
      <c r="E41" s="106">
        <v>1800</v>
      </c>
      <c r="F41" s="106" t="s">
        <v>197</v>
      </c>
      <c r="G41" s="107">
        <f>D59</f>
        <v>0</v>
      </c>
      <c r="H41" s="108">
        <f>G41</f>
        <v>0</v>
      </c>
      <c r="I41" s="131">
        <f t="shared" si="2"/>
        <v>0</v>
      </c>
      <c r="J41" s="132">
        <f t="shared" si="0"/>
        <v>0</v>
      </c>
      <c r="K41" s="71">
        <f>D41/E41</f>
        <v>2.0840333333333336</v>
      </c>
      <c r="L41" s="71"/>
      <c r="M41"/>
    </row>
    <row r="42" spans="1:13" ht="21" customHeight="1">
      <c r="A42"/>
      <c r="B42" s="192" t="s">
        <v>277</v>
      </c>
      <c r="C42" s="169" t="s">
        <v>263</v>
      </c>
      <c r="D42" s="172">
        <v>6891.39</v>
      </c>
      <c r="E42" s="106">
        <v>2500</v>
      </c>
      <c r="F42" s="106" t="s">
        <v>198</v>
      </c>
      <c r="G42" s="107">
        <f>D61</f>
        <v>0</v>
      </c>
      <c r="H42" s="108">
        <f>G42/30</f>
        <v>0</v>
      </c>
      <c r="I42" s="131">
        <f t="shared" si="2"/>
        <v>0</v>
      </c>
      <c r="J42" s="132">
        <f t="shared" si="0"/>
        <v>0</v>
      </c>
      <c r="K42" s="71">
        <f>D42/(E42*30)</f>
        <v>9.18852E-2</v>
      </c>
      <c r="L42" s="71"/>
      <c r="M42"/>
    </row>
    <row r="43" spans="1:13" ht="38.25">
      <c r="A43"/>
      <c r="B43" s="194"/>
      <c r="C43" s="169" t="s">
        <v>274</v>
      </c>
      <c r="D43" s="172">
        <v>9492.57</v>
      </c>
      <c r="E43" s="106">
        <v>2500</v>
      </c>
      <c r="F43" s="106" t="s">
        <v>198</v>
      </c>
      <c r="G43" s="107">
        <f>D61</f>
        <v>0</v>
      </c>
      <c r="H43" s="108">
        <f>G43/30</f>
        <v>0</v>
      </c>
      <c r="I43" s="131">
        <f t="shared" si="2"/>
        <v>0</v>
      </c>
      <c r="J43" s="132">
        <f t="shared" si="0"/>
        <v>0</v>
      </c>
      <c r="K43" s="71">
        <f>D43/(E43*30)</f>
        <v>0.1265676</v>
      </c>
      <c r="L43" s="71"/>
      <c r="M43"/>
    </row>
    <row r="44" spans="1:13" ht="25.5">
      <c r="A44"/>
      <c r="B44" s="193"/>
      <c r="C44" s="169" t="s">
        <v>275</v>
      </c>
      <c r="D44" s="172">
        <v>2978.57</v>
      </c>
      <c r="E44" s="106">
        <v>2500</v>
      </c>
      <c r="F44" s="106" t="s">
        <v>198</v>
      </c>
      <c r="G44" s="107">
        <f>D61</f>
        <v>0</v>
      </c>
      <c r="H44" s="108">
        <f>G44/30</f>
        <v>0</v>
      </c>
      <c r="I44" s="131">
        <f t="shared" si="2"/>
        <v>0</v>
      </c>
      <c r="J44" s="132">
        <f t="shared" si="0"/>
        <v>0</v>
      </c>
      <c r="K44" s="71">
        <f>D44/(E44*30)</f>
        <v>3.9714266666666671E-2</v>
      </c>
      <c r="L44" s="71"/>
      <c r="M44"/>
    </row>
    <row r="45" spans="1:13" ht="25.5">
      <c r="A45"/>
      <c r="B45" s="143" t="s">
        <v>199</v>
      </c>
      <c r="C45" s="169" t="s">
        <v>276</v>
      </c>
      <c r="D45" s="172">
        <v>352.04</v>
      </c>
      <c r="E45" s="106">
        <v>300</v>
      </c>
      <c r="F45" s="106" t="s">
        <v>198</v>
      </c>
      <c r="G45" s="107">
        <f>H71</f>
        <v>0</v>
      </c>
      <c r="H45" s="108">
        <f>G45</f>
        <v>0</v>
      </c>
      <c r="I45" s="131">
        <f t="shared" si="2"/>
        <v>0</v>
      </c>
      <c r="J45" s="132">
        <f>I45*12</f>
        <v>0</v>
      </c>
      <c r="K45" s="71">
        <f>D45/(E45*30)</f>
        <v>3.9115555555555556E-2</v>
      </c>
      <c r="L45" s="71"/>
      <c r="M45"/>
    </row>
    <row r="46" spans="1:13" ht="26.25" thickBot="1">
      <c r="A46"/>
      <c r="B46" s="143" t="s">
        <v>225</v>
      </c>
      <c r="C46" s="170" t="s">
        <v>200</v>
      </c>
      <c r="D46" s="173">
        <v>293.3</v>
      </c>
      <c r="E46" s="89">
        <v>360</v>
      </c>
      <c r="F46" s="89" t="s">
        <v>187</v>
      </c>
      <c r="G46" s="107">
        <f>D63</f>
        <v>0</v>
      </c>
      <c r="H46" s="108"/>
      <c r="I46" s="131"/>
      <c r="J46" s="132"/>
      <c r="K46" s="71">
        <f>D46/E46</f>
        <v>0.81472222222222224</v>
      </c>
      <c r="L46" s="71"/>
      <c r="M46"/>
    </row>
    <row r="47" spans="1:13" ht="15.75" thickBot="1">
      <c r="A47"/>
      <c r="B47" s="143" t="s">
        <v>278</v>
      </c>
      <c r="C47" s="227" t="s">
        <v>279</v>
      </c>
      <c r="D47" s="162">
        <v>308.33</v>
      </c>
      <c r="E47" s="163">
        <v>200</v>
      </c>
      <c r="F47" s="85" t="s">
        <v>187</v>
      </c>
      <c r="G47" s="107">
        <f>D65</f>
        <v>0</v>
      </c>
      <c r="H47" s="108">
        <f t="shared" ref="H47" si="3">G47</f>
        <v>0</v>
      </c>
      <c r="I47" s="131">
        <f t="shared" ref="I47" si="4">H47*D47</f>
        <v>0</v>
      </c>
      <c r="J47" s="132">
        <f t="shared" ref="J47" si="5">I47*12</f>
        <v>0</v>
      </c>
      <c r="K47" s="71">
        <f>D47/E47</f>
        <v>1.54165</v>
      </c>
      <c r="L47" s="71"/>
      <c r="M47"/>
    </row>
    <row r="48" spans="1:13" ht="30.75" customHeight="1" thickBot="1">
      <c r="A48"/>
      <c r="B48" s="71"/>
      <c r="C48" s="166" t="s">
        <v>228</v>
      </c>
      <c r="D48" s="164">
        <f>SUM(D33:D47)</f>
        <v>34504.920000000006</v>
      </c>
      <c r="E48" s="71"/>
      <c r="F48" s="71"/>
      <c r="G48" s="71"/>
      <c r="H48" s="133" t="s">
        <v>201</v>
      </c>
      <c r="I48" s="144">
        <f>SUM(I33:I47)</f>
        <v>0</v>
      </c>
      <c r="J48" s="145">
        <f>SUM(J33:J47)</f>
        <v>0</v>
      </c>
      <c r="K48" s="71">
        <f>SUM(K33:K47)</f>
        <v>12.2694001875817</v>
      </c>
      <c r="L48" s="71"/>
      <c r="M48"/>
    </row>
    <row r="49" spans="1:13">
      <c r="A49"/>
      <c r="B49" s="71"/>
      <c r="C49" s="71"/>
      <c r="D49" s="71"/>
      <c r="E49" s="98"/>
      <c r="F49" s="71"/>
      <c r="G49" s="101"/>
      <c r="H49" s="71"/>
      <c r="I49" s="71"/>
      <c r="J49" s="109"/>
      <c r="K49" s="71"/>
      <c r="L49"/>
      <c r="M49"/>
    </row>
    <row r="50" spans="1:13" ht="15">
      <c r="A50"/>
      <c r="B50" s="110" t="s">
        <v>202</v>
      </c>
      <c r="C50" s="111"/>
      <c r="D50" s="71"/>
      <c r="E50" s="71"/>
      <c r="F50" s="71"/>
      <c r="G50" s="71"/>
      <c r="H50" s="71"/>
      <c r="I50" s="101"/>
      <c r="J50" s="109"/>
      <c r="K50" s="71"/>
      <c r="L50"/>
      <c r="M50"/>
    </row>
    <row r="51" spans="1:13" ht="15.75" thickBot="1">
      <c r="A51"/>
      <c r="B51" s="71"/>
      <c r="C51" s="71"/>
      <c r="D51" s="71"/>
      <c r="E51" s="71"/>
      <c r="F51" s="71"/>
      <c r="G51" s="71"/>
      <c r="H51" s="71"/>
      <c r="I51" s="189" t="s">
        <v>266</v>
      </c>
      <c r="J51" s="189"/>
      <c r="K51" s="165">
        <f>ROUND(K48,0)</f>
        <v>12</v>
      </c>
      <c r="L51"/>
      <c r="M51"/>
    </row>
    <row r="52" spans="1:13" ht="15.75" thickBot="1">
      <c r="A52"/>
      <c r="B52" s="112" t="s">
        <v>203</v>
      </c>
      <c r="C52" s="113"/>
      <c r="D52" s="71"/>
      <c r="E52" s="71"/>
      <c r="F52" s="71"/>
      <c r="G52" s="71"/>
      <c r="H52" s="71"/>
      <c r="I52" s="71"/>
      <c r="J52" s="71"/>
      <c r="K52" s="101"/>
      <c r="L52"/>
      <c r="M52"/>
    </row>
    <row r="53" spans="1:13" ht="15" thickBot="1">
      <c r="A53"/>
      <c r="B53" s="71" t="s">
        <v>204</v>
      </c>
      <c r="C53" s="109">
        <f>SERVENTE!E145</f>
        <v>0</v>
      </c>
      <c r="D53" s="71"/>
      <c r="E53" s="71"/>
      <c r="F53" s="101"/>
      <c r="G53" s="71"/>
      <c r="H53" s="71"/>
      <c r="I53" s="71"/>
      <c r="J53" s="101"/>
      <c r="K53" s="101"/>
      <c r="L53"/>
      <c r="M53"/>
    </row>
    <row r="54" spans="1:13" ht="15" thickBot="1">
      <c r="A54"/>
      <c r="B54" s="71" t="s">
        <v>205</v>
      </c>
      <c r="C54" s="109">
        <f>ENCARREGADO!E145</f>
        <v>0</v>
      </c>
      <c r="D54" s="114" t="s">
        <v>206</v>
      </c>
      <c r="E54" s="101"/>
      <c r="F54" s="71"/>
      <c r="G54" s="71"/>
      <c r="H54" s="71"/>
      <c r="I54" s="71"/>
      <c r="J54" s="71"/>
      <c r="K54" s="71"/>
      <c r="L54"/>
      <c r="M54"/>
    </row>
    <row r="55" spans="1:13" ht="15">
      <c r="A55"/>
      <c r="B55" s="115" t="s">
        <v>207</v>
      </c>
      <c r="C55" s="116">
        <f>C53/850</f>
        <v>0</v>
      </c>
      <c r="D55" s="117">
        <f>C55+C56</f>
        <v>0</v>
      </c>
      <c r="E55" s="71"/>
      <c r="F55" s="71"/>
      <c r="G55" s="71"/>
      <c r="H55" s="71"/>
      <c r="I55" s="71"/>
      <c r="J55" s="71"/>
      <c r="K55" s="71"/>
      <c r="L55"/>
      <c r="M55"/>
    </row>
    <row r="56" spans="1:13" ht="15.75" thickBot="1">
      <c r="A56"/>
      <c r="B56" s="118"/>
      <c r="C56" s="119">
        <f>C54/($K$51*850)</f>
        <v>0</v>
      </c>
      <c r="D56" s="120"/>
      <c r="E56" s="71"/>
      <c r="F56" s="71"/>
      <c r="G56" s="71"/>
      <c r="H56" s="71"/>
      <c r="I56" s="71"/>
      <c r="J56" s="71"/>
      <c r="K56" s="71"/>
      <c r="L56"/>
      <c r="M56"/>
    </row>
    <row r="57" spans="1:13" ht="15">
      <c r="A57"/>
      <c r="B57" s="115" t="s">
        <v>208</v>
      </c>
      <c r="C57" s="116">
        <f>C53/1200</f>
        <v>0</v>
      </c>
      <c r="D57" s="117">
        <f>C57+C58</f>
        <v>0</v>
      </c>
      <c r="E57" s="71"/>
      <c r="F57" s="71"/>
      <c r="G57" s="71"/>
      <c r="H57" s="71"/>
      <c r="I57" s="71"/>
      <c r="J57" s="71"/>
      <c r="K57" s="71"/>
      <c r="L57"/>
      <c r="M57"/>
    </row>
    <row r="58" spans="1:13" ht="15.75" thickBot="1">
      <c r="A58"/>
      <c r="B58" s="118"/>
      <c r="C58" s="119">
        <f>C54/(1200*$K$51)</f>
        <v>0</v>
      </c>
      <c r="D58" s="120"/>
      <c r="E58" s="71"/>
      <c r="F58" s="71"/>
      <c r="G58" s="71"/>
      <c r="H58" s="71"/>
      <c r="I58" s="71"/>
      <c r="J58" s="71"/>
      <c r="K58" s="71"/>
      <c r="L58"/>
      <c r="M58"/>
    </row>
    <row r="59" spans="1:13" ht="15">
      <c r="A59"/>
      <c r="B59" s="115" t="s">
        <v>209</v>
      </c>
      <c r="C59" s="116">
        <f>C53/1800</f>
        <v>0</v>
      </c>
      <c r="D59" s="117">
        <f>C59+C60</f>
        <v>0</v>
      </c>
      <c r="E59" s="71"/>
      <c r="F59" s="71"/>
      <c r="G59" s="71"/>
      <c r="H59" s="71"/>
      <c r="I59" s="71"/>
      <c r="J59" s="71"/>
      <c r="K59" s="71"/>
      <c r="L59"/>
      <c r="M59"/>
    </row>
    <row r="60" spans="1:13" ht="15.75" thickBot="1">
      <c r="A60"/>
      <c r="B60" s="118"/>
      <c r="C60" s="119">
        <f>C54/(1800*$K$51)</f>
        <v>0</v>
      </c>
      <c r="D60" s="120"/>
      <c r="E60" s="71"/>
      <c r="F60" s="71"/>
      <c r="G60" s="71"/>
      <c r="H60" s="71"/>
      <c r="I60" s="71"/>
      <c r="J60" s="71"/>
      <c r="K60" s="71"/>
      <c r="L60"/>
      <c r="M60"/>
    </row>
    <row r="61" spans="1:13" ht="15">
      <c r="A61"/>
      <c r="B61" s="115" t="s">
        <v>210</v>
      </c>
      <c r="C61" s="116">
        <f>C53/2500</f>
        <v>0</v>
      </c>
      <c r="D61" s="117">
        <f>C61+C62</f>
        <v>0</v>
      </c>
      <c r="E61" s="71"/>
      <c r="F61" s="71"/>
      <c r="G61" s="71"/>
      <c r="H61" s="71"/>
      <c r="I61" s="71"/>
      <c r="J61" s="71"/>
      <c r="K61" s="71"/>
      <c r="L61"/>
      <c r="M61"/>
    </row>
    <row r="62" spans="1:13" ht="15.75" thickBot="1">
      <c r="A62"/>
      <c r="B62" s="118"/>
      <c r="C62" s="119">
        <f>C54/(2500*$K$51)</f>
        <v>0</v>
      </c>
      <c r="D62" s="120"/>
      <c r="E62" s="71"/>
      <c r="F62" s="71"/>
      <c r="G62" s="71"/>
      <c r="H62" s="71"/>
      <c r="I62" s="71"/>
      <c r="J62" s="71"/>
      <c r="K62" s="71"/>
      <c r="L62"/>
      <c r="M62"/>
    </row>
    <row r="63" spans="1:13" ht="15">
      <c r="A63"/>
      <c r="B63" s="115" t="s">
        <v>211</v>
      </c>
      <c r="C63" s="116">
        <f>C53/360</f>
        <v>0</v>
      </c>
      <c r="D63" s="117">
        <f>C63+C64</f>
        <v>0</v>
      </c>
      <c r="E63" s="71"/>
      <c r="F63" s="71"/>
      <c r="G63" s="71"/>
      <c r="H63" s="71"/>
      <c r="I63" s="71"/>
      <c r="J63" s="71"/>
      <c r="K63" s="71"/>
      <c r="L63"/>
      <c r="M63"/>
    </row>
    <row r="64" spans="1:13" ht="15.75" thickBot="1">
      <c r="A64"/>
      <c r="B64" s="118"/>
      <c r="C64" s="119">
        <f>C54/(360*$K$51)</f>
        <v>0</v>
      </c>
      <c r="D64" s="120"/>
      <c r="E64" s="71"/>
      <c r="F64" s="71"/>
      <c r="G64" s="71"/>
      <c r="H64" s="71"/>
      <c r="I64" s="71"/>
      <c r="J64" s="71"/>
      <c r="K64" s="71"/>
      <c r="L64"/>
      <c r="M64"/>
    </row>
    <row r="65" spans="1:13" ht="15">
      <c r="A65"/>
      <c r="B65" s="115" t="s">
        <v>226</v>
      </c>
      <c r="C65" s="116">
        <f>C53/200</f>
        <v>0</v>
      </c>
      <c r="D65" s="117">
        <f>C65+C66</f>
        <v>0</v>
      </c>
      <c r="E65" s="71"/>
      <c r="F65" s="71"/>
      <c r="G65" s="71"/>
      <c r="H65" s="71"/>
      <c r="I65" s="71"/>
      <c r="J65" s="71"/>
      <c r="K65" s="71"/>
      <c r="L65"/>
      <c r="M65"/>
    </row>
    <row r="66" spans="1:13" ht="15.75" thickBot="1">
      <c r="A66"/>
      <c r="B66" s="118"/>
      <c r="C66" s="119">
        <f>C54/(200*$K$51)</f>
        <v>0</v>
      </c>
      <c r="D66" s="120"/>
      <c r="E66" s="71"/>
      <c r="F66" s="71"/>
      <c r="G66" s="71"/>
      <c r="H66" s="71"/>
      <c r="I66" s="71"/>
      <c r="J66" s="71"/>
      <c r="K66" s="71"/>
      <c r="L66"/>
      <c r="M66"/>
    </row>
    <row r="67" spans="1:13" ht="15.75" thickBot="1">
      <c r="A67"/>
      <c r="B67" s="71"/>
      <c r="C67" s="121"/>
      <c r="D67" s="72"/>
      <c r="E67" s="71"/>
      <c r="F67" s="71"/>
      <c r="G67" s="71"/>
      <c r="H67" s="71"/>
      <c r="I67" s="71"/>
      <c r="J67" s="71"/>
      <c r="K67" s="71"/>
      <c r="L67"/>
      <c r="M67"/>
    </row>
    <row r="68" spans="1:13" ht="15.75" thickBot="1">
      <c r="A68"/>
      <c r="B68" s="112" t="s">
        <v>148</v>
      </c>
      <c r="C68" s="146" t="s">
        <v>10</v>
      </c>
      <c r="D68" s="146" t="s">
        <v>212</v>
      </c>
      <c r="E68" s="146" t="s">
        <v>2</v>
      </c>
      <c r="F68" s="146" t="s">
        <v>150</v>
      </c>
      <c r="G68" s="147" t="s">
        <v>151</v>
      </c>
      <c r="H68" s="187"/>
      <c r="I68" s="188"/>
      <c r="J68" s="71"/>
      <c r="K68" s="71"/>
      <c r="L68"/>
      <c r="M68"/>
    </row>
    <row r="69" spans="1:13" ht="15" thickBot="1">
      <c r="A69"/>
      <c r="B69" s="69" t="s">
        <v>144</v>
      </c>
      <c r="C69" s="134" t="s">
        <v>145</v>
      </c>
      <c r="D69" s="135">
        <v>8</v>
      </c>
      <c r="E69" s="135" t="s">
        <v>121</v>
      </c>
      <c r="F69" s="134"/>
      <c r="G69" s="136"/>
      <c r="H69" s="71"/>
      <c r="I69" s="71"/>
      <c r="J69" s="71"/>
      <c r="K69" s="71"/>
      <c r="L69"/>
      <c r="M69"/>
    </row>
    <row r="70" spans="1:13">
      <c r="A70"/>
      <c r="B70" s="94" t="s">
        <v>146</v>
      </c>
      <c r="C70" s="122" t="s">
        <v>227</v>
      </c>
      <c r="D70" s="106">
        <v>8</v>
      </c>
      <c r="E70" s="85" t="s">
        <v>121</v>
      </c>
      <c r="F70" s="122"/>
      <c r="G70" s="95"/>
      <c r="H70" s="148" t="s">
        <v>206</v>
      </c>
      <c r="I70" s="71"/>
      <c r="J70" s="71"/>
      <c r="K70" s="71"/>
      <c r="L70"/>
      <c r="M70"/>
    </row>
    <row r="71" spans="1:13" ht="15.75" thickBot="1">
      <c r="A71"/>
      <c r="B71" s="175" t="s">
        <v>213</v>
      </c>
      <c r="C71" s="123">
        <f>1/300</f>
        <v>3.3333333333333335E-3</v>
      </c>
      <c r="D71" s="122">
        <v>8</v>
      </c>
      <c r="E71" s="85">
        <f>1/188.76</f>
        <v>5.2977325704598437E-3</v>
      </c>
      <c r="F71" s="122">
        <f>C71*D71*E71</f>
        <v>1.4127286854559584E-4</v>
      </c>
      <c r="G71" s="150">
        <f>F71*C74</f>
        <v>0</v>
      </c>
      <c r="H71" s="149">
        <f>G71+G72</f>
        <v>0</v>
      </c>
      <c r="I71" s="71"/>
      <c r="J71" s="71"/>
      <c r="K71" s="71"/>
      <c r="L71"/>
      <c r="M71"/>
    </row>
    <row r="72" spans="1:13" ht="15" thickBot="1">
      <c r="A72"/>
      <c r="B72" s="176"/>
      <c r="C72" s="151">
        <f>1/(300*13)</f>
        <v>2.5641025641025641E-4</v>
      </c>
      <c r="D72" s="88">
        <v>8</v>
      </c>
      <c r="E72" s="137">
        <f>1/188.76</f>
        <v>5.2977325704598437E-3</v>
      </c>
      <c r="F72" s="88">
        <f>C72*D72*E72</f>
        <v>1.0867143734276603E-5</v>
      </c>
      <c r="G72" s="152">
        <f>C75*F72</f>
        <v>0</v>
      </c>
      <c r="H72" s="71"/>
      <c r="I72" s="71"/>
      <c r="J72" s="71"/>
      <c r="K72" s="71"/>
      <c r="L72"/>
      <c r="M72"/>
    </row>
    <row r="73" spans="1:13">
      <c r="A73"/>
      <c r="B73" s="71"/>
      <c r="C73" s="125"/>
      <c r="D73" s="71"/>
      <c r="E73" s="71"/>
      <c r="F73" s="71"/>
      <c r="G73" s="71"/>
      <c r="H73" s="71"/>
      <c r="I73" s="71"/>
      <c r="J73" s="71"/>
      <c r="K73" s="71"/>
      <c r="L73"/>
      <c r="M73"/>
    </row>
    <row r="74" spans="1:13">
      <c r="A74"/>
      <c r="B74" s="122" t="s">
        <v>214</v>
      </c>
      <c r="C74" s="126">
        <f>C53</f>
        <v>0</v>
      </c>
      <c r="D74" s="71"/>
      <c r="E74" s="71"/>
      <c r="F74" s="71"/>
      <c r="G74" s="71"/>
      <c r="H74" s="71"/>
      <c r="I74" s="71"/>
      <c r="J74" s="71"/>
      <c r="K74" s="71"/>
      <c r="L74"/>
      <c r="M74"/>
    </row>
    <row r="75" spans="1:13">
      <c r="A75"/>
      <c r="B75" s="122" t="s">
        <v>215</v>
      </c>
      <c r="C75" s="126">
        <f>C54</f>
        <v>0</v>
      </c>
      <c r="D75" s="71"/>
      <c r="E75" s="71"/>
      <c r="F75" s="71"/>
      <c r="G75" s="71"/>
      <c r="H75" s="71"/>
      <c r="I75" s="71"/>
      <c r="J75" s="71"/>
      <c r="K75" s="71"/>
      <c r="L75"/>
      <c r="M75"/>
    </row>
    <row r="76" spans="1:13">
      <c r="A76"/>
      <c r="B76" s="71"/>
      <c r="C76" s="71"/>
      <c r="D76" s="71"/>
      <c r="E76" s="71"/>
      <c r="F76" s="71"/>
      <c r="G76" s="71"/>
      <c r="H76" s="71"/>
      <c r="I76" s="71"/>
      <c r="J76" s="71"/>
      <c r="K76" s="71"/>
      <c r="L76"/>
      <c r="M76"/>
    </row>
    <row r="77" spans="1:13" ht="15" thickBot="1">
      <c r="A77"/>
      <c r="B77" s="71"/>
      <c r="C77" s="71"/>
      <c r="D77" s="71"/>
      <c r="E77" s="71"/>
      <c r="F77" s="71"/>
      <c r="G77" s="71"/>
      <c r="H77" s="71"/>
      <c r="I77" s="71"/>
      <c r="J77" s="71"/>
      <c r="K77" s="71"/>
      <c r="L77"/>
      <c r="M77"/>
    </row>
    <row r="78" spans="1:13" ht="15.75" thickBot="1">
      <c r="A78"/>
      <c r="B78" s="127" t="s">
        <v>152</v>
      </c>
      <c r="C78" s="128" t="s">
        <v>10</v>
      </c>
      <c r="D78" s="129" t="s">
        <v>153</v>
      </c>
      <c r="E78" s="128" t="s">
        <v>2</v>
      </c>
      <c r="F78" s="128" t="s">
        <v>150</v>
      </c>
      <c r="G78" s="130" t="s">
        <v>151</v>
      </c>
      <c r="H78" s="71"/>
      <c r="I78" s="71"/>
      <c r="J78" s="71"/>
      <c r="K78" s="71"/>
      <c r="L78"/>
      <c r="M78"/>
    </row>
    <row r="79" spans="1:13">
      <c r="A79"/>
      <c r="B79" s="83" t="s">
        <v>144</v>
      </c>
      <c r="C79" s="84" t="s">
        <v>145</v>
      </c>
      <c r="D79" s="85">
        <v>8</v>
      </c>
      <c r="E79" s="85" t="s">
        <v>123</v>
      </c>
      <c r="F79" s="84"/>
      <c r="G79" s="86"/>
      <c r="H79" s="114" t="s">
        <v>206</v>
      </c>
      <c r="I79" s="71"/>
      <c r="J79" s="71"/>
      <c r="K79" s="71"/>
      <c r="L79"/>
      <c r="M79"/>
    </row>
    <row r="80" spans="1:13" ht="15.75" thickBot="1">
      <c r="A80"/>
      <c r="B80" s="71" t="s">
        <v>216</v>
      </c>
      <c r="C80" s="122">
        <f>1/160</f>
        <v>6.2500000000000003E-3</v>
      </c>
      <c r="D80" s="122">
        <v>8</v>
      </c>
      <c r="E80" s="122">
        <f>1/1132.6</f>
        <v>8.8292424509977055E-4</v>
      </c>
      <c r="F80" s="122">
        <f>C80*D80*E80</f>
        <v>4.4146212254988529E-5</v>
      </c>
      <c r="G80" s="107">
        <f>F80*C74</f>
        <v>0</v>
      </c>
      <c r="H80" s="124"/>
      <c r="I80" s="71"/>
      <c r="J80" s="71"/>
      <c r="K80" s="71"/>
      <c r="L80"/>
      <c r="M80"/>
    </row>
    <row r="81" spans="1:13">
      <c r="A81"/>
      <c r="B81" s="71"/>
      <c r="C81" s="71"/>
      <c r="D81" s="71"/>
      <c r="E81" s="71"/>
      <c r="F81" s="71"/>
      <c r="G81" s="71"/>
      <c r="H81" s="71"/>
      <c r="I81" s="71"/>
      <c r="J81" s="71"/>
      <c r="K81" s="71"/>
      <c r="L81"/>
      <c r="M81"/>
    </row>
    <row r="82" spans="1:13">
      <c r="A82"/>
      <c r="B82" s="71"/>
      <c r="C82" s="71"/>
      <c r="D82" s="71"/>
      <c r="E82" s="71"/>
      <c r="F82" s="71"/>
      <c r="G82" s="71"/>
      <c r="H82" s="71"/>
      <c r="I82" s="71"/>
      <c r="J82" s="71"/>
      <c r="K82" s="71"/>
      <c r="L82"/>
      <c r="M82"/>
    </row>
    <row r="83" spans="1:13">
      <c r="A83"/>
      <c r="B83" s="71"/>
      <c r="C83" s="71"/>
      <c r="D83" s="71"/>
      <c r="E83" s="71"/>
      <c r="F83" s="71"/>
      <c r="G83" s="71"/>
      <c r="H83" s="71"/>
      <c r="I83" s="71"/>
      <c r="J83" s="71"/>
      <c r="K83" s="71"/>
      <c r="L83"/>
      <c r="M83"/>
    </row>
  </sheetData>
  <mergeCells count="10">
    <mergeCell ref="B71:B72"/>
    <mergeCell ref="K31:K32"/>
    <mergeCell ref="B3:E4"/>
    <mergeCell ref="B31:H31"/>
    <mergeCell ref="I31:J31"/>
    <mergeCell ref="H68:I68"/>
    <mergeCell ref="I51:J51"/>
    <mergeCell ref="D8:F8"/>
    <mergeCell ref="B36:B37"/>
    <mergeCell ref="B42:B44"/>
  </mergeCells>
  <phoneticPr fontId="56" type="noConversion"/>
  <pageMargins left="0.51181102362204722" right="0.51181102362204722" top="1.1811023622047243" bottom="1.1811023622047243" header="0.78740157480314954" footer="0.78740157480314954"/>
  <pageSetup paperSize="9" scale="58" fitToWidth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MJ150"/>
  <sheetViews>
    <sheetView showGridLines="0" topLeftCell="A28" zoomScale="90" zoomScaleNormal="90" workbookViewId="0">
      <selection activeCell="E145" sqref="E145"/>
    </sheetView>
  </sheetViews>
  <sheetFormatPr defaultColWidth="8.75" defaultRowHeight="12"/>
  <cols>
    <col min="1" max="1" width="6.375" style="3" customWidth="1"/>
    <col min="2" max="2" width="6.25" style="5" customWidth="1"/>
    <col min="3" max="3" width="60.5" style="5" customWidth="1"/>
    <col min="4" max="4" width="20.25" style="5" customWidth="1"/>
    <col min="5" max="5" width="21" style="6" customWidth="1"/>
    <col min="6" max="6" width="12.375" style="4" customWidth="1"/>
    <col min="7" max="7" width="8.5" style="4" customWidth="1"/>
    <col min="8" max="9" width="10.125" style="4" customWidth="1"/>
    <col min="10" max="255" width="8.5" style="4" customWidth="1"/>
    <col min="256" max="256" width="18.875" style="4" customWidth="1"/>
    <col min="257" max="257" width="17.625" style="4" customWidth="1"/>
    <col min="258" max="258" width="56.375" style="4" customWidth="1"/>
    <col min="259" max="259" width="24.875" style="4" customWidth="1"/>
    <col min="260" max="260" width="20.125" style="4" customWidth="1"/>
    <col min="261" max="261" width="11.125" style="4" customWidth="1"/>
    <col min="262" max="262" width="15.375" style="4" customWidth="1"/>
    <col min="263" max="511" width="8.5" style="4" customWidth="1"/>
    <col min="512" max="512" width="18.875" style="4" customWidth="1"/>
    <col min="513" max="513" width="17.625" style="4" customWidth="1"/>
    <col min="514" max="514" width="56.375" style="4" customWidth="1"/>
    <col min="515" max="515" width="24.875" style="4" customWidth="1"/>
    <col min="516" max="516" width="20.125" style="4" customWidth="1"/>
    <col min="517" max="517" width="11.125" style="4" customWidth="1"/>
    <col min="518" max="518" width="15.375" style="4" customWidth="1"/>
    <col min="519" max="767" width="8.5" style="4" customWidth="1"/>
    <col min="768" max="768" width="18.875" style="4" customWidth="1"/>
    <col min="769" max="769" width="17.625" style="4" customWidth="1"/>
    <col min="770" max="770" width="56.375" style="4" customWidth="1"/>
    <col min="771" max="771" width="24.875" style="4" customWidth="1"/>
    <col min="772" max="772" width="20.125" style="4" customWidth="1"/>
    <col min="773" max="773" width="11.125" style="4" customWidth="1"/>
    <col min="774" max="774" width="15.375" style="4" customWidth="1"/>
    <col min="775" max="1023" width="8.5" style="4" customWidth="1"/>
    <col min="1024" max="1024" width="18.875" style="4" customWidth="1"/>
    <col min="1025" max="16384" width="8.75" style="3"/>
  </cols>
  <sheetData>
    <row r="2" spans="2:6" ht="15">
      <c r="B2" s="219" t="s">
        <v>99</v>
      </c>
      <c r="C2" s="219"/>
      <c r="D2" s="219"/>
      <c r="E2" s="219"/>
    </row>
    <row r="3" spans="2:6">
      <c r="B3" s="220" t="s">
        <v>113</v>
      </c>
      <c r="C3" s="220"/>
      <c r="D3" s="220"/>
      <c r="E3" s="220"/>
    </row>
    <row r="4" spans="2:6" ht="12.75" thickBot="1">
      <c r="B4" s="61"/>
      <c r="C4" s="61"/>
      <c r="D4" s="61"/>
      <c r="E4" s="61"/>
    </row>
    <row r="5" spans="2:6" ht="28.5" customHeight="1" thickBot="1">
      <c r="B5" s="221" t="s">
        <v>233</v>
      </c>
      <c r="C5" s="222"/>
      <c r="D5" s="222"/>
      <c r="E5" s="223"/>
    </row>
    <row r="6" spans="2:6" ht="20.45" customHeight="1">
      <c r="B6" s="224" t="s">
        <v>100</v>
      </c>
      <c r="C6" s="225"/>
      <c r="D6" s="225"/>
      <c r="E6" s="226"/>
    </row>
    <row r="7" spans="2:6">
      <c r="B7" s="42">
        <v>1</v>
      </c>
      <c r="C7" s="43" t="s">
        <v>0</v>
      </c>
      <c r="D7" s="43"/>
      <c r="E7" s="65"/>
    </row>
    <row r="8" spans="2:6">
      <c r="B8" s="42">
        <v>2</v>
      </c>
      <c r="C8" s="43" t="s">
        <v>108</v>
      </c>
      <c r="D8" s="3"/>
      <c r="E8" s="153" t="s">
        <v>125</v>
      </c>
    </row>
    <row r="9" spans="2:6">
      <c r="B9" s="42">
        <v>3</v>
      </c>
      <c r="C9" s="43" t="s">
        <v>109</v>
      </c>
      <c r="D9" s="47"/>
      <c r="E9" s="58" t="s">
        <v>129</v>
      </c>
    </row>
    <row r="10" spans="2:6">
      <c r="B10" s="42">
        <v>4</v>
      </c>
      <c r="C10" s="43" t="s">
        <v>5</v>
      </c>
      <c r="D10" s="43"/>
      <c r="E10" s="58" t="s">
        <v>101</v>
      </c>
    </row>
    <row r="11" spans="2:6">
      <c r="B11" s="42">
        <v>5</v>
      </c>
      <c r="C11" s="43" t="s">
        <v>102</v>
      </c>
      <c r="D11" s="43"/>
      <c r="E11" s="58">
        <v>1</v>
      </c>
    </row>
    <row r="12" spans="2:6">
      <c r="B12" s="42">
        <v>6</v>
      </c>
      <c r="C12" s="43" t="s">
        <v>103</v>
      </c>
      <c r="D12" s="43"/>
      <c r="E12" s="58" t="s">
        <v>267</v>
      </c>
    </row>
    <row r="13" spans="2:6">
      <c r="B13" s="42">
        <v>7</v>
      </c>
      <c r="C13" s="43" t="s">
        <v>4</v>
      </c>
      <c r="D13" s="43"/>
      <c r="E13" s="58">
        <v>12</v>
      </c>
    </row>
    <row r="14" spans="2:6">
      <c r="B14" s="42">
        <v>8</v>
      </c>
      <c r="C14" s="43" t="s">
        <v>104</v>
      </c>
      <c r="D14" s="43"/>
      <c r="E14" s="48">
        <v>0</v>
      </c>
    </row>
    <row r="15" spans="2:6" ht="18" customHeight="1">
      <c r="B15" s="42">
        <v>9</v>
      </c>
      <c r="C15" s="43" t="s">
        <v>6</v>
      </c>
      <c r="D15" s="43"/>
      <c r="E15" s="51">
        <v>0</v>
      </c>
      <c r="F15" s="10"/>
    </row>
    <row r="16" spans="2:6">
      <c r="B16" s="42">
        <v>10</v>
      </c>
      <c r="C16" s="44" t="s">
        <v>105</v>
      </c>
      <c r="D16" s="45"/>
      <c r="E16" s="59"/>
      <c r="F16" s="11"/>
    </row>
    <row r="17" spans="2:10">
      <c r="B17" s="42">
        <v>11</v>
      </c>
      <c r="C17" s="44" t="s">
        <v>128</v>
      </c>
      <c r="D17" s="45"/>
      <c r="E17" s="59"/>
      <c r="F17" s="11"/>
    </row>
    <row r="18" spans="2:10">
      <c r="B18" s="42">
        <v>12</v>
      </c>
      <c r="C18" s="44" t="s">
        <v>106</v>
      </c>
      <c r="D18" s="45"/>
      <c r="E18" s="59"/>
      <c r="F18" s="12"/>
    </row>
    <row r="19" spans="2:10">
      <c r="B19" s="42">
        <v>13</v>
      </c>
      <c r="C19" s="44" t="s">
        <v>107</v>
      </c>
      <c r="D19" s="45"/>
      <c r="E19" s="68"/>
      <c r="F19" s="13"/>
    </row>
    <row r="20" spans="2:10">
      <c r="B20" s="46"/>
      <c r="C20" s="46"/>
      <c r="D20" s="46"/>
      <c r="E20" s="46"/>
      <c r="F20" s="13"/>
    </row>
    <row r="21" spans="2:10">
      <c r="B21" s="205" t="s">
        <v>7</v>
      </c>
      <c r="C21" s="205"/>
      <c r="D21" s="205"/>
      <c r="E21" s="205"/>
    </row>
    <row r="22" spans="2:10">
      <c r="B22" s="56">
        <v>1</v>
      </c>
      <c r="C22" s="199" t="s">
        <v>8</v>
      </c>
      <c r="D22" s="199"/>
      <c r="E22" s="56" t="s">
        <v>9</v>
      </c>
    </row>
    <row r="23" spans="2:10" ht="26.25" customHeight="1">
      <c r="B23" s="7" t="s">
        <v>10</v>
      </c>
      <c r="C23" s="216" t="s">
        <v>234</v>
      </c>
      <c r="D23" s="216"/>
      <c r="E23" s="154">
        <v>0</v>
      </c>
    </row>
    <row r="24" spans="2:10">
      <c r="B24" s="7" t="s">
        <v>1</v>
      </c>
      <c r="C24" s="216" t="s">
        <v>85</v>
      </c>
      <c r="D24" s="216"/>
      <c r="E24" s="9"/>
      <c r="G24" s="16"/>
      <c r="H24" s="49"/>
    </row>
    <row r="25" spans="2:10">
      <c r="B25" s="7" t="s">
        <v>2</v>
      </c>
      <c r="C25" s="216" t="s">
        <v>86</v>
      </c>
      <c r="D25" s="216"/>
      <c r="E25" s="9">
        <v>0</v>
      </c>
    </row>
    <row r="26" spans="2:10">
      <c r="B26" s="7" t="s">
        <v>3</v>
      </c>
      <c r="C26" s="216" t="s">
        <v>114</v>
      </c>
      <c r="D26" s="216"/>
      <c r="E26" s="9"/>
      <c r="F26" s="52"/>
      <c r="G26" s="24"/>
      <c r="H26" s="24"/>
    </row>
    <row r="27" spans="2:10" ht="21" customHeight="1">
      <c r="B27" s="7" t="s">
        <v>11</v>
      </c>
      <c r="C27" s="216" t="s">
        <v>116</v>
      </c>
      <c r="D27" s="216"/>
      <c r="E27" s="9"/>
      <c r="F27" s="24"/>
      <c r="G27" s="24"/>
      <c r="H27" s="24"/>
      <c r="J27" s="16"/>
    </row>
    <row r="28" spans="2:10">
      <c r="B28" s="7" t="s">
        <v>12</v>
      </c>
      <c r="C28" s="216" t="s">
        <v>219</v>
      </c>
      <c r="D28" s="216"/>
      <c r="E28" s="9"/>
    </row>
    <row r="29" spans="2:10">
      <c r="B29" s="7" t="s">
        <v>13</v>
      </c>
      <c r="C29" s="216" t="s">
        <v>87</v>
      </c>
      <c r="D29" s="216"/>
      <c r="E29" s="9"/>
    </row>
    <row r="30" spans="2:10">
      <c r="B30" s="7" t="s">
        <v>14</v>
      </c>
      <c r="C30" s="216" t="s">
        <v>118</v>
      </c>
      <c r="D30" s="216"/>
      <c r="E30" s="9"/>
    </row>
    <row r="31" spans="2:10">
      <c r="B31" s="7"/>
      <c r="C31" s="198"/>
      <c r="D31" s="198"/>
      <c r="E31" s="9"/>
    </row>
    <row r="32" spans="2:10">
      <c r="B32" s="14"/>
      <c r="C32" s="217" t="s">
        <v>16</v>
      </c>
      <c r="D32" s="217"/>
      <c r="E32" s="15">
        <f>SUM(E23:E31)</f>
        <v>0</v>
      </c>
    </row>
    <row r="33" spans="2:9" ht="20.45" customHeight="1">
      <c r="B33" s="218" t="s">
        <v>130</v>
      </c>
      <c r="C33" s="218"/>
      <c r="D33" s="218"/>
      <c r="E33" s="218"/>
    </row>
    <row r="34" spans="2:9" ht="12.6" customHeight="1">
      <c r="B34" s="63"/>
      <c r="C34" s="63"/>
      <c r="D34" s="63"/>
      <c r="E34" s="63"/>
    </row>
    <row r="35" spans="2:9">
      <c r="B35" s="210" t="s">
        <v>17</v>
      </c>
      <c r="C35" s="210"/>
      <c r="D35" s="210"/>
      <c r="E35" s="210"/>
    </row>
    <row r="36" spans="2:9">
      <c r="B36" s="208" t="s">
        <v>18</v>
      </c>
      <c r="C36" s="208"/>
      <c r="D36" s="208"/>
    </row>
    <row r="37" spans="2:9">
      <c r="B37" s="56" t="s">
        <v>19</v>
      </c>
      <c r="C37" s="199" t="s">
        <v>20</v>
      </c>
      <c r="D37" s="199"/>
      <c r="E37" s="56" t="s">
        <v>9</v>
      </c>
    </row>
    <row r="38" spans="2:9">
      <c r="B38" s="7" t="s">
        <v>10</v>
      </c>
      <c r="C38" s="17" t="s">
        <v>88</v>
      </c>
      <c r="D38" s="18">
        <f>1/12</f>
        <v>8.3333333333333329E-2</v>
      </c>
      <c r="E38" s="9">
        <f>$E$32*D38</f>
        <v>0</v>
      </c>
    </row>
    <row r="39" spans="2:9">
      <c r="B39" s="7" t="s">
        <v>1</v>
      </c>
      <c r="C39" s="17" t="s">
        <v>229</v>
      </c>
      <c r="D39" s="18">
        <v>2.7799999999999998E-2</v>
      </c>
      <c r="E39" s="9">
        <f>$E$32*D39</f>
        <v>0</v>
      </c>
    </row>
    <row r="40" spans="2:9" ht="16.5" customHeight="1">
      <c r="B40" s="203" t="s">
        <v>21</v>
      </c>
      <c r="C40" s="203"/>
      <c r="D40" s="203"/>
      <c r="E40" s="19">
        <f>SUM(E38:E39)</f>
        <v>0</v>
      </c>
    </row>
    <row r="41" spans="2:9" ht="24">
      <c r="B41" s="7" t="s">
        <v>2</v>
      </c>
      <c r="C41" s="17" t="s">
        <v>89</v>
      </c>
      <c r="D41" s="18">
        <f>D54</f>
        <v>0.39800000000000008</v>
      </c>
      <c r="E41" s="9">
        <f>(E38+E39)*D54</f>
        <v>0</v>
      </c>
    </row>
    <row r="42" spans="2:9" ht="16.5" customHeight="1">
      <c r="B42" s="199" t="s">
        <v>22</v>
      </c>
      <c r="C42" s="199"/>
      <c r="D42" s="199"/>
      <c r="E42" s="15">
        <f>E40+E41</f>
        <v>0</v>
      </c>
    </row>
    <row r="43" spans="2:9" ht="16.5" customHeight="1">
      <c r="B43" s="63"/>
      <c r="C43" s="63"/>
      <c r="D43" s="63"/>
      <c r="E43" s="63"/>
    </row>
    <row r="44" spans="2:9" ht="16.5" customHeight="1">
      <c r="B44" s="209" t="s">
        <v>23</v>
      </c>
      <c r="C44" s="209"/>
      <c r="D44" s="209"/>
      <c r="E44" s="209"/>
    </row>
    <row r="45" spans="2:9" ht="25.5" customHeight="1">
      <c r="B45" s="56" t="s">
        <v>24</v>
      </c>
      <c r="C45" s="20" t="s">
        <v>25</v>
      </c>
      <c r="D45" s="56" t="s">
        <v>26</v>
      </c>
      <c r="E45" s="56" t="s">
        <v>9</v>
      </c>
    </row>
    <row r="46" spans="2:9" ht="28.9" customHeight="1">
      <c r="B46" s="7" t="s">
        <v>10</v>
      </c>
      <c r="C46" s="17" t="s">
        <v>84</v>
      </c>
      <c r="D46" s="18">
        <v>0.2</v>
      </c>
      <c r="E46" s="9">
        <f>D46*($E$32)</f>
        <v>0</v>
      </c>
      <c r="I46" s="22"/>
    </row>
    <row r="47" spans="2:9" ht="16.5" customHeight="1">
      <c r="B47" s="7" t="s">
        <v>1</v>
      </c>
      <c r="C47" s="17" t="s">
        <v>27</v>
      </c>
      <c r="D47" s="18">
        <v>2.5000000000000001E-2</v>
      </c>
      <c r="E47" s="9">
        <f t="shared" ref="E47:E52" si="0">D47*$E$32</f>
        <v>0</v>
      </c>
    </row>
    <row r="48" spans="2:9" ht="16.5" customHeight="1">
      <c r="B48" s="7" t="s">
        <v>2</v>
      </c>
      <c r="C48" s="17" t="s">
        <v>80</v>
      </c>
      <c r="D48" s="21">
        <v>0.06</v>
      </c>
      <c r="E48" s="9">
        <f t="shared" si="0"/>
        <v>0</v>
      </c>
      <c r="G48" s="60"/>
    </row>
    <row r="49" spans="2:8" ht="26.45" customHeight="1">
      <c r="B49" s="7" t="s">
        <v>3</v>
      </c>
      <c r="C49" s="17" t="s">
        <v>28</v>
      </c>
      <c r="D49" s="18">
        <v>1.4999999999999999E-2</v>
      </c>
      <c r="E49" s="9">
        <f>D49*$E$32</f>
        <v>0</v>
      </c>
    </row>
    <row r="50" spans="2:8" ht="16.5" customHeight="1">
      <c r="B50" s="7" t="s">
        <v>11</v>
      </c>
      <c r="C50" s="17" t="s">
        <v>79</v>
      </c>
      <c r="D50" s="18">
        <v>0.01</v>
      </c>
      <c r="E50" s="9">
        <f t="shared" si="0"/>
        <v>0</v>
      </c>
    </row>
    <row r="51" spans="2:8">
      <c r="B51" s="7" t="s">
        <v>12</v>
      </c>
      <c r="C51" s="17" t="s">
        <v>29</v>
      </c>
      <c r="D51" s="18">
        <v>6.0000000000000001E-3</v>
      </c>
      <c r="E51" s="9">
        <f t="shared" si="0"/>
        <v>0</v>
      </c>
    </row>
    <row r="52" spans="2:8">
      <c r="B52" s="7" t="s">
        <v>13</v>
      </c>
      <c r="C52" s="17" t="s">
        <v>30</v>
      </c>
      <c r="D52" s="18">
        <v>2E-3</v>
      </c>
      <c r="E52" s="9">
        <f t="shared" si="0"/>
        <v>0</v>
      </c>
    </row>
    <row r="53" spans="2:8" ht="16.5" customHeight="1">
      <c r="B53" s="7" t="s">
        <v>14</v>
      </c>
      <c r="C53" s="17" t="s">
        <v>31</v>
      </c>
      <c r="D53" s="18">
        <v>0.08</v>
      </c>
      <c r="E53" s="9">
        <f>D53*$E$32</f>
        <v>0</v>
      </c>
    </row>
    <row r="54" spans="2:8" ht="16.5" customHeight="1">
      <c r="B54" s="14"/>
      <c r="C54" s="20" t="s">
        <v>32</v>
      </c>
      <c r="D54" s="21">
        <f>SUM(D46:D53)</f>
        <v>0.39800000000000008</v>
      </c>
      <c r="E54" s="15">
        <f>SUM(E46:E53)</f>
        <v>0</v>
      </c>
      <c r="G54" s="60"/>
    </row>
    <row r="55" spans="2:8" ht="16.5" customHeight="1">
      <c r="B55" s="3"/>
      <c r="C55" s="4"/>
      <c r="D55" s="4"/>
    </row>
    <row r="56" spans="2:8" ht="16.5" customHeight="1">
      <c r="B56" s="208" t="s">
        <v>33</v>
      </c>
      <c r="C56" s="208"/>
      <c r="D56" s="208"/>
    </row>
    <row r="57" spans="2:8" ht="16.5" customHeight="1">
      <c r="B57" s="56" t="s">
        <v>38</v>
      </c>
      <c r="C57" s="211" t="s">
        <v>34</v>
      </c>
      <c r="D57" s="212"/>
      <c r="E57" s="56" t="s">
        <v>9</v>
      </c>
    </row>
    <row r="58" spans="2:8" ht="12" customHeight="1">
      <c r="B58" s="7" t="s">
        <v>10</v>
      </c>
      <c r="C58" s="213" t="s">
        <v>220</v>
      </c>
      <c r="D58" s="214"/>
      <c r="E58" s="62">
        <f>(0*26*2)-(E23*6%)</f>
        <v>0</v>
      </c>
    </row>
    <row r="59" spans="2:8">
      <c r="B59" s="7" t="s">
        <v>1</v>
      </c>
      <c r="C59" s="213" t="s">
        <v>221</v>
      </c>
      <c r="D59" s="214"/>
      <c r="E59" s="9">
        <f>0*26</f>
        <v>0</v>
      </c>
      <c r="F59" s="66"/>
      <c r="G59" s="16"/>
    </row>
    <row r="60" spans="2:8" ht="16.5" customHeight="1">
      <c r="B60" s="7" t="s">
        <v>2</v>
      </c>
      <c r="C60" s="215" t="s">
        <v>222</v>
      </c>
      <c r="D60" s="215"/>
      <c r="E60" s="53"/>
    </row>
    <row r="61" spans="2:8" ht="16.5" customHeight="1">
      <c r="B61" s="7" t="s">
        <v>3</v>
      </c>
      <c r="C61" s="216" t="s">
        <v>230</v>
      </c>
      <c r="D61" s="216"/>
      <c r="E61" s="9"/>
      <c r="F61" s="24"/>
    </row>
    <row r="62" spans="2:8">
      <c r="B62" s="7" t="s">
        <v>11</v>
      </c>
      <c r="C62" s="216" t="s">
        <v>231</v>
      </c>
      <c r="D62" s="216"/>
      <c r="E62" s="9"/>
    </row>
    <row r="63" spans="2:8">
      <c r="B63" s="7" t="s">
        <v>12</v>
      </c>
      <c r="C63" s="64" t="s">
        <v>231</v>
      </c>
      <c r="D63" s="64"/>
      <c r="E63" s="9"/>
    </row>
    <row r="64" spans="2:8" ht="27" customHeight="1">
      <c r="B64" s="7" t="s">
        <v>13</v>
      </c>
      <c r="C64" s="216" t="s">
        <v>115</v>
      </c>
      <c r="D64" s="216"/>
      <c r="E64" s="9"/>
      <c r="H64" s="41"/>
    </row>
    <row r="65" spans="2:7">
      <c r="B65" s="199" t="s">
        <v>35</v>
      </c>
      <c r="C65" s="199"/>
      <c r="D65" s="199"/>
      <c r="E65" s="15">
        <f>SUM(E58:E64)</f>
        <v>0</v>
      </c>
    </row>
    <row r="66" spans="2:7">
      <c r="B66" s="197" t="s">
        <v>131</v>
      </c>
      <c r="C66" s="197"/>
      <c r="D66" s="197"/>
      <c r="E66" s="197"/>
    </row>
    <row r="67" spans="2:7" ht="31.15" customHeight="1">
      <c r="B67" s="196" t="s">
        <v>132</v>
      </c>
      <c r="C67" s="196"/>
      <c r="D67" s="196"/>
      <c r="E67" s="196"/>
    </row>
    <row r="68" spans="2:7">
      <c r="B68" s="4"/>
      <c r="C68" s="4"/>
      <c r="D68" s="4"/>
    </row>
    <row r="69" spans="2:7">
      <c r="B69" s="208" t="s">
        <v>36</v>
      </c>
      <c r="C69" s="208"/>
      <c r="D69" s="208"/>
    </row>
    <row r="70" spans="2:7" ht="16.5" customHeight="1">
      <c r="B70" s="56">
        <v>2</v>
      </c>
      <c r="C70" s="199" t="s">
        <v>37</v>
      </c>
      <c r="D70" s="199"/>
      <c r="E70" s="56" t="s">
        <v>9</v>
      </c>
    </row>
    <row r="71" spans="2:7" ht="29.45" customHeight="1">
      <c r="B71" s="7" t="s">
        <v>19</v>
      </c>
      <c r="C71" s="198" t="s">
        <v>20</v>
      </c>
      <c r="D71" s="198"/>
      <c r="E71" s="9">
        <f>E42</f>
        <v>0</v>
      </c>
    </row>
    <row r="72" spans="2:7" ht="16.5" customHeight="1">
      <c r="B72" s="7" t="s">
        <v>24</v>
      </c>
      <c r="C72" s="198" t="s">
        <v>25</v>
      </c>
      <c r="D72" s="198"/>
      <c r="E72" s="9">
        <f>E54</f>
        <v>0</v>
      </c>
    </row>
    <row r="73" spans="2:7" ht="21.6" customHeight="1">
      <c r="B73" s="7" t="s">
        <v>38</v>
      </c>
      <c r="C73" s="198" t="s">
        <v>34</v>
      </c>
      <c r="D73" s="198"/>
      <c r="E73" s="9">
        <f>E65</f>
        <v>0</v>
      </c>
    </row>
    <row r="74" spans="2:7">
      <c r="B74" s="199" t="s">
        <v>39</v>
      </c>
      <c r="C74" s="199"/>
      <c r="D74" s="199"/>
      <c r="E74" s="15">
        <f>SUM(E71:E73)</f>
        <v>0</v>
      </c>
    </row>
    <row r="75" spans="2:7">
      <c r="B75" s="4"/>
      <c r="C75" s="4"/>
      <c r="D75" s="4"/>
      <c r="G75" s="55"/>
    </row>
    <row r="76" spans="2:7" ht="26.25" customHeight="1">
      <c r="B76" s="209" t="s">
        <v>40</v>
      </c>
      <c r="C76" s="209"/>
      <c r="D76" s="209"/>
      <c r="E76" s="209"/>
    </row>
    <row r="77" spans="2:7" ht="39" customHeight="1">
      <c r="B77" s="56">
        <v>3</v>
      </c>
      <c r="C77" s="199" t="s">
        <v>41</v>
      </c>
      <c r="D77" s="199"/>
      <c r="E77" s="56" t="s">
        <v>9</v>
      </c>
    </row>
    <row r="78" spans="2:7">
      <c r="B78" s="7" t="s">
        <v>10</v>
      </c>
      <c r="C78" s="23" t="s">
        <v>126</v>
      </c>
      <c r="D78" s="54">
        <f>((1/12)*5.55%)</f>
        <v>4.6249999999999998E-3</v>
      </c>
      <c r="E78" s="9">
        <f>$E$32*D78</f>
        <v>0</v>
      </c>
      <c r="F78" s="52"/>
    </row>
    <row r="79" spans="2:7" ht="24">
      <c r="B79" s="7" t="s">
        <v>1</v>
      </c>
      <c r="C79" s="17" t="s">
        <v>90</v>
      </c>
      <c r="D79" s="54">
        <f>D78*D53</f>
        <v>3.6999999999999999E-4</v>
      </c>
      <c r="E79" s="9">
        <f>D79*E32</f>
        <v>0</v>
      </c>
      <c r="F79" s="52"/>
    </row>
    <row r="80" spans="2:7" ht="16.5" customHeight="1">
      <c r="B80" s="7" t="s">
        <v>2</v>
      </c>
      <c r="C80" s="23" t="s">
        <v>91</v>
      </c>
      <c r="D80" s="54">
        <v>1.9400000000000001E-2</v>
      </c>
      <c r="E80" s="9">
        <f>E32*D80</f>
        <v>0</v>
      </c>
      <c r="F80" s="52"/>
    </row>
    <row r="81" spans="2:6" ht="24">
      <c r="B81" s="7" t="s">
        <v>3</v>
      </c>
      <c r="C81" s="23" t="s">
        <v>92</v>
      </c>
      <c r="D81" s="18">
        <f>D80*D54</f>
        <v>7.7212000000000018E-3</v>
      </c>
      <c r="E81" s="9">
        <f>E32*D81</f>
        <v>0</v>
      </c>
      <c r="F81" s="52"/>
    </row>
    <row r="82" spans="2:6" ht="24">
      <c r="B82" s="7" t="s">
        <v>11</v>
      </c>
      <c r="C82" s="25" t="s">
        <v>112</v>
      </c>
      <c r="D82" s="18">
        <f>((D80)*0.08)*0.4</f>
        <v>6.2080000000000002E-4</v>
      </c>
      <c r="E82" s="9">
        <f>D82*E32</f>
        <v>0</v>
      </c>
      <c r="F82" s="52"/>
    </row>
    <row r="83" spans="2:6">
      <c r="B83" s="7" t="s">
        <v>12</v>
      </c>
      <c r="C83" s="25" t="s">
        <v>127</v>
      </c>
      <c r="D83" s="18">
        <f>(((1+2/12+((1/3)/12))*0.08)*0.4)*0.9</f>
        <v>3.4400000000000007E-2</v>
      </c>
      <c r="E83" s="9">
        <f>D83*E32</f>
        <v>0</v>
      </c>
      <c r="F83" s="52"/>
    </row>
    <row r="84" spans="2:6">
      <c r="B84" s="199" t="s">
        <v>42</v>
      </c>
      <c r="C84" s="199"/>
      <c r="D84" s="199"/>
      <c r="E84" s="15">
        <f>SUM(E78+E79+E80+E81+E83)</f>
        <v>0</v>
      </c>
    </row>
    <row r="85" spans="2:6" ht="28.9" customHeight="1">
      <c r="B85" s="207" t="s">
        <v>111</v>
      </c>
      <c r="C85" s="207"/>
      <c r="D85" s="207"/>
      <c r="E85" s="207"/>
    </row>
    <row r="86" spans="2:6" ht="15.75" customHeight="1">
      <c r="B86" s="210" t="s">
        <v>43</v>
      </c>
      <c r="C86" s="210"/>
      <c r="D86" s="210"/>
      <c r="E86" s="210"/>
    </row>
    <row r="87" spans="2:6">
      <c r="B87" s="208" t="s">
        <v>44</v>
      </c>
      <c r="C87" s="208"/>
      <c r="D87" s="208"/>
    </row>
    <row r="88" spans="2:6">
      <c r="B88" s="56" t="s">
        <v>45</v>
      </c>
      <c r="C88" s="199" t="s">
        <v>46</v>
      </c>
      <c r="D88" s="199"/>
      <c r="E88" s="56" t="s">
        <v>9</v>
      </c>
    </row>
    <row r="89" spans="2:6">
      <c r="B89" s="7" t="s">
        <v>10</v>
      </c>
      <c r="C89" s="23" t="s">
        <v>235</v>
      </c>
      <c r="D89" s="18">
        <v>8.3299999999999999E-2</v>
      </c>
      <c r="E89" s="9">
        <f>E32*D89</f>
        <v>0</v>
      </c>
      <c r="F89" s="52"/>
    </row>
    <row r="90" spans="2:6">
      <c r="B90" s="7" t="s">
        <v>1</v>
      </c>
      <c r="C90" s="23" t="s">
        <v>120</v>
      </c>
      <c r="D90" s="26">
        <f>1/30/12*3</f>
        <v>8.3333333333333332E-3</v>
      </c>
      <c r="E90" s="9">
        <f>SUM(E32,E40,E65,E84)*D90</f>
        <v>0</v>
      </c>
      <c r="F90" s="52"/>
    </row>
    <row r="91" spans="2:6">
      <c r="B91" s="7" t="s">
        <v>2</v>
      </c>
      <c r="C91" s="23" t="s">
        <v>137</v>
      </c>
      <c r="D91" s="26">
        <f>((1/30/12)*20)*0.02</f>
        <v>1.1111111111111111E-3</v>
      </c>
      <c r="E91" s="9">
        <f>SUM(E32,E40,E65,E84)*D91</f>
        <v>0</v>
      </c>
      <c r="F91" s="52"/>
    </row>
    <row r="92" spans="2:6">
      <c r="B92" s="7" t="s">
        <v>3</v>
      </c>
      <c r="C92" s="23" t="s">
        <v>93</v>
      </c>
      <c r="D92" s="26">
        <f>((1/30/12)*30)*0.08</f>
        <v>6.666666666666668E-3</v>
      </c>
      <c r="E92" s="9">
        <f>SUM(E32,E40,E65,E84)*D92</f>
        <v>0</v>
      </c>
      <c r="F92" s="52"/>
    </row>
    <row r="93" spans="2:6" ht="24">
      <c r="B93" s="7" t="s">
        <v>11</v>
      </c>
      <c r="C93" s="23" t="s">
        <v>94</v>
      </c>
      <c r="D93" s="26">
        <f>((1/30/12)*5)*0.4</f>
        <v>5.5555555555555566E-3</v>
      </c>
      <c r="E93" s="9">
        <f>SUM(E32,E40,E65,E84)*D93</f>
        <v>0</v>
      </c>
      <c r="F93" s="52"/>
    </row>
    <row r="94" spans="2:6" ht="24">
      <c r="B94" s="7" t="s">
        <v>12</v>
      </c>
      <c r="C94" s="23" t="s">
        <v>95</v>
      </c>
      <c r="D94" s="26">
        <f>D54</f>
        <v>0.39800000000000008</v>
      </c>
      <c r="E94" s="9">
        <f>SUM(E89:E93)*D94</f>
        <v>0</v>
      </c>
      <c r="F94" s="52"/>
    </row>
    <row r="95" spans="2:6" ht="24">
      <c r="B95" s="7" t="s">
        <v>13</v>
      </c>
      <c r="C95" s="25" t="s">
        <v>96</v>
      </c>
      <c r="D95" s="26">
        <f>(((1+(1/3))*(4/12))/12)*0.01416</f>
        <v>5.2444444444444446E-4</v>
      </c>
      <c r="E95" s="9">
        <f>E32*D95</f>
        <v>0</v>
      </c>
      <c r="F95" s="52"/>
    </row>
    <row r="96" spans="2:6" ht="24">
      <c r="B96" s="7" t="s">
        <v>14</v>
      </c>
      <c r="C96" s="25" t="s">
        <v>97</v>
      </c>
      <c r="D96" s="26">
        <f>D54</f>
        <v>0.39800000000000008</v>
      </c>
      <c r="E96" s="9">
        <f>D96*E95</f>
        <v>0</v>
      </c>
      <c r="F96" s="52"/>
    </row>
    <row r="97" spans="2:6" ht="36">
      <c r="B97" s="7" t="s">
        <v>15</v>
      </c>
      <c r="C97" s="25" t="s">
        <v>98</v>
      </c>
      <c r="D97" s="26">
        <f>D54</f>
        <v>0.39800000000000008</v>
      </c>
      <c r="E97" s="9">
        <f>(((E32+(E32/12))*(4/12))*0.01416)*D54</f>
        <v>0</v>
      </c>
      <c r="F97" s="52"/>
    </row>
    <row r="98" spans="2:6">
      <c r="B98" s="199" t="s">
        <v>78</v>
      </c>
      <c r="C98" s="199"/>
      <c r="D98" s="199"/>
      <c r="E98" s="15">
        <f>SUM(E89:E97)</f>
        <v>0</v>
      </c>
      <c r="F98" s="67"/>
    </row>
    <row r="99" spans="2:6" ht="16.5" customHeight="1">
      <c r="B99" s="207" t="s">
        <v>133</v>
      </c>
      <c r="C99" s="207"/>
      <c r="D99" s="207"/>
      <c r="E99" s="207"/>
    </row>
    <row r="100" spans="2:6" ht="31.15" customHeight="1">
      <c r="B100" s="195" t="s">
        <v>134</v>
      </c>
      <c r="C100" s="195"/>
      <c r="D100" s="195"/>
      <c r="E100" s="195"/>
    </row>
    <row r="101" spans="2:6" ht="16.5" customHeight="1">
      <c r="B101" s="208" t="s">
        <v>47</v>
      </c>
      <c r="C101" s="208"/>
      <c r="D101" s="208"/>
    </row>
    <row r="102" spans="2:6" ht="16.5" customHeight="1">
      <c r="B102" s="56" t="s">
        <v>48</v>
      </c>
      <c r="C102" s="199" t="s">
        <v>49</v>
      </c>
      <c r="D102" s="199"/>
      <c r="E102" s="56" t="s">
        <v>9</v>
      </c>
    </row>
    <row r="103" spans="2:6">
      <c r="B103" s="7" t="s">
        <v>10</v>
      </c>
      <c r="C103" s="17" t="s">
        <v>81</v>
      </c>
      <c r="D103" s="26">
        <f>(((1/220)*1)*21)/1</f>
        <v>9.5454545454545445E-2</v>
      </c>
      <c r="E103" s="9"/>
    </row>
    <row r="104" spans="2:6">
      <c r="B104" s="199" t="s">
        <v>50</v>
      </c>
      <c r="C104" s="199"/>
      <c r="D104" s="199"/>
      <c r="E104" s="15">
        <f>SUM(E103:E103)</f>
        <v>0</v>
      </c>
    </row>
    <row r="105" spans="2:6">
      <c r="B105" s="4"/>
      <c r="C105" s="4"/>
      <c r="D105" s="4"/>
    </row>
    <row r="106" spans="2:6">
      <c r="B106" s="208" t="s">
        <v>51</v>
      </c>
      <c r="C106" s="208"/>
      <c r="D106" s="208"/>
    </row>
    <row r="107" spans="2:6">
      <c r="B107" s="56">
        <v>4</v>
      </c>
      <c r="C107" s="199" t="s">
        <v>37</v>
      </c>
      <c r="D107" s="199"/>
      <c r="E107" s="56" t="s">
        <v>9</v>
      </c>
    </row>
    <row r="108" spans="2:6">
      <c r="B108" s="7" t="s">
        <v>45</v>
      </c>
      <c r="C108" s="198" t="s">
        <v>52</v>
      </c>
      <c r="D108" s="198"/>
      <c r="E108" s="9">
        <f>E98</f>
        <v>0</v>
      </c>
    </row>
    <row r="109" spans="2:6">
      <c r="B109" s="7" t="s">
        <v>48</v>
      </c>
      <c r="C109" s="198" t="s">
        <v>81</v>
      </c>
      <c r="D109" s="198"/>
      <c r="E109" s="9">
        <f>E104</f>
        <v>0</v>
      </c>
    </row>
    <row r="110" spans="2:6">
      <c r="B110" s="199" t="s">
        <v>39</v>
      </c>
      <c r="C110" s="199"/>
      <c r="D110" s="199"/>
      <c r="E110" s="15">
        <f>E108+E109</f>
        <v>0</v>
      </c>
    </row>
    <row r="111" spans="2:6">
      <c r="B111" s="4"/>
      <c r="C111" s="4"/>
      <c r="D111" s="4"/>
    </row>
    <row r="112" spans="2:6">
      <c r="B112" s="205" t="s">
        <v>53</v>
      </c>
      <c r="C112" s="205"/>
      <c r="D112" s="205"/>
      <c r="E112" s="205"/>
    </row>
    <row r="113" spans="2:6">
      <c r="B113" s="56">
        <v>5</v>
      </c>
      <c r="C113" s="199" t="s">
        <v>54</v>
      </c>
      <c r="D113" s="199"/>
      <c r="E113" s="56" t="s">
        <v>9</v>
      </c>
      <c r="F113" s="37"/>
    </row>
    <row r="114" spans="2:6">
      <c r="B114" s="7" t="s">
        <v>10</v>
      </c>
      <c r="C114" s="198" t="s">
        <v>139</v>
      </c>
      <c r="D114" s="198"/>
      <c r="E114" s="9">
        <v>0</v>
      </c>
    </row>
    <row r="115" spans="2:6">
      <c r="B115" s="7" t="s">
        <v>1</v>
      </c>
      <c r="C115" s="198" t="s">
        <v>138</v>
      </c>
      <c r="D115" s="198"/>
      <c r="E115" s="9">
        <v>0</v>
      </c>
    </row>
    <row r="116" spans="2:6">
      <c r="B116" s="7" t="s">
        <v>2</v>
      </c>
      <c r="C116" s="198" t="s">
        <v>140</v>
      </c>
      <c r="D116" s="198"/>
      <c r="E116" s="9">
        <v>0</v>
      </c>
    </row>
    <row r="117" spans="2:6">
      <c r="B117" s="7" t="s">
        <v>3</v>
      </c>
      <c r="C117" s="198" t="s">
        <v>141</v>
      </c>
      <c r="D117" s="198"/>
      <c r="E117" s="9">
        <v>0</v>
      </c>
    </row>
    <row r="118" spans="2:6">
      <c r="B118" s="7" t="s">
        <v>11</v>
      </c>
      <c r="C118" s="198" t="s">
        <v>110</v>
      </c>
      <c r="D118" s="198"/>
      <c r="E118" s="9"/>
    </row>
    <row r="119" spans="2:6" ht="26.25" customHeight="1">
      <c r="B119" s="199" t="s">
        <v>55</v>
      </c>
      <c r="C119" s="199"/>
      <c r="D119" s="199"/>
      <c r="E119" s="15">
        <f>SUM(E114:E118)</f>
        <v>0</v>
      </c>
    </row>
    <row r="120" spans="2:6" ht="16.5" customHeight="1">
      <c r="B120" s="4"/>
      <c r="C120" s="4"/>
      <c r="D120" s="4"/>
    </row>
    <row r="121" spans="2:6" ht="16.5" customHeight="1">
      <c r="B121" s="200" t="s">
        <v>56</v>
      </c>
      <c r="C121" s="200"/>
      <c r="D121" s="200"/>
      <c r="E121" s="200"/>
    </row>
    <row r="122" spans="2:6" ht="16.5" customHeight="1">
      <c r="B122" s="56">
        <v>6</v>
      </c>
      <c r="C122" s="20" t="s">
        <v>57</v>
      </c>
      <c r="D122" s="56" t="s">
        <v>58</v>
      </c>
      <c r="E122" s="27" t="s">
        <v>9</v>
      </c>
    </row>
    <row r="123" spans="2:6" ht="16.5" customHeight="1">
      <c r="B123" s="7" t="s">
        <v>10</v>
      </c>
      <c r="C123" s="17" t="s">
        <v>59</v>
      </c>
      <c r="D123" s="30">
        <v>0</v>
      </c>
      <c r="E123" s="57">
        <f>E143*D123</f>
        <v>0</v>
      </c>
    </row>
    <row r="124" spans="2:6" ht="16.5" customHeight="1">
      <c r="B124" s="7" t="s">
        <v>1</v>
      </c>
      <c r="C124" s="28" t="s">
        <v>60</v>
      </c>
      <c r="D124" s="29">
        <v>0</v>
      </c>
      <c r="E124" s="57">
        <f>(E143+E123)*D124</f>
        <v>0</v>
      </c>
    </row>
    <row r="125" spans="2:6" ht="16.5" customHeight="1">
      <c r="B125" s="201" t="s">
        <v>2</v>
      </c>
      <c r="C125" s="17" t="s">
        <v>61</v>
      </c>
      <c r="D125" s="30"/>
      <c r="E125" s="57"/>
    </row>
    <row r="126" spans="2:6" ht="16.5" customHeight="1">
      <c r="B126" s="201"/>
      <c r="C126" s="31" t="s">
        <v>83</v>
      </c>
      <c r="D126" s="32"/>
      <c r="E126" s="33"/>
    </row>
    <row r="127" spans="2:6">
      <c r="B127" s="201"/>
      <c r="C127" s="17" t="s">
        <v>62</v>
      </c>
      <c r="D127" s="30">
        <v>0</v>
      </c>
      <c r="E127" s="57">
        <f>($E$123+$E$124+$E$143)/(1-($D$127+$D$128+$D$130))*D127</f>
        <v>0</v>
      </c>
    </row>
    <row r="128" spans="2:6">
      <c r="B128" s="201"/>
      <c r="C128" s="34" t="s">
        <v>63</v>
      </c>
      <c r="D128" s="29">
        <v>0</v>
      </c>
      <c r="E128" s="57">
        <f>($E$123+$E$124+$E$143)/(1-($D$127+$D$128+$D$130))*D128</f>
        <v>0</v>
      </c>
    </row>
    <row r="129" spans="2:5">
      <c r="B129" s="201"/>
      <c r="C129" s="17" t="s">
        <v>82</v>
      </c>
      <c r="D129" s="35"/>
      <c r="E129" s="36" t="str">
        <f>IF(D129="","",(E143+E123+E124+E130)*D129)</f>
        <v/>
      </c>
    </row>
    <row r="130" spans="2:5">
      <c r="B130" s="201"/>
      <c r="C130" s="38" t="s">
        <v>64</v>
      </c>
      <c r="D130" s="202">
        <v>0</v>
      </c>
      <c r="E130" s="206">
        <f>($E$123+$E$124+$E$143)/(1-($D$127+$D$128+$D$130))*D130</f>
        <v>0</v>
      </c>
    </row>
    <row r="131" spans="2:5">
      <c r="B131" s="201"/>
      <c r="C131" s="34" t="s">
        <v>65</v>
      </c>
      <c r="D131" s="202"/>
      <c r="E131" s="206"/>
    </row>
    <row r="132" spans="2:5">
      <c r="B132" s="199" t="s">
        <v>66</v>
      </c>
      <c r="C132" s="199"/>
      <c r="D132" s="56"/>
      <c r="E132" s="39">
        <f>SUM(E123:E131)</f>
        <v>0</v>
      </c>
    </row>
    <row r="133" spans="2:5">
      <c r="B133" s="195" t="s">
        <v>135</v>
      </c>
      <c r="C133" s="195"/>
      <c r="D133" s="195"/>
      <c r="E133" s="195"/>
    </row>
    <row r="134" spans="2:5">
      <c r="B134" s="195" t="s">
        <v>136</v>
      </c>
      <c r="C134" s="195"/>
      <c r="D134" s="195"/>
      <c r="E134" s="195"/>
    </row>
    <row r="135" spans="2:5">
      <c r="B135" s="4"/>
      <c r="C135" s="4"/>
      <c r="D135" s="4"/>
    </row>
    <row r="136" spans="2:5">
      <c r="B136" s="205" t="s">
        <v>67</v>
      </c>
      <c r="C136" s="205"/>
      <c r="D136" s="205"/>
      <c r="E136" s="205"/>
    </row>
    <row r="137" spans="2:5">
      <c r="B137" s="40"/>
      <c r="C137" s="199" t="s">
        <v>68</v>
      </c>
      <c r="D137" s="199"/>
      <c r="E137" s="14" t="s">
        <v>69</v>
      </c>
    </row>
    <row r="138" spans="2:5">
      <c r="B138" s="7" t="s">
        <v>10</v>
      </c>
      <c r="C138" s="198" t="s">
        <v>70</v>
      </c>
      <c r="D138" s="198"/>
      <c r="E138" s="9">
        <f>E32</f>
        <v>0</v>
      </c>
    </row>
    <row r="139" spans="2:5">
      <c r="B139" s="7" t="s">
        <v>1</v>
      </c>
      <c r="C139" s="198" t="s">
        <v>71</v>
      </c>
      <c r="D139" s="198"/>
      <c r="E139" s="9">
        <f>E74</f>
        <v>0</v>
      </c>
    </row>
    <row r="140" spans="2:5">
      <c r="B140" s="7" t="s">
        <v>2</v>
      </c>
      <c r="C140" s="198" t="s">
        <v>72</v>
      </c>
      <c r="D140" s="198"/>
      <c r="E140" s="9">
        <f>E84</f>
        <v>0</v>
      </c>
    </row>
    <row r="141" spans="2:5">
      <c r="B141" s="7" t="s">
        <v>3</v>
      </c>
      <c r="C141" s="198" t="s">
        <v>73</v>
      </c>
      <c r="D141" s="198"/>
      <c r="E141" s="9">
        <f>E110</f>
        <v>0</v>
      </c>
    </row>
    <row r="142" spans="2:5">
      <c r="B142" s="7" t="s">
        <v>11</v>
      </c>
      <c r="C142" s="198" t="s">
        <v>74</v>
      </c>
      <c r="D142" s="198"/>
      <c r="E142" s="9">
        <f>E119</f>
        <v>0</v>
      </c>
    </row>
    <row r="143" spans="2:5">
      <c r="B143" s="203" t="s">
        <v>75</v>
      </c>
      <c r="C143" s="203"/>
      <c r="D143" s="203"/>
      <c r="E143" s="19">
        <f>SUM(E138:E142)</f>
        <v>0</v>
      </c>
    </row>
    <row r="144" spans="2:5">
      <c r="B144" s="8" t="s">
        <v>12</v>
      </c>
      <c r="C144" s="198" t="s">
        <v>76</v>
      </c>
      <c r="D144" s="198"/>
      <c r="E144" s="9">
        <f>E132</f>
        <v>0</v>
      </c>
    </row>
    <row r="145" spans="2:5">
      <c r="B145" s="204" t="s">
        <v>77</v>
      </c>
      <c r="C145" s="204"/>
      <c r="D145" s="204"/>
      <c r="E145" s="157">
        <f>ROUND(SUM(E144+E143),2)</f>
        <v>0</v>
      </c>
    </row>
    <row r="146" spans="2:5">
      <c r="B146" s="4"/>
      <c r="C146" s="4"/>
      <c r="D146" s="4"/>
    </row>
    <row r="147" spans="2:5">
      <c r="B147" s="4"/>
      <c r="C147" s="4"/>
      <c r="D147" s="4"/>
      <c r="E147" s="50"/>
    </row>
    <row r="148" spans="2:5">
      <c r="B148" s="4"/>
      <c r="C148" s="4"/>
      <c r="D148" s="4"/>
    </row>
    <row r="149" spans="2:5">
      <c r="B149" s="4"/>
      <c r="C149" s="4"/>
      <c r="D149" s="4"/>
    </row>
    <row r="150" spans="2:5">
      <c r="B150" s="4"/>
      <c r="C150" s="4"/>
      <c r="D150" s="4"/>
    </row>
  </sheetData>
  <mergeCells count="83">
    <mergeCell ref="C26:D26"/>
    <mergeCell ref="B2:E2"/>
    <mergeCell ref="B3:E3"/>
    <mergeCell ref="B5:E5"/>
    <mergeCell ref="B6:E6"/>
    <mergeCell ref="B21:E21"/>
    <mergeCell ref="C22:D22"/>
    <mergeCell ref="C23:D23"/>
    <mergeCell ref="C24:D24"/>
    <mergeCell ref="C25:D25"/>
    <mergeCell ref="B44:E44"/>
    <mergeCell ref="C27:D27"/>
    <mergeCell ref="C28:D28"/>
    <mergeCell ref="C29:D29"/>
    <mergeCell ref="C30:D30"/>
    <mergeCell ref="C31:D31"/>
    <mergeCell ref="C32:D32"/>
    <mergeCell ref="B35:E35"/>
    <mergeCell ref="B36:D36"/>
    <mergeCell ref="C37:D37"/>
    <mergeCell ref="B40:D40"/>
    <mergeCell ref="B42:D42"/>
    <mergeCell ref="B33:E33"/>
    <mergeCell ref="B65:D65"/>
    <mergeCell ref="B56:D56"/>
    <mergeCell ref="C57:D57"/>
    <mergeCell ref="C58:D58"/>
    <mergeCell ref="C59:D59"/>
    <mergeCell ref="C60:D60"/>
    <mergeCell ref="C61:D61"/>
    <mergeCell ref="C62:D62"/>
    <mergeCell ref="C64:D64"/>
    <mergeCell ref="B87:D87"/>
    <mergeCell ref="B69:D69"/>
    <mergeCell ref="C70:D70"/>
    <mergeCell ref="C71:D71"/>
    <mergeCell ref="C72:D72"/>
    <mergeCell ref="C73:D73"/>
    <mergeCell ref="B74:D74"/>
    <mergeCell ref="B76:E76"/>
    <mergeCell ref="C77:D77"/>
    <mergeCell ref="B84:D84"/>
    <mergeCell ref="B85:E85"/>
    <mergeCell ref="B86:E86"/>
    <mergeCell ref="E130:E131"/>
    <mergeCell ref="B112:E112"/>
    <mergeCell ref="C88:D88"/>
    <mergeCell ref="B98:D98"/>
    <mergeCell ref="B99:E99"/>
    <mergeCell ref="B101:D101"/>
    <mergeCell ref="C102:D102"/>
    <mergeCell ref="B104:D104"/>
    <mergeCell ref="B106:D106"/>
    <mergeCell ref="C107:D107"/>
    <mergeCell ref="C108:D108"/>
    <mergeCell ref="C109:D109"/>
    <mergeCell ref="B110:D110"/>
    <mergeCell ref="B100:E100"/>
    <mergeCell ref="B143:D143"/>
    <mergeCell ref="C144:D144"/>
    <mergeCell ref="B145:D145"/>
    <mergeCell ref="B136:E136"/>
    <mergeCell ref="C137:D137"/>
    <mergeCell ref="C138:D138"/>
    <mergeCell ref="C139:D139"/>
    <mergeCell ref="C140:D140"/>
    <mergeCell ref="C141:D141"/>
    <mergeCell ref="B133:E133"/>
    <mergeCell ref="B134:E134"/>
    <mergeCell ref="B67:E67"/>
    <mergeCell ref="B66:E66"/>
    <mergeCell ref="C142:D142"/>
    <mergeCell ref="B132:C132"/>
    <mergeCell ref="C113:D113"/>
    <mergeCell ref="C114:D114"/>
    <mergeCell ref="C115:D115"/>
    <mergeCell ref="C116:D116"/>
    <mergeCell ref="C117:D117"/>
    <mergeCell ref="C118:D118"/>
    <mergeCell ref="B119:D119"/>
    <mergeCell ref="B121:E121"/>
    <mergeCell ref="B125:B131"/>
    <mergeCell ref="D130:D131"/>
  </mergeCells>
  <dataValidations count="5">
    <dataValidation allowBlank="1" showInputMessage="1" showErrorMessage="1" prompt="Quando necessário os valores monetários devem ser arredondados em 2 (duas)_x000a_casa decimais de acordo com a Norma ABNT NBR 5891" sqref="E145" xr:uid="{00000000-0002-0000-0100-000000000000}"/>
    <dataValidation allowBlank="1" showInputMessage="1" showErrorMessage="1" promptTitle="Orientações de preenchimento" prompt="Esse campo somente será preenchido caso a empresa seja OPTANTE pela desoneração. Nesse caso, o INSS do submódulo 2.2 será OBRIGATORIAMENTE ZERADO" sqref="C129:D129" xr:uid="{00000000-0002-0000-0100-000001000000}"/>
    <dataValidation allowBlank="1" showInputMessage="1" showErrorMessage="1" promptTitle="Orientações de preenchimento" prompt="Caso a opção seja indenizar o titular, incluir aportar o valor no Submódulo 2.2._x000a_Caso a opção seja pela substituição do titular durante o intervalo, inclur valor no Sumbódulo 4.2_x000a_" sqref="E64 C103:D103" xr:uid="{00000000-0002-0000-0100-000002000000}"/>
    <dataValidation allowBlank="1" showInputMessage="1" showErrorMessage="1" promptTitle="Orientações de preenchimento" prompt="Caso a opção seja indenizar o titular, incluir aportar o valor no Submódulo 2.2._x000a_Caso a opção seja pela substituição do titular durante o intervalo, inclur valor no Sumbódulo 4.2" sqref="C64:D64" xr:uid="{00000000-0002-0000-0100-000003000000}"/>
    <dataValidation allowBlank="1" showInputMessage="1" showErrorMessage="1" promptTitle="Orientação de preenchimento" prompt="Caso a empresa seja optante pela desoneração, zerar esse item e incluir o % da CPRB no módulo 6" sqref="C46:D46" xr:uid="{00000000-0002-0000-0100-000004000000}"/>
  </dataValidations>
  <pageMargins left="0.51181102362204722" right="0.51181102362204722" top="1.1811023622047243" bottom="1.1811023622047243" header="0.78740157480314954" footer="0.78740157480314954"/>
  <pageSetup paperSize="9" scale="81" fitToWidth="0" fitToHeight="0" orientation="portrait" r:id="rId1"/>
  <headerFooter alignWithMargins="0"/>
  <rowBreaks count="3" manualBreakCount="3">
    <brk id="34" min="1" max="1" man="1"/>
    <brk id="85" min="1" max="1" man="1"/>
    <brk id="135" min="1" max="1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MJ150"/>
  <sheetViews>
    <sheetView showGridLines="0" topLeftCell="A97" zoomScaleNormal="100" workbookViewId="0">
      <selection activeCell="A111" sqref="A111"/>
    </sheetView>
  </sheetViews>
  <sheetFormatPr defaultColWidth="8.75" defaultRowHeight="12"/>
  <cols>
    <col min="1" max="1" width="6.375" style="3" customWidth="1"/>
    <col min="2" max="2" width="6.25" style="5" customWidth="1"/>
    <col min="3" max="3" width="60.5" style="5" customWidth="1"/>
    <col min="4" max="4" width="20.25" style="5" customWidth="1"/>
    <col min="5" max="5" width="21" style="6" customWidth="1"/>
    <col min="6" max="6" width="12.375" style="4" customWidth="1"/>
    <col min="7" max="7" width="8.5" style="4" customWidth="1"/>
    <col min="8" max="9" width="10.125" style="4" customWidth="1"/>
    <col min="10" max="255" width="8.5" style="4" customWidth="1"/>
    <col min="256" max="256" width="18.875" style="4" customWidth="1"/>
    <col min="257" max="257" width="17.625" style="4" customWidth="1"/>
    <col min="258" max="258" width="56.375" style="4" customWidth="1"/>
    <col min="259" max="259" width="24.875" style="4" customWidth="1"/>
    <col min="260" max="260" width="20.125" style="4" customWidth="1"/>
    <col min="261" max="261" width="11.125" style="4" customWidth="1"/>
    <col min="262" max="262" width="15.375" style="4" customWidth="1"/>
    <col min="263" max="511" width="8.5" style="4" customWidth="1"/>
    <col min="512" max="512" width="18.875" style="4" customWidth="1"/>
    <col min="513" max="513" width="17.625" style="4" customWidth="1"/>
    <col min="514" max="514" width="56.375" style="4" customWidth="1"/>
    <col min="515" max="515" width="24.875" style="4" customWidth="1"/>
    <col min="516" max="516" width="20.125" style="4" customWidth="1"/>
    <col min="517" max="517" width="11.125" style="4" customWidth="1"/>
    <col min="518" max="518" width="15.375" style="4" customWidth="1"/>
    <col min="519" max="767" width="8.5" style="4" customWidth="1"/>
    <col min="768" max="768" width="18.875" style="4" customWidth="1"/>
    <col min="769" max="769" width="17.625" style="4" customWidth="1"/>
    <col min="770" max="770" width="56.375" style="4" customWidth="1"/>
    <col min="771" max="771" width="24.875" style="4" customWidth="1"/>
    <col min="772" max="772" width="20.125" style="4" customWidth="1"/>
    <col min="773" max="773" width="11.125" style="4" customWidth="1"/>
    <col min="774" max="774" width="15.375" style="4" customWidth="1"/>
    <col min="775" max="1023" width="8.5" style="4" customWidth="1"/>
    <col min="1024" max="1024" width="18.875" style="4" customWidth="1"/>
    <col min="1025" max="16384" width="8.75" style="3"/>
  </cols>
  <sheetData>
    <row r="2" spans="2:6" ht="15">
      <c r="B2" s="219" t="s">
        <v>99</v>
      </c>
      <c r="C2" s="219"/>
      <c r="D2" s="219"/>
      <c r="E2" s="219"/>
    </row>
    <row r="3" spans="2:6">
      <c r="B3" s="220" t="s">
        <v>113</v>
      </c>
      <c r="C3" s="220"/>
      <c r="D3" s="220"/>
      <c r="E3" s="220"/>
    </row>
    <row r="4" spans="2:6" ht="12.75" thickBot="1">
      <c r="B4" s="61"/>
      <c r="C4" s="61"/>
      <c r="D4" s="61"/>
      <c r="E4" s="61"/>
    </row>
    <row r="5" spans="2:6" ht="28.5" customHeight="1" thickBot="1">
      <c r="B5" s="221" t="s">
        <v>233</v>
      </c>
      <c r="C5" s="222"/>
      <c r="D5" s="222"/>
      <c r="E5" s="223"/>
    </row>
    <row r="6" spans="2:6" ht="20.45" customHeight="1">
      <c r="B6" s="224" t="s">
        <v>100</v>
      </c>
      <c r="C6" s="225"/>
      <c r="D6" s="225"/>
      <c r="E6" s="226"/>
    </row>
    <row r="7" spans="2:6">
      <c r="B7" s="42">
        <v>1</v>
      </c>
      <c r="C7" s="43" t="s">
        <v>0</v>
      </c>
      <c r="D7" s="43"/>
      <c r="E7" s="65"/>
    </row>
    <row r="8" spans="2:6">
      <c r="B8" s="42">
        <v>2</v>
      </c>
      <c r="C8" s="43" t="s">
        <v>108</v>
      </c>
      <c r="D8" s="3"/>
      <c r="E8" s="155" t="s">
        <v>124</v>
      </c>
    </row>
    <row r="9" spans="2:6">
      <c r="B9" s="42">
        <v>3</v>
      </c>
      <c r="C9" s="43" t="s">
        <v>109</v>
      </c>
      <c r="D9" s="47"/>
      <c r="E9" s="58" t="s">
        <v>129</v>
      </c>
    </row>
    <row r="10" spans="2:6">
      <c r="B10" s="42">
        <v>4</v>
      </c>
      <c r="C10" s="43" t="s">
        <v>5</v>
      </c>
      <c r="D10" s="43"/>
      <c r="E10" s="58" t="s">
        <v>101</v>
      </c>
    </row>
    <row r="11" spans="2:6">
      <c r="B11" s="42">
        <v>5</v>
      </c>
      <c r="C11" s="43" t="s">
        <v>102</v>
      </c>
      <c r="D11" s="43"/>
      <c r="E11" s="58">
        <v>1</v>
      </c>
    </row>
    <row r="12" spans="2:6">
      <c r="B12" s="42">
        <v>6</v>
      </c>
      <c r="C12" s="43" t="s">
        <v>103</v>
      </c>
      <c r="D12" s="43"/>
      <c r="E12" s="58">
        <v>1</v>
      </c>
    </row>
    <row r="13" spans="2:6">
      <c r="B13" s="42">
        <v>7</v>
      </c>
      <c r="C13" s="43" t="s">
        <v>4</v>
      </c>
      <c r="D13" s="43"/>
      <c r="E13" s="58">
        <v>12</v>
      </c>
    </row>
    <row r="14" spans="2:6">
      <c r="B14" s="42">
        <v>8</v>
      </c>
      <c r="C14" s="43" t="s">
        <v>104</v>
      </c>
      <c r="D14" s="43"/>
      <c r="E14" s="48">
        <v>0</v>
      </c>
    </row>
    <row r="15" spans="2:6" ht="18" customHeight="1">
      <c r="B15" s="42">
        <v>9</v>
      </c>
      <c r="C15" s="43" t="s">
        <v>6</v>
      </c>
      <c r="D15" s="43"/>
      <c r="E15" s="51">
        <v>0</v>
      </c>
      <c r="F15" s="10"/>
    </row>
    <row r="16" spans="2:6">
      <c r="B16" s="42">
        <v>10</v>
      </c>
      <c r="C16" s="44" t="s">
        <v>105</v>
      </c>
      <c r="D16" s="45"/>
      <c r="E16" s="59"/>
      <c r="F16" s="11"/>
    </row>
    <row r="17" spans="2:10">
      <c r="B17" s="42">
        <v>11</v>
      </c>
      <c r="C17" s="44" t="s">
        <v>128</v>
      </c>
      <c r="D17" s="45"/>
      <c r="E17" s="59"/>
      <c r="F17" s="11"/>
    </row>
    <row r="18" spans="2:10">
      <c r="B18" s="42">
        <v>12</v>
      </c>
      <c r="C18" s="44" t="s">
        <v>106</v>
      </c>
      <c r="D18" s="45"/>
      <c r="E18" s="59"/>
      <c r="F18" s="12"/>
    </row>
    <row r="19" spans="2:10">
      <c r="B19" s="42">
        <v>13</v>
      </c>
      <c r="C19" s="44" t="s">
        <v>107</v>
      </c>
      <c r="D19" s="45"/>
      <c r="E19" s="68"/>
      <c r="F19" s="13"/>
    </row>
    <row r="20" spans="2:10">
      <c r="B20" s="46"/>
      <c r="C20" s="46"/>
      <c r="D20" s="46"/>
      <c r="E20" s="46"/>
      <c r="F20" s="13"/>
    </row>
    <row r="21" spans="2:10">
      <c r="B21" s="205" t="s">
        <v>7</v>
      </c>
      <c r="C21" s="205"/>
      <c r="D21" s="205"/>
      <c r="E21" s="205"/>
    </row>
    <row r="22" spans="2:10">
      <c r="B22" s="56">
        <v>1</v>
      </c>
      <c r="C22" s="199" t="s">
        <v>8</v>
      </c>
      <c r="D22" s="199"/>
      <c r="E22" s="56" t="s">
        <v>9</v>
      </c>
    </row>
    <row r="23" spans="2:10" ht="26.25" customHeight="1">
      <c r="B23" s="7" t="s">
        <v>10</v>
      </c>
      <c r="C23" s="216" t="s">
        <v>117</v>
      </c>
      <c r="D23" s="216"/>
      <c r="E23" s="156">
        <v>0</v>
      </c>
    </row>
    <row r="24" spans="2:10">
      <c r="B24" s="7" t="s">
        <v>1</v>
      </c>
      <c r="C24" s="216" t="s">
        <v>85</v>
      </c>
      <c r="D24" s="216"/>
      <c r="E24" s="9">
        <v>0</v>
      </c>
      <c r="G24" s="16"/>
      <c r="H24" s="49"/>
    </row>
    <row r="25" spans="2:10">
      <c r="B25" s="7" t="s">
        <v>2</v>
      </c>
      <c r="C25" s="216" t="s">
        <v>86</v>
      </c>
      <c r="D25" s="216"/>
      <c r="E25" s="9"/>
    </row>
    <row r="26" spans="2:10">
      <c r="B26" s="7" t="s">
        <v>3</v>
      </c>
      <c r="C26" s="216" t="s">
        <v>114</v>
      </c>
      <c r="D26" s="216"/>
      <c r="E26" s="9"/>
      <c r="F26" s="52"/>
      <c r="G26" s="24"/>
      <c r="H26" s="24"/>
    </row>
    <row r="27" spans="2:10" ht="21" customHeight="1">
      <c r="B27" s="7" t="s">
        <v>11</v>
      </c>
      <c r="C27" s="216" t="s">
        <v>116</v>
      </c>
      <c r="D27" s="216"/>
      <c r="E27" s="9"/>
      <c r="F27" s="24"/>
      <c r="G27" s="24"/>
      <c r="H27" s="24"/>
      <c r="J27" s="16"/>
    </row>
    <row r="28" spans="2:10">
      <c r="B28" s="7" t="s">
        <v>12</v>
      </c>
      <c r="C28" s="216" t="s">
        <v>119</v>
      </c>
      <c r="D28" s="216"/>
      <c r="E28" s="9"/>
    </row>
    <row r="29" spans="2:10">
      <c r="B29" s="7" t="s">
        <v>13</v>
      </c>
      <c r="C29" s="216" t="s">
        <v>87</v>
      </c>
      <c r="D29" s="216"/>
      <c r="E29" s="9"/>
    </row>
    <row r="30" spans="2:10">
      <c r="B30" s="7" t="s">
        <v>14</v>
      </c>
      <c r="C30" s="216" t="s">
        <v>118</v>
      </c>
      <c r="D30" s="216"/>
      <c r="E30" s="9"/>
    </row>
    <row r="31" spans="2:10">
      <c r="B31" s="7"/>
      <c r="C31" s="198"/>
      <c r="D31" s="198"/>
      <c r="E31" s="9"/>
    </row>
    <row r="32" spans="2:10">
      <c r="B32" s="14"/>
      <c r="C32" s="217" t="s">
        <v>16</v>
      </c>
      <c r="D32" s="217"/>
      <c r="E32" s="15">
        <f>SUM(E23:E31)</f>
        <v>0</v>
      </c>
    </row>
    <row r="33" spans="2:9" ht="20.45" customHeight="1">
      <c r="B33" s="218" t="s">
        <v>130</v>
      </c>
      <c r="C33" s="218"/>
      <c r="D33" s="218"/>
      <c r="E33" s="218"/>
    </row>
    <row r="34" spans="2:9" ht="12.6" customHeight="1">
      <c r="B34" s="63"/>
      <c r="C34" s="63"/>
      <c r="D34" s="63"/>
      <c r="E34" s="63"/>
    </row>
    <row r="35" spans="2:9">
      <c r="B35" s="210" t="s">
        <v>17</v>
      </c>
      <c r="C35" s="210"/>
      <c r="D35" s="210"/>
      <c r="E35" s="210"/>
    </row>
    <row r="36" spans="2:9">
      <c r="B36" s="208" t="s">
        <v>18</v>
      </c>
      <c r="C36" s="208"/>
      <c r="D36" s="208"/>
    </row>
    <row r="37" spans="2:9">
      <c r="B37" s="56" t="s">
        <v>19</v>
      </c>
      <c r="C37" s="199" t="s">
        <v>20</v>
      </c>
      <c r="D37" s="199"/>
      <c r="E37" s="56" t="s">
        <v>9</v>
      </c>
    </row>
    <row r="38" spans="2:9">
      <c r="B38" s="7" t="s">
        <v>10</v>
      </c>
      <c r="C38" s="17" t="s">
        <v>88</v>
      </c>
      <c r="D38" s="18">
        <f>1/12</f>
        <v>8.3333333333333329E-2</v>
      </c>
      <c r="E38" s="9">
        <f>$E$32*D38</f>
        <v>0</v>
      </c>
    </row>
    <row r="39" spans="2:9">
      <c r="B39" s="7" t="s">
        <v>1</v>
      </c>
      <c r="C39" s="17" t="s">
        <v>232</v>
      </c>
      <c r="D39" s="18">
        <v>2.7799999999999998E-2</v>
      </c>
      <c r="E39" s="9">
        <f>$E$32*D39</f>
        <v>0</v>
      </c>
    </row>
    <row r="40" spans="2:9" ht="16.5" customHeight="1">
      <c r="B40" s="203" t="s">
        <v>21</v>
      </c>
      <c r="C40" s="203"/>
      <c r="D40" s="203"/>
      <c r="E40" s="19">
        <f>SUM(E38:E39)</f>
        <v>0</v>
      </c>
    </row>
    <row r="41" spans="2:9" ht="24">
      <c r="B41" s="7" t="s">
        <v>2</v>
      </c>
      <c r="C41" s="17" t="s">
        <v>89</v>
      </c>
      <c r="D41" s="18">
        <f>D54</f>
        <v>0.39800000000000008</v>
      </c>
      <c r="E41" s="9">
        <f>(E38+E39)*D54</f>
        <v>0</v>
      </c>
    </row>
    <row r="42" spans="2:9" ht="16.5" customHeight="1">
      <c r="B42" s="199" t="s">
        <v>22</v>
      </c>
      <c r="C42" s="199"/>
      <c r="D42" s="199"/>
      <c r="E42" s="15">
        <f>E40+E41</f>
        <v>0</v>
      </c>
    </row>
    <row r="43" spans="2:9" ht="16.5" customHeight="1">
      <c r="B43" s="63"/>
      <c r="C43" s="63"/>
      <c r="D43" s="63"/>
      <c r="E43" s="63"/>
    </row>
    <row r="44" spans="2:9" ht="16.5" customHeight="1">
      <c r="B44" s="209" t="s">
        <v>23</v>
      </c>
      <c r="C44" s="209"/>
      <c r="D44" s="209"/>
      <c r="E44" s="209"/>
    </row>
    <row r="45" spans="2:9" ht="25.5" customHeight="1">
      <c r="B45" s="56" t="s">
        <v>24</v>
      </c>
      <c r="C45" s="20" t="s">
        <v>25</v>
      </c>
      <c r="D45" s="56" t="s">
        <v>26</v>
      </c>
      <c r="E45" s="56" t="s">
        <v>9</v>
      </c>
    </row>
    <row r="46" spans="2:9" ht="28.9" customHeight="1">
      <c r="B46" s="7" t="s">
        <v>10</v>
      </c>
      <c r="C46" s="17" t="s">
        <v>84</v>
      </c>
      <c r="D46" s="18">
        <v>0.2</v>
      </c>
      <c r="E46" s="9">
        <f>D46*($E$32)</f>
        <v>0</v>
      </c>
      <c r="I46" s="22"/>
    </row>
    <row r="47" spans="2:9" ht="16.5" customHeight="1">
      <c r="B47" s="7" t="s">
        <v>1</v>
      </c>
      <c r="C47" s="17" t="s">
        <v>27</v>
      </c>
      <c r="D47" s="18">
        <v>2.5000000000000001E-2</v>
      </c>
      <c r="E47" s="9">
        <f t="shared" ref="E47:E52" si="0">D47*$E$32</f>
        <v>0</v>
      </c>
    </row>
    <row r="48" spans="2:9" ht="16.5" customHeight="1">
      <c r="B48" s="7" t="s">
        <v>2</v>
      </c>
      <c r="C48" s="17" t="s">
        <v>80</v>
      </c>
      <c r="D48" s="21">
        <v>0.06</v>
      </c>
      <c r="E48" s="9">
        <f t="shared" si="0"/>
        <v>0</v>
      </c>
      <c r="G48" s="60"/>
    </row>
    <row r="49" spans="2:8" ht="26.45" customHeight="1">
      <c r="B49" s="7" t="s">
        <v>3</v>
      </c>
      <c r="C49" s="17" t="s">
        <v>28</v>
      </c>
      <c r="D49" s="18">
        <v>1.4999999999999999E-2</v>
      </c>
      <c r="E49" s="9">
        <f>D49*$E$32</f>
        <v>0</v>
      </c>
    </row>
    <row r="50" spans="2:8" ht="16.5" customHeight="1">
      <c r="B50" s="7" t="s">
        <v>11</v>
      </c>
      <c r="C50" s="17" t="s">
        <v>79</v>
      </c>
      <c r="D50" s="18">
        <v>0.01</v>
      </c>
      <c r="E50" s="9">
        <f t="shared" si="0"/>
        <v>0</v>
      </c>
    </row>
    <row r="51" spans="2:8">
      <c r="B51" s="7" t="s">
        <v>12</v>
      </c>
      <c r="C51" s="17" t="s">
        <v>29</v>
      </c>
      <c r="D51" s="18">
        <v>6.0000000000000001E-3</v>
      </c>
      <c r="E51" s="9">
        <f t="shared" si="0"/>
        <v>0</v>
      </c>
    </row>
    <row r="52" spans="2:8">
      <c r="B52" s="7" t="s">
        <v>13</v>
      </c>
      <c r="C52" s="17" t="s">
        <v>30</v>
      </c>
      <c r="D52" s="18">
        <v>2E-3</v>
      </c>
      <c r="E52" s="9">
        <f t="shared" si="0"/>
        <v>0</v>
      </c>
    </row>
    <row r="53" spans="2:8" ht="16.5" customHeight="1">
      <c r="B53" s="7" t="s">
        <v>14</v>
      </c>
      <c r="C53" s="17" t="s">
        <v>31</v>
      </c>
      <c r="D53" s="18">
        <v>0.08</v>
      </c>
      <c r="E53" s="9">
        <f>D53*$E$32</f>
        <v>0</v>
      </c>
    </row>
    <row r="54" spans="2:8" ht="16.5" customHeight="1">
      <c r="B54" s="14"/>
      <c r="C54" s="20" t="s">
        <v>32</v>
      </c>
      <c r="D54" s="21">
        <f>SUM(D46:D53)</f>
        <v>0.39800000000000008</v>
      </c>
      <c r="E54" s="15">
        <f>SUM(E46:E53)</f>
        <v>0</v>
      </c>
      <c r="G54" s="60"/>
    </row>
    <row r="55" spans="2:8" ht="16.5" customHeight="1">
      <c r="B55" s="3"/>
      <c r="C55" s="4"/>
      <c r="D55" s="4"/>
    </row>
    <row r="56" spans="2:8" ht="16.5" customHeight="1">
      <c r="B56" s="208" t="s">
        <v>33</v>
      </c>
      <c r="C56" s="208"/>
      <c r="D56" s="208"/>
    </row>
    <row r="57" spans="2:8" ht="16.5" customHeight="1">
      <c r="B57" s="56" t="s">
        <v>38</v>
      </c>
      <c r="C57" s="211" t="s">
        <v>34</v>
      </c>
      <c r="D57" s="212"/>
      <c r="E57" s="56" t="s">
        <v>9</v>
      </c>
    </row>
    <row r="58" spans="2:8" ht="12" customHeight="1">
      <c r="B58" s="7" t="s">
        <v>10</v>
      </c>
      <c r="C58" s="213" t="s">
        <v>224</v>
      </c>
      <c r="D58" s="214"/>
      <c r="E58" s="62">
        <f>(0*21*2)-(E23*6%)</f>
        <v>0</v>
      </c>
    </row>
    <row r="59" spans="2:8">
      <c r="B59" s="7" t="s">
        <v>1</v>
      </c>
      <c r="C59" s="213" t="s">
        <v>221</v>
      </c>
      <c r="D59" s="214"/>
      <c r="E59" s="9">
        <f>21*0</f>
        <v>0</v>
      </c>
      <c r="F59" s="66"/>
      <c r="G59" s="16"/>
    </row>
    <row r="60" spans="2:8" ht="16.5" customHeight="1">
      <c r="B60" s="7" t="s">
        <v>2</v>
      </c>
      <c r="C60" s="215" t="s">
        <v>223</v>
      </c>
      <c r="D60" s="215"/>
      <c r="E60" s="53"/>
    </row>
    <row r="61" spans="2:8" ht="16.5" customHeight="1">
      <c r="B61" s="7" t="s">
        <v>3</v>
      </c>
      <c r="C61" s="216" t="s">
        <v>231</v>
      </c>
      <c r="D61" s="216"/>
      <c r="E61" s="9"/>
      <c r="F61" s="24"/>
    </row>
    <row r="62" spans="2:8">
      <c r="B62" s="7" t="s">
        <v>11</v>
      </c>
      <c r="C62" s="216" t="s">
        <v>231</v>
      </c>
      <c r="D62" s="216"/>
      <c r="E62" s="9"/>
    </row>
    <row r="63" spans="2:8">
      <c r="B63" s="7" t="s">
        <v>12</v>
      </c>
      <c r="C63" s="64" t="s">
        <v>231</v>
      </c>
      <c r="D63" s="64"/>
      <c r="E63" s="9"/>
    </row>
    <row r="64" spans="2:8" ht="27" customHeight="1">
      <c r="B64" s="7" t="s">
        <v>13</v>
      </c>
      <c r="C64" s="216" t="s">
        <v>115</v>
      </c>
      <c r="D64" s="216"/>
      <c r="E64" s="9"/>
      <c r="H64" s="41"/>
    </row>
    <row r="65" spans="2:7">
      <c r="B65" s="199" t="s">
        <v>35</v>
      </c>
      <c r="C65" s="199"/>
      <c r="D65" s="199"/>
      <c r="E65" s="15">
        <f>SUM(E58:E64)</f>
        <v>0</v>
      </c>
    </row>
    <row r="66" spans="2:7">
      <c r="B66" s="197" t="s">
        <v>131</v>
      </c>
      <c r="C66" s="197"/>
      <c r="D66" s="197"/>
      <c r="E66" s="197"/>
    </row>
    <row r="67" spans="2:7" ht="31.15" customHeight="1">
      <c r="B67" s="196" t="s">
        <v>132</v>
      </c>
      <c r="C67" s="196"/>
      <c r="D67" s="196"/>
      <c r="E67" s="196"/>
    </row>
    <row r="68" spans="2:7">
      <c r="B68" s="4"/>
      <c r="C68" s="4"/>
      <c r="D68" s="4"/>
    </row>
    <row r="69" spans="2:7">
      <c r="B69" s="208" t="s">
        <v>36</v>
      </c>
      <c r="C69" s="208"/>
      <c r="D69" s="208"/>
    </row>
    <row r="70" spans="2:7" ht="16.5" customHeight="1">
      <c r="B70" s="56">
        <v>2</v>
      </c>
      <c r="C70" s="199" t="s">
        <v>37</v>
      </c>
      <c r="D70" s="199"/>
      <c r="E70" s="56" t="s">
        <v>9</v>
      </c>
    </row>
    <row r="71" spans="2:7" ht="29.45" customHeight="1">
      <c r="B71" s="7" t="s">
        <v>19</v>
      </c>
      <c r="C71" s="198" t="s">
        <v>20</v>
      </c>
      <c r="D71" s="198"/>
      <c r="E71" s="9">
        <f>E42</f>
        <v>0</v>
      </c>
    </row>
    <row r="72" spans="2:7" ht="16.5" customHeight="1">
      <c r="B72" s="7" t="s">
        <v>24</v>
      </c>
      <c r="C72" s="198" t="s">
        <v>25</v>
      </c>
      <c r="D72" s="198"/>
      <c r="E72" s="9">
        <f>E54</f>
        <v>0</v>
      </c>
    </row>
    <row r="73" spans="2:7" ht="21.6" customHeight="1">
      <c r="B73" s="7" t="s">
        <v>38</v>
      </c>
      <c r="C73" s="198" t="s">
        <v>34</v>
      </c>
      <c r="D73" s="198"/>
      <c r="E73" s="9">
        <f>E65</f>
        <v>0</v>
      </c>
    </row>
    <row r="74" spans="2:7">
      <c r="B74" s="199" t="s">
        <v>39</v>
      </c>
      <c r="C74" s="199"/>
      <c r="D74" s="199"/>
      <c r="E74" s="15">
        <f>SUM(E71:E73)</f>
        <v>0</v>
      </c>
    </row>
    <row r="75" spans="2:7">
      <c r="B75" s="4"/>
      <c r="C75" s="4"/>
      <c r="D75" s="4"/>
      <c r="G75" s="55"/>
    </row>
    <row r="76" spans="2:7" ht="26.25" customHeight="1">
      <c r="B76" s="209" t="s">
        <v>40</v>
      </c>
      <c r="C76" s="209"/>
      <c r="D76" s="209"/>
      <c r="E76" s="209"/>
    </row>
    <row r="77" spans="2:7" ht="39" customHeight="1">
      <c r="B77" s="56">
        <v>3</v>
      </c>
      <c r="C77" s="199" t="s">
        <v>41</v>
      </c>
      <c r="D77" s="199"/>
      <c r="E77" s="56" t="s">
        <v>9</v>
      </c>
    </row>
    <row r="78" spans="2:7">
      <c r="B78" s="7" t="s">
        <v>10</v>
      </c>
      <c r="C78" s="23" t="s">
        <v>126</v>
      </c>
      <c r="D78" s="54">
        <f>((1/12)*5.55%)</f>
        <v>4.6249999999999998E-3</v>
      </c>
      <c r="E78" s="9">
        <f>$E$32*D78</f>
        <v>0</v>
      </c>
      <c r="F78" s="52"/>
    </row>
    <row r="79" spans="2:7" ht="24">
      <c r="B79" s="7" t="s">
        <v>1</v>
      </c>
      <c r="C79" s="17" t="s">
        <v>90</v>
      </c>
      <c r="D79" s="54">
        <f>D78*D53</f>
        <v>3.6999999999999999E-4</v>
      </c>
      <c r="E79" s="9">
        <f>D79*E32</f>
        <v>0</v>
      </c>
      <c r="F79" s="52"/>
    </row>
    <row r="80" spans="2:7" ht="16.5" customHeight="1">
      <c r="B80" s="7" t="s">
        <v>2</v>
      </c>
      <c r="C80" s="23" t="s">
        <v>91</v>
      </c>
      <c r="D80" s="54">
        <v>1.9400000000000001E-2</v>
      </c>
      <c r="E80" s="9">
        <f>E32*D80</f>
        <v>0</v>
      </c>
      <c r="F80" s="52"/>
    </row>
    <row r="81" spans="2:6" ht="24">
      <c r="B81" s="7" t="s">
        <v>3</v>
      </c>
      <c r="C81" s="23" t="s">
        <v>92</v>
      </c>
      <c r="D81" s="18">
        <f>D80*D54</f>
        <v>7.7212000000000018E-3</v>
      </c>
      <c r="E81" s="9">
        <f>E32*D81</f>
        <v>0</v>
      </c>
      <c r="F81" s="52"/>
    </row>
    <row r="82" spans="2:6" ht="24">
      <c r="B82" s="7" t="s">
        <v>11</v>
      </c>
      <c r="C82" s="25" t="s">
        <v>112</v>
      </c>
      <c r="D82" s="18">
        <f>((D80)*0.08)*0.4</f>
        <v>6.2080000000000002E-4</v>
      </c>
      <c r="E82" s="9">
        <f>D82*E32</f>
        <v>0</v>
      </c>
      <c r="F82" s="52"/>
    </row>
    <row r="83" spans="2:6">
      <c r="B83" s="7" t="s">
        <v>12</v>
      </c>
      <c r="C83" s="25" t="s">
        <v>127</v>
      </c>
      <c r="D83" s="18">
        <f>(((1+2/12+((1/3)/12))*0.08)*0.4)*0.9</f>
        <v>3.4400000000000007E-2</v>
      </c>
      <c r="E83" s="9">
        <f>D83*E32</f>
        <v>0</v>
      </c>
      <c r="F83" s="52"/>
    </row>
    <row r="84" spans="2:6">
      <c r="B84" s="199" t="s">
        <v>42</v>
      </c>
      <c r="C84" s="199"/>
      <c r="D84" s="199"/>
      <c r="E84" s="15">
        <f>SUM(E78+E79+E80+E81+E83)</f>
        <v>0</v>
      </c>
    </row>
    <row r="85" spans="2:6" ht="28.9" customHeight="1">
      <c r="B85" s="207" t="s">
        <v>111</v>
      </c>
      <c r="C85" s="207"/>
      <c r="D85" s="207"/>
      <c r="E85" s="207"/>
    </row>
    <row r="86" spans="2:6" ht="15.75" customHeight="1">
      <c r="B86" s="210" t="s">
        <v>43</v>
      </c>
      <c r="C86" s="210"/>
      <c r="D86" s="210"/>
      <c r="E86" s="210"/>
    </row>
    <row r="87" spans="2:6">
      <c r="B87" s="208" t="s">
        <v>44</v>
      </c>
      <c r="C87" s="208"/>
      <c r="D87" s="208"/>
    </row>
    <row r="88" spans="2:6">
      <c r="B88" s="56" t="s">
        <v>45</v>
      </c>
      <c r="C88" s="199" t="s">
        <v>46</v>
      </c>
      <c r="D88" s="199"/>
      <c r="E88" s="56" t="s">
        <v>9</v>
      </c>
    </row>
    <row r="89" spans="2:6">
      <c r="B89" s="7" t="s">
        <v>10</v>
      </c>
      <c r="C89" s="23" t="s">
        <v>235</v>
      </c>
      <c r="D89" s="18">
        <v>8.3299999999999999E-2</v>
      </c>
      <c r="E89" s="9">
        <f>E32*D89</f>
        <v>0</v>
      </c>
      <c r="F89" s="52"/>
    </row>
    <row r="90" spans="2:6">
      <c r="B90" s="7" t="s">
        <v>1</v>
      </c>
      <c r="C90" s="23" t="s">
        <v>120</v>
      </c>
      <c r="D90" s="26">
        <f>1/30/12*3</f>
        <v>8.3333333333333332E-3</v>
      </c>
      <c r="E90" s="9">
        <f>SUM(E32,E40,E65,E84)*D90</f>
        <v>0</v>
      </c>
      <c r="F90" s="52"/>
    </row>
    <row r="91" spans="2:6">
      <c r="B91" s="7" t="s">
        <v>2</v>
      </c>
      <c r="C91" s="23" t="s">
        <v>137</v>
      </c>
      <c r="D91" s="26">
        <f>((1/30/12)*20)*0.02</f>
        <v>1.1111111111111111E-3</v>
      </c>
      <c r="E91" s="9">
        <f>SUM(E32,E40,E65,E84)*D91</f>
        <v>0</v>
      </c>
      <c r="F91" s="52"/>
    </row>
    <row r="92" spans="2:6">
      <c r="B92" s="7" t="s">
        <v>3</v>
      </c>
      <c r="C92" s="23" t="s">
        <v>93</v>
      </c>
      <c r="D92" s="26">
        <f>((1/30/12)*30)*0.08</f>
        <v>6.666666666666668E-3</v>
      </c>
      <c r="E92" s="9">
        <f>SUM(E32,E40,E65,E84)*D92</f>
        <v>0</v>
      </c>
      <c r="F92" s="52"/>
    </row>
    <row r="93" spans="2:6" ht="24">
      <c r="B93" s="7" t="s">
        <v>11</v>
      </c>
      <c r="C93" s="23" t="s">
        <v>94</v>
      </c>
      <c r="D93" s="26">
        <f>((1/30/12)*5)*0.4</f>
        <v>5.5555555555555566E-3</v>
      </c>
      <c r="E93" s="9">
        <f>SUM(E32,E40,E65,E84)*D93</f>
        <v>0</v>
      </c>
      <c r="F93" s="52"/>
    </row>
    <row r="94" spans="2:6" ht="24">
      <c r="B94" s="7" t="s">
        <v>12</v>
      </c>
      <c r="C94" s="23" t="s">
        <v>95</v>
      </c>
      <c r="D94" s="26">
        <f>D54</f>
        <v>0.39800000000000008</v>
      </c>
      <c r="E94" s="9">
        <f>SUM(E89:E93)*D94</f>
        <v>0</v>
      </c>
      <c r="F94" s="52"/>
    </row>
    <row r="95" spans="2:6" ht="24">
      <c r="B95" s="7" t="s">
        <v>13</v>
      </c>
      <c r="C95" s="25" t="s">
        <v>96</v>
      </c>
      <c r="D95" s="26">
        <f>(((1+(1/3))*(4/12))/12)*0.01416</f>
        <v>5.2444444444444446E-4</v>
      </c>
      <c r="E95" s="9">
        <f>E32*D95</f>
        <v>0</v>
      </c>
      <c r="F95" s="52"/>
    </row>
    <row r="96" spans="2:6" ht="24">
      <c r="B96" s="7" t="s">
        <v>14</v>
      </c>
      <c r="C96" s="25" t="s">
        <v>97</v>
      </c>
      <c r="D96" s="26">
        <f>D54</f>
        <v>0.39800000000000008</v>
      </c>
      <c r="E96" s="9">
        <f>D96*E95</f>
        <v>0</v>
      </c>
      <c r="F96" s="52"/>
    </row>
    <row r="97" spans="2:6" ht="36">
      <c r="B97" s="7" t="s">
        <v>15</v>
      </c>
      <c r="C97" s="25" t="s">
        <v>98</v>
      </c>
      <c r="D97" s="26">
        <f>D54</f>
        <v>0.39800000000000008</v>
      </c>
      <c r="E97" s="9">
        <f>(((E32+(E32/12))*(4/12))*0.01416)*D54</f>
        <v>0</v>
      </c>
      <c r="F97" s="52"/>
    </row>
    <row r="98" spans="2:6">
      <c r="B98" s="199" t="s">
        <v>78</v>
      </c>
      <c r="C98" s="199"/>
      <c r="D98" s="199"/>
      <c r="E98" s="15">
        <f>SUM(E89:E97)</f>
        <v>0</v>
      </c>
      <c r="F98" s="67"/>
    </row>
    <row r="99" spans="2:6" ht="16.5" customHeight="1">
      <c r="B99" s="207" t="s">
        <v>133</v>
      </c>
      <c r="C99" s="207"/>
      <c r="D99" s="207"/>
      <c r="E99" s="207"/>
    </row>
    <row r="100" spans="2:6" ht="31.15" customHeight="1">
      <c r="B100" s="195" t="s">
        <v>134</v>
      </c>
      <c r="C100" s="195"/>
      <c r="D100" s="195"/>
      <c r="E100" s="195"/>
    </row>
    <row r="101" spans="2:6" ht="16.5" customHeight="1">
      <c r="B101" s="208" t="s">
        <v>47</v>
      </c>
      <c r="C101" s="208"/>
      <c r="D101" s="208"/>
    </row>
    <row r="102" spans="2:6" ht="16.5" customHeight="1">
      <c r="B102" s="56" t="s">
        <v>48</v>
      </c>
      <c r="C102" s="199" t="s">
        <v>49</v>
      </c>
      <c r="D102" s="199"/>
      <c r="E102" s="56" t="s">
        <v>9</v>
      </c>
    </row>
    <row r="103" spans="2:6">
      <c r="B103" s="7" t="s">
        <v>10</v>
      </c>
      <c r="C103" s="17" t="s">
        <v>81</v>
      </c>
      <c r="D103" s="26">
        <f>(((1/220)*1)*21)/1</f>
        <v>9.5454545454545445E-2</v>
      </c>
      <c r="E103" s="9"/>
    </row>
    <row r="104" spans="2:6">
      <c r="B104" s="199" t="s">
        <v>50</v>
      </c>
      <c r="C104" s="199"/>
      <c r="D104" s="199"/>
      <c r="E104" s="15">
        <f>SUM(E103:E103)</f>
        <v>0</v>
      </c>
    </row>
    <row r="105" spans="2:6">
      <c r="B105" s="4"/>
      <c r="C105" s="4"/>
      <c r="D105" s="4"/>
    </row>
    <row r="106" spans="2:6">
      <c r="B106" s="208" t="s">
        <v>51</v>
      </c>
      <c r="C106" s="208"/>
      <c r="D106" s="208"/>
    </row>
    <row r="107" spans="2:6">
      <c r="B107" s="56">
        <v>4</v>
      </c>
      <c r="C107" s="199" t="s">
        <v>37</v>
      </c>
      <c r="D107" s="199"/>
      <c r="E107" s="56" t="s">
        <v>9</v>
      </c>
    </row>
    <row r="108" spans="2:6">
      <c r="B108" s="7" t="s">
        <v>45</v>
      </c>
      <c r="C108" s="198" t="s">
        <v>52</v>
      </c>
      <c r="D108" s="198"/>
      <c r="E108" s="9">
        <f>E98</f>
        <v>0</v>
      </c>
    </row>
    <row r="109" spans="2:6">
      <c r="B109" s="7" t="s">
        <v>48</v>
      </c>
      <c r="C109" s="198" t="s">
        <v>81</v>
      </c>
      <c r="D109" s="198"/>
      <c r="E109" s="9">
        <f>E104</f>
        <v>0</v>
      </c>
    </row>
    <row r="110" spans="2:6">
      <c r="B110" s="199" t="s">
        <v>39</v>
      </c>
      <c r="C110" s="199"/>
      <c r="D110" s="199"/>
      <c r="E110" s="15">
        <f>E108+E109</f>
        <v>0</v>
      </c>
    </row>
    <row r="111" spans="2:6">
      <c r="B111" s="4"/>
      <c r="C111" s="4"/>
      <c r="D111" s="4"/>
    </row>
    <row r="112" spans="2:6">
      <c r="B112" s="205" t="s">
        <v>53</v>
      </c>
      <c r="C112" s="205"/>
      <c r="D112" s="205"/>
      <c r="E112" s="205"/>
    </row>
    <row r="113" spans="2:6">
      <c r="B113" s="56">
        <v>5</v>
      </c>
      <c r="C113" s="199" t="s">
        <v>54</v>
      </c>
      <c r="D113" s="199"/>
      <c r="E113" s="56" t="s">
        <v>9</v>
      </c>
      <c r="F113" s="37"/>
    </row>
    <row r="114" spans="2:6">
      <c r="B114" s="7" t="s">
        <v>10</v>
      </c>
      <c r="C114" s="198" t="s">
        <v>139</v>
      </c>
      <c r="D114" s="198"/>
      <c r="E114" s="9">
        <v>0</v>
      </c>
    </row>
    <row r="115" spans="2:6">
      <c r="B115" s="7" t="s">
        <v>1</v>
      </c>
      <c r="C115" s="198" t="s">
        <v>138</v>
      </c>
      <c r="D115" s="198"/>
      <c r="E115" s="9"/>
    </row>
    <row r="116" spans="2:6">
      <c r="B116" s="7" t="s">
        <v>2</v>
      </c>
      <c r="C116" s="198" t="s">
        <v>140</v>
      </c>
      <c r="D116" s="198"/>
      <c r="E116" s="9"/>
    </row>
    <row r="117" spans="2:6">
      <c r="B117" s="7" t="s">
        <v>3</v>
      </c>
      <c r="C117" s="198" t="s">
        <v>141</v>
      </c>
      <c r="D117" s="198"/>
      <c r="E117" s="9"/>
    </row>
    <row r="118" spans="2:6">
      <c r="B118" s="7" t="s">
        <v>11</v>
      </c>
      <c r="C118" s="198" t="s">
        <v>110</v>
      </c>
      <c r="D118" s="198"/>
      <c r="E118" s="9"/>
    </row>
    <row r="119" spans="2:6" ht="26.25" customHeight="1">
      <c r="B119" s="199" t="s">
        <v>55</v>
      </c>
      <c r="C119" s="199"/>
      <c r="D119" s="199"/>
      <c r="E119" s="15">
        <f>SUM(E114:E118)</f>
        <v>0</v>
      </c>
    </row>
    <row r="120" spans="2:6" ht="16.5" customHeight="1">
      <c r="B120" s="4"/>
      <c r="C120" s="4"/>
      <c r="D120" s="4"/>
    </row>
    <row r="121" spans="2:6" ht="16.5" customHeight="1">
      <c r="B121" s="200" t="s">
        <v>56</v>
      </c>
      <c r="C121" s="200"/>
      <c r="D121" s="200"/>
      <c r="E121" s="200"/>
    </row>
    <row r="122" spans="2:6" ht="16.5" customHeight="1">
      <c r="B122" s="56">
        <v>6</v>
      </c>
      <c r="C122" s="20" t="s">
        <v>57</v>
      </c>
      <c r="D122" s="56" t="s">
        <v>58</v>
      </c>
      <c r="E122" s="27" t="s">
        <v>9</v>
      </c>
    </row>
    <row r="123" spans="2:6" ht="16.5" customHeight="1">
      <c r="B123" s="7" t="s">
        <v>10</v>
      </c>
      <c r="C123" s="17" t="s">
        <v>59</v>
      </c>
      <c r="D123" s="30">
        <v>0</v>
      </c>
      <c r="E123" s="57">
        <f>E143*D123</f>
        <v>0</v>
      </c>
    </row>
    <row r="124" spans="2:6" ht="16.5" customHeight="1">
      <c r="B124" s="7" t="s">
        <v>1</v>
      </c>
      <c r="C124" s="28" t="s">
        <v>60</v>
      </c>
      <c r="D124" s="29">
        <v>0</v>
      </c>
      <c r="E124" s="57">
        <f>(E143+E123)*D124</f>
        <v>0</v>
      </c>
    </row>
    <row r="125" spans="2:6" ht="16.5" customHeight="1">
      <c r="B125" s="201" t="s">
        <v>2</v>
      </c>
      <c r="C125" s="17" t="s">
        <v>61</v>
      </c>
      <c r="D125" s="30"/>
      <c r="E125" s="57"/>
    </row>
    <row r="126" spans="2:6" ht="16.5" customHeight="1">
      <c r="B126" s="201"/>
      <c r="C126" s="31" t="s">
        <v>83</v>
      </c>
      <c r="D126" s="32"/>
      <c r="E126" s="33"/>
    </row>
    <row r="127" spans="2:6">
      <c r="B127" s="201"/>
      <c r="C127" s="17" t="s">
        <v>62</v>
      </c>
      <c r="D127" s="30">
        <v>0</v>
      </c>
      <c r="E127" s="57">
        <f>($E$123+$E$124+$E$143)/(1-($D$127+$D$128+$D$130))*D127</f>
        <v>0</v>
      </c>
    </row>
    <row r="128" spans="2:6">
      <c r="B128" s="201"/>
      <c r="C128" s="34" t="s">
        <v>63</v>
      </c>
      <c r="D128" s="29">
        <v>0</v>
      </c>
      <c r="E128" s="57">
        <f>($E$123+$E$124+$E$143)/(1-($D$127+$D$128+$D$130))*D128</f>
        <v>0</v>
      </c>
    </row>
    <row r="129" spans="2:5">
      <c r="B129" s="201"/>
      <c r="C129" s="17" t="s">
        <v>82</v>
      </c>
      <c r="D129" s="35"/>
      <c r="E129" s="36" t="str">
        <f>IF(D129="","",(E143+E123+E124+E130)*D129)</f>
        <v/>
      </c>
    </row>
    <row r="130" spans="2:5">
      <c r="B130" s="201"/>
      <c r="C130" s="38" t="s">
        <v>64</v>
      </c>
      <c r="D130" s="202">
        <v>0</v>
      </c>
      <c r="E130" s="206">
        <f>($E$123+$E$124+$E$143)/(1-($D$127+$D$128+$D$130))*D130</f>
        <v>0</v>
      </c>
    </row>
    <row r="131" spans="2:5">
      <c r="B131" s="201"/>
      <c r="C131" s="34" t="s">
        <v>65</v>
      </c>
      <c r="D131" s="202"/>
      <c r="E131" s="206"/>
    </row>
    <row r="132" spans="2:5">
      <c r="B132" s="199" t="s">
        <v>66</v>
      </c>
      <c r="C132" s="199"/>
      <c r="D132" s="56"/>
      <c r="E132" s="39">
        <f>SUM(E123:E131)</f>
        <v>0</v>
      </c>
    </row>
    <row r="133" spans="2:5">
      <c r="B133" s="195" t="s">
        <v>135</v>
      </c>
      <c r="C133" s="195"/>
      <c r="D133" s="195"/>
      <c r="E133" s="195"/>
    </row>
    <row r="134" spans="2:5">
      <c r="B134" s="195" t="s">
        <v>136</v>
      </c>
      <c r="C134" s="195"/>
      <c r="D134" s="195"/>
      <c r="E134" s="195"/>
    </row>
    <row r="135" spans="2:5">
      <c r="B135" s="4"/>
      <c r="C135" s="4"/>
      <c r="D135" s="4"/>
    </row>
    <row r="136" spans="2:5">
      <c r="B136" s="205" t="s">
        <v>67</v>
      </c>
      <c r="C136" s="205"/>
      <c r="D136" s="205"/>
      <c r="E136" s="205"/>
    </row>
    <row r="137" spans="2:5">
      <c r="B137" s="40"/>
      <c r="C137" s="199" t="s">
        <v>68</v>
      </c>
      <c r="D137" s="199"/>
      <c r="E137" s="14" t="s">
        <v>69</v>
      </c>
    </row>
    <row r="138" spans="2:5">
      <c r="B138" s="7" t="s">
        <v>10</v>
      </c>
      <c r="C138" s="198" t="s">
        <v>70</v>
      </c>
      <c r="D138" s="198"/>
      <c r="E138" s="9">
        <f>E32</f>
        <v>0</v>
      </c>
    </row>
    <row r="139" spans="2:5">
      <c r="B139" s="7" t="s">
        <v>1</v>
      </c>
      <c r="C139" s="198" t="s">
        <v>71</v>
      </c>
      <c r="D139" s="198"/>
      <c r="E139" s="9">
        <f>E74</f>
        <v>0</v>
      </c>
    </row>
    <row r="140" spans="2:5">
      <c r="B140" s="7" t="s">
        <v>2</v>
      </c>
      <c r="C140" s="198" t="s">
        <v>72</v>
      </c>
      <c r="D140" s="198"/>
      <c r="E140" s="9">
        <f>E84</f>
        <v>0</v>
      </c>
    </row>
    <row r="141" spans="2:5">
      <c r="B141" s="7" t="s">
        <v>3</v>
      </c>
      <c r="C141" s="198" t="s">
        <v>73</v>
      </c>
      <c r="D141" s="198"/>
      <c r="E141" s="9">
        <f>E110</f>
        <v>0</v>
      </c>
    </row>
    <row r="142" spans="2:5">
      <c r="B142" s="7" t="s">
        <v>11</v>
      </c>
      <c r="C142" s="198" t="s">
        <v>74</v>
      </c>
      <c r="D142" s="198"/>
      <c r="E142" s="9">
        <f>E119</f>
        <v>0</v>
      </c>
    </row>
    <row r="143" spans="2:5">
      <c r="B143" s="203" t="s">
        <v>75</v>
      </c>
      <c r="C143" s="203"/>
      <c r="D143" s="203"/>
      <c r="E143" s="19">
        <f>SUM(E138:E142)</f>
        <v>0</v>
      </c>
    </row>
    <row r="144" spans="2:5">
      <c r="B144" s="8" t="s">
        <v>12</v>
      </c>
      <c r="C144" s="198" t="s">
        <v>76</v>
      </c>
      <c r="D144" s="198"/>
      <c r="E144" s="9">
        <f>E132</f>
        <v>0</v>
      </c>
    </row>
    <row r="145" spans="2:5">
      <c r="B145" s="204" t="s">
        <v>77</v>
      </c>
      <c r="C145" s="204"/>
      <c r="D145" s="204"/>
      <c r="E145" s="157">
        <f>ROUND(SUM(E144+E143),2)</f>
        <v>0</v>
      </c>
    </row>
    <row r="146" spans="2:5">
      <c r="B146" s="4"/>
      <c r="C146" s="4"/>
      <c r="D146" s="4"/>
    </row>
    <row r="147" spans="2:5">
      <c r="B147" s="4"/>
      <c r="C147" s="4"/>
      <c r="D147" s="4"/>
      <c r="E147" s="50"/>
    </row>
    <row r="148" spans="2:5">
      <c r="B148" s="4"/>
      <c r="C148" s="4"/>
      <c r="D148" s="4"/>
    </row>
    <row r="149" spans="2:5">
      <c r="B149" s="4"/>
      <c r="C149" s="4"/>
      <c r="D149" s="4"/>
    </row>
    <row r="150" spans="2:5">
      <c r="B150" s="4"/>
      <c r="C150" s="4"/>
      <c r="D150" s="4"/>
    </row>
  </sheetData>
  <mergeCells count="83">
    <mergeCell ref="C22:D22"/>
    <mergeCell ref="B2:E2"/>
    <mergeCell ref="B3:E3"/>
    <mergeCell ref="B5:E5"/>
    <mergeCell ref="B6:E6"/>
    <mergeCell ref="B21:E21"/>
    <mergeCell ref="B35:E35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B33:E33"/>
    <mergeCell ref="C62:D62"/>
    <mergeCell ref="B36:D36"/>
    <mergeCell ref="C37:D37"/>
    <mergeCell ref="B40:D40"/>
    <mergeCell ref="B42:D42"/>
    <mergeCell ref="B44:E44"/>
    <mergeCell ref="B56:D56"/>
    <mergeCell ref="C57:D57"/>
    <mergeCell ref="C58:D58"/>
    <mergeCell ref="C59:D59"/>
    <mergeCell ref="C60:D60"/>
    <mergeCell ref="C61:D61"/>
    <mergeCell ref="C77:D77"/>
    <mergeCell ref="C64:D64"/>
    <mergeCell ref="B65:D65"/>
    <mergeCell ref="B66:E66"/>
    <mergeCell ref="B67:E67"/>
    <mergeCell ref="B69:D69"/>
    <mergeCell ref="C70:D70"/>
    <mergeCell ref="C71:D71"/>
    <mergeCell ref="C72:D72"/>
    <mergeCell ref="C73:D73"/>
    <mergeCell ref="B74:D74"/>
    <mergeCell ref="B76:E76"/>
    <mergeCell ref="B106:D106"/>
    <mergeCell ref="B84:D84"/>
    <mergeCell ref="B85:E85"/>
    <mergeCell ref="B86:E86"/>
    <mergeCell ref="B87:D87"/>
    <mergeCell ref="C88:D88"/>
    <mergeCell ref="B98:D98"/>
    <mergeCell ref="B99:E99"/>
    <mergeCell ref="B100:E100"/>
    <mergeCell ref="B101:D101"/>
    <mergeCell ref="C102:D102"/>
    <mergeCell ref="B104:D104"/>
    <mergeCell ref="B119:D119"/>
    <mergeCell ref="C107:D107"/>
    <mergeCell ref="C108:D108"/>
    <mergeCell ref="C109:D109"/>
    <mergeCell ref="B110:D110"/>
    <mergeCell ref="B112:E112"/>
    <mergeCell ref="C113:D113"/>
    <mergeCell ref="C114:D114"/>
    <mergeCell ref="C115:D115"/>
    <mergeCell ref="C116:D116"/>
    <mergeCell ref="C117:D117"/>
    <mergeCell ref="C118:D118"/>
    <mergeCell ref="C140:D140"/>
    <mergeCell ref="B121:E121"/>
    <mergeCell ref="B125:B131"/>
    <mergeCell ref="D130:D131"/>
    <mergeCell ref="E130:E131"/>
    <mergeCell ref="B132:C132"/>
    <mergeCell ref="B133:E133"/>
    <mergeCell ref="B134:E134"/>
    <mergeCell ref="B136:E136"/>
    <mergeCell ref="C137:D137"/>
    <mergeCell ref="C138:D138"/>
    <mergeCell ref="C139:D139"/>
    <mergeCell ref="C141:D141"/>
    <mergeCell ref="C142:D142"/>
    <mergeCell ref="B143:D143"/>
    <mergeCell ref="C144:D144"/>
    <mergeCell ref="B145:D145"/>
  </mergeCells>
  <dataValidations count="5">
    <dataValidation allowBlank="1" showInputMessage="1" showErrorMessage="1" promptTitle="Orientação de preenchimento" prompt="Caso a empresa seja optante pela desoneração, zerar esse item e incluir o % da CPRB no módulo 6" sqref="C46:D46" xr:uid="{00000000-0002-0000-0200-000000000000}"/>
    <dataValidation allowBlank="1" showInputMessage="1" showErrorMessage="1" promptTitle="Orientações de preenchimento" prompt="Caso a opção seja indenizar o titular, incluir aportar o valor no Submódulo 2.2._x000a_Caso a opção seja pela substituição do titular durante o intervalo, inclur valor no Sumbódulo 4.2" sqref="C64:D64" xr:uid="{00000000-0002-0000-0200-000001000000}"/>
    <dataValidation allowBlank="1" showInputMessage="1" showErrorMessage="1" promptTitle="Orientações de preenchimento" prompt="Caso a opção seja indenizar o titular, incluir aportar o valor no Submódulo 2.2._x000a_Caso a opção seja pela substituição do titular durante o intervalo, inclur valor no Sumbódulo 4.2_x000a_" sqref="E64 C103:D103" xr:uid="{00000000-0002-0000-0200-000002000000}"/>
    <dataValidation allowBlank="1" showInputMessage="1" showErrorMessage="1" promptTitle="Orientações de preenchimento" prompt="Esse campo somente será preenchido caso a empresa seja OPTANTE pela desoneração. Nesse caso, o INSS do submódulo 2.2 será OBRIGATORIAMENTE ZERADO" sqref="C129:D129" xr:uid="{00000000-0002-0000-0200-000003000000}"/>
    <dataValidation allowBlank="1" showInputMessage="1" showErrorMessage="1" prompt="Quando necessário os valores monetários devem ser arredondados em 2 (duas)_x000a_casa decimais de acordo com a Norma ABNT NBR 5891" sqref="E145" xr:uid="{00000000-0002-0000-0200-000004000000}"/>
  </dataValidations>
  <pageMargins left="0.51181102362204722" right="0.51181102362204722" top="1.1811023622047243" bottom="1.1811023622047243" header="0.78740157480314954" footer="0.78740157480314954"/>
  <pageSetup paperSize="9" scale="81" fitToWidth="0" fitToHeight="0" orientation="portrait" r:id="rId1"/>
  <headerFooter alignWithMargins="0"/>
  <rowBreaks count="3" manualBreakCount="3">
    <brk id="34" min="1" max="1" man="1"/>
    <brk id="85" min="1" max="1" man="1"/>
    <brk id="135" min="1" max="1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D5E07-1650-4FBA-95C7-DE33087C20C1}">
  <dimension ref="A1"/>
  <sheetViews>
    <sheetView workbookViewId="0"/>
  </sheetViews>
  <sheetFormatPr defaultRowHeight="14.25"/>
  <sheetData/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2016B-8B86-4101-8481-8C78271DC343}">
  <dimension ref="A1"/>
  <sheetViews>
    <sheetView workbookViewId="0"/>
  </sheetViews>
  <sheetFormatPr defaultRowHeight="14.25"/>
  <cols>
    <col min="2" max="2" width="9" customWidth="1"/>
  </cols>
  <sheetData/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05654-7B54-496A-9861-B623C08E93B7}">
  <dimension ref="A1"/>
  <sheetViews>
    <sheetView workbookViewId="0"/>
  </sheetViews>
  <sheetFormatPr defaultRowHeight="14.25"/>
  <sheetData/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F4952-FB10-4B76-9182-69437322F5FD}">
  <dimension ref="A1"/>
  <sheetViews>
    <sheetView workbookViewId="0"/>
  </sheetViews>
  <sheetFormatPr defaultRowHeight="14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349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3</vt:i4>
      </vt:variant>
    </vt:vector>
  </HeadingPairs>
  <TitlesOfParts>
    <vt:vector size="11" baseType="lpstr">
      <vt:lpstr>OBSERVAÇÃO</vt:lpstr>
      <vt:lpstr>RESUMO - M²</vt:lpstr>
      <vt:lpstr>SERVENTE</vt:lpstr>
      <vt:lpstr>ENCARREGADO</vt:lpstr>
      <vt:lpstr>UNIFORME</vt:lpstr>
      <vt:lpstr>UTENSÍLIOS </vt:lpstr>
      <vt:lpstr>MATERIAL</vt:lpstr>
      <vt:lpstr>EQUIPAMENTO (DEPRECIAÇÃO)</vt:lpstr>
      <vt:lpstr>ENCARREGADO!Area_de_impressao</vt:lpstr>
      <vt:lpstr>'RESUMO - M²'!Area_de_impressao</vt:lpstr>
      <vt:lpstr>SERVENTE!Area_de_impressao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cogep</dc:creator>
  <cp:lastModifiedBy>Antonio Maykon Saraiva Santiago</cp:lastModifiedBy>
  <cp:revision>4</cp:revision>
  <cp:lastPrinted>2018-07-27T01:24:15Z</cp:lastPrinted>
  <dcterms:created xsi:type="dcterms:W3CDTF">2010-02-10T17:23:02Z</dcterms:created>
  <dcterms:modified xsi:type="dcterms:W3CDTF">2022-11-28T11:57:54Z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ufgd</vt:lpwstr>
  </property>
  <property fmtid="{D5CDD505-2E9C-101B-9397-08002B2CF9AE}" pid="4" name="DocSecurity">
    <vt:r8>0</vt:r8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