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ana.schaefer\Desktop\"/>
    </mc:Choice>
  </mc:AlternateContent>
  <bookViews>
    <workbookView xWindow="0" yWindow="0" windowWidth="24000" windowHeight="9135"/>
  </bookViews>
  <sheets>
    <sheet name="Resumo" sheetId="10" r:id="rId1"/>
    <sheet name="Motorista veículo pesado" sheetId="2" r:id="rId2"/>
    <sheet name="Média pesquis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I21" i="3"/>
  <c r="I15" i="3"/>
  <c r="I14" i="3"/>
  <c r="I13" i="3"/>
  <c r="I12" i="3"/>
  <c r="I5" i="3"/>
  <c r="H42" i="2"/>
  <c r="H45" i="2"/>
  <c r="H49" i="2"/>
  <c r="H41" i="2"/>
  <c r="H44" i="2"/>
  <c r="G43" i="2"/>
  <c r="H40" i="2" l="1"/>
  <c r="H43" i="2" l="1"/>
  <c r="I102" i="2" l="1"/>
  <c r="G63" i="2" l="1"/>
  <c r="G61" i="2"/>
  <c r="G60" i="2"/>
  <c r="G70" i="2" l="1"/>
  <c r="G21" i="2"/>
  <c r="G20" i="2"/>
  <c r="G102" i="2" l="1"/>
  <c r="G101" i="2"/>
  <c r="G72" i="2"/>
  <c r="G71" i="2"/>
  <c r="G31" i="2"/>
  <c r="G19" i="2"/>
  <c r="G37" i="2" l="1"/>
  <c r="G64" i="2" s="1"/>
  <c r="G22" i="2" l="1"/>
  <c r="G66" i="2" l="1"/>
  <c r="G73" i="2" l="1"/>
  <c r="G74" i="2"/>
  <c r="G78" i="2" l="1"/>
  <c r="G79" i="2" s="1"/>
  <c r="G86" i="2" l="1"/>
  <c r="H97" i="2" l="1"/>
  <c r="H118" i="2" s="1"/>
  <c r="H56" i="2" l="1"/>
  <c r="G109" i="2" l="1"/>
  <c r="H14" i="2" l="1"/>
  <c r="H29" i="2" l="1"/>
  <c r="I30" i="2"/>
  <c r="I22" i="2"/>
  <c r="H36" i="2"/>
  <c r="I35" i="2"/>
  <c r="H34" i="2"/>
  <c r="H63" i="2"/>
  <c r="H20" i="2"/>
  <c r="H74" i="2"/>
  <c r="I31" i="2"/>
  <c r="I36" i="2"/>
  <c r="H61" i="2"/>
  <c r="I33" i="2"/>
  <c r="H60" i="2"/>
  <c r="H19" i="2"/>
  <c r="H114" i="2"/>
  <c r="H72" i="2"/>
  <c r="H35" i="2"/>
  <c r="H73" i="2"/>
  <c r="H71" i="2"/>
  <c r="I79" i="2"/>
  <c r="I34" i="2"/>
  <c r="H64" i="2"/>
  <c r="H32" i="2"/>
  <c r="H33" i="2"/>
  <c r="I32" i="2"/>
  <c r="H31" i="2"/>
  <c r="H30" i="2"/>
  <c r="H70" i="2"/>
  <c r="H85" i="2"/>
  <c r="H86" i="2" s="1"/>
  <c r="H89" i="2" s="1"/>
  <c r="I29" i="2"/>
  <c r="H37" i="2"/>
  <c r="H55" i="2" s="1"/>
  <c r="H21" i="2" l="1"/>
  <c r="H22" i="2" s="1"/>
  <c r="H23" i="2" s="1"/>
  <c r="H54" i="2" s="1"/>
  <c r="H57" i="2" s="1"/>
  <c r="H115" i="2" s="1"/>
  <c r="I37" i="2"/>
  <c r="H77" i="2"/>
  <c r="H78" i="2" s="1"/>
  <c r="H65" i="2" l="1"/>
  <c r="H62" i="2"/>
  <c r="H79" i="2"/>
  <c r="H80" i="2" s="1"/>
  <c r="H88" i="2" s="1"/>
  <c r="H90" i="2" s="1"/>
  <c r="H117" i="2" s="1"/>
  <c r="H66" i="2" l="1"/>
  <c r="H116" i="2" s="1"/>
  <c r="H119" i="2" s="1"/>
  <c r="H101" i="2" l="1"/>
  <c r="H102" i="2" l="1"/>
  <c r="H103" i="2" s="1"/>
  <c r="I103" i="2" l="1"/>
  <c r="H108" i="2" s="1"/>
  <c r="H120" i="2" s="1"/>
  <c r="H121" i="2" l="1"/>
  <c r="G120" i="2" s="1"/>
  <c r="H107" i="2" l="1"/>
  <c r="H105" i="2"/>
  <c r="H104" i="2"/>
  <c r="D126" i="2"/>
  <c r="G118" i="2"/>
  <c r="G114" i="2"/>
  <c r="G115" i="2"/>
  <c r="G116" i="2"/>
  <c r="G117" i="2"/>
  <c r="H109" i="2" l="1"/>
  <c r="G119" i="2"/>
  <c r="G121" i="2" s="1"/>
  <c r="F126" i="2"/>
  <c r="H126" i="2" s="1"/>
  <c r="H127" i="2" s="1"/>
  <c r="H132" i="2" s="1"/>
  <c r="H133" i="2" s="1"/>
  <c r="F6" i="10" s="1"/>
  <c r="G6" i="10" s="1"/>
  <c r="H131" i="2"/>
  <c r="G7" i="10" l="1"/>
  <c r="H7" i="10" s="1"/>
  <c r="H6" i="10"/>
</calcChain>
</file>

<file path=xl/comments1.xml><?xml version="1.0" encoding="utf-8"?>
<comments xmlns="http://schemas.openxmlformats.org/spreadsheetml/2006/main">
  <authors>
    <author/>
    <author>Liana Lopes Schaefer</author>
    <author>Antônio José Rodrigues de Campos Jr</author>
  </authors>
  <commentList>
    <comment ref="E8" authorId="0" shapeId="0">
      <text>
        <r>
          <rPr>
            <sz val="10"/>
            <color rgb="FF000000"/>
            <rFont val="Arial"/>
            <family val="2"/>
            <charset val="1"/>
          </rPr>
          <t>Selecionar 0% quando não houver Periculosidade e 30% quando incidir</t>
        </r>
      </text>
    </comment>
    <comment ref="H9" authorId="1" shapeId="0">
      <text>
        <r>
          <rPr>
            <b/>
            <sz val="9"/>
            <color indexed="81"/>
            <rFont val="Segoe UI"/>
            <family val="2"/>
          </rPr>
          <t>Liana Lopes Schaefer:</t>
        </r>
        <r>
          <rPr>
            <sz val="9"/>
            <color indexed="81"/>
            <rFont val="Segoe UI"/>
            <family val="2"/>
          </rPr>
          <t xml:space="preserve">
OBS: apenas para fins estimativos, é considerado o adicional de maior valor, no caso específico, insalubridade</t>
        </r>
      </text>
    </comment>
    <comment ref="E10" authorId="0" shapeId="0">
      <text>
        <r>
          <rPr>
            <sz val="10"/>
            <color rgb="FF000000"/>
            <rFont val="Arial"/>
            <family val="2"/>
            <charset val="1"/>
          </rPr>
          <t>Selecionar entre:
0%
10%
20%
40%
E o valor da Insalubridade será calculado sobre o valor da salário</t>
        </r>
      </text>
    </comment>
    <comment ref="J11" authorId="1" shapeId="0">
      <text>
        <r>
          <rPr>
            <b/>
            <sz val="9"/>
            <color indexed="81"/>
            <rFont val="Segoe UI"/>
            <charset val="1"/>
          </rPr>
          <t>Liana Lopes Schaefer:</t>
        </r>
        <r>
          <rPr>
            <sz val="9"/>
            <color indexed="81"/>
            <rFont val="Segoe UI"/>
            <charset val="1"/>
          </rPr>
          <t xml:space="preserve">
valor da hora extra</t>
        </r>
      </text>
    </comment>
    <comment ref="H12" authorId="1" shapeId="0">
      <text>
        <r>
          <rPr>
            <b/>
            <sz val="9"/>
            <color indexed="81"/>
            <rFont val="Segoe UI"/>
            <family val="2"/>
          </rPr>
          <t>Liana Lopes Schaefer:</t>
        </r>
        <r>
          <rPr>
            <sz val="9"/>
            <color indexed="81"/>
            <rFont val="Segoe UI"/>
            <family val="2"/>
          </rPr>
          <t xml:space="preserve">
Utilizado mesmo cálculo da planilha (17117553) aceita no pregão de limpeza da PFPV:
*Pegamos o salario, divimos por 220hs, multiplicado por 50% (1,5).Ps.( I26/220*1,5*)
Com o valor da hora extra calculado, multiplicar pelo número de funcionários que trabalharão no domingo ou feriado (3), multiplicar pelo número de horas que cada um trabalhará nesses dias (3). ps.( 3*3)
Multiplicar pela quantidade de domingos e feriados que teremos no ano (365/7+9); onde 365/7 é a quantidade média de domingos e 9 é a quantidade média de feriados no ano.
Este cálculo nos dá o valor anual gasto com horas-extras. Este valor deverá ser dividido por 12 para obtermos o valor mensal. E após, dividido pela quantidade de serventes do contrato (no caso, são 11) para que o senhor chegue ao valor mensal de cada funcionário no mês.</t>
        </r>
      </text>
    </comment>
    <comment ref="G31" authorId="2" shapeId="0">
      <text>
        <r>
          <rPr>
            <b/>
            <sz val="9"/>
            <color indexed="81"/>
            <rFont val="Segoe UI"/>
            <family val="2"/>
          </rPr>
          <t>SAT: varia entre 1%,2% e 3%.</t>
        </r>
      </text>
    </comment>
    <comment ref="H93" authorId="1" shapeId="0">
      <text>
        <r>
          <rPr>
            <b/>
            <sz val="9"/>
            <color indexed="81"/>
            <rFont val="Segoe UI"/>
            <charset val="1"/>
          </rPr>
          <t>Liana Lopes Schaefer:</t>
        </r>
        <r>
          <rPr>
            <sz val="9"/>
            <color indexed="81"/>
            <rFont val="Segoe UI"/>
            <charset val="1"/>
          </rPr>
          <t xml:space="preserve">
Utilizado o valor de uniforme do atual contrato 01/2022 do DEPEN</t>
        </r>
      </text>
    </comment>
    <comment ref="G101" authorId="2" shapeId="0">
      <text>
        <r>
          <rPr>
            <b/>
            <sz val="9"/>
            <color indexed="81"/>
            <rFont val="Segoe UI"/>
            <family val="2"/>
          </rPr>
          <t xml:space="preserve">Observar Cenário Máximo e Cenário de Atenção.
</t>
        </r>
      </text>
    </comment>
    <comment ref="G102" authorId="2" shapeId="0">
      <text>
        <r>
          <rPr>
            <b/>
            <sz val="9"/>
            <color indexed="81"/>
            <rFont val="Segoe UI"/>
            <family val="2"/>
          </rPr>
          <t xml:space="preserve">Observar Cenário Máximo e Cenário de Atenção.
</t>
        </r>
      </text>
    </comment>
    <comment ref="F104" authorId="2" shapeId="0">
      <text>
        <r>
          <rPr>
            <b/>
            <sz val="9"/>
            <color indexed="81"/>
            <rFont val="Segoe UI"/>
            <family val="2"/>
          </rPr>
          <t xml:space="preserve">Lucro REAL </t>
        </r>
        <r>
          <rPr>
            <sz val="9"/>
            <color indexed="81"/>
            <rFont val="Segoe UI"/>
            <family val="2"/>
          </rPr>
          <t>1,65%</t>
        </r>
        <r>
          <rPr>
            <b/>
            <sz val="9"/>
            <color indexed="81"/>
            <rFont val="Segoe UI"/>
            <family val="2"/>
          </rPr>
          <t xml:space="preserve">
L.Presumido </t>
        </r>
        <r>
          <rPr>
            <sz val="9"/>
            <color indexed="81"/>
            <rFont val="Segoe UI"/>
            <family val="2"/>
          </rPr>
          <t>0,65%</t>
        </r>
        <r>
          <rPr>
            <b/>
            <sz val="9"/>
            <color indexed="81"/>
            <rFont val="Segoe UI"/>
            <family val="2"/>
          </rPr>
          <t xml:space="preserve">
Simples - </t>
        </r>
        <r>
          <rPr>
            <sz val="9"/>
            <color indexed="81"/>
            <rFont val="Segoe UI"/>
            <family val="2"/>
          </rPr>
          <t xml:space="preserve">variável
Observar parâmetros do caderno de Logística
</t>
        </r>
      </text>
    </comment>
    <comment ref="F105" authorId="2" shapeId="0">
      <text>
        <r>
          <rPr>
            <b/>
            <sz val="9"/>
            <color indexed="81"/>
            <rFont val="Segoe UI"/>
            <family val="2"/>
          </rPr>
          <t xml:space="preserve">Lucro REAL </t>
        </r>
        <r>
          <rPr>
            <sz val="9"/>
            <color indexed="81"/>
            <rFont val="Segoe UI"/>
            <family val="2"/>
          </rPr>
          <t>7,6%</t>
        </r>
        <r>
          <rPr>
            <b/>
            <sz val="9"/>
            <color indexed="81"/>
            <rFont val="Segoe UI"/>
            <family val="2"/>
          </rPr>
          <t xml:space="preserve">
L.Presumido </t>
        </r>
        <r>
          <rPr>
            <sz val="9"/>
            <color indexed="81"/>
            <rFont val="Segoe UI"/>
            <family val="2"/>
          </rPr>
          <t>3%</t>
        </r>
        <r>
          <rPr>
            <b/>
            <sz val="9"/>
            <color indexed="81"/>
            <rFont val="Segoe UI"/>
            <family val="2"/>
          </rPr>
          <t xml:space="preserve">
Simples - </t>
        </r>
        <r>
          <rPr>
            <sz val="9"/>
            <color indexed="81"/>
            <rFont val="Segoe UI"/>
            <family val="2"/>
          </rPr>
          <t>variável
Observar parâmetros do caderno de Logística</t>
        </r>
      </text>
    </comment>
    <comment ref="F107" authorId="2" shapeId="0">
      <text>
        <r>
          <rPr>
            <b/>
            <sz val="9"/>
            <color indexed="81"/>
            <rFont val="Segoe UI"/>
            <family val="2"/>
          </rPr>
          <t>Aliquota máxima permitida de 5%</t>
        </r>
      </text>
    </comment>
  </commentList>
</comments>
</file>

<file path=xl/sharedStrings.xml><?xml version="1.0" encoding="utf-8"?>
<sst xmlns="http://schemas.openxmlformats.org/spreadsheetml/2006/main" count="260" uniqueCount="163">
  <si>
    <t>A</t>
  </si>
  <si>
    <t>B</t>
  </si>
  <si>
    <t>C</t>
  </si>
  <si>
    <t>D</t>
  </si>
  <si>
    <t>Tipo de Serviço</t>
  </si>
  <si>
    <t>Sem Periculosidade</t>
  </si>
  <si>
    <t>Adicional de insalubridade</t>
  </si>
  <si>
    <t>Grau</t>
  </si>
  <si>
    <t>Percentual</t>
  </si>
  <si>
    <t>Salário Mínimo</t>
  </si>
  <si>
    <t>Adicional noturno</t>
  </si>
  <si>
    <t>Sem Insalubridade</t>
  </si>
  <si>
    <t>E</t>
  </si>
  <si>
    <t>F</t>
  </si>
  <si>
    <t>TOTAL</t>
  </si>
  <si>
    <t>Módulo 2 -Encargos e  Benefícios Anuais, Mensais e Diários</t>
  </si>
  <si>
    <t>2.1</t>
  </si>
  <si>
    <t>Submódulo 2.1 – 13° ( décimo terceiro) Salário, Férias e Adicional de Férias</t>
  </si>
  <si>
    <t>13º salário (lei 4090/62)</t>
  </si>
  <si>
    <t>2.2</t>
  </si>
  <si>
    <t>Submódulo 2.2 – Encargos Previdenciários (GPS), Fundo de Garantia por Tempo de Serviço (FGTS) e outras contribuições</t>
  </si>
  <si>
    <t>INSS</t>
  </si>
  <si>
    <t>INCRA</t>
  </si>
  <si>
    <t>SALÁRIO EDUCAÇÃO</t>
  </si>
  <si>
    <t>FGTS</t>
  </si>
  <si>
    <t>G</t>
  </si>
  <si>
    <t>SAT</t>
  </si>
  <si>
    <t>SEBRAE</t>
  </si>
  <si>
    <t>2.3</t>
  </si>
  <si>
    <t>Submódulo 2.3-  Benefícios Mensais e Diários.</t>
  </si>
  <si>
    <t>(Desconto)</t>
  </si>
  <si>
    <t>Total</t>
  </si>
  <si>
    <t>Auxílio alimentação (vales, cesta básica etc)</t>
  </si>
  <si>
    <t>Quadro -  Resumo Módulo 2 -Encargos e  Benefícios Anuais, Mensais e Diários</t>
  </si>
  <si>
    <t>GPS, FGTS e outras contribuições</t>
  </si>
  <si>
    <t>Beneficio Mensais e Diários.</t>
  </si>
  <si>
    <t>Aviso prévio Indenizado</t>
  </si>
  <si>
    <t>Incidência do FGTS sobre aviso prévio indenizado</t>
  </si>
  <si>
    <t>Multa sobre FGTS  e contribuição social sobre o aviso prévio Indenizado</t>
  </si>
  <si>
    <t>Aviso Previo Trabalhado</t>
  </si>
  <si>
    <t>Multa sobre FGTS e contribuição social sobre aviso prévio Trabalhado</t>
  </si>
  <si>
    <t>Módulo 4-  Custo de Reposição do Profissional Ausente</t>
  </si>
  <si>
    <t>4.1</t>
  </si>
  <si>
    <t>Outros (especificar)</t>
  </si>
  <si>
    <t>4.2</t>
  </si>
  <si>
    <t>Submódulo 4.2   – Intrajornada</t>
  </si>
  <si>
    <t>Módulo 5 - Insumos Diversos</t>
  </si>
  <si>
    <t>Uniformes/Crachás</t>
  </si>
  <si>
    <t>Equipamentos</t>
  </si>
  <si>
    <t>6 - Custos Indiretos, Tributários e Lucro (CITL)</t>
  </si>
  <si>
    <t>Custos Indiretos</t>
  </si>
  <si>
    <t>Lucro</t>
  </si>
  <si>
    <t>Tributos total</t>
  </si>
  <si>
    <t>C.1</t>
  </si>
  <si>
    <t>C.2</t>
  </si>
  <si>
    <t>PIS</t>
  </si>
  <si>
    <t>C.3</t>
  </si>
  <si>
    <t>COFINS</t>
  </si>
  <si>
    <t>C.4</t>
  </si>
  <si>
    <t>C.5</t>
  </si>
  <si>
    <t>ISS</t>
  </si>
  <si>
    <t>QUADRO RESUMO DO CUSTO POR EMPREGADO</t>
  </si>
  <si>
    <t>Quadro resumo - VALOR MENSAL DOS SERVIÇOS</t>
  </si>
  <si>
    <t>Valor proposto por empregados por posto</t>
  </si>
  <si>
    <t>Valor posto</t>
  </si>
  <si>
    <t>Valor total do serviço</t>
  </si>
  <si>
    <t>(A)</t>
  </si>
  <si>
    <t>(B)</t>
  </si>
  <si>
    <t>( C )</t>
  </si>
  <si>
    <t>(D) = (B  X C)</t>
  </si>
  <si>
    <t>(E)</t>
  </si>
  <si>
    <t>( F ) = (D X E)</t>
  </si>
  <si>
    <t>VALOR MENSAL DOS SERVIÇOS</t>
  </si>
  <si>
    <t>Quadro - demonstrativo - VALOR GLOBAL DA PROPOSTA</t>
  </si>
  <si>
    <t>Descrição</t>
  </si>
  <si>
    <t>VALOR (R$)</t>
  </si>
  <si>
    <t>Valor proposto por unidade de medida</t>
  </si>
  <si>
    <t>Valor mensal do serviço</t>
  </si>
  <si>
    <t>Valor global da proposta (valor mensal x n.º de meses do contrato)</t>
  </si>
  <si>
    <t xml:space="preserve">PLANILHA DA ADMINISTRAÇÃO     </t>
  </si>
  <si>
    <t>Salário-Base</t>
  </si>
  <si>
    <t>Nota 1: O Módulo 1 refere-se ao valor mensal devido ao empregado pela prestação do serviço no período de 12 meses.</t>
  </si>
  <si>
    <t>SESC ou SESI</t>
  </si>
  <si>
    <t>SENAI - SENAC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</si>
  <si>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</si>
  <si>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</si>
  <si>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 Esses percentuais incidem sobre o Módulo 1, o Submódulo 2.1. (Redação dada pela Instrução Normativa nº 7, de 2018)</t>
  </si>
  <si>
    <t>Dias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</si>
  <si>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</si>
  <si>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</si>
  <si>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r>
      <t>Módulo 1- Composição da Remuneração (</t>
    </r>
    <r>
      <rPr>
        <b/>
        <sz val="12"/>
        <color theme="0"/>
        <rFont val="Arial"/>
        <family val="2"/>
      </rPr>
      <t>Redação dada pela IN 07/2018</t>
    </r>
    <r>
      <rPr>
        <b/>
        <sz val="18"/>
        <color theme="0"/>
        <rFont val="Arial"/>
        <family val="2"/>
      </rPr>
      <t>)</t>
    </r>
  </si>
  <si>
    <r>
      <t>Módulo 3 - Provisão para Rescisão (</t>
    </r>
    <r>
      <rPr>
        <b/>
        <sz val="12"/>
        <color theme="0"/>
        <rFont val="Arial"/>
        <family val="2"/>
      </rPr>
      <t>Redação dada pela IN 07/2018</t>
    </r>
    <r>
      <rPr>
        <b/>
        <sz val="18"/>
        <color theme="0"/>
        <rFont val="Arial"/>
        <family val="2"/>
      </rPr>
      <t>)</t>
    </r>
  </si>
  <si>
    <t>Incidência de GPS, FGTS e outras contribuições sobre o Aviso Prévio Trabalhado</t>
  </si>
  <si>
    <r>
      <rPr>
        <sz val="10"/>
        <color rgb="FF000000"/>
        <rFont val="Arial"/>
        <family val="2"/>
      </rPr>
      <t>Nota 1</t>
    </r>
    <r>
      <rPr>
        <b/>
        <sz val="10"/>
        <color rgb="FF000000"/>
        <rFont val="Arial"/>
        <family val="2"/>
      </rPr>
      <t>: </t>
    </r>
    <r>
      <rPr>
        <sz val="10"/>
        <color rgb="FF000000"/>
        <rFont val="Arial"/>
        <family val="2"/>
      </rPr>
      <t>Os itens que contemplam o módulo 4 se referem ao custo dos dias trabalhados pelo repositor/substituto, quando o empregado alocado na prestação de serviço estiver ausente, conforme as previsões estabelecidas na legislação. </t>
    </r>
    <r>
      <rPr>
        <b/>
        <sz val="10"/>
        <color rgb="FF000000"/>
        <rFont val="Arial"/>
        <family val="2"/>
      </rPr>
      <t>(Redação dada pela Instrução Normativa nº 7, de 2018)</t>
    </r>
  </si>
  <si>
    <t>Submódulo 4.1  – Substituto nas Ausências Legais (Redação dada pela Instrução Normativa nº 7, de 2018)</t>
  </si>
  <si>
    <t>Substituto cobertura das Férias</t>
  </si>
  <si>
    <t>Substituto cobertura Ausências Legais</t>
  </si>
  <si>
    <t>Substituto cobertura Licença paternidade</t>
  </si>
  <si>
    <t>Substituto cobertura Ausência por acidente de trabalho</t>
  </si>
  <si>
    <t>Substituto cobertura Afastamento Maternidade</t>
  </si>
  <si>
    <t>Substituto cobertura de Outras ausências (especificar)</t>
  </si>
  <si>
    <t>Substituto na cobertura de Intervalo para repouso ou alimentação.</t>
  </si>
  <si>
    <t>Substituto nas Ausências Legais</t>
  </si>
  <si>
    <t>Substituto na Intrajornada</t>
  </si>
  <si>
    <t>Tributos</t>
  </si>
  <si>
    <t xml:space="preserve">Materiais </t>
  </si>
  <si>
    <t>Nota 1: Valores mensais por empregado</t>
  </si>
  <si>
    <t>Nota 1: Custos Indiretos, Tributos e Lucro por empregado.</t>
  </si>
  <si>
    <t>Nota 2: O valor referente a tributos é obtido aplicando-se o percentual sobre o valor do faturamento.</t>
  </si>
  <si>
    <t>sub total (A+B+C+D+E)</t>
  </si>
  <si>
    <t>Módulo 6 - Custos indiretos, Tributos e Lucros</t>
  </si>
  <si>
    <t>Módulo 4 - Custo de Reposição do Profissional Ausente</t>
  </si>
  <si>
    <t>Módulo 3 - Previsão para rescisão</t>
  </si>
  <si>
    <t>Módulo 2 - Encargos e Beneficio Anuais, Mensais e Diários</t>
  </si>
  <si>
    <t>Módulo 1 - Composição da Remuneração</t>
  </si>
  <si>
    <t>Valor Total por Empregado.</t>
  </si>
  <si>
    <t>Quant.   Empregado/ posto</t>
  </si>
  <si>
    <t>Quant. postos</t>
  </si>
  <si>
    <t>Nota : Informar o valor da unidade de medida por tipo de serviço.</t>
  </si>
  <si>
    <t>federais</t>
  </si>
  <si>
    <t>municipais</t>
  </si>
  <si>
    <t>TOTAL CITL</t>
  </si>
  <si>
    <t>ANEXO VII D  PLANILHA DE CUSTOS E FORMAÇÃO DE PREÇOS IN 05/2017 - IN 07/2018 - SEGES/MPDG</t>
  </si>
  <si>
    <t>Adicional de periculosidade (lei 12.740/2012)</t>
  </si>
  <si>
    <t>Subtotal</t>
  </si>
  <si>
    <t>=</t>
  </si>
  <si>
    <t>não considerado</t>
  </si>
  <si>
    <t>Média pesquisada</t>
  </si>
  <si>
    <t>Média</t>
  </si>
  <si>
    <t>SAT - Seguro Acidente de Trabalho</t>
  </si>
  <si>
    <t>-</t>
  </si>
  <si>
    <t>Quadro -  Resumo Módulo 4 - Custo de Reposição do Profissional Ausente (Redação dada pela Instrução Normativa nº 7, de 2018)</t>
  </si>
  <si>
    <t>Transporte / hora itinere</t>
  </si>
  <si>
    <t>Utensílios</t>
  </si>
  <si>
    <t>Benefício social familiar</t>
  </si>
  <si>
    <r>
      <rPr>
        <strike/>
        <sz val="12"/>
        <rFont val="Arial"/>
        <family val="2"/>
      </rPr>
      <t>Férias</t>
    </r>
    <r>
      <rPr>
        <sz val="12"/>
        <rFont val="Arial"/>
        <family val="2"/>
        <charset val="1"/>
      </rPr>
      <t xml:space="preserve"> e Terço Constitucional de Férias .</t>
    </r>
  </si>
  <si>
    <r>
      <t xml:space="preserve">Incidência do Submódulo 2.2  sobre 13° e </t>
    </r>
    <r>
      <rPr>
        <i/>
        <strike/>
        <sz val="12"/>
        <rFont val="Arial"/>
        <family val="2"/>
      </rPr>
      <t xml:space="preserve">Férias </t>
    </r>
    <r>
      <rPr>
        <i/>
        <sz val="12"/>
        <rFont val="Arial"/>
        <family val="2"/>
      </rPr>
      <t>+ 1/3</t>
    </r>
  </si>
  <si>
    <t>valor unit</t>
  </si>
  <si>
    <t>Qtd</t>
  </si>
  <si>
    <r>
      <t xml:space="preserve">13° Salário, </t>
    </r>
    <r>
      <rPr>
        <strike/>
        <sz val="12"/>
        <color rgb="FF000000"/>
        <rFont val="Arial"/>
        <family val="2"/>
      </rPr>
      <t>Férias</t>
    </r>
    <r>
      <rPr>
        <sz val="12"/>
        <color rgb="FF000000"/>
        <rFont val="Arial"/>
        <family val="2"/>
        <charset val="1"/>
      </rPr>
      <t xml:space="preserve"> e Adicional de Férias</t>
    </r>
  </si>
  <si>
    <t xml:space="preserve">Incidência do Submódulo 2.2 </t>
  </si>
  <si>
    <t>SubTOTAL</t>
  </si>
  <si>
    <t>Utilizado lucro real</t>
  </si>
  <si>
    <t>Benefício assistência médica</t>
  </si>
  <si>
    <t>Fundo de formação profissional</t>
  </si>
  <si>
    <t xml:space="preserve">Adicional de Hora Extra  </t>
  </si>
  <si>
    <t>SEDE</t>
  </si>
  <si>
    <t>Motorista</t>
  </si>
  <si>
    <t>DF000009/2022</t>
  </si>
  <si>
    <t xml:space="preserve">Contrato 01/2022 - DEPEN (18693213,16992447) </t>
  </si>
  <si>
    <t xml:space="preserve">Proposta empresa RMC (18763615) </t>
  </si>
  <si>
    <t xml:space="preserve">Proposta empresa Green House (18763615) </t>
  </si>
  <si>
    <t>Item</t>
  </si>
  <si>
    <t xml:space="preserve">Descrição </t>
  </si>
  <si>
    <t>Quantidade</t>
  </si>
  <si>
    <t>Valor unitário</t>
  </si>
  <si>
    <t>Valor Mensal</t>
  </si>
  <si>
    <t>Valor Anual</t>
  </si>
  <si>
    <t>Motorista SEDE</t>
  </si>
  <si>
    <t>Processo nº 08016.009215/2022-42</t>
  </si>
  <si>
    <t xml:space="preserve">Motorista de Veículo (Caminhão e Ônibus) </t>
  </si>
  <si>
    <t>Total Estimado:</t>
  </si>
  <si>
    <t>Proposta empresa CTA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</si>
</sst>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R$-416]\ #,##0.00;[Red]\-[$R$-416]\ #,##0.00"/>
    <numFmt numFmtId="165" formatCode="&quot; R$ &quot;* #,##0.00\ ;&quot;-R$ &quot;* #,##0.00\ ;&quot; R$ &quot;* \-#\ ;@\ "/>
    <numFmt numFmtId="166" formatCode="&quot; R$&quot;* #,##0.00\ ;&quot; R$&quot;* \(#,##0.00\);&quot; R$&quot;* \-#\ ;@\ "/>
    <numFmt numFmtId="167" formatCode="#,##0.00%"/>
    <numFmt numFmtId="168" formatCode="&quot; R$ &quot;* #,##0.00\ ;&quot;-R$ &quot;* #,##0.00\ ;&quot; R$ &quot;* \-#.0\ ;@\ "/>
    <numFmt numFmtId="169" formatCode="[$R$-416]#,##0.00;[Red]\-[$R$-416]#,##0.00"/>
    <numFmt numFmtId="170" formatCode="#,##0.00&quot; &quot;;&quot;(&quot;#,##0.00&quot;)&quot;;&quot;-&quot;#&quot; &quot;;&quot; &quot;@&quot; &quot;"/>
  </numFmts>
  <fonts count="5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theme="0"/>
      <name val="Arial"/>
      <family val="2"/>
      <charset val="1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  <charset val="1"/>
    </font>
    <font>
      <sz val="9"/>
      <color indexed="81"/>
      <name val="Segoe UI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2"/>
      <color rgb="FF000000"/>
      <name val="Arial"/>
      <family val="2"/>
    </font>
    <font>
      <b/>
      <sz val="9"/>
      <color indexed="81"/>
      <name val="Segoe UI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1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FF0000"/>
      <name val="Arial"/>
      <family val="2"/>
    </font>
    <font>
      <strike/>
      <sz val="12"/>
      <name val="Arial"/>
      <family val="2"/>
    </font>
    <font>
      <i/>
      <strike/>
      <sz val="12"/>
      <name val="Arial"/>
      <family val="2"/>
    </font>
    <font>
      <strike/>
      <sz val="12"/>
      <color rgb="FF000000"/>
      <name val="Arial"/>
      <family val="2"/>
    </font>
    <font>
      <i/>
      <sz val="10"/>
      <color rgb="FF00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4" tint="-0.249977111117893"/>
        <bgColor rgb="FF33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rgb="FF33CC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26" fillId="0" borderId="0" applyBorder="0" applyProtection="0"/>
  </cellStyleXfs>
  <cellXfs count="36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/>
    <xf numFmtId="0" fontId="7" fillId="2" borderId="2" xfId="0" applyFont="1" applyFill="1" applyBorder="1" applyAlignment="1"/>
    <xf numFmtId="0" fontId="7" fillId="0" borderId="0" xfId="0" applyFont="1" applyBorder="1" applyAlignment="1"/>
    <xf numFmtId="0" fontId="4" fillId="0" borderId="0" xfId="0" applyFont="1" applyBorder="1" applyAlignment="1"/>
    <xf numFmtId="0" fontId="5" fillId="2" borderId="2" xfId="0" applyFont="1" applyFill="1" applyBorder="1" applyAlignment="1"/>
    <xf numFmtId="165" fontId="5" fillId="2" borderId="2" xfId="0" applyNumberFormat="1" applyFont="1" applyFill="1" applyBorder="1" applyAlignment="1">
      <alignment vertical="center"/>
    </xf>
    <xf numFmtId="10" fontId="5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4" fillId="2" borderId="2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9" fillId="0" borderId="0" xfId="0" applyFont="1" applyAlignment="1"/>
    <xf numFmtId="0" fontId="3" fillId="0" borderId="0" xfId="0" applyFont="1"/>
    <xf numFmtId="0" fontId="2" fillId="0" borderId="0" xfId="0" applyFont="1"/>
    <xf numFmtId="0" fontId="7" fillId="0" borderId="0" xfId="0" applyFont="1" applyBorder="1" applyAlignment="1">
      <alignment vertical="center"/>
    </xf>
    <xf numFmtId="0" fontId="4" fillId="4" borderId="0" xfId="0" applyFont="1" applyFill="1" applyBorder="1" applyAlignment="1"/>
    <xf numFmtId="0" fontId="0" fillId="0" borderId="0" xfId="0" applyFill="1"/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165" fontId="4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/>
    <xf numFmtId="0" fontId="2" fillId="6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5" fontId="4" fillId="0" borderId="8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/>
    <xf numFmtId="164" fontId="5" fillId="2" borderId="14" xfId="0" applyNumberFormat="1" applyFont="1" applyFill="1" applyBorder="1" applyAlignment="1"/>
    <xf numFmtId="0" fontId="6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165" fontId="4" fillId="2" borderId="13" xfId="0" applyNumberFormat="1" applyFont="1" applyFill="1" applyBorder="1" applyAlignment="1">
      <alignment vertical="center"/>
    </xf>
    <xf numFmtId="10" fontId="5" fillId="2" borderId="13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/>
    <xf numFmtId="165" fontId="7" fillId="0" borderId="8" xfId="0" applyNumberFormat="1" applyFont="1" applyBorder="1" applyAlignment="1"/>
    <xf numFmtId="0" fontId="4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168" fontId="4" fillId="0" borderId="8" xfId="0" applyNumberFormat="1" applyFont="1" applyBorder="1" applyAlignment="1">
      <alignment vertical="center"/>
    </xf>
    <xf numFmtId="166" fontId="4" fillId="0" borderId="0" xfId="0" applyNumberFormat="1" applyFont="1" applyBorder="1" applyAlignment="1"/>
    <xf numFmtId="10" fontId="4" fillId="0" borderId="0" xfId="0" applyNumberFormat="1" applyFont="1" applyBorder="1" applyAlignment="1">
      <alignment horizontal="center"/>
    </xf>
    <xf numFmtId="0" fontId="4" fillId="0" borderId="8" xfId="0" applyFont="1" applyBorder="1" applyAlignment="1"/>
    <xf numFmtId="165" fontId="4" fillId="0" borderId="8" xfId="0" applyNumberFormat="1" applyFont="1" applyBorder="1" applyAlignment="1"/>
    <xf numFmtId="49" fontId="4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Border="1"/>
    <xf numFmtId="165" fontId="4" fillId="0" borderId="0" xfId="0" applyNumberFormat="1" applyFont="1" applyBorder="1" applyAlignment="1"/>
    <xf numFmtId="0" fontId="4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/>
    <xf numFmtId="166" fontId="4" fillId="2" borderId="13" xfId="0" applyNumberFormat="1" applyFont="1" applyFill="1" applyBorder="1" applyAlignment="1"/>
    <xf numFmtId="166" fontId="5" fillId="2" borderId="14" xfId="0" applyNumberFormat="1" applyFont="1" applyFill="1" applyBorder="1" applyAlignment="1"/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164" fontId="7" fillId="4" borderId="8" xfId="0" applyNumberFormat="1" applyFont="1" applyFill="1" applyBorder="1" applyAlignment="1">
      <alignment vertical="center"/>
    </xf>
    <xf numFmtId="49" fontId="4" fillId="7" borderId="12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vertical="center"/>
    </xf>
    <xf numFmtId="164" fontId="9" fillId="7" borderId="14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wrapText="1"/>
    </xf>
    <xf numFmtId="10" fontId="4" fillId="4" borderId="0" xfId="0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vertical="center"/>
    </xf>
    <xf numFmtId="0" fontId="6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/>
    <xf numFmtId="0" fontId="7" fillId="7" borderId="13" xfId="0" applyFont="1" applyFill="1" applyBorder="1" applyAlignment="1"/>
    <xf numFmtId="165" fontId="4" fillId="7" borderId="13" xfId="0" applyNumberFormat="1" applyFont="1" applyFill="1" applyBorder="1" applyAlignment="1">
      <alignment vertical="center"/>
    </xf>
    <xf numFmtId="10" fontId="5" fillId="7" borderId="13" xfId="0" applyNumberFormat="1" applyFont="1" applyFill="1" applyBorder="1" applyAlignment="1">
      <alignment horizontal="center" vertical="center"/>
    </xf>
    <xf numFmtId="165" fontId="5" fillId="7" borderId="14" xfId="0" applyNumberFormat="1" applyFont="1" applyFill="1" applyBorder="1" applyAlignment="1">
      <alignment vertical="center"/>
    </xf>
    <xf numFmtId="165" fontId="16" fillId="0" borderId="8" xfId="0" applyNumberFormat="1" applyFont="1" applyBorder="1" applyAlignment="1"/>
    <xf numFmtId="10" fontId="16" fillId="0" borderId="0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vertical="center"/>
    </xf>
    <xf numFmtId="0" fontId="18" fillId="0" borderId="0" xfId="0" applyFont="1" applyBorder="1" applyAlignment="1"/>
    <xf numFmtId="165" fontId="17" fillId="0" borderId="8" xfId="0" applyNumberFormat="1" applyFont="1" applyBorder="1" applyAlignment="1">
      <alignment vertical="center"/>
    </xf>
    <xf numFmtId="10" fontId="7" fillId="0" borderId="0" xfId="0" applyNumberFormat="1" applyFont="1" applyBorder="1" applyAlignment="1" applyProtection="1">
      <alignment horizontal="center" vertical="center"/>
      <protection locked="0"/>
    </xf>
    <xf numFmtId="10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/>
    <xf numFmtId="165" fontId="7" fillId="0" borderId="8" xfId="0" applyNumberFormat="1" applyFont="1" applyBorder="1" applyAlignment="1" applyProtection="1">
      <alignment vertical="center"/>
      <protection locked="0"/>
    </xf>
    <xf numFmtId="165" fontId="7" fillId="0" borderId="8" xfId="0" applyNumberFormat="1" applyFont="1" applyBorder="1" applyAlignment="1" applyProtection="1"/>
    <xf numFmtId="0" fontId="7" fillId="0" borderId="8" xfId="0" applyFont="1" applyBorder="1" applyAlignment="1"/>
    <xf numFmtId="165" fontId="7" fillId="0" borderId="8" xfId="0" applyNumberFormat="1" applyFont="1" applyBorder="1" applyAlignment="1" applyProtection="1">
      <protection locked="0"/>
    </xf>
    <xf numFmtId="9" fontId="7" fillId="0" borderId="0" xfId="1" applyFont="1" applyBorder="1" applyAlignment="1">
      <alignment horizontal="center" vertical="center"/>
    </xf>
    <xf numFmtId="10" fontId="20" fillId="0" borderId="0" xfId="1" applyNumberFormat="1" applyFont="1" applyBorder="1" applyAlignment="1" applyProtection="1">
      <alignment horizontal="center" vertical="center"/>
      <protection locked="0"/>
    </xf>
    <xf numFmtId="10" fontId="20" fillId="0" borderId="0" xfId="0" applyNumberFormat="1" applyFont="1" applyBorder="1" applyAlignment="1">
      <alignment horizontal="center" vertical="center"/>
    </xf>
    <xf numFmtId="10" fontId="20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0" fillId="8" borderId="0" xfId="0" applyFont="1" applyFill="1" applyBorder="1" applyAlignment="1">
      <alignment horizontal="left" vertical="center"/>
    </xf>
    <xf numFmtId="0" fontId="9" fillId="0" borderId="18" xfId="0" applyFont="1" applyBorder="1" applyAlignment="1"/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/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17" fillId="0" borderId="20" xfId="0" applyFont="1" applyBorder="1" applyAlignment="1"/>
    <xf numFmtId="49" fontId="4" fillId="2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20" fillId="0" borderId="0" xfId="0" applyFont="1" applyBorder="1" applyAlignment="1"/>
    <xf numFmtId="0" fontId="2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7" fillId="0" borderId="0" xfId="0" applyFont="1" applyBorder="1" applyAlignment="1" applyProtection="1">
      <alignment horizontal="center"/>
      <protection locked="0"/>
    </xf>
    <xf numFmtId="165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10" fontId="7" fillId="0" borderId="0" xfId="0" applyNumberFormat="1" applyFont="1" applyBorder="1" applyAlignment="1" applyProtection="1">
      <alignment horizontal="center" vertical="center" wrapText="1"/>
      <protection locked="0"/>
    </xf>
    <xf numFmtId="10" fontId="7" fillId="0" borderId="0" xfId="1" applyNumberFormat="1" applyFont="1" applyBorder="1" applyAlignment="1" applyProtection="1">
      <alignment horizontal="center" vertical="center" wrapText="1"/>
      <protection locked="0"/>
    </xf>
    <xf numFmtId="9" fontId="7" fillId="0" borderId="0" xfId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/>
    </xf>
    <xf numFmtId="0" fontId="9" fillId="9" borderId="7" xfId="0" applyFont="1" applyFill="1" applyBorder="1" applyAlignment="1">
      <alignment horizontal="center" vertical="center"/>
    </xf>
    <xf numFmtId="0" fontId="7" fillId="9" borderId="0" xfId="0" applyFont="1" applyFill="1" applyBorder="1" applyAlignment="1"/>
    <xf numFmtId="165" fontId="4" fillId="9" borderId="0" xfId="0" applyNumberFormat="1" applyFont="1" applyFill="1" applyBorder="1" applyAlignment="1">
      <alignment vertical="center"/>
    </xf>
    <xf numFmtId="10" fontId="4" fillId="9" borderId="0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vertical="center"/>
    </xf>
    <xf numFmtId="0" fontId="21" fillId="9" borderId="0" xfId="0" applyFont="1" applyFill="1" applyBorder="1" applyAlignment="1"/>
    <xf numFmtId="165" fontId="22" fillId="9" borderId="0" xfId="0" applyNumberFormat="1" applyFont="1" applyFill="1" applyBorder="1" applyAlignment="1">
      <alignment vertical="center"/>
    </xf>
    <xf numFmtId="10" fontId="22" fillId="9" borderId="0" xfId="0" applyNumberFormat="1" applyFont="1" applyFill="1" applyBorder="1" applyAlignment="1">
      <alignment horizontal="center" vertical="center"/>
    </xf>
    <xf numFmtId="165" fontId="22" fillId="9" borderId="8" xfId="0" applyNumberFormat="1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0" xfId="0" applyFont="1" applyFill="1" applyBorder="1" applyAlignment="1">
      <alignment horizontal="center" vertical="center" wrapText="1"/>
    </xf>
    <xf numFmtId="10" fontId="9" fillId="9" borderId="0" xfId="0" applyNumberFormat="1" applyFont="1" applyFill="1" applyBorder="1" applyAlignment="1">
      <alignment horizontal="center" vertical="center" wrapText="1"/>
    </xf>
    <xf numFmtId="4" fontId="9" fillId="9" borderId="8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 wrapText="1"/>
    </xf>
    <xf numFmtId="10" fontId="5" fillId="9" borderId="0" xfId="0" applyNumberFormat="1" applyFont="1" applyFill="1" applyBorder="1" applyAlignment="1">
      <alignment horizontal="center" vertical="center" wrapText="1"/>
    </xf>
    <xf numFmtId="4" fontId="5" fillId="9" borderId="8" xfId="0" applyNumberFormat="1" applyFont="1" applyFill="1" applyBorder="1" applyAlignment="1">
      <alignment horizontal="center" vertical="center"/>
    </xf>
    <xf numFmtId="0" fontId="4" fillId="9" borderId="0" xfId="0" applyFont="1" applyFill="1" applyBorder="1" applyAlignment="1">
      <alignment vertical="center" wrapText="1"/>
    </xf>
    <xf numFmtId="166" fontId="4" fillId="9" borderId="0" xfId="0" applyNumberFormat="1" applyFont="1" applyFill="1" applyBorder="1" applyAlignment="1">
      <alignment horizontal="center" vertical="center"/>
    </xf>
    <xf numFmtId="1" fontId="9" fillId="9" borderId="0" xfId="0" applyNumberFormat="1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>
      <alignment vertical="center"/>
    </xf>
    <xf numFmtId="0" fontId="4" fillId="9" borderId="10" xfId="0" applyFont="1" applyFill="1" applyBorder="1" applyAlignment="1">
      <alignment vertical="center"/>
    </xf>
    <xf numFmtId="166" fontId="4" fillId="9" borderId="11" xfId="0" applyNumberFormat="1" applyFont="1" applyFill="1" applyBorder="1" applyAlignment="1">
      <alignment vertical="center"/>
    </xf>
    <xf numFmtId="0" fontId="7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wrapText="1"/>
    </xf>
    <xf numFmtId="166" fontId="9" fillId="9" borderId="8" xfId="0" applyNumberFormat="1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wrapText="1"/>
    </xf>
    <xf numFmtId="0" fontId="7" fillId="9" borderId="0" xfId="0" applyFont="1" applyFill="1" applyBorder="1" applyAlignment="1">
      <alignment vertical="center"/>
    </xf>
    <xf numFmtId="0" fontId="7" fillId="9" borderId="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wrapText="1"/>
    </xf>
    <xf numFmtId="0" fontId="7" fillId="9" borderId="10" xfId="0" applyFont="1" applyFill="1" applyBorder="1" applyAlignment="1">
      <alignment vertical="center"/>
    </xf>
    <xf numFmtId="166" fontId="9" fillId="9" borderId="11" xfId="0" applyNumberFormat="1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left" vertical="center"/>
    </xf>
    <xf numFmtId="0" fontId="7" fillId="10" borderId="0" xfId="0" applyFont="1" applyFill="1" applyBorder="1" applyAlignment="1">
      <alignment vertical="center"/>
    </xf>
    <xf numFmtId="0" fontId="4" fillId="10" borderId="0" xfId="0" applyFont="1" applyFill="1" applyBorder="1" applyAlignment="1"/>
    <xf numFmtId="0" fontId="7" fillId="10" borderId="1" xfId="0" applyFont="1" applyFill="1" applyBorder="1" applyAlignment="1" applyProtection="1">
      <alignment horizontal="center"/>
      <protection locked="0"/>
    </xf>
    <xf numFmtId="10" fontId="8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 applyBorder="1"/>
    <xf numFmtId="0" fontId="7" fillId="10" borderId="1" xfId="0" applyFont="1" applyFill="1" applyBorder="1" applyAlignment="1">
      <alignment horizontal="center"/>
    </xf>
    <xf numFmtId="165" fontId="4" fillId="10" borderId="1" xfId="0" applyNumberFormat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 applyProtection="1">
      <alignment horizontal="center"/>
      <protection locked="0"/>
    </xf>
    <xf numFmtId="0" fontId="4" fillId="10" borderId="0" xfId="0" applyFont="1" applyFill="1" applyBorder="1" applyAlignment="1">
      <alignment horizontal="left" vertical="center"/>
    </xf>
    <xf numFmtId="0" fontId="7" fillId="10" borderId="0" xfId="0" applyFont="1" applyFill="1" applyBorder="1" applyAlignment="1"/>
    <xf numFmtId="167" fontId="4" fillId="10" borderId="0" xfId="0" applyNumberFormat="1" applyFont="1" applyFill="1" applyBorder="1" applyAlignment="1">
      <alignment horizontal="left" vertical="center"/>
    </xf>
    <xf numFmtId="0" fontId="4" fillId="10" borderId="0" xfId="0" applyFont="1" applyFill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0" fontId="4" fillId="10" borderId="0" xfId="0" applyFont="1" applyFill="1" applyAlignment="1"/>
    <xf numFmtId="0" fontId="27" fillId="9" borderId="19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0" fontId="4" fillId="10" borderId="0" xfId="0" applyNumberFormat="1" applyFont="1" applyFill="1" applyBorder="1" applyAlignment="1">
      <alignment horizontal="center"/>
    </xf>
    <xf numFmtId="10" fontId="7" fillId="11" borderId="0" xfId="0" applyNumberFormat="1" applyFont="1" applyFill="1" applyBorder="1" applyAlignment="1" applyProtection="1">
      <alignment horizontal="center" vertical="center"/>
      <protection locked="0"/>
    </xf>
    <xf numFmtId="44" fontId="16" fillId="0" borderId="8" xfId="2" applyFont="1" applyBorder="1" applyAlignment="1"/>
    <xf numFmtId="0" fontId="29" fillId="10" borderId="0" xfId="0" applyFont="1" applyFill="1" applyBorder="1" applyAlignment="1"/>
    <xf numFmtId="0" fontId="30" fillId="0" borderId="0" xfId="0" applyFont="1"/>
    <xf numFmtId="0" fontId="31" fillId="0" borderId="0" xfId="0" applyFont="1"/>
    <xf numFmtId="43" fontId="30" fillId="0" borderId="0" xfId="0" applyNumberFormat="1" applyFont="1"/>
    <xf numFmtId="43" fontId="32" fillId="0" borderId="0" xfId="0" applyNumberFormat="1" applyFont="1"/>
    <xf numFmtId="169" fontId="30" fillId="0" borderId="0" xfId="0" applyNumberFormat="1" applyFont="1"/>
    <xf numFmtId="0" fontId="33" fillId="0" borderId="0" xfId="0" applyFont="1" applyBorder="1" applyAlignment="1"/>
    <xf numFmtId="0" fontId="35" fillId="13" borderId="27" xfId="0" applyFont="1" applyFill="1" applyBorder="1" applyAlignment="1">
      <alignment horizontal="center"/>
    </xf>
    <xf numFmtId="10" fontId="30" fillId="0" borderId="29" xfId="1" applyNumberFormat="1" applyFont="1" applyBorder="1" applyAlignment="1">
      <alignment horizontal="center"/>
    </xf>
    <xf numFmtId="10" fontId="30" fillId="0" borderId="3" xfId="1" applyNumberFormat="1" applyFont="1" applyBorder="1" applyAlignment="1">
      <alignment horizontal="center"/>
    </xf>
    <xf numFmtId="10" fontId="5" fillId="2" borderId="13" xfId="0" applyNumberFormat="1" applyFont="1" applyFill="1" applyBorder="1" applyAlignment="1">
      <alignment horizontal="center"/>
    </xf>
    <xf numFmtId="43" fontId="4" fillId="0" borderId="0" xfId="0" applyNumberFormat="1" applyFont="1" applyAlignment="1"/>
    <xf numFmtId="10" fontId="30" fillId="0" borderId="36" xfId="1" applyNumberFormat="1" applyFont="1" applyBorder="1" applyAlignment="1">
      <alignment horizontal="center"/>
    </xf>
    <xf numFmtId="10" fontId="37" fillId="10" borderId="0" xfId="0" applyNumberFormat="1" applyFont="1" applyFill="1" applyBorder="1"/>
    <xf numFmtId="0" fontId="19" fillId="10" borderId="0" xfId="0" applyFont="1" applyFill="1" applyBorder="1" applyAlignment="1">
      <alignment horizontal="left" vertical="center"/>
    </xf>
    <xf numFmtId="0" fontId="19" fillId="10" borderId="0" xfId="0" applyFont="1" applyFill="1" applyBorder="1" applyAlignment="1"/>
    <xf numFmtId="10" fontId="38" fillId="10" borderId="0" xfId="0" applyNumberFormat="1" applyFont="1" applyFill="1" applyBorder="1" applyAlignment="1" applyProtection="1">
      <alignment horizontal="center" vertical="center"/>
      <protection locked="0"/>
    </xf>
    <xf numFmtId="0" fontId="38" fillId="10" borderId="0" xfId="0" applyFont="1" applyFill="1" applyAlignment="1"/>
    <xf numFmtId="0" fontId="38" fillId="10" borderId="0" xfId="0" applyFont="1" applyFill="1" applyBorder="1" applyAlignment="1"/>
    <xf numFmtId="10" fontId="38" fillId="10" borderId="0" xfId="0" applyNumberFormat="1" applyFont="1" applyFill="1" applyBorder="1" applyAlignment="1">
      <alignment horizontal="center" vertical="center"/>
    </xf>
    <xf numFmtId="10" fontId="38" fillId="11" borderId="0" xfId="0" applyNumberFormat="1" applyFont="1" applyFill="1" applyBorder="1" applyAlignment="1" applyProtection="1">
      <alignment horizontal="center" vertical="center"/>
      <protection locked="0"/>
    </xf>
    <xf numFmtId="10" fontId="39" fillId="11" borderId="0" xfId="0" applyNumberFormat="1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wrapText="1"/>
    </xf>
    <xf numFmtId="0" fontId="30" fillId="0" borderId="0" xfId="0" applyFont="1" applyBorder="1"/>
    <xf numFmtId="44" fontId="30" fillId="0" borderId="0" xfId="2" applyFont="1"/>
    <xf numFmtId="0" fontId="40" fillId="0" borderId="0" xfId="0" applyFont="1"/>
    <xf numFmtId="0" fontId="41" fillId="0" borderId="3" xfId="0" applyFont="1" applyBorder="1" applyAlignment="1">
      <alignment horizontal="center"/>
    </xf>
    <xf numFmtId="165" fontId="30" fillId="0" borderId="0" xfId="0" applyNumberFormat="1" applyFont="1"/>
    <xf numFmtId="165" fontId="0" fillId="0" borderId="0" xfId="0" applyNumberFormat="1"/>
    <xf numFmtId="43" fontId="0" fillId="0" borderId="0" xfId="0" applyNumberFormat="1"/>
    <xf numFmtId="0" fontId="7" fillId="11" borderId="0" xfId="0" applyFont="1" applyFill="1" applyBorder="1" applyAlignment="1"/>
    <xf numFmtId="0" fontId="32" fillId="0" borderId="0" xfId="0" applyFont="1"/>
    <xf numFmtId="0" fontId="42" fillId="0" borderId="0" xfId="0" applyFont="1"/>
    <xf numFmtId="9" fontId="32" fillId="0" borderId="0" xfId="1" applyFont="1" applyFill="1"/>
    <xf numFmtId="0" fontId="32" fillId="0" borderId="0" xfId="0" applyFont="1" applyFill="1"/>
    <xf numFmtId="0" fontId="42" fillId="0" borderId="0" xfId="0" applyFont="1" applyFill="1"/>
    <xf numFmtId="9" fontId="32" fillId="0" borderId="0" xfId="1" applyFont="1"/>
    <xf numFmtId="10" fontId="32" fillId="0" borderId="0" xfId="0" applyNumberFormat="1" applyFont="1"/>
    <xf numFmtId="0" fontId="34" fillId="13" borderId="3" xfId="0" applyFont="1" applyFill="1" applyBorder="1" applyAlignment="1">
      <alignment horizontal="center" wrapText="1"/>
    </xf>
    <xf numFmtId="0" fontId="35" fillId="13" borderId="27" xfId="0" applyFont="1" applyFill="1" applyBorder="1" applyAlignment="1">
      <alignment horizontal="center" wrapText="1"/>
    </xf>
    <xf numFmtId="10" fontId="30" fillId="0" borderId="35" xfId="1" applyNumberFormat="1" applyFont="1" applyBorder="1" applyAlignment="1">
      <alignment horizontal="center"/>
    </xf>
    <xf numFmtId="10" fontId="30" fillId="0" borderId="25" xfId="1" applyNumberFormat="1" applyFont="1" applyBorder="1" applyAlignment="1">
      <alignment horizontal="center"/>
    </xf>
    <xf numFmtId="10" fontId="30" fillId="0" borderId="45" xfId="1" applyNumberFormat="1" applyFont="1" applyBorder="1" applyAlignment="1">
      <alignment horizontal="center"/>
    </xf>
    <xf numFmtId="0" fontId="4" fillId="0" borderId="8" xfId="0" applyNumberFormat="1" applyFont="1" applyBorder="1" applyAlignment="1">
      <alignment vertical="center"/>
    </xf>
    <xf numFmtId="43" fontId="34" fillId="0" borderId="0" xfId="0" applyNumberFormat="1" applyFont="1"/>
    <xf numFmtId="0" fontId="28" fillId="0" borderId="0" xfId="0" applyFont="1"/>
    <xf numFmtId="10" fontId="36" fillId="0" borderId="30" xfId="1" applyNumberFormat="1" applyFont="1" applyBorder="1" applyAlignment="1">
      <alignment horizontal="center"/>
    </xf>
    <xf numFmtId="10" fontId="36" fillId="0" borderId="27" xfId="1" applyNumberFormat="1" applyFont="1" applyBorder="1" applyAlignment="1">
      <alignment horizontal="center"/>
    </xf>
    <xf numFmtId="10" fontId="36" fillId="0" borderId="37" xfId="1" applyNumberFormat="1" applyFont="1" applyBorder="1" applyAlignment="1">
      <alignment horizontal="center"/>
    </xf>
    <xf numFmtId="44" fontId="4" fillId="0" borderId="8" xfId="2" applyFont="1" applyBorder="1" applyAlignment="1"/>
    <xf numFmtId="10" fontId="0" fillId="0" borderId="0" xfId="1" applyNumberFormat="1" applyFont="1" applyBorder="1"/>
    <xf numFmtId="0" fontId="6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vertical="center"/>
    </xf>
    <xf numFmtId="165" fontId="17" fillId="2" borderId="3" xfId="0" applyNumberFormat="1" applyFont="1" applyFill="1" applyBorder="1" applyAlignment="1">
      <alignment vertical="center"/>
    </xf>
    <xf numFmtId="10" fontId="17" fillId="2" borderId="3" xfId="0" applyNumberFormat="1" applyFont="1" applyFill="1" applyBorder="1" applyAlignment="1">
      <alignment horizontal="center" vertical="center"/>
    </xf>
    <xf numFmtId="10" fontId="36" fillId="10" borderId="19" xfId="1" applyNumberFormat="1" applyFont="1" applyFill="1" applyBorder="1" applyAlignment="1"/>
    <xf numFmtId="10" fontId="30" fillId="10" borderId="43" xfId="1" applyNumberFormat="1" applyFont="1" applyFill="1" applyBorder="1" applyAlignment="1">
      <alignment horizontal="center"/>
    </xf>
    <xf numFmtId="10" fontId="30" fillId="12" borderId="42" xfId="1" applyNumberFormat="1" applyFont="1" applyFill="1" applyBorder="1" applyAlignment="1">
      <alignment horizontal="center"/>
    </xf>
    <xf numFmtId="10" fontId="30" fillId="12" borderId="36" xfId="0" applyNumberFormat="1" applyFont="1" applyFill="1" applyBorder="1"/>
    <xf numFmtId="10" fontId="30" fillId="12" borderId="45" xfId="0" applyNumberFormat="1" applyFont="1" applyFill="1" applyBorder="1"/>
    <xf numFmtId="10" fontId="28" fillId="12" borderId="37" xfId="0" applyNumberFormat="1" applyFont="1" applyFill="1" applyBorder="1" applyAlignment="1">
      <alignment horizontal="center"/>
    </xf>
    <xf numFmtId="10" fontId="30" fillId="0" borderId="46" xfId="1" applyNumberFormat="1" applyFont="1" applyBorder="1" applyAlignment="1">
      <alignment horizontal="center"/>
    </xf>
    <xf numFmtId="10" fontId="30" fillId="0" borderId="48" xfId="1" applyNumberFormat="1" applyFont="1" applyBorder="1" applyAlignment="1">
      <alignment horizontal="center"/>
    </xf>
    <xf numFmtId="10" fontId="36" fillId="0" borderId="41" xfId="1" applyNumberFormat="1" applyFont="1" applyBorder="1" applyAlignment="1">
      <alignment horizontal="center"/>
    </xf>
    <xf numFmtId="44" fontId="9" fillId="2" borderId="14" xfId="2" applyFont="1" applyFill="1" applyBorder="1" applyAlignment="1">
      <alignment vertical="center"/>
    </xf>
    <xf numFmtId="0" fontId="35" fillId="13" borderId="40" xfId="0" applyFont="1" applyFill="1" applyBorder="1" applyAlignment="1">
      <alignment horizontal="center"/>
    </xf>
    <xf numFmtId="10" fontId="30" fillId="12" borderId="52" xfId="1" applyNumberFormat="1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2" fontId="19" fillId="10" borderId="3" xfId="2" applyNumberFormat="1" applyFont="1" applyFill="1" applyBorder="1" applyAlignment="1" applyProtection="1">
      <alignment horizontal="center" vertical="center"/>
      <protection locked="0"/>
    </xf>
    <xf numFmtId="4" fontId="19" fillId="10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2" fontId="19" fillId="10" borderId="3" xfId="1" applyNumberFormat="1" applyFont="1" applyFill="1" applyBorder="1" applyAlignment="1" applyProtection="1">
      <alignment horizontal="center" vertical="center"/>
      <protection locked="0"/>
    </xf>
    <xf numFmtId="44" fontId="4" fillId="10" borderId="3" xfId="2" applyFont="1" applyFill="1" applyBorder="1" applyAlignment="1">
      <alignment horizontal="center" vertical="center"/>
    </xf>
    <xf numFmtId="44" fontId="8" fillId="10" borderId="3" xfId="2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6" fillId="2" borderId="25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0" fontId="46" fillId="2" borderId="21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left" vertical="center"/>
    </xf>
    <xf numFmtId="44" fontId="19" fillId="10" borderId="3" xfId="2" applyFont="1" applyFill="1" applyBorder="1" applyAlignment="1" applyProtection="1">
      <alignment horizontal="center" vertical="center"/>
      <protection locked="0"/>
    </xf>
    <xf numFmtId="0" fontId="28" fillId="14" borderId="31" xfId="0" applyFont="1" applyFill="1" applyBorder="1" applyAlignment="1">
      <alignment horizontal="center" vertical="center"/>
    </xf>
    <xf numFmtId="0" fontId="28" fillId="14" borderId="32" xfId="0" applyFont="1" applyFill="1" applyBorder="1" applyAlignment="1">
      <alignment horizontal="center" vertical="center"/>
    </xf>
    <xf numFmtId="0" fontId="28" fillId="14" borderId="33" xfId="0" applyFont="1" applyFill="1" applyBorder="1" applyAlignment="1">
      <alignment horizontal="center" vertical="center"/>
    </xf>
    <xf numFmtId="0" fontId="30" fillId="13" borderId="38" xfId="0" applyFont="1" applyFill="1" applyBorder="1" applyAlignment="1">
      <alignment horizontal="center"/>
    </xf>
    <xf numFmtId="0" fontId="30" fillId="13" borderId="39" xfId="0" applyFont="1" applyFill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5" fillId="0" borderId="47" xfId="0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5" fillId="0" borderId="29" xfId="0" applyFont="1" applyBorder="1" applyAlignment="1">
      <alignment horizontal="left"/>
    </xf>
    <xf numFmtId="0" fontId="28" fillId="14" borderId="4" xfId="0" applyFont="1" applyFill="1" applyBorder="1" applyAlignment="1">
      <alignment horizontal="center"/>
    </xf>
    <xf numFmtId="0" fontId="28" fillId="14" borderId="5" xfId="0" applyFont="1" applyFill="1" applyBorder="1" applyAlignment="1">
      <alignment horizontal="center"/>
    </xf>
    <xf numFmtId="0" fontId="28" fillId="14" borderId="6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30" fillId="13" borderId="26" xfId="0" applyFont="1" applyFill="1" applyBorder="1" applyAlignment="1">
      <alignment horizontal="center" wrapText="1"/>
    </xf>
    <xf numFmtId="0" fontId="30" fillId="13" borderId="3" xfId="0" applyFont="1" applyFill="1" applyBorder="1" applyAlignment="1">
      <alignment horizontal="center" wrapText="1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0" fillId="14" borderId="4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30" fillId="13" borderId="26" xfId="0" applyFont="1" applyFill="1" applyBorder="1" applyAlignment="1">
      <alignment horizontal="center"/>
    </xf>
    <xf numFmtId="0" fontId="30" fillId="13" borderId="3" xfId="0" applyFont="1" applyFill="1" applyBorder="1" applyAlignment="1">
      <alignment horizontal="center"/>
    </xf>
    <xf numFmtId="0" fontId="25" fillId="12" borderId="17" xfId="0" applyFont="1" applyFill="1" applyBorder="1" applyAlignment="1">
      <alignment horizontal="left"/>
    </xf>
    <xf numFmtId="0" fontId="25" fillId="12" borderId="18" xfId="0" applyFont="1" applyFill="1" applyBorder="1" applyAlignment="1">
      <alignment horizontal="left"/>
    </xf>
    <xf numFmtId="0" fontId="25" fillId="12" borderId="20" xfId="0" applyFont="1" applyFill="1" applyBorder="1" applyAlignment="1">
      <alignment horizontal="left"/>
    </xf>
    <xf numFmtId="0" fontId="25" fillId="0" borderId="49" xfId="0" applyFont="1" applyBorder="1" applyAlignment="1">
      <alignment horizontal="left"/>
    </xf>
    <xf numFmtId="0" fontId="25" fillId="0" borderId="50" xfId="0" applyFont="1" applyBorder="1" applyAlignment="1">
      <alignment horizontal="left"/>
    </xf>
    <xf numFmtId="0" fontId="25" fillId="0" borderId="51" xfId="0" applyFont="1" applyBorder="1" applyAlignment="1">
      <alignment horizontal="left"/>
    </xf>
    <xf numFmtId="0" fontId="16" fillId="15" borderId="31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49" fillId="15" borderId="53" xfId="0" applyFont="1" applyFill="1" applyBorder="1" applyAlignment="1">
      <alignment horizontal="center" vertical="center"/>
    </xf>
    <xf numFmtId="0" fontId="49" fillId="15" borderId="42" xfId="0" applyFont="1" applyFill="1" applyBorder="1" applyAlignment="1">
      <alignment horizontal="center" vertical="center"/>
    </xf>
    <xf numFmtId="0" fontId="49" fillId="15" borderId="52" xfId="0" applyFont="1" applyFill="1" applyBorder="1" applyAlignment="1">
      <alignment horizontal="center" vertical="center"/>
    </xf>
    <xf numFmtId="0" fontId="49" fillId="15" borderId="19" xfId="0" applyFont="1" applyFill="1" applyBorder="1" applyAlignment="1">
      <alignment horizontal="center" vertical="center"/>
    </xf>
    <xf numFmtId="0" fontId="49" fillId="15" borderId="3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50" fillId="15" borderId="44" xfId="0" applyNumberFormat="1" applyFont="1" applyFill="1" applyBorder="1" applyAlignment="1">
      <alignment horizontal="center" vertical="center"/>
    </xf>
    <xf numFmtId="44" fontId="50" fillId="15" borderId="11" xfId="2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0" fillId="0" borderId="42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44" fontId="0" fillId="0" borderId="52" xfId="2" applyFont="1" applyBorder="1" applyAlignment="1">
      <alignment horizontal="center" vertical="center"/>
    </xf>
    <xf numFmtId="44" fontId="0" fillId="0" borderId="19" xfId="2" applyFont="1" applyBorder="1" applyAlignment="1">
      <alignment horizontal="center" vertical="center"/>
    </xf>
    <xf numFmtId="44" fontId="0" fillId="0" borderId="33" xfId="2" applyFont="1" applyBorder="1" applyAlignment="1">
      <alignment horizontal="center" vertical="center"/>
    </xf>
    <xf numFmtId="0" fontId="28" fillId="15" borderId="31" xfId="0" applyFont="1" applyFill="1" applyBorder="1" applyAlignment="1">
      <alignment horizontal="right" vertical="center"/>
    </xf>
    <xf numFmtId="0" fontId="28" fillId="15" borderId="33" xfId="0" applyFont="1" applyFill="1" applyBorder="1" applyAlignment="1">
      <alignment horizontal="right" vertical="center"/>
    </xf>
    <xf numFmtId="10" fontId="30" fillId="12" borderId="32" xfId="1" applyNumberFormat="1" applyFont="1" applyFill="1" applyBorder="1" applyAlignment="1">
      <alignment horizontal="center"/>
    </xf>
  </cellXfs>
  <cellStyles count="4">
    <cellStyle name="Excel_BuiltIn_Currency" xfId="3"/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1</xdr:row>
      <xdr:rowOff>0</xdr:rowOff>
    </xdr:from>
    <xdr:to>
      <xdr:col>8</xdr:col>
      <xdr:colOff>401923</xdr:colOff>
      <xdr:row>62</xdr:row>
      <xdr:rowOff>118917</xdr:rowOff>
    </xdr:to>
    <xdr:sp macro="" textlink="">
      <xdr:nvSpPr>
        <xdr:cNvPr id="2" name="CustomShape 1" hidden="1">
          <a:extLst>
            <a:ext uri="{FF2B5EF4-FFF2-40B4-BE49-F238E27FC236}">
              <a16:creationId xmlns="" xmlns:a16="http://schemas.microsoft.com/office/drawing/2014/main" id="{4C18BC1B-78B6-4CE9-9E6C-8B66860D5F5B}"/>
            </a:ext>
          </a:extLst>
        </xdr:cNvPr>
        <xdr:cNvSpPr/>
      </xdr:nvSpPr>
      <xdr:spPr>
        <a:xfrm>
          <a:off x="54000" y="0"/>
          <a:ext cx="10549198" cy="12406167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1</xdr:row>
      <xdr:rowOff>0</xdr:rowOff>
    </xdr:from>
    <xdr:to>
      <xdr:col>8</xdr:col>
      <xdr:colOff>401923</xdr:colOff>
      <xdr:row>62</xdr:row>
      <xdr:rowOff>118917</xdr:rowOff>
    </xdr:to>
    <xdr:sp macro="" textlink="">
      <xdr:nvSpPr>
        <xdr:cNvPr id="3" name="CustomShape 1" hidden="1">
          <a:extLst>
            <a:ext uri="{FF2B5EF4-FFF2-40B4-BE49-F238E27FC236}">
              <a16:creationId xmlns="" xmlns:a16="http://schemas.microsoft.com/office/drawing/2014/main" id="{13C54994-FA06-4913-8802-ADA7DF2E1557}"/>
            </a:ext>
          </a:extLst>
        </xdr:cNvPr>
        <xdr:cNvSpPr/>
      </xdr:nvSpPr>
      <xdr:spPr>
        <a:xfrm>
          <a:off x="54000" y="0"/>
          <a:ext cx="10549198" cy="12406167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7"/>
  <sheetViews>
    <sheetView tabSelected="1" workbookViewId="0">
      <selection activeCell="E15" sqref="E15"/>
    </sheetView>
  </sheetViews>
  <sheetFormatPr defaultRowHeight="15" x14ac:dyDescent="0.2"/>
  <cols>
    <col min="3" max="3" width="4.6640625" bestFit="1" customWidth="1"/>
    <col min="4" max="4" width="39" bestFit="1" customWidth="1"/>
    <col min="5" max="5" width="12.5546875" customWidth="1"/>
    <col min="6" max="6" width="17.109375" customWidth="1"/>
    <col min="7" max="7" width="18" customWidth="1"/>
    <col min="8" max="8" width="24.44140625" customWidth="1"/>
  </cols>
  <sheetData>
    <row r="3" spans="3:8" ht="15.75" thickBot="1" x14ac:dyDescent="0.25"/>
    <row r="4" spans="3:8" ht="18.75" thickBot="1" x14ac:dyDescent="0.25">
      <c r="C4" s="340" t="s">
        <v>159</v>
      </c>
      <c r="D4" s="341"/>
      <c r="E4" s="342" t="s">
        <v>158</v>
      </c>
      <c r="F4" s="343"/>
      <c r="G4" s="343"/>
      <c r="H4" s="344"/>
    </row>
    <row r="5" spans="3:8" ht="17.25" thickBot="1" x14ac:dyDescent="0.25">
      <c r="C5" s="345" t="s">
        <v>152</v>
      </c>
      <c r="D5" s="346" t="s">
        <v>153</v>
      </c>
      <c r="E5" s="346" t="s">
        <v>154</v>
      </c>
      <c r="F5" s="347" t="s">
        <v>155</v>
      </c>
      <c r="G5" s="348" t="s">
        <v>156</v>
      </c>
      <c r="H5" s="349" t="s">
        <v>157</v>
      </c>
    </row>
    <row r="6" spans="3:8" ht="48" customHeight="1" thickBot="1" x14ac:dyDescent="0.25">
      <c r="C6" s="353">
        <v>1</v>
      </c>
      <c r="D6" s="354" t="s">
        <v>160</v>
      </c>
      <c r="E6" s="355">
        <v>2</v>
      </c>
      <c r="F6" s="356">
        <f>'Motorista veículo pesado'!H133</f>
        <v>8226.1348530316136</v>
      </c>
      <c r="G6" s="357">
        <f>E6*F6</f>
        <v>16452.269706063227</v>
      </c>
      <c r="H6" s="358">
        <f>G6*12</f>
        <v>197427.23647275873</v>
      </c>
    </row>
    <row r="7" spans="3:8" ht="24" customHeight="1" thickBot="1" x14ac:dyDescent="0.25">
      <c r="C7" s="350"/>
      <c r="D7" s="350"/>
      <c r="E7" s="359" t="s">
        <v>161</v>
      </c>
      <c r="F7" s="360"/>
      <c r="G7" s="351">
        <f>SUM(G6:G6)</f>
        <v>16452.269706063227</v>
      </c>
      <c r="H7" s="352">
        <f t="shared" ref="H7" si="0">G7*12</f>
        <v>197427.23647275873</v>
      </c>
    </row>
  </sheetData>
  <mergeCells count="3">
    <mergeCell ref="C4:D4"/>
    <mergeCell ref="E4:H4"/>
    <mergeCell ref="E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35"/>
  <sheetViews>
    <sheetView showGridLines="0" view="pageBreakPreview" topLeftCell="A118" zoomScaleNormal="100" zoomScaleSheetLayoutView="100" workbookViewId="0">
      <selection activeCell="B4" sqref="B4"/>
    </sheetView>
  </sheetViews>
  <sheetFormatPr defaultRowHeight="15" x14ac:dyDescent="0.2"/>
  <cols>
    <col min="1" max="1" width="3.77734375" style="1" bestFit="1" customWidth="1"/>
    <col min="2" max="2" width="39.44140625" style="2" customWidth="1"/>
    <col min="3" max="3" width="7.77734375" style="2" customWidth="1"/>
    <col min="4" max="4" width="17.5546875" style="2" customWidth="1"/>
    <col min="5" max="6" width="12.21875" style="2" customWidth="1"/>
    <col min="7" max="7" width="10.77734375" style="2" customWidth="1"/>
    <col min="8" max="8" width="15.21875" style="2" customWidth="1"/>
    <col min="9" max="9" width="10.109375" style="196" bestFit="1" customWidth="1"/>
    <col min="10" max="10" width="10.44140625" style="196" bestFit="1" customWidth="1"/>
    <col min="11" max="11" width="11.44140625" bestFit="1" customWidth="1"/>
  </cols>
  <sheetData>
    <row r="2" spans="1:11" ht="15" customHeight="1" x14ac:dyDescent="0.2">
      <c r="A2" s="296" t="s">
        <v>79</v>
      </c>
      <c r="B2" s="296"/>
      <c r="C2" s="296"/>
      <c r="D2" s="296"/>
      <c r="E2" s="296"/>
      <c r="F2" s="296"/>
      <c r="G2" s="296"/>
      <c r="H2" s="296"/>
    </row>
    <row r="3" spans="1:11" ht="15.75" customHeight="1" x14ac:dyDescent="0.2">
      <c r="A3" s="296" t="s">
        <v>122</v>
      </c>
      <c r="B3" s="296"/>
      <c r="C3" s="296"/>
      <c r="D3" s="296"/>
      <c r="E3" s="296"/>
      <c r="F3" s="296"/>
      <c r="G3" s="296"/>
      <c r="H3" s="296"/>
    </row>
    <row r="4" spans="1:11" ht="15.75" customHeight="1" thickBot="1" x14ac:dyDescent="0.25">
      <c r="A4" s="191"/>
      <c r="B4" s="191"/>
      <c r="C4" s="191"/>
      <c r="D4" s="191"/>
      <c r="E4" s="191"/>
      <c r="F4" s="191"/>
      <c r="G4" s="191"/>
      <c r="H4" s="191"/>
    </row>
    <row r="5" spans="1:11" ht="18" customHeight="1" thickBot="1" x14ac:dyDescent="0.3">
      <c r="A5" s="263" t="s">
        <v>159</v>
      </c>
      <c r="B5" s="264"/>
      <c r="C5" s="217" t="s">
        <v>146</v>
      </c>
      <c r="D5" s="65"/>
      <c r="E5" s="65"/>
      <c r="F5" s="65"/>
      <c r="G5" s="65"/>
      <c r="H5" s="65"/>
      <c r="I5" s="218"/>
      <c r="J5" s="218"/>
      <c r="K5" s="245"/>
    </row>
    <row r="6" spans="1:11" s="17" customFormat="1" ht="23.25" x14ac:dyDescent="0.25">
      <c r="A6" s="77">
        <v>1</v>
      </c>
      <c r="B6" s="279" t="s">
        <v>90</v>
      </c>
      <c r="C6" s="279"/>
      <c r="D6" s="279"/>
      <c r="E6" s="279"/>
      <c r="F6" s="279"/>
      <c r="G6" s="279"/>
      <c r="H6" s="280"/>
      <c r="I6" s="197"/>
      <c r="J6" s="197"/>
    </row>
    <row r="7" spans="1:11" x14ac:dyDescent="0.2">
      <c r="A7" s="37" t="s">
        <v>0</v>
      </c>
      <c r="B7" s="7" t="s">
        <v>80</v>
      </c>
      <c r="C7" s="225" t="s">
        <v>147</v>
      </c>
      <c r="D7" s="105"/>
      <c r="E7" s="70"/>
      <c r="F7" s="70"/>
      <c r="G7" s="14"/>
      <c r="H7" s="106">
        <v>2965.81</v>
      </c>
      <c r="I7" t="s">
        <v>148</v>
      </c>
    </row>
    <row r="8" spans="1:11" x14ac:dyDescent="0.2">
      <c r="A8" s="37" t="s">
        <v>1</v>
      </c>
      <c r="B8" s="8" t="s">
        <v>123</v>
      </c>
      <c r="C8" s="174"/>
      <c r="D8" s="175" t="s">
        <v>5</v>
      </c>
      <c r="E8" s="176">
        <v>0.3</v>
      </c>
      <c r="F8" s="177"/>
      <c r="G8" s="70"/>
      <c r="H8" s="107"/>
      <c r="I8" s="196" t="s">
        <v>126</v>
      </c>
      <c r="J8" s="198"/>
    </row>
    <row r="9" spans="1:11" x14ac:dyDescent="0.2">
      <c r="A9" s="37" t="s">
        <v>2</v>
      </c>
      <c r="B9" s="8" t="s">
        <v>6</v>
      </c>
      <c r="C9" s="174"/>
      <c r="D9" s="178" t="s">
        <v>7</v>
      </c>
      <c r="E9" s="179" t="s">
        <v>8</v>
      </c>
      <c r="F9" s="178" t="s">
        <v>9</v>
      </c>
      <c r="G9" s="71"/>
      <c r="H9" s="107"/>
      <c r="J9" s="198"/>
    </row>
    <row r="10" spans="1:11" x14ac:dyDescent="0.2">
      <c r="A10" s="37"/>
      <c r="B10" s="8"/>
      <c r="C10" s="174"/>
      <c r="D10" s="175" t="s">
        <v>11</v>
      </c>
      <c r="E10" s="176">
        <v>0.4</v>
      </c>
      <c r="F10" s="180">
        <v>1212</v>
      </c>
      <c r="G10" s="71"/>
      <c r="H10" s="108"/>
      <c r="J10" s="198"/>
    </row>
    <row r="11" spans="1:11" x14ac:dyDescent="0.2">
      <c r="A11" s="37" t="s">
        <v>3</v>
      </c>
      <c r="B11" s="8" t="s">
        <v>10</v>
      </c>
      <c r="C11" s="174"/>
      <c r="D11" s="195"/>
      <c r="E11" s="174"/>
      <c r="F11" s="174"/>
      <c r="G11" s="7"/>
      <c r="H11" s="109">
        <v>0</v>
      </c>
      <c r="I11" s="198"/>
      <c r="J11" s="198"/>
    </row>
    <row r="12" spans="1:11" x14ac:dyDescent="0.2">
      <c r="A12" s="37" t="s">
        <v>12</v>
      </c>
      <c r="B12" s="8" t="s">
        <v>145</v>
      </c>
      <c r="C12" s="174"/>
      <c r="D12" s="177"/>
      <c r="E12" s="177"/>
      <c r="F12" s="177"/>
      <c r="G12" s="71"/>
      <c r="H12" s="109"/>
      <c r="I12" s="198"/>
    </row>
    <row r="13" spans="1:11" x14ac:dyDescent="0.2">
      <c r="A13" s="37" t="s">
        <v>13</v>
      </c>
      <c r="B13" s="8" t="s">
        <v>43</v>
      </c>
      <c r="C13" s="8"/>
      <c r="D13" s="7"/>
      <c r="E13" s="7"/>
      <c r="F13" s="71"/>
      <c r="G13" s="71"/>
      <c r="H13" s="63">
        <v>0</v>
      </c>
    </row>
    <row r="14" spans="1:11" ht="16.5" thickBot="1" x14ac:dyDescent="0.3">
      <c r="A14" s="72"/>
      <c r="B14" s="73" t="s">
        <v>14</v>
      </c>
      <c r="C14" s="73"/>
      <c r="D14" s="46"/>
      <c r="E14" s="46"/>
      <c r="F14" s="74"/>
      <c r="G14" s="74"/>
      <c r="H14" s="75">
        <f>SUM(H7:H13)</f>
        <v>2965.81</v>
      </c>
    </row>
    <row r="15" spans="1:11" ht="15.75" customHeight="1" x14ac:dyDescent="0.2">
      <c r="A15" s="300" t="s">
        <v>81</v>
      </c>
      <c r="B15" s="300"/>
      <c r="C15" s="300"/>
      <c r="D15" s="300"/>
      <c r="E15" s="300"/>
      <c r="F15" s="300"/>
      <c r="G15" s="300"/>
      <c r="H15" s="300"/>
      <c r="I15" s="226"/>
      <c r="J15" s="226"/>
      <c r="K15" s="227"/>
    </row>
    <row r="16" spans="1:11" s="20" customFormat="1" ht="16.5" thickBot="1" x14ac:dyDescent="0.3">
      <c r="A16" s="66"/>
      <c r="B16" s="67"/>
      <c r="C16" s="67"/>
      <c r="D16" s="27"/>
      <c r="E16" s="27"/>
      <c r="F16" s="68"/>
      <c r="G16" s="68"/>
      <c r="H16" s="69"/>
      <c r="I16" s="228"/>
      <c r="J16" s="229"/>
      <c r="K16" s="230"/>
    </row>
    <row r="17" spans="1:11" s="16" customFormat="1" ht="23.25" x14ac:dyDescent="0.2">
      <c r="A17" s="77">
        <v>2</v>
      </c>
      <c r="B17" s="279" t="s">
        <v>15</v>
      </c>
      <c r="C17" s="279"/>
      <c r="D17" s="279"/>
      <c r="E17" s="279"/>
      <c r="F17" s="279"/>
      <c r="G17" s="279"/>
      <c r="H17" s="280"/>
      <c r="J17" s="231"/>
      <c r="K17" s="227"/>
    </row>
    <row r="18" spans="1:11" ht="15.75" x14ac:dyDescent="0.2">
      <c r="A18" s="78" t="s">
        <v>16</v>
      </c>
      <c r="B18" s="298" t="s">
        <v>17</v>
      </c>
      <c r="C18" s="298"/>
      <c r="D18" s="298"/>
      <c r="E18" s="298"/>
      <c r="F18" s="298"/>
      <c r="G18" s="298"/>
      <c r="H18" s="299"/>
      <c r="I18" s="199"/>
      <c r="J18" s="232"/>
      <c r="K18" s="227"/>
    </row>
    <row r="19" spans="1:11" x14ac:dyDescent="0.2">
      <c r="A19" s="37" t="s">
        <v>0</v>
      </c>
      <c r="B19" s="115" t="s">
        <v>18</v>
      </c>
      <c r="C19" s="115"/>
      <c r="D19" s="115"/>
      <c r="E19" s="7"/>
      <c r="F19" s="14"/>
      <c r="G19" s="41">
        <f>1/12</f>
        <v>8.3333333333333329E-2</v>
      </c>
      <c r="H19" s="39">
        <f>SUM($H$14*G19)</f>
        <v>247.15083333333331</v>
      </c>
      <c r="I19" s="199"/>
      <c r="J19" s="199"/>
      <c r="K19" s="227"/>
    </row>
    <row r="20" spans="1:11" x14ac:dyDescent="0.2">
      <c r="A20" s="37" t="s">
        <v>1</v>
      </c>
      <c r="B20" s="125" t="s">
        <v>135</v>
      </c>
      <c r="C20" s="7"/>
      <c r="D20" s="7"/>
      <c r="E20" s="7"/>
      <c r="F20" s="60"/>
      <c r="G20" s="192">
        <f>1/3/12</f>
        <v>2.7777777777777776E-2</v>
      </c>
      <c r="H20" s="39">
        <f>SUM($H$14*G20)</f>
        <v>82.383611111111108</v>
      </c>
      <c r="I20" s="232"/>
      <c r="J20" s="226"/>
      <c r="K20" s="227"/>
    </row>
    <row r="21" spans="1:11" x14ac:dyDescent="0.2">
      <c r="A21" s="37"/>
      <c r="B21" s="188" t="s">
        <v>124</v>
      </c>
      <c r="C21" s="7"/>
      <c r="D21" s="7"/>
      <c r="E21" s="7"/>
      <c r="F21" s="60"/>
      <c r="G21" s="61">
        <f>SUM(G19:G20)</f>
        <v>0.1111111111111111</v>
      </c>
      <c r="H21" s="39">
        <f>SUM(H19:H20)</f>
        <v>329.53444444444443</v>
      </c>
      <c r="I21" s="199"/>
      <c r="J21" s="226"/>
      <c r="K21" s="227"/>
    </row>
    <row r="22" spans="1:11" x14ac:dyDescent="0.2">
      <c r="A22" s="37" t="s">
        <v>2</v>
      </c>
      <c r="B22" s="101" t="s">
        <v>136</v>
      </c>
      <c r="C22" s="7"/>
      <c r="D22" s="7"/>
      <c r="E22" s="7"/>
      <c r="F22" s="60"/>
      <c r="G22" s="61">
        <f>G21*G37</f>
        <v>3.9866666666666668E-2</v>
      </c>
      <c r="H22" s="39">
        <f>(G37*H21)</f>
        <v>118.23695866666668</v>
      </c>
      <c r="I22" s="199">
        <f>G22*H14</f>
        <v>118.23695866666667</v>
      </c>
      <c r="J22" s="226"/>
      <c r="K22" s="227"/>
    </row>
    <row r="23" spans="1:11" ht="16.5" thickBot="1" x14ac:dyDescent="0.3">
      <c r="A23" s="42"/>
      <c r="B23" s="73" t="s">
        <v>14</v>
      </c>
      <c r="C23" s="73"/>
      <c r="D23" s="46"/>
      <c r="E23" s="46"/>
      <c r="F23" s="74"/>
      <c r="G23" s="74"/>
      <c r="H23" s="75">
        <f>SUM(H21+H22)</f>
        <v>447.77140311111111</v>
      </c>
      <c r="I23" s="199"/>
      <c r="J23" s="226"/>
      <c r="K23" s="227"/>
    </row>
    <row r="24" spans="1:11" x14ac:dyDescent="0.2">
      <c r="A24" s="265" t="s">
        <v>84</v>
      </c>
      <c r="B24" s="265"/>
      <c r="C24" s="265"/>
      <c r="D24" s="265"/>
      <c r="E24" s="265"/>
      <c r="F24" s="265"/>
      <c r="G24" s="265"/>
      <c r="H24" s="265"/>
      <c r="I24" s="226"/>
      <c r="J24" s="226"/>
      <c r="K24" s="227"/>
    </row>
    <row r="25" spans="1:11" x14ac:dyDescent="0.2">
      <c r="A25" s="265" t="s">
        <v>85</v>
      </c>
      <c r="B25" s="265"/>
      <c r="C25" s="265"/>
      <c r="D25" s="265"/>
      <c r="E25" s="265"/>
      <c r="F25" s="265"/>
      <c r="G25" s="265"/>
      <c r="H25" s="265"/>
    </row>
    <row r="26" spans="1:11" x14ac:dyDescent="0.2">
      <c r="A26" s="265" t="s">
        <v>86</v>
      </c>
      <c r="B26" s="265"/>
      <c r="C26" s="265"/>
      <c r="D26" s="265"/>
      <c r="E26" s="265"/>
      <c r="F26" s="265"/>
      <c r="G26" s="265"/>
      <c r="H26" s="265"/>
    </row>
    <row r="27" spans="1:11" x14ac:dyDescent="0.2">
      <c r="A27" s="116"/>
      <c r="B27" s="116"/>
      <c r="C27" s="116"/>
      <c r="D27" s="116"/>
      <c r="E27" s="116"/>
      <c r="F27" s="116"/>
      <c r="G27" s="116"/>
      <c r="H27" s="116"/>
    </row>
    <row r="28" spans="1:11" s="17" customFormat="1" ht="15.75" x14ac:dyDescent="0.25">
      <c r="A28" s="76" t="s">
        <v>19</v>
      </c>
      <c r="B28" s="287" t="s">
        <v>20</v>
      </c>
      <c r="C28" s="287"/>
      <c r="D28" s="287"/>
      <c r="E28" s="287"/>
      <c r="F28" s="287"/>
      <c r="G28" s="287"/>
      <c r="H28" s="288"/>
      <c r="I28" s="197"/>
      <c r="J28" s="197"/>
    </row>
    <row r="29" spans="1:11" x14ac:dyDescent="0.2">
      <c r="A29" s="37" t="s">
        <v>0</v>
      </c>
      <c r="B29" s="8" t="s">
        <v>21</v>
      </c>
      <c r="C29" s="8"/>
      <c r="D29" s="7"/>
      <c r="E29" s="7"/>
      <c r="F29" s="14"/>
      <c r="G29" s="41">
        <v>0.2</v>
      </c>
      <c r="H29" s="39">
        <f>SUM(($H$14*G29))</f>
        <v>593.16200000000003</v>
      </c>
      <c r="I29" s="198">
        <f>G29*H14</f>
        <v>593.16200000000003</v>
      </c>
    </row>
    <row r="30" spans="1:11" x14ac:dyDescent="0.2">
      <c r="A30" s="37" t="s">
        <v>1</v>
      </c>
      <c r="B30" s="8" t="s">
        <v>23</v>
      </c>
      <c r="C30" s="8"/>
      <c r="D30" s="35"/>
      <c r="E30" s="35"/>
      <c r="F30" s="14"/>
      <c r="G30" s="103">
        <v>2.5000000000000001E-2</v>
      </c>
      <c r="H30" s="39">
        <f>SUM(($H$14*G30))</f>
        <v>74.145250000000004</v>
      </c>
      <c r="I30" s="198">
        <f>G30*H14</f>
        <v>74.145250000000004</v>
      </c>
    </row>
    <row r="31" spans="1:11" x14ac:dyDescent="0.2">
      <c r="A31" s="37" t="s">
        <v>2</v>
      </c>
      <c r="B31" s="8" t="s">
        <v>26</v>
      </c>
      <c r="C31" s="8"/>
      <c r="D31" s="35"/>
      <c r="E31" s="35"/>
      <c r="F31" s="14"/>
      <c r="G31" s="193">
        <f>'Média pesquisa'!I5</f>
        <v>2.0799999999999999E-2</v>
      </c>
      <c r="H31" s="39">
        <f t="shared" ref="H31:H35" si="0">SUM(($H$14*G31))</f>
        <v>61.688847999999993</v>
      </c>
      <c r="I31" s="198">
        <f>G31*H14</f>
        <v>61.688847999999993</v>
      </c>
    </row>
    <row r="32" spans="1:11" x14ac:dyDescent="0.2">
      <c r="A32" s="37" t="s">
        <v>3</v>
      </c>
      <c r="B32" s="8" t="s">
        <v>82</v>
      </c>
      <c r="C32" s="8"/>
      <c r="D32" s="7"/>
      <c r="E32" s="7"/>
      <c r="F32" s="14"/>
      <c r="G32" s="103">
        <v>1.4999999999999999E-2</v>
      </c>
      <c r="H32" s="39">
        <f t="shared" si="0"/>
        <v>44.48715</v>
      </c>
      <c r="I32" s="198">
        <f>G32*H14</f>
        <v>44.48715</v>
      </c>
    </row>
    <row r="33" spans="1:11" x14ac:dyDescent="0.2">
      <c r="A33" s="37" t="s">
        <v>12</v>
      </c>
      <c r="B33" s="8" t="s">
        <v>83</v>
      </c>
      <c r="C33" s="8"/>
      <c r="D33" s="7"/>
      <c r="E33" s="7"/>
      <c r="F33" s="14"/>
      <c r="G33" s="103">
        <v>0.01</v>
      </c>
      <c r="H33" s="39">
        <f t="shared" si="0"/>
        <v>29.658100000000001</v>
      </c>
      <c r="I33" s="198">
        <f>G33*H14</f>
        <v>29.658100000000001</v>
      </c>
    </row>
    <row r="34" spans="1:11" x14ac:dyDescent="0.2">
      <c r="A34" s="37" t="s">
        <v>13</v>
      </c>
      <c r="B34" s="8" t="s">
        <v>27</v>
      </c>
      <c r="C34" s="8"/>
      <c r="D34" s="7"/>
      <c r="E34" s="7"/>
      <c r="F34" s="14"/>
      <c r="G34" s="104">
        <v>6.0000000000000001E-3</v>
      </c>
      <c r="H34" s="39">
        <f t="shared" si="0"/>
        <v>17.79486</v>
      </c>
      <c r="I34" s="198">
        <f>G34*H14</f>
        <v>17.79486</v>
      </c>
    </row>
    <row r="35" spans="1:11" x14ac:dyDescent="0.2">
      <c r="A35" s="37" t="s">
        <v>25</v>
      </c>
      <c r="B35" s="8" t="s">
        <v>22</v>
      </c>
      <c r="C35" s="8"/>
      <c r="D35" s="53"/>
      <c r="E35" s="53"/>
      <c r="F35" s="53"/>
      <c r="G35" s="103">
        <v>2E-3</v>
      </c>
      <c r="H35" s="39">
        <f t="shared" si="0"/>
        <v>5.9316199999999997</v>
      </c>
      <c r="I35" s="198">
        <f>G35*H14</f>
        <v>5.9316199999999997</v>
      </c>
    </row>
    <row r="36" spans="1:11" x14ac:dyDescent="0.2">
      <c r="A36" s="37" t="s">
        <v>13</v>
      </c>
      <c r="B36" s="8" t="s">
        <v>24</v>
      </c>
      <c r="C36" s="8"/>
      <c r="D36" s="7"/>
      <c r="E36" s="7"/>
      <c r="F36" s="14"/>
      <c r="G36" s="103">
        <v>0.08</v>
      </c>
      <c r="H36" s="39">
        <f>SUM(($H$14*G36))</f>
        <v>237.26480000000001</v>
      </c>
      <c r="I36" s="198">
        <f>G36*H14</f>
        <v>237.26480000000001</v>
      </c>
    </row>
    <row r="37" spans="1:11" ht="15.75" x14ac:dyDescent="0.25">
      <c r="A37" s="55"/>
      <c r="B37" s="9" t="s">
        <v>14</v>
      </c>
      <c r="C37" s="9"/>
      <c r="D37" s="5"/>
      <c r="E37" s="5"/>
      <c r="F37" s="10"/>
      <c r="G37" s="11">
        <f>SUM(G29:G36)</f>
        <v>0.35880000000000006</v>
      </c>
      <c r="H37" s="39">
        <f>SUM(($H$14*G37))</f>
        <v>1064.1326280000001</v>
      </c>
      <c r="I37" s="198">
        <f>SUM(I29:I36)</f>
        <v>1064.1326280000001</v>
      </c>
    </row>
    <row r="38" spans="1:11" s="17" customFormat="1" ht="15.75" x14ac:dyDescent="0.25">
      <c r="A38" s="76" t="s">
        <v>28</v>
      </c>
      <c r="B38" s="287" t="s">
        <v>29</v>
      </c>
      <c r="C38" s="287"/>
      <c r="D38" s="287"/>
      <c r="E38" s="287"/>
      <c r="F38" s="287"/>
      <c r="G38" s="287"/>
      <c r="H38" s="288"/>
      <c r="I38" s="197"/>
      <c r="J38" s="197"/>
    </row>
    <row r="39" spans="1:11" ht="15.75" x14ac:dyDescent="0.25">
      <c r="A39" s="37"/>
      <c r="B39" s="117"/>
      <c r="C39" s="117"/>
      <c r="D39" s="118" t="s">
        <v>87</v>
      </c>
      <c r="E39" s="12" t="s">
        <v>137</v>
      </c>
      <c r="F39" s="12" t="s">
        <v>138</v>
      </c>
      <c r="G39" s="221" t="s">
        <v>31</v>
      </c>
    </row>
    <row r="40" spans="1:11" x14ac:dyDescent="0.2">
      <c r="A40" s="272" t="s">
        <v>0</v>
      </c>
      <c r="B40" s="122" t="s">
        <v>132</v>
      </c>
      <c r="C40" s="174"/>
      <c r="D40" s="275">
        <v>21</v>
      </c>
      <c r="E40" s="301">
        <v>5.5</v>
      </c>
      <c r="F40" s="301">
        <v>2</v>
      </c>
      <c r="G40" s="284"/>
      <c r="H40" s="52">
        <f>D40*E40*F40</f>
        <v>231</v>
      </c>
      <c r="I40" s="220"/>
      <c r="J40" s="222"/>
      <c r="K40" s="223"/>
    </row>
    <row r="41" spans="1:11" x14ac:dyDescent="0.2">
      <c r="A41" s="273"/>
      <c r="B41" s="119" t="s">
        <v>30</v>
      </c>
      <c r="C41" s="174"/>
      <c r="D41" s="275"/>
      <c r="E41" s="301"/>
      <c r="F41" s="301"/>
      <c r="G41" s="285"/>
      <c r="H41" s="52">
        <f>6%*H7</f>
        <v>177.9486</v>
      </c>
      <c r="I41" s="220"/>
      <c r="K41" s="224"/>
    </row>
    <row r="42" spans="1:11" ht="15.75" x14ac:dyDescent="0.25">
      <c r="A42" s="274"/>
      <c r="B42" s="120" t="s">
        <v>31</v>
      </c>
      <c r="C42" s="181"/>
      <c r="D42" s="209"/>
      <c r="E42" s="210"/>
      <c r="F42" s="210"/>
      <c r="G42" s="183"/>
      <c r="H42" s="98">
        <f>H40-H41</f>
        <v>53.051400000000001</v>
      </c>
    </row>
    <row r="43" spans="1:11" x14ac:dyDescent="0.2">
      <c r="A43" s="272" t="s">
        <v>1</v>
      </c>
      <c r="B43" s="122" t="s">
        <v>32</v>
      </c>
      <c r="C43" s="174"/>
      <c r="D43" s="276">
        <v>21</v>
      </c>
      <c r="E43" s="301">
        <v>42</v>
      </c>
      <c r="F43" s="283">
        <v>1</v>
      </c>
      <c r="G43" s="284">
        <f>D43*E43</f>
        <v>882</v>
      </c>
      <c r="H43" s="63">
        <f>D43*E43</f>
        <v>882</v>
      </c>
    </row>
    <row r="44" spans="1:11" x14ac:dyDescent="0.2">
      <c r="A44" s="273"/>
      <c r="B44" s="119" t="s">
        <v>30</v>
      </c>
      <c r="C44" s="174"/>
      <c r="D44" s="276"/>
      <c r="E44" s="301"/>
      <c r="F44" s="283"/>
      <c r="G44" s="285"/>
      <c r="H44" s="63">
        <f>D43*0.3</f>
        <v>6.3</v>
      </c>
    </row>
    <row r="45" spans="1:11" ht="15.75" x14ac:dyDescent="0.25">
      <c r="A45" s="274"/>
      <c r="B45" s="121" t="s">
        <v>31</v>
      </c>
      <c r="C45" s="184"/>
      <c r="D45" s="184"/>
      <c r="E45" s="184"/>
      <c r="F45" s="173"/>
      <c r="G45" s="173"/>
      <c r="H45" s="98">
        <f>H43-H44</f>
        <v>875.7</v>
      </c>
    </row>
    <row r="46" spans="1:11" ht="15.75" x14ac:dyDescent="0.25">
      <c r="A46" s="64" t="s">
        <v>2</v>
      </c>
      <c r="B46" s="189" t="s">
        <v>143</v>
      </c>
      <c r="C46" s="189"/>
      <c r="D46" s="189"/>
      <c r="E46" s="189"/>
      <c r="F46" s="18"/>
      <c r="G46" s="18"/>
      <c r="H46" s="194"/>
    </row>
    <row r="47" spans="1:11" ht="15.75" x14ac:dyDescent="0.25">
      <c r="A47" s="190" t="s">
        <v>3</v>
      </c>
      <c r="B47" s="189" t="s">
        <v>134</v>
      </c>
      <c r="C47" s="189"/>
      <c r="D47" s="189"/>
      <c r="E47" s="189"/>
      <c r="F47" s="18"/>
      <c r="G47" s="18"/>
      <c r="H47" s="194"/>
    </row>
    <row r="48" spans="1:11" ht="15.75" x14ac:dyDescent="0.25">
      <c r="A48" s="64" t="s">
        <v>12</v>
      </c>
      <c r="B48" s="297" t="s">
        <v>144</v>
      </c>
      <c r="C48" s="297"/>
      <c r="D48" s="297"/>
      <c r="E48" s="297"/>
      <c r="F48" s="18"/>
      <c r="G48" s="110"/>
      <c r="H48" s="194">
        <v>0</v>
      </c>
    </row>
    <row r="49" spans="1:10" ht="16.5" thickBot="1" x14ac:dyDescent="0.25">
      <c r="A49" s="123"/>
      <c r="B49" s="286" t="s">
        <v>14</v>
      </c>
      <c r="C49" s="286"/>
      <c r="D49" s="286"/>
      <c r="E49" s="286"/>
      <c r="F49" s="124"/>
      <c r="G49" s="124"/>
      <c r="H49" s="260">
        <f>H42+H45+H46+H47+H48</f>
        <v>928.7514000000001</v>
      </c>
    </row>
    <row r="50" spans="1:10" ht="15.75" customHeight="1" x14ac:dyDescent="0.2">
      <c r="A50" s="265" t="s">
        <v>88</v>
      </c>
      <c r="B50" s="265"/>
      <c r="C50" s="265"/>
      <c r="D50" s="265"/>
      <c r="E50" s="265"/>
      <c r="F50" s="265"/>
      <c r="G50" s="265"/>
      <c r="H50" s="265"/>
    </row>
    <row r="51" spans="1:10" x14ac:dyDescent="0.2">
      <c r="A51" s="265" t="s">
        <v>89</v>
      </c>
      <c r="B51" s="265"/>
      <c r="C51" s="265"/>
      <c r="D51" s="265"/>
      <c r="E51" s="265"/>
      <c r="F51" s="265"/>
      <c r="G51" s="265"/>
      <c r="H51" s="265"/>
    </row>
    <row r="52" spans="1:10" x14ac:dyDescent="0.2">
      <c r="A52" s="116"/>
      <c r="B52" s="116"/>
      <c r="C52" s="116"/>
      <c r="D52" s="116"/>
      <c r="E52" s="116"/>
      <c r="F52" s="116"/>
      <c r="G52" s="116"/>
      <c r="H52" s="116"/>
    </row>
    <row r="53" spans="1:10" s="17" customFormat="1" ht="18" x14ac:dyDescent="0.25">
      <c r="A53" s="269" t="s">
        <v>33</v>
      </c>
      <c r="B53" s="270"/>
      <c r="C53" s="270"/>
      <c r="D53" s="270"/>
      <c r="E53" s="270"/>
      <c r="F53" s="270"/>
      <c r="G53" s="270"/>
      <c r="H53" s="271"/>
      <c r="I53" s="197"/>
      <c r="J53" s="197"/>
    </row>
    <row r="54" spans="1:10" ht="15.75" x14ac:dyDescent="0.2">
      <c r="A54" s="79" t="s">
        <v>16</v>
      </c>
      <c r="B54" s="80" t="s">
        <v>139</v>
      </c>
      <c r="C54" s="80"/>
      <c r="D54" s="81"/>
      <c r="E54" s="81"/>
      <c r="F54" s="82"/>
      <c r="G54" s="82"/>
      <c r="H54" s="83">
        <f>H23</f>
        <v>447.77140311111111</v>
      </c>
    </row>
    <row r="55" spans="1:10" ht="15.75" x14ac:dyDescent="0.2">
      <c r="A55" s="79" t="s">
        <v>19</v>
      </c>
      <c r="B55" s="80" t="s">
        <v>34</v>
      </c>
      <c r="C55" s="80"/>
      <c r="D55" s="81"/>
      <c r="E55" s="81"/>
      <c r="F55" s="82"/>
      <c r="G55" s="82"/>
      <c r="H55" s="83">
        <f>H37</f>
        <v>1064.1326280000001</v>
      </c>
    </row>
    <row r="56" spans="1:10" ht="15.75" x14ac:dyDescent="0.2">
      <c r="A56" s="79" t="s">
        <v>28</v>
      </c>
      <c r="B56" s="80" t="s">
        <v>35</v>
      </c>
      <c r="C56" s="80"/>
      <c r="D56" s="81"/>
      <c r="E56" s="81"/>
      <c r="F56" s="82"/>
      <c r="G56" s="82"/>
      <c r="H56" s="83">
        <f>H49</f>
        <v>928.7514000000001</v>
      </c>
    </row>
    <row r="57" spans="1:10" ht="16.5" thickBot="1" x14ac:dyDescent="0.25">
      <c r="A57" s="84"/>
      <c r="B57" s="85" t="s">
        <v>14</v>
      </c>
      <c r="C57" s="85"/>
      <c r="D57" s="85"/>
      <c r="E57" s="85"/>
      <c r="F57" s="86"/>
      <c r="G57" s="86"/>
      <c r="H57" s="87">
        <f>SUM(H54:H56)</f>
        <v>2440.6554311111113</v>
      </c>
    </row>
    <row r="58" spans="1:10" ht="16.5" thickBot="1" x14ac:dyDescent="0.25">
      <c r="A58" s="21"/>
      <c r="B58" s="22"/>
      <c r="C58" s="22"/>
      <c r="D58" s="22"/>
      <c r="E58" s="22"/>
      <c r="F58" s="23"/>
      <c r="G58" s="23"/>
      <c r="H58" s="24"/>
    </row>
    <row r="59" spans="1:10" s="17" customFormat="1" ht="23.25" x14ac:dyDescent="0.25">
      <c r="A59" s="77">
        <v>3</v>
      </c>
      <c r="B59" s="279" t="s">
        <v>91</v>
      </c>
      <c r="C59" s="279"/>
      <c r="D59" s="279"/>
      <c r="E59" s="279"/>
      <c r="F59" s="279"/>
      <c r="G59" s="279"/>
      <c r="H59" s="280"/>
      <c r="I59" s="197"/>
      <c r="J59" s="197"/>
    </row>
    <row r="60" spans="1:10" x14ac:dyDescent="0.2">
      <c r="A60" s="37" t="s">
        <v>0</v>
      </c>
      <c r="B60" s="7" t="s">
        <v>36</v>
      </c>
      <c r="C60" s="7"/>
      <c r="D60" s="57"/>
      <c r="E60" s="57"/>
      <c r="F60" s="57"/>
      <c r="G60" s="41">
        <f>(1/12)*0.05</f>
        <v>4.1666666666666666E-3</v>
      </c>
      <c r="H60" s="39">
        <f>SUM($H$14*G60)</f>
        <v>12.357541666666666</v>
      </c>
    </row>
    <row r="61" spans="1:10" x14ac:dyDescent="0.2">
      <c r="A61" s="37" t="s">
        <v>1</v>
      </c>
      <c r="B61" s="7" t="s">
        <v>37</v>
      </c>
      <c r="C61" s="7"/>
      <c r="D61" s="7"/>
      <c r="E61" s="7"/>
      <c r="F61" s="14"/>
      <c r="G61" s="104">
        <f>G60*G36</f>
        <v>3.3333333333333332E-4</v>
      </c>
      <c r="H61" s="39">
        <f>G61*H14</f>
        <v>0.98860333333333328</v>
      </c>
      <c r="I61" s="198"/>
    </row>
    <row r="62" spans="1:10" x14ac:dyDescent="0.2">
      <c r="A62" s="37" t="s">
        <v>2</v>
      </c>
      <c r="B62" s="7" t="s">
        <v>38</v>
      </c>
      <c r="C62" s="7"/>
      <c r="D62" s="58"/>
      <c r="E62" s="58"/>
      <c r="F62" s="58"/>
      <c r="G62" s="111">
        <v>3.2000000000000001E-2</v>
      </c>
      <c r="H62" s="59">
        <f>G62*(H14+H21)</f>
        <v>105.45102222222222</v>
      </c>
    </row>
    <row r="63" spans="1:10" x14ac:dyDescent="0.2">
      <c r="A63" s="37" t="s">
        <v>3</v>
      </c>
      <c r="B63" s="7" t="s">
        <v>39</v>
      </c>
      <c r="C63" s="7"/>
      <c r="D63" s="57"/>
      <c r="E63" s="57"/>
      <c r="F63" s="57"/>
      <c r="G63" s="112">
        <f>1/30*7/12</f>
        <v>1.9444444444444445E-2</v>
      </c>
      <c r="H63" s="39">
        <f>G63*H14</f>
        <v>57.668527777777776</v>
      </c>
    </row>
    <row r="64" spans="1:10" x14ac:dyDescent="0.2">
      <c r="A64" s="126" t="s">
        <v>12</v>
      </c>
      <c r="B64" s="125" t="s">
        <v>92</v>
      </c>
      <c r="C64" s="7"/>
      <c r="D64" s="7"/>
      <c r="E64" s="7"/>
      <c r="F64" s="14"/>
      <c r="G64" s="112">
        <f>G63*G37</f>
        <v>6.9766666666666683E-3</v>
      </c>
      <c r="H64" s="102">
        <f>G64*H14</f>
        <v>20.691467766666673</v>
      </c>
    </row>
    <row r="65" spans="1:10" x14ac:dyDescent="0.2">
      <c r="A65" s="37" t="s">
        <v>13</v>
      </c>
      <c r="B65" s="7" t="s">
        <v>40</v>
      </c>
      <c r="C65" s="7"/>
      <c r="D65" s="58"/>
      <c r="E65" s="58"/>
      <c r="F65" s="58"/>
      <c r="G65" s="113">
        <v>8.0000000000000002E-3</v>
      </c>
      <c r="H65" s="198">
        <f>G65*(H14+H21)</f>
        <v>26.362755555555555</v>
      </c>
    </row>
    <row r="66" spans="1:10" ht="16.5" thickBot="1" x14ac:dyDescent="0.3">
      <c r="A66" s="45"/>
      <c r="B66" s="43" t="s">
        <v>14</v>
      </c>
      <c r="C66" s="43"/>
      <c r="D66" s="46"/>
      <c r="E66" s="46"/>
      <c r="F66" s="47"/>
      <c r="G66" s="48">
        <f>SUM(G60:G65)</f>
        <v>7.0921111111111101E-2</v>
      </c>
      <c r="H66" s="49">
        <f>SUM(H60:H65)</f>
        <v>223.51991832222222</v>
      </c>
    </row>
    <row r="67" spans="1:10" ht="16.5" thickBot="1" x14ac:dyDescent="0.3">
      <c r="A67" s="25"/>
      <c r="B67" s="26"/>
      <c r="C67" s="26"/>
      <c r="D67" s="27"/>
      <c r="E67" s="27"/>
      <c r="F67" s="28"/>
      <c r="G67" s="29"/>
      <c r="H67" s="30"/>
    </row>
    <row r="68" spans="1:10" s="17" customFormat="1" ht="23.25" x14ac:dyDescent="0.35">
      <c r="A68" s="77">
        <v>4</v>
      </c>
      <c r="B68" s="281" t="s">
        <v>41</v>
      </c>
      <c r="C68" s="281"/>
      <c r="D68" s="281"/>
      <c r="E68" s="281"/>
      <c r="F68" s="281"/>
      <c r="G68" s="281"/>
      <c r="H68" s="282"/>
      <c r="I68" s="197"/>
      <c r="J68" s="197"/>
    </row>
    <row r="69" spans="1:10" s="17" customFormat="1" ht="15.75" x14ac:dyDescent="0.25">
      <c r="A69" s="76" t="s">
        <v>42</v>
      </c>
      <c r="B69" s="287" t="s">
        <v>94</v>
      </c>
      <c r="C69" s="287"/>
      <c r="D69" s="287"/>
      <c r="E69" s="287"/>
      <c r="F69" s="287"/>
      <c r="G69" s="287"/>
      <c r="H69" s="288"/>
      <c r="I69" s="197"/>
      <c r="J69" s="197"/>
    </row>
    <row r="70" spans="1:10" x14ac:dyDescent="0.2">
      <c r="A70" s="36" t="s">
        <v>0</v>
      </c>
      <c r="B70" s="201" t="s">
        <v>95</v>
      </c>
      <c r="C70" s="8"/>
      <c r="D70" s="53"/>
      <c r="E70" s="53"/>
      <c r="F70" s="53"/>
      <c r="G70" s="41">
        <f>1/12</f>
        <v>8.3333333333333329E-2</v>
      </c>
      <c r="H70" s="39">
        <f>G70*H14</f>
        <v>247.15083333333331</v>
      </c>
    </row>
    <row r="71" spans="1:10" ht="15" customHeight="1" x14ac:dyDescent="0.2">
      <c r="A71" s="36" t="s">
        <v>1</v>
      </c>
      <c r="B71" s="201" t="s">
        <v>96</v>
      </c>
      <c r="C71" s="268"/>
      <c r="D71" s="130"/>
      <c r="E71" s="268"/>
      <c r="F71" s="131"/>
      <c r="G71" s="41">
        <f>'Média pesquisa'!I12</f>
        <v>8.5500000000000003E-3</v>
      </c>
      <c r="H71" s="39">
        <f>G71*H$14</f>
        <v>25.357675499999999</v>
      </c>
      <c r="I71" s="198"/>
    </row>
    <row r="72" spans="1:10" x14ac:dyDescent="0.2">
      <c r="A72" s="36" t="s">
        <v>2</v>
      </c>
      <c r="B72" s="201" t="s">
        <v>97</v>
      </c>
      <c r="C72" s="268"/>
      <c r="D72" s="130"/>
      <c r="E72" s="268"/>
      <c r="F72" s="131"/>
      <c r="G72" s="41">
        <f>'Média pesquisa'!I13</f>
        <v>3.5500000000000006E-4</v>
      </c>
      <c r="H72" s="39">
        <f>G72*H$14</f>
        <v>1.0528625500000002</v>
      </c>
      <c r="I72" s="198"/>
    </row>
    <row r="73" spans="1:10" x14ac:dyDescent="0.2">
      <c r="A73" s="36" t="s">
        <v>3</v>
      </c>
      <c r="B73" s="201" t="s">
        <v>98</v>
      </c>
      <c r="C73" s="268"/>
      <c r="D73" s="130"/>
      <c r="E73" s="268"/>
      <c r="F73" s="132"/>
      <c r="G73" s="41">
        <f>'Média pesquisa'!I14</f>
        <v>9.0000000000000008E-4</v>
      </c>
      <c r="H73" s="39">
        <f>G73*H$14</f>
        <v>2.6692290000000001</v>
      </c>
      <c r="I73" s="198"/>
    </row>
    <row r="74" spans="1:10" x14ac:dyDescent="0.2">
      <c r="A74" s="36" t="s">
        <v>12</v>
      </c>
      <c r="B74" s="201" t="s">
        <v>99</v>
      </c>
      <c r="C74" s="268"/>
      <c r="D74" s="130"/>
      <c r="E74" s="268"/>
      <c r="F74" s="131"/>
      <c r="G74" s="41">
        <f>'Média pesquisa'!I15</f>
        <v>4.8749999999999998E-4</v>
      </c>
      <c r="H74" s="39">
        <f>G74*H$14</f>
        <v>1.4458323749999999</v>
      </c>
      <c r="I74" s="198"/>
    </row>
    <row r="75" spans="1:10" x14ac:dyDescent="0.2">
      <c r="A75" s="36" t="s">
        <v>13</v>
      </c>
      <c r="B75" s="201" t="s">
        <v>100</v>
      </c>
      <c r="C75" s="268"/>
      <c r="D75" s="128"/>
      <c r="E75" s="268"/>
      <c r="F75" s="133"/>
      <c r="G75" s="41" t="s">
        <v>130</v>
      </c>
      <c r="H75" s="238" t="s">
        <v>130</v>
      </c>
    </row>
    <row r="76" spans="1:10" x14ac:dyDescent="0.2">
      <c r="A76" s="36"/>
      <c r="B76" s="8"/>
      <c r="C76" s="38"/>
      <c r="D76" s="128"/>
      <c r="E76" s="38"/>
      <c r="F76" s="129"/>
      <c r="G76" s="41"/>
      <c r="H76" s="39"/>
    </row>
    <row r="77" spans="1:10" ht="15.75" x14ac:dyDescent="0.2">
      <c r="A77" s="54"/>
      <c r="B77" s="8"/>
      <c r="C77" s="8"/>
      <c r="D77" s="7"/>
      <c r="E77" s="7"/>
      <c r="F77" s="14"/>
      <c r="G77" s="99"/>
      <c r="H77" s="100">
        <f>SUM(H70:H76)</f>
        <v>277.67643275833325</v>
      </c>
    </row>
    <row r="78" spans="1:10" ht="15.75" x14ac:dyDescent="0.25">
      <c r="A78" s="55"/>
      <c r="B78" s="9" t="s">
        <v>141</v>
      </c>
      <c r="C78" s="9"/>
      <c r="D78" s="6"/>
      <c r="E78" s="6"/>
      <c r="F78" s="13"/>
      <c r="G78" s="11">
        <f>SUM(G70:G75)</f>
        <v>9.3625833333333325E-2</v>
      </c>
      <c r="H78" s="56">
        <f>SUM(H77:H77)</f>
        <v>277.67643275833325</v>
      </c>
    </row>
    <row r="79" spans="1:10" ht="15.75" x14ac:dyDescent="0.2">
      <c r="A79" s="247"/>
      <c r="B79" s="290" t="s">
        <v>140</v>
      </c>
      <c r="C79" s="291"/>
      <c r="D79" s="291"/>
      <c r="E79" s="292"/>
      <c r="F79" s="249"/>
      <c r="G79" s="250">
        <f>G78*G37</f>
        <v>3.3592949000000004E-2</v>
      </c>
      <c r="H79" s="249">
        <f>H78*G37</f>
        <v>99.630304073689985</v>
      </c>
      <c r="I79" s="198">
        <f>G79*H14</f>
        <v>99.630304073690013</v>
      </c>
    </row>
    <row r="80" spans="1:10" ht="15.75" x14ac:dyDescent="0.25">
      <c r="A80" s="246"/>
      <c r="B80" s="293" t="s">
        <v>31</v>
      </c>
      <c r="C80" s="294"/>
      <c r="D80" s="294"/>
      <c r="E80" s="294"/>
      <c r="F80" s="294"/>
      <c r="G80" s="295"/>
      <c r="H80" s="248">
        <f>H78+H79</f>
        <v>377.30673683202326</v>
      </c>
      <c r="I80" s="198"/>
    </row>
    <row r="81" spans="1:10" x14ac:dyDescent="0.2">
      <c r="A81" s="266" t="s">
        <v>93</v>
      </c>
      <c r="B81" s="266"/>
      <c r="C81" s="266"/>
      <c r="D81" s="266"/>
      <c r="E81" s="266"/>
      <c r="F81" s="266"/>
      <c r="G81" s="266"/>
      <c r="H81" s="266"/>
    </row>
    <row r="82" spans="1:10" ht="15.75" customHeight="1" x14ac:dyDescent="0.2">
      <c r="A82" s="267"/>
      <c r="B82" s="267"/>
      <c r="C82" s="267"/>
      <c r="D82" s="267"/>
      <c r="E82" s="267"/>
      <c r="F82" s="267"/>
      <c r="G82" s="267"/>
      <c r="H82" s="267"/>
    </row>
    <row r="83" spans="1:10" ht="15.75" customHeight="1" x14ac:dyDescent="0.2">
      <c r="A83" s="127"/>
      <c r="B83" s="127"/>
      <c r="C83" s="127"/>
      <c r="D83" s="127"/>
      <c r="E83" s="127"/>
      <c r="F83" s="127"/>
      <c r="G83" s="127"/>
      <c r="H83" s="127"/>
    </row>
    <row r="84" spans="1:10" s="17" customFormat="1" ht="15.75" x14ac:dyDescent="0.25">
      <c r="A84" s="76" t="s">
        <v>44</v>
      </c>
      <c r="B84" s="287" t="s">
        <v>45</v>
      </c>
      <c r="C84" s="287"/>
      <c r="D84" s="287"/>
      <c r="E84" s="287"/>
      <c r="F84" s="287"/>
      <c r="G84" s="287"/>
      <c r="H84" s="288"/>
      <c r="I84" s="197"/>
      <c r="J84" s="197"/>
    </row>
    <row r="85" spans="1:10" x14ac:dyDescent="0.2">
      <c r="A85" s="36" t="s">
        <v>0</v>
      </c>
      <c r="B85" s="8" t="s">
        <v>101</v>
      </c>
      <c r="C85" s="8"/>
      <c r="D85" s="53"/>
      <c r="E85" s="53"/>
      <c r="F85" s="53"/>
      <c r="G85" s="103">
        <v>0</v>
      </c>
      <c r="H85" s="39">
        <f>SUM(H$14*G85)</f>
        <v>0</v>
      </c>
    </row>
    <row r="86" spans="1:10" ht="15.75" x14ac:dyDescent="0.25">
      <c r="A86" s="55"/>
      <c r="B86" s="9" t="s">
        <v>14</v>
      </c>
      <c r="C86" s="9"/>
      <c r="D86" s="6"/>
      <c r="E86" s="6"/>
      <c r="F86" s="13"/>
      <c r="G86" s="11">
        <f>G85</f>
        <v>0</v>
      </c>
      <c r="H86" s="56">
        <f>SUM(H85:H85)</f>
        <v>0</v>
      </c>
    </row>
    <row r="87" spans="1:10" s="17" customFormat="1" ht="15.75" x14ac:dyDescent="0.25">
      <c r="A87" s="289" t="s">
        <v>131</v>
      </c>
      <c r="B87" s="287"/>
      <c r="C87" s="287"/>
      <c r="D87" s="287"/>
      <c r="E87" s="287"/>
      <c r="F87" s="287"/>
      <c r="G87" s="287"/>
      <c r="H87" s="288"/>
      <c r="I87" s="197"/>
      <c r="J87" s="197"/>
    </row>
    <row r="88" spans="1:10" x14ac:dyDescent="0.2">
      <c r="A88" s="88" t="s">
        <v>42</v>
      </c>
      <c r="B88" s="19" t="s">
        <v>102</v>
      </c>
      <c r="C88" s="19"/>
      <c r="D88" s="89"/>
      <c r="E88" s="89"/>
      <c r="F88" s="89"/>
      <c r="G88" s="90"/>
      <c r="H88" s="91">
        <f>H80</f>
        <v>377.30673683202326</v>
      </c>
    </row>
    <row r="89" spans="1:10" x14ac:dyDescent="0.2">
      <c r="A89" s="88" t="s">
        <v>44</v>
      </c>
      <c r="B89" s="19" t="s">
        <v>103</v>
      </c>
      <c r="C89" s="19"/>
      <c r="D89" s="89"/>
      <c r="E89" s="89"/>
      <c r="F89" s="89"/>
      <c r="G89" s="90"/>
      <c r="H89" s="91">
        <f>H86</f>
        <v>0</v>
      </c>
    </row>
    <row r="90" spans="1:10" ht="16.5" thickBot="1" x14ac:dyDescent="0.3">
      <c r="A90" s="92"/>
      <c r="B90" s="93" t="s">
        <v>14</v>
      </c>
      <c r="C90" s="93"/>
      <c r="D90" s="94"/>
      <c r="E90" s="94"/>
      <c r="F90" s="95"/>
      <c r="G90" s="96"/>
      <c r="H90" s="97">
        <f>SUM(H88:H89)</f>
        <v>377.30673683202326</v>
      </c>
    </row>
    <row r="91" spans="1:10" ht="16.5" thickBot="1" x14ac:dyDescent="0.3">
      <c r="A91" s="25"/>
      <c r="B91" s="26"/>
      <c r="C91" s="26"/>
      <c r="D91" s="27"/>
      <c r="E91" s="27"/>
      <c r="F91" s="28"/>
      <c r="G91" s="29"/>
      <c r="H91" s="30"/>
    </row>
    <row r="92" spans="1:10" s="17" customFormat="1" ht="23.25" x14ac:dyDescent="0.25">
      <c r="A92" s="77">
        <v>5</v>
      </c>
      <c r="B92" s="279" t="s">
        <v>46</v>
      </c>
      <c r="C92" s="279"/>
      <c r="D92" s="279"/>
      <c r="E92" s="279"/>
      <c r="F92" s="279"/>
      <c r="G92" s="279"/>
      <c r="H92" s="280"/>
      <c r="I92" s="197"/>
      <c r="J92" s="197"/>
    </row>
    <row r="93" spans="1:10" x14ac:dyDescent="0.2">
      <c r="A93" s="36" t="s">
        <v>0</v>
      </c>
      <c r="B93" s="18" t="s">
        <v>47</v>
      </c>
      <c r="C93" s="18"/>
      <c r="D93" s="50"/>
      <c r="E93" s="7"/>
      <c r="F93" s="51"/>
      <c r="G93" s="51"/>
      <c r="H93" s="52">
        <v>49</v>
      </c>
    </row>
    <row r="94" spans="1:10" x14ac:dyDescent="0.2">
      <c r="A94" s="36" t="s">
        <v>1</v>
      </c>
      <c r="B94" s="18" t="s">
        <v>105</v>
      </c>
      <c r="C94" s="18"/>
      <c r="D94" s="50"/>
      <c r="E94" s="7"/>
      <c r="F94" s="51"/>
      <c r="G94" s="51"/>
      <c r="H94" s="52"/>
    </row>
    <row r="95" spans="1:10" x14ac:dyDescent="0.2">
      <c r="A95" s="36" t="s">
        <v>2</v>
      </c>
      <c r="B95" s="18" t="s">
        <v>48</v>
      </c>
      <c r="C95" s="18"/>
      <c r="D95" s="50"/>
      <c r="E95" s="7"/>
      <c r="F95" s="51"/>
      <c r="G95" s="51"/>
      <c r="H95" s="52"/>
    </row>
    <row r="96" spans="1:10" x14ac:dyDescent="0.2">
      <c r="A96" s="36" t="s">
        <v>3</v>
      </c>
      <c r="B96" s="18" t="s">
        <v>133</v>
      </c>
      <c r="C96" s="18"/>
      <c r="D96" s="50"/>
      <c r="E96" s="7"/>
      <c r="F96" s="51"/>
      <c r="G96" s="51"/>
      <c r="H96" s="52"/>
    </row>
    <row r="97" spans="1:10" ht="16.5" thickBot="1" x14ac:dyDescent="0.3">
      <c r="A97" s="45"/>
      <c r="B97" s="43" t="s">
        <v>14</v>
      </c>
      <c r="C97" s="43"/>
      <c r="D97" s="46"/>
      <c r="E97" s="46"/>
      <c r="F97" s="47"/>
      <c r="G97" s="48"/>
      <c r="H97" s="49">
        <f>SUM(H93:H96)</f>
        <v>49</v>
      </c>
    </row>
    <row r="98" spans="1:10" x14ac:dyDescent="0.2">
      <c r="A98" s="265" t="s">
        <v>106</v>
      </c>
      <c r="B98" s="265"/>
      <c r="C98" s="265"/>
      <c r="D98" s="265"/>
      <c r="E98" s="265"/>
      <c r="F98" s="265"/>
      <c r="G98" s="265"/>
      <c r="H98" s="265"/>
    </row>
    <row r="99" spans="1:10" ht="16.5" thickBot="1" x14ac:dyDescent="0.3">
      <c r="A99" s="25"/>
      <c r="B99" s="26"/>
      <c r="C99" s="26"/>
      <c r="D99" s="27"/>
      <c r="E99" s="27"/>
      <c r="F99" s="28"/>
      <c r="G99" s="29"/>
      <c r="H99" s="30"/>
    </row>
    <row r="100" spans="1:10" s="17" customFormat="1" ht="23.25" x14ac:dyDescent="0.25">
      <c r="A100" s="77">
        <v>6</v>
      </c>
      <c r="B100" s="279" t="s">
        <v>49</v>
      </c>
      <c r="C100" s="279"/>
      <c r="D100" s="279"/>
      <c r="E100" s="279"/>
      <c r="F100" s="279"/>
      <c r="G100" s="279"/>
      <c r="H100" s="280"/>
      <c r="I100" s="197"/>
      <c r="J100" s="197"/>
    </row>
    <row r="101" spans="1:10" ht="15.75" x14ac:dyDescent="0.2">
      <c r="A101" s="40" t="s">
        <v>0</v>
      </c>
      <c r="B101" s="7" t="s">
        <v>50</v>
      </c>
      <c r="C101" s="7"/>
      <c r="D101" s="182"/>
      <c r="E101" s="182"/>
      <c r="F101" s="185" t="s">
        <v>50</v>
      </c>
      <c r="G101" s="215">
        <f>'Média pesquisa'!I21</f>
        <v>7.1750000000000008E-2</v>
      </c>
      <c r="H101" s="39">
        <f>G101*H119</f>
        <v>434.53895718953942</v>
      </c>
      <c r="I101" s="239"/>
      <c r="J101" s="198"/>
    </row>
    <row r="102" spans="1:10" ht="15.75" x14ac:dyDescent="0.2">
      <c r="A102" s="40" t="s">
        <v>1</v>
      </c>
      <c r="B102" s="7" t="s">
        <v>51</v>
      </c>
      <c r="C102" s="7"/>
      <c r="D102" s="182"/>
      <c r="E102" s="182"/>
      <c r="F102" s="172" t="s">
        <v>51</v>
      </c>
      <c r="G102" s="215">
        <f>'Média pesquisa'!I22</f>
        <v>8.6750000000000008E-2</v>
      </c>
      <c r="H102" s="39">
        <f>SUM(H101+H119)*$G$102</f>
        <v>563.07959301971232</v>
      </c>
      <c r="I102" s="196">
        <f>1-(14.25/100)</f>
        <v>0.85750000000000004</v>
      </c>
    </row>
    <row r="103" spans="1:10" ht="15.75" x14ac:dyDescent="0.2">
      <c r="A103" s="40" t="s">
        <v>2</v>
      </c>
      <c r="B103" s="7" t="s">
        <v>104</v>
      </c>
      <c r="C103" s="7"/>
      <c r="D103" s="182"/>
      <c r="E103" s="182"/>
      <c r="F103" s="186"/>
      <c r="G103" s="212"/>
      <c r="H103" s="39">
        <f>SUM(H101:H102)</f>
        <v>997.61855020925168</v>
      </c>
      <c r="I103" s="219">
        <f>(H119+H103)/I102</f>
        <v>8226.1348530316136</v>
      </c>
    </row>
    <row r="104" spans="1:10" ht="15.75" x14ac:dyDescent="0.2">
      <c r="A104" s="40" t="s">
        <v>53</v>
      </c>
      <c r="B104" s="134" t="s">
        <v>119</v>
      </c>
      <c r="C104" s="7"/>
      <c r="D104" s="182"/>
      <c r="E104" s="182"/>
      <c r="F104" s="172" t="s">
        <v>55</v>
      </c>
      <c r="G104" s="211">
        <v>1.6500000000000001E-2</v>
      </c>
      <c r="H104" s="39">
        <f>SUM(H$121*$G$104)</f>
        <v>135.73122507502163</v>
      </c>
    </row>
    <row r="105" spans="1:10" ht="15.75" x14ac:dyDescent="0.2">
      <c r="A105" s="40" t="s">
        <v>54</v>
      </c>
      <c r="B105" s="134" t="s">
        <v>119</v>
      </c>
      <c r="C105" s="7"/>
      <c r="D105" s="182"/>
      <c r="E105" s="182"/>
      <c r="F105" s="172" t="s">
        <v>57</v>
      </c>
      <c r="G105" s="211">
        <v>7.5999999999999998E-2</v>
      </c>
      <c r="H105" s="39">
        <f>SUM(H$121*$G$105)</f>
        <v>625.18624883040263</v>
      </c>
      <c r="I105" s="199"/>
    </row>
    <row r="106" spans="1:10" ht="15.75" x14ac:dyDescent="0.2">
      <c r="A106" s="40" t="s">
        <v>56</v>
      </c>
      <c r="B106" s="101"/>
      <c r="C106" s="7"/>
      <c r="D106" s="182"/>
      <c r="E106" s="182"/>
      <c r="F106" s="174"/>
      <c r="G106" s="213"/>
      <c r="H106" s="62"/>
    </row>
    <row r="107" spans="1:10" ht="15.75" x14ac:dyDescent="0.2">
      <c r="A107" s="40" t="s">
        <v>58</v>
      </c>
      <c r="B107" s="134" t="s">
        <v>120</v>
      </c>
      <c r="C107" s="7"/>
      <c r="D107" s="182"/>
      <c r="E107" s="182"/>
      <c r="F107" s="172" t="s">
        <v>60</v>
      </c>
      <c r="G107" s="214">
        <v>0.05</v>
      </c>
      <c r="H107" s="39">
        <f>SUM(H$121*$G$107)</f>
        <v>411.30674265158069</v>
      </c>
    </row>
    <row r="108" spans="1:10" ht="15.75" x14ac:dyDescent="0.2">
      <c r="A108" s="40" t="s">
        <v>59</v>
      </c>
      <c r="B108" s="7"/>
      <c r="C108" s="7"/>
      <c r="D108" s="7"/>
      <c r="E108" s="7"/>
      <c r="F108" s="114" t="s">
        <v>52</v>
      </c>
      <c r="G108" s="216">
        <v>0.14249999999999999</v>
      </c>
      <c r="H108" s="244">
        <f>G108*I103</f>
        <v>1172.2242165570049</v>
      </c>
      <c r="I108" s="200"/>
      <c r="J108" s="198"/>
    </row>
    <row r="109" spans="1:10" ht="16.5" thickBot="1" x14ac:dyDescent="0.3">
      <c r="A109" s="45"/>
      <c r="B109" s="43" t="s">
        <v>121</v>
      </c>
      <c r="C109" s="43"/>
      <c r="D109" s="46"/>
      <c r="E109" s="46"/>
      <c r="F109" s="47"/>
      <c r="G109" s="48">
        <f>G108+G102+G101</f>
        <v>0.30100000000000005</v>
      </c>
      <c r="H109" s="49">
        <f>SUM(H103:H108)</f>
        <v>3342.0669833232614</v>
      </c>
      <c r="I109" s="198"/>
      <c r="J109" s="198"/>
    </row>
    <row r="110" spans="1:10" x14ac:dyDescent="0.2">
      <c r="A110" s="265" t="s">
        <v>107</v>
      </c>
      <c r="B110" s="265"/>
      <c r="C110" s="265"/>
      <c r="D110" s="265"/>
      <c r="E110" s="265"/>
      <c r="F110" s="265"/>
      <c r="G110" s="265"/>
      <c r="H110" s="265"/>
    </row>
    <row r="111" spans="1:10" x14ac:dyDescent="0.2">
      <c r="A111" s="265" t="s">
        <v>108</v>
      </c>
      <c r="B111" s="265"/>
      <c r="C111" s="265"/>
      <c r="D111" s="265"/>
      <c r="E111" s="265"/>
      <c r="F111" s="265"/>
      <c r="G111" s="265"/>
      <c r="H111" s="265"/>
      <c r="J111" s="198"/>
    </row>
    <row r="112" spans="1:10" ht="16.5" thickBot="1" x14ac:dyDescent="0.3">
      <c r="A112" s="25"/>
      <c r="B112" s="26"/>
      <c r="C112" s="26"/>
      <c r="D112" s="27"/>
      <c r="E112" s="27"/>
      <c r="F112" s="28"/>
      <c r="G112" s="29"/>
      <c r="H112" s="30"/>
      <c r="J112" s="198"/>
    </row>
    <row r="113" spans="1:10" s="17" customFormat="1" ht="15.75" x14ac:dyDescent="0.25">
      <c r="A113" s="34"/>
      <c r="B113" s="277" t="s">
        <v>61</v>
      </c>
      <c r="C113" s="277"/>
      <c r="D113" s="277"/>
      <c r="E113" s="277"/>
      <c r="F113" s="277"/>
      <c r="G113" s="277"/>
      <c r="H113" s="278"/>
      <c r="I113" s="197"/>
      <c r="J113" s="197" t="s">
        <v>125</v>
      </c>
    </row>
    <row r="114" spans="1:10" ht="15.75" x14ac:dyDescent="0.2">
      <c r="A114" s="135" t="s">
        <v>0</v>
      </c>
      <c r="B114" s="136" t="s">
        <v>114</v>
      </c>
      <c r="C114" s="136"/>
      <c r="D114" s="136"/>
      <c r="E114" s="136"/>
      <c r="F114" s="137"/>
      <c r="G114" s="138">
        <f>SUM(H114/H$121)</f>
        <v>0.36053505722763551</v>
      </c>
      <c r="H114" s="139">
        <f>SUM(H14)</f>
        <v>2965.81</v>
      </c>
    </row>
    <row r="115" spans="1:10" ht="15.75" x14ac:dyDescent="0.2">
      <c r="A115" s="135" t="s">
        <v>1</v>
      </c>
      <c r="B115" s="136" t="s">
        <v>113</v>
      </c>
      <c r="C115" s="136"/>
      <c r="D115" s="136"/>
      <c r="E115" s="136"/>
      <c r="F115" s="137"/>
      <c r="G115" s="138">
        <f>SUM(H115/H$121)</f>
        <v>0.29669528578317017</v>
      </c>
      <c r="H115" s="139">
        <f>H57</f>
        <v>2440.6554311111113</v>
      </c>
    </row>
    <row r="116" spans="1:10" ht="15.75" x14ac:dyDescent="0.2">
      <c r="A116" s="135" t="s">
        <v>2</v>
      </c>
      <c r="B116" s="136" t="s">
        <v>112</v>
      </c>
      <c r="C116" s="136"/>
      <c r="D116" s="136"/>
      <c r="E116" s="136"/>
      <c r="F116" s="137"/>
      <c r="G116" s="138">
        <f>SUM(H116/H$121)</f>
        <v>2.7171924885214766E-2</v>
      </c>
      <c r="H116" s="139">
        <f>H66</f>
        <v>223.51991832222222</v>
      </c>
    </row>
    <row r="117" spans="1:10" ht="15.75" x14ac:dyDescent="0.2">
      <c r="A117" s="135" t="s">
        <v>3</v>
      </c>
      <c r="B117" s="136" t="s">
        <v>111</v>
      </c>
      <c r="C117" s="136"/>
      <c r="D117" s="136"/>
      <c r="E117" s="136"/>
      <c r="F117" s="137"/>
      <c r="G117" s="138">
        <f>SUM(H117/H$121)</f>
        <v>4.586683096897843E-2</v>
      </c>
      <c r="H117" s="139">
        <f>H90</f>
        <v>377.30673683202326</v>
      </c>
    </row>
    <row r="118" spans="1:10" ht="15.75" x14ac:dyDescent="0.2">
      <c r="A118" s="135" t="s">
        <v>12</v>
      </c>
      <c r="B118" s="136" t="s">
        <v>46</v>
      </c>
      <c r="C118" s="136"/>
      <c r="D118" s="136"/>
      <c r="E118" s="136"/>
      <c r="F118" s="137"/>
      <c r="G118" s="138">
        <f>H118/H121</f>
        <v>5.9566249369157635E-3</v>
      </c>
      <c r="H118" s="139">
        <f>H97</f>
        <v>49</v>
      </c>
    </row>
    <row r="119" spans="1:10" ht="15.75" x14ac:dyDescent="0.2">
      <c r="A119" s="135"/>
      <c r="B119" s="140" t="s">
        <v>109</v>
      </c>
      <c r="C119" s="140"/>
      <c r="D119" s="140"/>
      <c r="E119" s="140"/>
      <c r="F119" s="141"/>
      <c r="G119" s="142">
        <f>SUM(G114:G118)</f>
        <v>0.73622572380191476</v>
      </c>
      <c r="H119" s="143">
        <f>SUM(H114:H118)</f>
        <v>6056.2920862653573</v>
      </c>
      <c r="I119" s="198"/>
      <c r="J119" s="198"/>
    </row>
    <row r="120" spans="1:10" ht="15.75" x14ac:dyDescent="0.2">
      <c r="A120" s="135" t="s">
        <v>12</v>
      </c>
      <c r="B120" s="136" t="s">
        <v>110</v>
      </c>
      <c r="C120" s="136"/>
      <c r="D120" s="136"/>
      <c r="E120" s="136"/>
      <c r="F120" s="137"/>
      <c r="G120" s="138">
        <f>SUM(H120/H$121)</f>
        <v>0.26377427619808524</v>
      </c>
      <c r="H120" s="139">
        <f>H101+H102+H108</f>
        <v>2169.8427667662563</v>
      </c>
      <c r="I120" s="198"/>
    </row>
    <row r="121" spans="1:10" ht="16.5" thickBot="1" x14ac:dyDescent="0.3">
      <c r="A121" s="42"/>
      <c r="B121" s="43" t="s">
        <v>115</v>
      </c>
      <c r="C121" s="43"/>
      <c r="D121" s="43"/>
      <c r="E121" s="43"/>
      <c r="F121" s="43"/>
      <c r="G121" s="205">
        <f>SUM(G119+G120)</f>
        <v>1</v>
      </c>
      <c r="H121" s="44">
        <f>H120+H119</f>
        <v>8226.1348530316136</v>
      </c>
      <c r="I121" s="200"/>
      <c r="J121" s="198"/>
    </row>
    <row r="122" spans="1:10" ht="16.5" thickBot="1" x14ac:dyDescent="0.3">
      <c r="A122" s="31"/>
      <c r="B122" s="26"/>
      <c r="C122" s="26"/>
      <c r="D122" s="26"/>
      <c r="E122" s="26"/>
      <c r="F122" s="26"/>
      <c r="G122" s="32"/>
      <c r="H122" s="33"/>
      <c r="I122" s="200"/>
    </row>
    <row r="123" spans="1:10" s="17" customFormat="1" ht="15.75" x14ac:dyDescent="0.25">
      <c r="A123" s="34"/>
      <c r="B123" s="277" t="s">
        <v>62</v>
      </c>
      <c r="C123" s="277"/>
      <c r="D123" s="277"/>
      <c r="E123" s="277"/>
      <c r="F123" s="277"/>
      <c r="G123" s="277"/>
      <c r="H123" s="278"/>
      <c r="I123" s="197"/>
      <c r="J123" s="197"/>
    </row>
    <row r="124" spans="1:10" ht="54.75" customHeight="1" x14ac:dyDescent="0.2">
      <c r="A124" s="158"/>
      <c r="B124" s="144" t="s">
        <v>4</v>
      </c>
      <c r="C124" s="144"/>
      <c r="D124" s="145" t="s">
        <v>63</v>
      </c>
      <c r="E124" s="145" t="s">
        <v>116</v>
      </c>
      <c r="F124" s="146" t="s">
        <v>64</v>
      </c>
      <c r="G124" s="145" t="s">
        <v>117</v>
      </c>
      <c r="H124" s="147" t="s">
        <v>65</v>
      </c>
    </row>
    <row r="125" spans="1:10" ht="16.5" thickBot="1" x14ac:dyDescent="0.25">
      <c r="A125" s="158"/>
      <c r="B125" s="148" t="s">
        <v>66</v>
      </c>
      <c r="C125" s="148"/>
      <c r="D125" s="148" t="s">
        <v>67</v>
      </c>
      <c r="E125" s="149" t="s">
        <v>68</v>
      </c>
      <c r="F125" s="150" t="s">
        <v>69</v>
      </c>
      <c r="G125" s="148" t="s">
        <v>70</v>
      </c>
      <c r="H125" s="151" t="s">
        <v>71</v>
      </c>
    </row>
    <row r="126" spans="1:10" ht="16.5" thickBot="1" x14ac:dyDescent="0.25">
      <c r="A126" s="159"/>
      <c r="B126" s="152"/>
      <c r="C126" s="152"/>
      <c r="D126" s="153">
        <f>SUM(H121)</f>
        <v>8226.1348530316136</v>
      </c>
      <c r="E126" s="187">
        <v>1</v>
      </c>
      <c r="F126" s="153">
        <f>D126*E126</f>
        <v>8226.1348530316136</v>
      </c>
      <c r="G126" s="154">
        <v>1</v>
      </c>
      <c r="H126" s="139">
        <f>G126*F126</f>
        <v>8226.1348530316136</v>
      </c>
    </row>
    <row r="127" spans="1:10" ht="16.5" thickBot="1" x14ac:dyDescent="0.25">
      <c r="A127" s="160"/>
      <c r="B127" s="155" t="s">
        <v>72</v>
      </c>
      <c r="C127" s="155"/>
      <c r="D127" s="156"/>
      <c r="E127" s="156"/>
      <c r="F127" s="156"/>
      <c r="G127" s="156"/>
      <c r="H127" s="157">
        <f>SUM(H126)</f>
        <v>8226.1348530316136</v>
      </c>
    </row>
    <row r="128" spans="1:10" ht="16.5" thickBot="1" x14ac:dyDescent="0.3">
      <c r="A128" s="3"/>
      <c r="B128" s="4"/>
      <c r="C128" s="4"/>
      <c r="D128" s="15"/>
      <c r="E128" s="4"/>
      <c r="F128" s="4"/>
      <c r="G128" s="4"/>
      <c r="H128" s="4"/>
    </row>
    <row r="129" spans="1:10" s="17" customFormat="1" ht="15.75" x14ac:dyDescent="0.25">
      <c r="A129" s="34"/>
      <c r="B129" s="277" t="s">
        <v>73</v>
      </c>
      <c r="C129" s="277"/>
      <c r="D129" s="277"/>
      <c r="E129" s="277"/>
      <c r="F129" s="277"/>
      <c r="G129" s="277"/>
      <c r="H129" s="278"/>
      <c r="I129" s="197"/>
      <c r="J129" s="197"/>
    </row>
    <row r="130" spans="1:10" ht="15.75" x14ac:dyDescent="0.25">
      <c r="A130" s="161"/>
      <c r="B130" s="162" t="s">
        <v>74</v>
      </c>
      <c r="C130" s="162"/>
      <c r="D130" s="162"/>
      <c r="E130" s="144"/>
      <c r="F130" s="144"/>
      <c r="G130" s="144"/>
      <c r="H130" s="163" t="s">
        <v>75</v>
      </c>
    </row>
    <row r="131" spans="1:10" ht="15.75" x14ac:dyDescent="0.2">
      <c r="A131" s="164" t="s">
        <v>0</v>
      </c>
      <c r="B131" s="165" t="s">
        <v>76</v>
      </c>
      <c r="C131" s="165"/>
      <c r="D131" s="165"/>
      <c r="E131" s="166"/>
      <c r="F131" s="166"/>
      <c r="G131" s="166"/>
      <c r="H131" s="163">
        <f>D126</f>
        <v>8226.1348530316136</v>
      </c>
    </row>
    <row r="132" spans="1:10" ht="16.5" thickBot="1" x14ac:dyDescent="0.25">
      <c r="A132" s="164" t="s">
        <v>1</v>
      </c>
      <c r="B132" s="165" t="s">
        <v>77</v>
      </c>
      <c r="C132" s="165"/>
      <c r="D132" s="165"/>
      <c r="E132" s="166"/>
      <c r="F132" s="166"/>
      <c r="G132" s="166"/>
      <c r="H132" s="163">
        <f>H127</f>
        <v>8226.1348530316136</v>
      </c>
    </row>
    <row r="133" spans="1:10" ht="16.5" thickBot="1" x14ac:dyDescent="0.25">
      <c r="A133" s="167" t="s">
        <v>3</v>
      </c>
      <c r="B133" s="168" t="s">
        <v>78</v>
      </c>
      <c r="C133" s="168"/>
      <c r="D133" s="169"/>
      <c r="E133" s="170"/>
      <c r="F133" s="170"/>
      <c r="G133" s="187">
        <v>1</v>
      </c>
      <c r="H133" s="171">
        <f>SUM(H132*G133)</f>
        <v>8226.1348530316136</v>
      </c>
    </row>
    <row r="134" spans="1:10" x14ac:dyDescent="0.2">
      <c r="A134" s="265" t="s">
        <v>118</v>
      </c>
      <c r="B134" s="265"/>
      <c r="C134" s="265"/>
      <c r="D134" s="265"/>
      <c r="E134" s="265"/>
      <c r="F134" s="265"/>
      <c r="G134" s="265"/>
      <c r="H134" s="265"/>
    </row>
    <row r="135" spans="1:10" x14ac:dyDescent="0.2">
      <c r="H135" s="206"/>
    </row>
  </sheetData>
  <mergeCells count="46">
    <mergeCell ref="B6:H6"/>
    <mergeCell ref="B17:H17"/>
    <mergeCell ref="A2:H2"/>
    <mergeCell ref="A3:H3"/>
    <mergeCell ref="B48:E48"/>
    <mergeCell ref="B18:H18"/>
    <mergeCell ref="B28:H28"/>
    <mergeCell ref="A15:H15"/>
    <mergeCell ref="A24:H24"/>
    <mergeCell ref="A25:H25"/>
    <mergeCell ref="A26:H26"/>
    <mergeCell ref="B38:H38"/>
    <mergeCell ref="E40:E41"/>
    <mergeCell ref="F40:F41"/>
    <mergeCell ref="G40:G41"/>
    <mergeCell ref="E43:E44"/>
    <mergeCell ref="F43:F44"/>
    <mergeCell ref="G43:G44"/>
    <mergeCell ref="B113:H113"/>
    <mergeCell ref="B123:H123"/>
    <mergeCell ref="A98:H98"/>
    <mergeCell ref="A110:H110"/>
    <mergeCell ref="B49:E49"/>
    <mergeCell ref="B69:H69"/>
    <mergeCell ref="B84:H84"/>
    <mergeCell ref="A87:H87"/>
    <mergeCell ref="B92:H92"/>
    <mergeCell ref="B100:H100"/>
    <mergeCell ref="B79:E79"/>
    <mergeCell ref="B80:G80"/>
    <mergeCell ref="A5:B5"/>
    <mergeCell ref="A134:H134"/>
    <mergeCell ref="A50:H50"/>
    <mergeCell ref="A51:H51"/>
    <mergeCell ref="A81:H82"/>
    <mergeCell ref="C71:C75"/>
    <mergeCell ref="E71:E75"/>
    <mergeCell ref="A53:H53"/>
    <mergeCell ref="A111:H111"/>
    <mergeCell ref="A40:A42"/>
    <mergeCell ref="D40:D41"/>
    <mergeCell ref="A43:A45"/>
    <mergeCell ref="D43:D44"/>
    <mergeCell ref="B129:H129"/>
    <mergeCell ref="B59:H59"/>
    <mergeCell ref="B68:H68"/>
  </mergeCells>
  <dataValidations count="4">
    <dataValidation type="list" operator="equal" allowBlank="1" showErrorMessage="1" sqref="D8">
      <formula1>$J$13:$J$14</formula1>
      <formula2>0</formula2>
    </dataValidation>
    <dataValidation operator="equal" allowBlank="1" showErrorMessage="1" sqref="E8"/>
    <dataValidation type="list" operator="equal" allowBlank="1" showErrorMessage="1" sqref="D10">
      <formula1>$J$8:$J$12</formula1>
      <formula2>0</formula2>
    </dataValidation>
    <dataValidation operator="equal" allowBlank="1" showErrorMessage="1" promptTitle="Percentual" sqref="E10"/>
  </dataValidations>
  <pageMargins left="0.511811024" right="0.511811024" top="0.78740157499999996" bottom="0.78740157499999996" header="0.31496062000000002" footer="0.31496062000000002"/>
  <pageSetup paperSize="9" scale="43" orientation="portrait" r:id="rId1"/>
  <rowBreaks count="1" manualBreakCount="1">
    <brk id="9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7" workbookViewId="0">
      <selection activeCell="F28" sqref="F28"/>
    </sheetView>
  </sheetViews>
  <sheetFormatPr defaultRowHeight="15.75" x14ac:dyDescent="0.25"/>
  <cols>
    <col min="1" max="1" width="2" customWidth="1"/>
    <col min="2" max="2" width="9.88671875" customWidth="1"/>
    <col min="3" max="3" width="10.88671875" customWidth="1"/>
    <col min="4" max="4" width="14.109375" customWidth="1"/>
    <col min="5" max="8" width="17.88671875" customWidth="1"/>
    <col min="9" max="9" width="8.88671875" style="240"/>
  </cols>
  <sheetData>
    <row r="1" spans="2:10" ht="16.5" thickBot="1" x14ac:dyDescent="0.3"/>
    <row r="2" spans="2:10" x14ac:dyDescent="0.25">
      <c r="B2" s="318" t="s">
        <v>15</v>
      </c>
      <c r="C2" s="319"/>
      <c r="D2" s="319"/>
      <c r="E2" s="319"/>
      <c r="F2" s="319"/>
      <c r="G2" s="319"/>
      <c r="H2" s="319"/>
      <c r="I2" s="320"/>
    </row>
    <row r="3" spans="2:10" ht="15" x14ac:dyDescent="0.2">
      <c r="B3" s="321" t="s">
        <v>20</v>
      </c>
      <c r="C3" s="322"/>
      <c r="D3" s="322"/>
      <c r="E3" s="322"/>
      <c r="F3" s="322"/>
      <c r="G3" s="322"/>
      <c r="H3" s="322"/>
      <c r="I3" s="323"/>
    </row>
    <row r="4" spans="2:10" ht="38.25" x14ac:dyDescent="0.2">
      <c r="B4" s="324" t="s">
        <v>127</v>
      </c>
      <c r="C4" s="325"/>
      <c r="D4" s="325"/>
      <c r="E4" s="233" t="s">
        <v>149</v>
      </c>
      <c r="F4" s="233" t="s">
        <v>150</v>
      </c>
      <c r="G4" s="233" t="s">
        <v>151</v>
      </c>
      <c r="H4" s="233" t="s">
        <v>162</v>
      </c>
      <c r="I4" s="234" t="s">
        <v>128</v>
      </c>
    </row>
    <row r="5" spans="2:10" ht="16.5" thickBot="1" x14ac:dyDescent="0.3">
      <c r="B5" s="326" t="s">
        <v>129</v>
      </c>
      <c r="C5" s="327"/>
      <c r="D5" s="328"/>
      <c r="E5" s="203">
        <v>1.8200000000000001E-2</v>
      </c>
      <c r="F5" s="203">
        <v>0.02</v>
      </c>
      <c r="G5" s="235">
        <v>1.4999999999999999E-2</v>
      </c>
      <c r="H5" s="235">
        <v>0.03</v>
      </c>
      <c r="I5" s="241">
        <f>AVERAGE(E5:H5)</f>
        <v>2.0799999999999999E-2</v>
      </c>
    </row>
    <row r="7" spans="2:10" ht="16.5" thickBot="1" x14ac:dyDescent="0.3"/>
    <row r="8" spans="2:10" ht="16.5" thickBot="1" x14ac:dyDescent="0.3">
      <c r="B8" s="318" t="s">
        <v>41</v>
      </c>
      <c r="C8" s="319"/>
      <c r="D8" s="319"/>
      <c r="E8" s="319"/>
      <c r="F8" s="319"/>
      <c r="G8" s="319"/>
      <c r="H8" s="319"/>
      <c r="I8" s="320"/>
    </row>
    <row r="9" spans="2:10" ht="15" x14ac:dyDescent="0.2">
      <c r="B9" s="329" t="s">
        <v>94</v>
      </c>
      <c r="C9" s="330"/>
      <c r="D9" s="330"/>
      <c r="E9" s="330"/>
      <c r="F9" s="330"/>
      <c r="G9" s="330"/>
      <c r="H9" s="330"/>
      <c r="I9" s="331"/>
    </row>
    <row r="10" spans="2:10" ht="38.25" x14ac:dyDescent="0.2">
      <c r="B10" s="332" t="s">
        <v>127</v>
      </c>
      <c r="C10" s="333"/>
      <c r="D10" s="333"/>
      <c r="E10" s="233" t="s">
        <v>149</v>
      </c>
      <c r="F10" s="233" t="s">
        <v>150</v>
      </c>
      <c r="G10" s="233" t="s">
        <v>151</v>
      </c>
      <c r="H10" s="233" t="s">
        <v>162</v>
      </c>
      <c r="I10" s="202" t="s">
        <v>128</v>
      </c>
    </row>
    <row r="11" spans="2:10" ht="16.5" thickBot="1" x14ac:dyDescent="0.3">
      <c r="B11" s="334" t="s">
        <v>95</v>
      </c>
      <c r="C11" s="335"/>
      <c r="D11" s="336"/>
      <c r="E11" s="254" t="s">
        <v>130</v>
      </c>
      <c r="F11" s="254"/>
      <c r="G11" s="255"/>
      <c r="H11" s="255"/>
      <c r="I11" s="256"/>
      <c r="J11" s="208"/>
    </row>
    <row r="12" spans="2:10" x14ac:dyDescent="0.25">
      <c r="B12" s="337" t="s">
        <v>96</v>
      </c>
      <c r="C12" s="338"/>
      <c r="D12" s="339"/>
      <c r="E12" s="257">
        <v>7.3000000000000001E-3</v>
      </c>
      <c r="F12" s="257">
        <v>1.66E-2</v>
      </c>
      <c r="G12" s="258">
        <v>1.1000000000000001E-3</v>
      </c>
      <c r="H12" s="258">
        <v>9.1999999999999998E-3</v>
      </c>
      <c r="I12" s="259">
        <f>AVERAGE(E12:H12)</f>
        <v>8.5500000000000003E-3</v>
      </c>
    </row>
    <row r="13" spans="2:10" x14ac:dyDescent="0.25">
      <c r="B13" s="307" t="s">
        <v>97</v>
      </c>
      <c r="C13" s="308"/>
      <c r="D13" s="309"/>
      <c r="E13" s="204">
        <v>8.1999999999999998E-4</v>
      </c>
      <c r="F13" s="204">
        <v>2.0000000000000001E-4</v>
      </c>
      <c r="G13" s="236">
        <v>2.0000000000000001E-4</v>
      </c>
      <c r="H13" s="236">
        <v>2.0000000000000001E-4</v>
      </c>
      <c r="I13" s="242">
        <f>AVERAGE(E13:H13)</f>
        <v>3.5500000000000006E-4</v>
      </c>
    </row>
    <row r="14" spans="2:10" x14ac:dyDescent="0.25">
      <c r="B14" s="307" t="s">
        <v>98</v>
      </c>
      <c r="C14" s="308"/>
      <c r="D14" s="309"/>
      <c r="E14" s="204">
        <v>2.7000000000000001E-3</v>
      </c>
      <c r="F14" s="204">
        <v>2.9999999999999997E-4</v>
      </c>
      <c r="G14" s="236">
        <v>2.0000000000000001E-4</v>
      </c>
      <c r="H14" s="236">
        <v>4.0000000000000002E-4</v>
      </c>
      <c r="I14" s="242">
        <f>AVERAGE(E14:H14)</f>
        <v>9.0000000000000008E-4</v>
      </c>
    </row>
    <row r="15" spans="2:10" x14ac:dyDescent="0.25">
      <c r="B15" s="310" t="s">
        <v>99</v>
      </c>
      <c r="C15" s="311"/>
      <c r="D15" s="312"/>
      <c r="E15" s="207">
        <v>5.5000000000000003E-4</v>
      </c>
      <c r="F15" s="207">
        <v>0</v>
      </c>
      <c r="G15" s="237">
        <v>6.9999999999999999E-4</v>
      </c>
      <c r="H15" s="237">
        <v>6.9999999999999999E-4</v>
      </c>
      <c r="I15" s="243">
        <f>AVERAGE(E15:H15)</f>
        <v>4.8749999999999998E-4</v>
      </c>
    </row>
    <row r="16" spans="2:10" ht="16.5" thickBot="1" x14ac:dyDescent="0.3">
      <c r="B16" s="316" t="s">
        <v>130</v>
      </c>
      <c r="C16" s="317"/>
      <c r="D16" s="317"/>
      <c r="E16" s="203" t="s">
        <v>130</v>
      </c>
      <c r="F16" s="203"/>
      <c r="G16" s="235"/>
      <c r="H16" s="235"/>
      <c r="I16" s="241" t="s">
        <v>130</v>
      </c>
    </row>
    <row r="18" spans="2:10" ht="16.5" thickBot="1" x14ac:dyDescent="0.3"/>
    <row r="19" spans="2:10" ht="24" customHeight="1" thickBot="1" x14ac:dyDescent="0.25">
      <c r="B19" s="302" t="s">
        <v>49</v>
      </c>
      <c r="C19" s="303"/>
      <c r="D19" s="303"/>
      <c r="E19" s="303"/>
      <c r="F19" s="303"/>
      <c r="G19" s="303"/>
      <c r="H19" s="303"/>
      <c r="I19" s="304"/>
    </row>
    <row r="20" spans="2:10" ht="38.25" x14ac:dyDescent="0.2">
      <c r="B20" s="305" t="s">
        <v>127</v>
      </c>
      <c r="C20" s="306"/>
      <c r="D20" s="306"/>
      <c r="E20" s="233" t="s">
        <v>149</v>
      </c>
      <c r="F20" s="233" t="s">
        <v>150</v>
      </c>
      <c r="G20" s="233" t="s">
        <v>151</v>
      </c>
      <c r="H20" s="233" t="s">
        <v>162</v>
      </c>
      <c r="I20" s="261" t="s">
        <v>128</v>
      </c>
    </row>
    <row r="21" spans="2:10" x14ac:dyDescent="0.25">
      <c r="B21" s="307" t="s">
        <v>50</v>
      </c>
      <c r="C21" s="308"/>
      <c r="D21" s="309"/>
      <c r="E21" s="204">
        <v>7.0000000000000001E-3</v>
      </c>
      <c r="F21" s="204">
        <v>0.2</v>
      </c>
      <c r="G21" s="236">
        <v>0.03</v>
      </c>
      <c r="H21" s="236">
        <v>0.05</v>
      </c>
      <c r="I21" s="242">
        <f>AVERAGE(E21:H21)</f>
        <v>7.1750000000000008E-2</v>
      </c>
    </row>
    <row r="22" spans="2:10" ht="16.5" thickBot="1" x14ac:dyDescent="0.3">
      <c r="B22" s="310" t="s">
        <v>51</v>
      </c>
      <c r="C22" s="311"/>
      <c r="D22" s="312"/>
      <c r="E22" s="207">
        <v>7.0000000000000001E-3</v>
      </c>
      <c r="F22" s="207">
        <v>0.25</v>
      </c>
      <c r="G22" s="237">
        <v>0.03</v>
      </c>
      <c r="H22" s="237">
        <v>0.06</v>
      </c>
      <c r="I22" s="243">
        <f>AVERAGE(E22:H22)</f>
        <v>8.6750000000000008E-2</v>
      </c>
    </row>
    <row r="23" spans="2:10" ht="22.5" customHeight="1" thickBot="1" x14ac:dyDescent="0.3">
      <c r="B23" s="313" t="s">
        <v>104</v>
      </c>
      <c r="C23" s="314"/>
      <c r="D23" s="315"/>
      <c r="E23" s="253" t="s">
        <v>130</v>
      </c>
      <c r="F23" s="253"/>
      <c r="G23" s="262"/>
      <c r="H23" s="361"/>
      <c r="I23" s="251" t="s">
        <v>142</v>
      </c>
      <c r="J23" s="252"/>
    </row>
  </sheetData>
  <mergeCells count="18">
    <mergeCell ref="B14:D14"/>
    <mergeCell ref="B15:D15"/>
    <mergeCell ref="B16:D16"/>
    <mergeCell ref="B2:I2"/>
    <mergeCell ref="B3:I3"/>
    <mergeCell ref="B4:D4"/>
    <mergeCell ref="B5:D5"/>
    <mergeCell ref="B8:I8"/>
    <mergeCell ref="B9:I9"/>
    <mergeCell ref="B10:D10"/>
    <mergeCell ref="B11:D11"/>
    <mergeCell ref="B12:D12"/>
    <mergeCell ref="B13:D13"/>
    <mergeCell ref="B19:I19"/>
    <mergeCell ref="B20:D20"/>
    <mergeCell ref="B21:D21"/>
    <mergeCell ref="B22:D22"/>
    <mergeCell ref="B23:D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Motorista veículo pesado</vt:lpstr>
      <vt:lpstr>Média pesquisa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Campos jr</dc:creator>
  <cp:lastModifiedBy>Liana Lopes Schaefer</cp:lastModifiedBy>
  <dcterms:created xsi:type="dcterms:W3CDTF">2018-05-13T19:30:58Z</dcterms:created>
  <dcterms:modified xsi:type="dcterms:W3CDTF">2022-08-02T14:17:48Z</dcterms:modified>
</cp:coreProperties>
</file>