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1 Demandas\1.2 Multisetorial\2016\01_16 - Compara Regime Trib\"/>
    </mc:Choice>
  </mc:AlternateContent>
  <workbookProtection workbookPassword="A17A" lockStructure="1"/>
  <bookViews>
    <workbookView xWindow="0" yWindow="0" windowWidth="20490" windowHeight="7755" firstSheet="1" activeTab="1"/>
  </bookViews>
  <sheets>
    <sheet name="Grafico PF SIMPLES E LP" sheetId="20" state="hidden" r:id="rId1"/>
    <sheet name="Grafico PF LP Emp e LP Prof" sheetId="24" r:id="rId2"/>
    <sheet name="Dados" sheetId="15" state="hidden" r:id="rId3"/>
    <sheet name="Parâmetros" sheetId="1" state="hidden" r:id="rId4"/>
  </sheets>
  <definedNames>
    <definedName name="AE_LP">OFFSET(Dados!XEZ4,10,1,1,6)</definedName>
    <definedName name="Al_aIR">Parâmetros!$C$10</definedName>
    <definedName name="Al_Cofins">Parâmetros!$C$12</definedName>
    <definedName name="Al_CS">Parâmetros!$C$8</definedName>
    <definedName name="Al_IR">Parâmetros!$C$9</definedName>
    <definedName name="Al_Pis">Parâmetros!$C$11</definedName>
    <definedName name="BC_CS">Parâmetros!$C$5</definedName>
    <definedName name="BC_IR">Parâmetros!$C$6</definedName>
    <definedName name="FGTS">Parâmetros!$C$18</definedName>
    <definedName name="Int_Cofins">(OFFSET(Dados!$B$4,'Grafico PF SIMPLES E LP'!$C$3,4,1,1),OFFSET(Dados!$B$4,'Grafico PF SIMPLES E LP'!$C$3,14,1,1),OFFSET(Dados!$B$4,'Grafico PF SIMPLES E LP'!$C$3,21,1,1))</definedName>
    <definedName name="Int_Cofins_2">(OFFSET(Dados!$B$4,'Grafico PF SIMPLES E LP'!$S$3,4,1,1),OFFSET(Dados!$B$4,'Grafico PF SIMPLES E LP'!$S$3,14,1,1),OFFSET(Dados!$B$4,'Grafico PF SIMPLES E LP'!$S$3,21,1,1))</definedName>
    <definedName name="Int_Cofins_2_Prof">OFFSET(Dados!$B$4,'Grafico PF LP Emp e LP Prof'!$S$3,21,1,1),OFFSET(Dados!$B$4,'Grafico PF LP Emp e LP Prof'!$S$3,4,1,1),OFFSET(Dados!$B$4,'Grafico PF LP Emp e LP Prof'!$S$3,4,1,1)</definedName>
    <definedName name="Int_Cofins_Prof">OFFSET(Dados!$B$4,'Grafico PF LP Emp e LP Prof'!$C$3,21,1,1),OFFSET(Dados!$B$4,'Grafico PF LP Emp e LP Prof'!$C$3,4,1,1),OFFSET(Dados!$B$4,'Grafico PF LP Emp e LP Prof'!$C$3,4,1,1)</definedName>
    <definedName name="Int_CSLL">(OFFSET(Dados!$B$4,'Grafico PF SIMPLES E LP'!$C$3,2,1,1),OFFSET(Dados!$B$4,'Grafico PF SIMPLES E LP'!$C$3,12,1,1),OFFSET(Dados!$B$4,'Grafico PF SIMPLES E LP'!$C$3,19,1,1))</definedName>
    <definedName name="Int_CSLL_2">(OFFSET(Dados!$B$4,'Grafico PF SIMPLES E LP'!$S$3,2,1,1),OFFSET(Dados!$B$4,'Grafico PF SIMPLES E LP'!$S$3,12,1,1),OFFSET(Dados!$B$4,'Grafico PF SIMPLES E LP'!$S$3,19,1,1))</definedName>
    <definedName name="Int_CSLL_2_Prof">OFFSET(Dados!$B$4,'Grafico PF LP Emp e LP Prof'!$S$3,19,1,1),OFFSET(Dados!$B$4,'Grafico PF LP Emp e LP Prof'!$S$3,2,1,1),OFFSET(Dados!$B$4,'Grafico PF LP Emp e LP Prof'!$S$3,2,1,1)</definedName>
    <definedName name="Int_CSLL_Prof">OFFSET(Dados!$B$4,'Grafico PF LP Emp e LP Prof'!$C$3,19,1,1),OFFSET(Dados!$B$4,'Grafico PF LP Emp e LP Prof'!$C$3,2,1,1),OFFSET(Dados!$B$4,'Grafico PF LP Emp e LP Prof'!$C$3,2,1,1)</definedName>
    <definedName name="Int_IRPJ">(OFFSET(Dados!$B$4,'Grafico PF SIMPLES E LP'!$C$3,1,1,1),OFFSET(Dados!$B$4,'Grafico PF SIMPLES E LP'!$C$3,11,1,1),OFFSET(Dados!$B$4,'Grafico PF SIMPLES E LP'!$C$3,18,1,1))</definedName>
    <definedName name="Int_IRPJ_2">(OFFSET(Dados!$B$4,'Grafico PF SIMPLES E LP'!$S$3,1,1,1),OFFSET(Dados!$B$4,'Grafico PF SIMPLES E LP'!$S$3,11,1,1),OFFSET(Dados!$B$4,'Grafico PF SIMPLES E LP'!$S$3,18,1,1))</definedName>
    <definedName name="Int_IRPJ_2_Prof">OFFSET(Dados!$B$4,'Grafico PF LP Emp e LP Prof'!$S$3,18,1,1),OFFSET(Dados!$B$4,'Grafico PF LP Emp e LP Prof'!$S$3,1,1,1),OFFSET(Dados!$B$4,'Grafico PF LP Emp e LP Prof'!$S$3,1,1,1)</definedName>
    <definedName name="Int_IRPJ_Prof">OFFSET(Dados!$B$4,'Grafico PF LP Emp e LP Prof'!$C$3,18,1,1),OFFSET(Dados!$B$4,'Grafico PF LP Emp e LP Prof'!$C$3,1,1,1),OFFSET(Dados!$B$4,'Grafico PF LP Emp e LP Prof'!$C$3,1,1,1)</definedName>
    <definedName name="Int_ISS">(OFFSET(Dados!$B$4,'Grafico PF SIMPLES E LP'!$C$3,6,1,1),OFFSET(Dados!$B$4,'Grafico PF SIMPLES E LP'!$C$3,16,1,1),OFFSET(Dados!$B$4,'Grafico PF SIMPLES E LP'!$C$3,23,1,1))</definedName>
    <definedName name="Int_ISS_2">(OFFSET(Dados!$B$4,'Grafico PF SIMPLES E LP'!$S$3,6,1,1),OFFSET(Dados!$B$4,'Grafico PF SIMPLES E LP'!$S$3,16,1,1),OFFSET(Dados!$B$4,'Grafico PF SIMPLES E LP'!$S$3,23,1,1))</definedName>
    <definedName name="Int_ISS_2_Prof">OFFSET(Dados!$B$4,'Grafico PF LP Emp e LP Prof'!$S$3,23,1,1),OFFSET(Dados!$B$4,'Grafico PF LP Emp e LP Prof'!$S$3,6,1,1),OFFSET(Dados!$B$4,'Grafico PF LP Emp e LP Prof'!$S$3,6,1,1)</definedName>
    <definedName name="Int_ISS_Prof">OFFSET(Dados!$B$4,'Grafico PF LP Emp e LP Prof'!$C$3,23,1,1),OFFSET(Dados!$B$4,'Grafico PF LP Emp e LP Prof'!$C$3,6,1,1),OFFSET(Dados!$B$4,'Grafico PF LP Emp e LP Prof'!$C$3,6,1,1)</definedName>
    <definedName name="Int_PIS">(OFFSET(Dados!$B$4,'Grafico PF SIMPLES E LP'!$C$3,3,1,1),OFFSET(Dados!$B$4,'Grafico PF SIMPLES E LP'!$C$3,13,1,1),OFFSET(Dados!$B$4,'Grafico PF SIMPLES E LP'!$C$3,20,1,1))</definedName>
    <definedName name="Int_PIS_2">(OFFSET(Dados!$B$4,'Grafico PF SIMPLES E LP'!$S$3,3,1,1),OFFSET(Dados!$B$4,'Grafico PF SIMPLES E LP'!$S$3,13,1,1),OFFSET(Dados!$B$4,'Grafico PF SIMPLES E LP'!$S$3,20,1,1))</definedName>
    <definedName name="Int_PIS_2_Prof">OFFSET(Dados!$B$4,'Grafico PF LP Emp e LP Prof'!$S$3,20,1,1),OFFSET(Dados!$B$4,'Grafico PF LP Emp e LP Prof'!$S$3,3,1,1),OFFSET(Dados!$B$4,'Grafico PF LP Emp e LP Prof'!$S$3,3,1,1)</definedName>
    <definedName name="Int_PIS_Prof">OFFSET(Dados!$B$4,'Grafico PF LP Emp e LP Prof'!$C$3,20,1,1),OFFSET(Dados!$B$4,'Grafico PF LP Emp e LP Prof'!$C$3,3,1,1),OFFSET(Dados!$B$4,'Grafico PF LP Emp e LP Prof'!$C$3,3,1,1)</definedName>
    <definedName name="Int_Prev">(OFFSET(Dados!$B$4,'Grafico PF SIMPLES E LP'!$C$3,5,1,1),OFFSET(Dados!$B$4,'Grafico PF SIMPLES E LP'!$C$3,15,1,1),OFFSET(Dados!$B$4,'Grafico PF SIMPLES E LP'!$C$3,22,1,1))</definedName>
    <definedName name="Int_Prev_2">(OFFSET(Dados!$B$4,'Grafico PF SIMPLES E LP'!$S$3,5,1,1),OFFSET(Dados!$B$4,'Grafico PF SIMPLES E LP'!$S$3,15,1,1),OFFSET(Dados!$B$4,'Grafico PF SIMPLES E LP'!$S$3,22,1,1))</definedName>
    <definedName name="Int_Prev_2_Prof">OFFSET(Dados!$B$4,'Grafico PF LP Emp e LP Prof'!$S$3,22,1,1),OFFSET(Dados!$B$4,'Grafico PF LP Emp e LP Prof'!$S$3,9,1,1),OFFSET(Dados!$B$4,'Grafico PF LP Emp e LP Prof'!$S$3,5,1,1)</definedName>
    <definedName name="Int_Prev_Prof">OFFSET(Dados!$B$4,'Grafico PF LP Emp e LP Prof'!$C$3,22,1,1),OFFSET(Dados!$B$4,'Grafico PF LP Emp e LP Prof'!$C$3,9,1,1),OFFSET(Dados!$B$4,'Grafico PF LP Emp e LP Prof'!$C$3,5,1,1)</definedName>
    <definedName name="maior_sal_contrib">Parâmetros!$C$16</definedName>
    <definedName name="Sist_S_SAT">Parâmetros!$C$19</definedName>
  </definedNames>
  <calcPr calcId="152511"/>
</workbook>
</file>

<file path=xl/calcChain.xml><?xml version="1.0" encoding="utf-8"?>
<calcChain xmlns="http://schemas.openxmlformats.org/spreadsheetml/2006/main">
  <c r="R31" i="24" l="1"/>
  <c r="Q31" i="24"/>
  <c r="P31" i="24"/>
  <c r="O31" i="24"/>
  <c r="N31" i="24"/>
  <c r="S33" i="24"/>
  <c r="I33" i="24"/>
  <c r="R33" i="24"/>
  <c r="H33" i="24"/>
  <c r="Q33" i="24"/>
  <c r="G33" i="24"/>
  <c r="P33" i="24"/>
  <c r="F33" i="24"/>
  <c r="O33" i="24"/>
  <c r="E33" i="24"/>
  <c r="N33" i="24"/>
  <c r="D33" i="24"/>
  <c r="M33" i="24"/>
  <c r="C33" i="24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5" i="15"/>
  <c r="L106" i="15"/>
  <c r="L107" i="15"/>
  <c r="L108" i="15"/>
  <c r="L109" i="15"/>
  <c r="L110" i="15"/>
  <c r="L111" i="15"/>
  <c r="L112" i="15"/>
  <c r="L113" i="15"/>
  <c r="L114" i="15"/>
  <c r="L115" i="15"/>
  <c r="L116" i="15"/>
  <c r="L117" i="15"/>
  <c r="L118" i="15"/>
  <c r="L119" i="15"/>
  <c r="L120" i="15"/>
  <c r="L121" i="15"/>
  <c r="L122" i="15"/>
  <c r="L123" i="15"/>
  <c r="L124" i="15"/>
  <c r="L125" i="15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L139" i="15"/>
  <c r="L140" i="15"/>
  <c r="L141" i="15"/>
  <c r="L142" i="15"/>
  <c r="L143" i="15"/>
  <c r="L144" i="15"/>
  <c r="L145" i="15"/>
  <c r="L146" i="15"/>
  <c r="L147" i="15"/>
  <c r="L148" i="15"/>
  <c r="L149" i="15"/>
  <c r="L150" i="15"/>
  <c r="L151" i="15"/>
  <c r="L152" i="15"/>
  <c r="L153" i="15"/>
  <c r="L154" i="15"/>
  <c r="L155" i="15"/>
  <c r="L156" i="15"/>
  <c r="L157" i="15"/>
  <c r="L158" i="15"/>
  <c r="L159" i="15"/>
  <c r="L160" i="15"/>
  <c r="L161" i="15"/>
  <c r="L162" i="15"/>
  <c r="L163" i="15"/>
  <c r="L164" i="15"/>
  <c r="L165" i="15"/>
  <c r="L166" i="15"/>
  <c r="L167" i="15"/>
  <c r="L168" i="15"/>
  <c r="L169" i="15"/>
  <c r="L5" i="15"/>
  <c r="S32" i="24"/>
  <c r="I32" i="24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5" i="15"/>
  <c r="C20" i="1"/>
  <c r="S31" i="24" l="1"/>
  <c r="M31" i="24"/>
  <c r="H31" i="24"/>
  <c r="I31" i="24"/>
  <c r="G31" i="24"/>
  <c r="F31" i="24"/>
  <c r="E31" i="24"/>
  <c r="D31" i="24"/>
  <c r="C31" i="24"/>
  <c r="R32" i="24"/>
  <c r="H32" i="24"/>
  <c r="E111" i="1" l="1"/>
  <c r="E112" i="1"/>
  <c r="E113" i="1"/>
  <c r="E114" i="1"/>
  <c r="E115" i="1"/>
  <c r="E116" i="1"/>
  <c r="E117" i="1"/>
  <c r="E118" i="1"/>
  <c r="E119" i="1"/>
  <c r="E120" i="1"/>
  <c r="E121" i="1"/>
  <c r="E122" i="1"/>
  <c r="E110" i="1"/>
  <c r="L110" i="1"/>
  <c r="N110" i="1" s="1"/>
  <c r="L111" i="1"/>
  <c r="N111" i="1" s="1"/>
  <c r="L112" i="1"/>
  <c r="N112" i="1" s="1"/>
  <c r="L113" i="1"/>
  <c r="L114" i="1"/>
  <c r="L115" i="1"/>
  <c r="N115" i="1" s="1"/>
  <c r="L116" i="1"/>
  <c r="N116" i="1" s="1"/>
  <c r="L117" i="1"/>
  <c r="L118" i="1"/>
  <c r="L119" i="1"/>
  <c r="N119" i="1" s="1"/>
  <c r="L120" i="1"/>
  <c r="N120" i="1" s="1"/>
  <c r="L121" i="1"/>
  <c r="L122" i="1"/>
  <c r="L109" i="1"/>
  <c r="N109" i="1" s="1"/>
  <c r="K122" i="1"/>
  <c r="K121" i="1"/>
  <c r="M121" i="1" s="1"/>
  <c r="K120" i="1"/>
  <c r="K119" i="1"/>
  <c r="M119" i="1" s="1"/>
  <c r="O119" i="1" s="1"/>
  <c r="K118" i="1"/>
  <c r="K117" i="1"/>
  <c r="M117" i="1" s="1"/>
  <c r="K116" i="1"/>
  <c r="K115" i="1"/>
  <c r="M115" i="1" s="1"/>
  <c r="O115" i="1" s="1"/>
  <c r="K114" i="1"/>
  <c r="K113" i="1"/>
  <c r="M113" i="1" s="1"/>
  <c r="K112" i="1"/>
  <c r="K111" i="1"/>
  <c r="M111" i="1" s="1"/>
  <c r="O111" i="1" s="1"/>
  <c r="K110" i="1"/>
  <c r="K109" i="1"/>
  <c r="N122" i="1" l="1"/>
  <c r="N118" i="1"/>
  <c r="N114" i="1"/>
  <c r="O113" i="1"/>
  <c r="N121" i="1"/>
  <c r="O121" i="1" s="1"/>
  <c r="N117" i="1"/>
  <c r="O117" i="1" s="1"/>
  <c r="N113" i="1"/>
  <c r="M109" i="1"/>
  <c r="O109" i="1" s="1"/>
  <c r="K129" i="1"/>
  <c r="M112" i="1"/>
  <c r="O112" i="1" s="1"/>
  <c r="M116" i="1"/>
  <c r="O116" i="1" s="1"/>
  <c r="M120" i="1"/>
  <c r="O120" i="1" s="1"/>
  <c r="M110" i="1"/>
  <c r="O110" i="1" s="1"/>
  <c r="M114" i="1"/>
  <c r="O114" i="1" s="1"/>
  <c r="M118" i="1"/>
  <c r="M122" i="1"/>
  <c r="O122" i="1" s="1"/>
  <c r="O118" i="1" l="1"/>
  <c r="J129" i="1"/>
  <c r="J131" i="1" s="1"/>
  <c r="L129" i="1"/>
  <c r="M124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89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L60" i="1" s="1"/>
  <c r="J59" i="1"/>
  <c r="J58" i="1"/>
  <c r="J57" i="1"/>
  <c r="J56" i="1"/>
  <c r="J55" i="1"/>
  <c r="J54" i="1"/>
  <c r="J53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54" i="1"/>
  <c r="J11" i="15" l="1"/>
  <c r="J15" i="15"/>
  <c r="J19" i="15"/>
  <c r="J23" i="15"/>
  <c r="J27" i="15"/>
  <c r="J31" i="15"/>
  <c r="J35" i="15"/>
  <c r="J39" i="15"/>
  <c r="J43" i="15"/>
  <c r="J47" i="15"/>
  <c r="J51" i="15"/>
  <c r="J55" i="15"/>
  <c r="J59" i="15"/>
  <c r="J63" i="15"/>
  <c r="J67" i="15"/>
  <c r="J71" i="15"/>
  <c r="J75" i="15"/>
  <c r="J79" i="15"/>
  <c r="J83" i="15"/>
  <c r="J87" i="15"/>
  <c r="J91" i="15"/>
  <c r="J95" i="15"/>
  <c r="J99" i="15"/>
  <c r="J103" i="15"/>
  <c r="J107" i="15"/>
  <c r="J111" i="15"/>
  <c r="J115" i="15"/>
  <c r="J119" i="15"/>
  <c r="J123" i="15"/>
  <c r="J127" i="15"/>
  <c r="J131" i="15"/>
  <c r="J135" i="15"/>
  <c r="J139" i="15"/>
  <c r="J143" i="15"/>
  <c r="J147" i="15"/>
  <c r="J151" i="15"/>
  <c r="J155" i="15"/>
  <c r="J159" i="15"/>
  <c r="J163" i="15"/>
  <c r="J167" i="15"/>
  <c r="J7" i="15"/>
  <c r="J9" i="15"/>
  <c r="J13" i="15"/>
  <c r="J17" i="15"/>
  <c r="J21" i="15"/>
  <c r="J25" i="15"/>
  <c r="J29" i="15"/>
  <c r="J33" i="15"/>
  <c r="J37" i="15"/>
  <c r="J41" i="15"/>
  <c r="J45" i="15"/>
  <c r="J49" i="15"/>
  <c r="J53" i="15"/>
  <c r="J57" i="15"/>
  <c r="J61" i="15"/>
  <c r="J65" i="15"/>
  <c r="J69" i="15"/>
  <c r="J73" i="15"/>
  <c r="J77" i="15"/>
  <c r="J81" i="15"/>
  <c r="J85" i="15"/>
  <c r="J89" i="15"/>
  <c r="J93" i="15"/>
  <c r="J97" i="15"/>
  <c r="J101" i="15"/>
  <c r="J105" i="15"/>
  <c r="J109" i="15"/>
  <c r="J113" i="15"/>
  <c r="J117" i="15"/>
  <c r="J121" i="15"/>
  <c r="J125" i="15"/>
  <c r="J129" i="15"/>
  <c r="J133" i="15"/>
  <c r="J137" i="15"/>
  <c r="J141" i="15"/>
  <c r="J145" i="15"/>
  <c r="J149" i="15"/>
  <c r="J153" i="15"/>
  <c r="J157" i="15"/>
  <c r="J161" i="15"/>
  <c r="J165" i="15"/>
  <c r="J169" i="15"/>
  <c r="J12" i="15"/>
  <c r="J20" i="15"/>
  <c r="J28" i="15"/>
  <c r="J36" i="15"/>
  <c r="J44" i="15"/>
  <c r="J52" i="15"/>
  <c r="J60" i="15"/>
  <c r="J68" i="15"/>
  <c r="J76" i="15"/>
  <c r="J84" i="15"/>
  <c r="J92" i="15"/>
  <c r="J100" i="15"/>
  <c r="J108" i="15"/>
  <c r="J116" i="15"/>
  <c r="J124" i="15"/>
  <c r="J132" i="15"/>
  <c r="J140" i="15"/>
  <c r="J148" i="15"/>
  <c r="J156" i="15"/>
  <c r="J164" i="15"/>
  <c r="J5" i="15"/>
  <c r="J14" i="15"/>
  <c r="J22" i="15"/>
  <c r="J30" i="15"/>
  <c r="J38" i="15"/>
  <c r="J46" i="15"/>
  <c r="J54" i="15"/>
  <c r="J62" i="15"/>
  <c r="J70" i="15"/>
  <c r="J78" i="15"/>
  <c r="J86" i="15"/>
  <c r="J94" i="15"/>
  <c r="J102" i="15"/>
  <c r="J110" i="15"/>
  <c r="J118" i="15"/>
  <c r="J126" i="15"/>
  <c r="J134" i="15"/>
  <c r="J142" i="15"/>
  <c r="J150" i="15"/>
  <c r="J158" i="15"/>
  <c r="J166" i="15"/>
  <c r="J8" i="15"/>
  <c r="J16" i="15"/>
  <c r="J24" i="15"/>
  <c r="J32" i="15"/>
  <c r="J40" i="15"/>
  <c r="J48" i="15"/>
  <c r="J56" i="15"/>
  <c r="J64" i="15"/>
  <c r="J72" i="15"/>
  <c r="J80" i="15"/>
  <c r="J88" i="15"/>
  <c r="J96" i="15"/>
  <c r="J104" i="15"/>
  <c r="J112" i="15"/>
  <c r="J120" i="15"/>
  <c r="J128" i="15"/>
  <c r="J136" i="15"/>
  <c r="J144" i="15"/>
  <c r="J152" i="15"/>
  <c r="J160" i="15"/>
  <c r="J168" i="15"/>
  <c r="J10" i="15"/>
  <c r="J18" i="15"/>
  <c r="J26" i="15"/>
  <c r="J34" i="15"/>
  <c r="J42" i="15"/>
  <c r="J50" i="15"/>
  <c r="J58" i="15"/>
  <c r="J66" i="15"/>
  <c r="J74" i="15"/>
  <c r="J82" i="15"/>
  <c r="J90" i="15"/>
  <c r="J98" i="15"/>
  <c r="J106" i="15"/>
  <c r="J114" i="15"/>
  <c r="J122" i="15"/>
  <c r="J130" i="15"/>
  <c r="J138" i="15"/>
  <c r="J146" i="15"/>
  <c r="J154" i="15"/>
  <c r="J162" i="15"/>
  <c r="J6" i="15"/>
  <c r="J78" i="1"/>
  <c r="K65" i="1" s="1"/>
  <c r="K69" i="1"/>
  <c r="K63" i="1"/>
  <c r="K67" i="1"/>
  <c r="K71" i="1"/>
  <c r="K75" i="1"/>
  <c r="K72" i="1"/>
  <c r="K74" i="1"/>
  <c r="K62" i="1"/>
  <c r="K70" i="1"/>
  <c r="K64" i="1"/>
  <c r="K66" i="1"/>
  <c r="K68" i="1"/>
  <c r="K76" i="1"/>
  <c r="M60" i="1"/>
  <c r="K61" i="1" l="1"/>
  <c r="L61" i="1" s="1"/>
  <c r="L62" i="1" s="1"/>
  <c r="K73" i="1"/>
  <c r="M61" i="1"/>
  <c r="C32" i="24" l="1"/>
  <c r="M32" i="24"/>
  <c r="M62" i="1"/>
  <c r="L63" i="1"/>
  <c r="L64" i="1" l="1"/>
  <c r="M63" i="1"/>
  <c r="J44" i="1"/>
  <c r="J45" i="1"/>
  <c r="J46" i="1"/>
  <c r="J47" i="1"/>
  <c r="J48" i="1"/>
  <c r="J43" i="1"/>
  <c r="F44" i="1"/>
  <c r="G44" i="1"/>
  <c r="F45" i="1" s="1"/>
  <c r="G45" i="1" l="1"/>
  <c r="L65" i="1"/>
  <c r="M64" i="1"/>
  <c r="G46" i="1"/>
  <c r="F46" i="1"/>
  <c r="L66" i="1" l="1"/>
  <c r="M65" i="1"/>
  <c r="G47" i="1"/>
  <c r="F47" i="1"/>
  <c r="F37" i="1"/>
  <c r="F35" i="1"/>
  <c r="F36" i="1"/>
  <c r="F34" i="1"/>
  <c r="G8" i="1"/>
  <c r="G9" i="1" s="1"/>
  <c r="F8" i="1"/>
  <c r="B5" i="15"/>
  <c r="F5" i="15" l="1"/>
  <c r="AB5" i="15"/>
  <c r="T5" i="15" s="1"/>
  <c r="Q5" i="15"/>
  <c r="G5" i="15"/>
  <c r="L67" i="1"/>
  <c r="M66" i="1"/>
  <c r="F48" i="1"/>
  <c r="O5" i="15"/>
  <c r="X5" i="15"/>
  <c r="P5" i="15"/>
  <c r="N5" i="15"/>
  <c r="R5" i="15"/>
  <c r="M5" i="15"/>
  <c r="E5" i="15"/>
  <c r="F9" i="1"/>
  <c r="F10" i="1"/>
  <c r="G10" i="1"/>
  <c r="Z5" i="15" l="1"/>
  <c r="L68" i="1"/>
  <c r="M67" i="1"/>
  <c r="S5" i="15"/>
  <c r="G11" i="1"/>
  <c r="F11" i="1"/>
  <c r="L69" i="1" l="1"/>
  <c r="M68" i="1"/>
  <c r="G12" i="1"/>
  <c r="F12" i="1"/>
  <c r="L70" i="1" l="1"/>
  <c r="M69" i="1"/>
  <c r="G13" i="1"/>
  <c r="F13" i="1"/>
  <c r="L71" i="1" l="1"/>
  <c r="M70" i="1"/>
  <c r="G14" i="1"/>
  <c r="F14" i="1"/>
  <c r="L72" i="1" l="1"/>
  <c r="M71" i="1"/>
  <c r="G15" i="1"/>
  <c r="F15" i="1"/>
  <c r="L73" i="1" l="1"/>
  <c r="M72" i="1"/>
  <c r="G16" i="1"/>
  <c r="F16" i="1"/>
  <c r="L74" i="1" l="1"/>
  <c r="M73" i="1"/>
  <c r="G17" i="1"/>
  <c r="F17" i="1"/>
  <c r="L75" i="1" l="1"/>
  <c r="M74" i="1"/>
  <c r="G18" i="1"/>
  <c r="F18" i="1"/>
  <c r="AB160" i="15" l="1"/>
  <c r="AB155" i="15"/>
  <c r="AB159" i="15"/>
  <c r="AB161" i="15"/>
  <c r="AB156" i="15"/>
  <c r="AB152" i="15"/>
  <c r="AB153" i="15"/>
  <c r="AB157" i="15"/>
  <c r="AB154" i="15"/>
  <c r="AB158" i="15"/>
  <c r="L76" i="1"/>
  <c r="M76" i="1" s="1"/>
  <c r="M75" i="1"/>
  <c r="G19" i="1"/>
  <c r="F19" i="1"/>
  <c r="AB164" i="15" l="1"/>
  <c r="AB165" i="15"/>
  <c r="AB166" i="15"/>
  <c r="AB163" i="15"/>
  <c r="AB162" i="15"/>
  <c r="AB168" i="15"/>
  <c r="AB169" i="15"/>
  <c r="AB167" i="15"/>
  <c r="G20" i="1"/>
  <c r="F20" i="1"/>
  <c r="G21" i="1" l="1"/>
  <c r="F21" i="1"/>
  <c r="G22" i="1" l="1"/>
  <c r="F22" i="1"/>
  <c r="G23" i="1" l="1"/>
  <c r="F23" i="1"/>
  <c r="H5" i="15"/>
  <c r="D5" i="15"/>
  <c r="C5" i="15"/>
  <c r="B6" i="15"/>
  <c r="AB6" i="15" l="1"/>
  <c r="T6" i="15" s="1"/>
  <c r="G6" i="15"/>
  <c r="Q6" i="15"/>
  <c r="X6" i="15"/>
  <c r="I5" i="15"/>
  <c r="R6" i="15"/>
  <c r="N6" i="15"/>
  <c r="M6" i="15"/>
  <c r="F6" i="15"/>
  <c r="P6" i="15"/>
  <c r="O6" i="15"/>
  <c r="E6" i="15"/>
  <c r="G24" i="1"/>
  <c r="F24" i="1"/>
  <c r="H6" i="15"/>
  <c r="D6" i="15"/>
  <c r="C6" i="15"/>
  <c r="B7" i="15"/>
  <c r="Z6" i="15" l="1"/>
  <c r="AB7" i="15"/>
  <c r="Q7" i="15"/>
  <c r="G7" i="15"/>
  <c r="T7" i="15"/>
  <c r="X7" i="15"/>
  <c r="P7" i="15"/>
  <c r="R7" i="15"/>
  <c r="M7" i="15"/>
  <c r="O7" i="15"/>
  <c r="E7" i="15"/>
  <c r="N7" i="15"/>
  <c r="F7" i="15"/>
  <c r="S6" i="15"/>
  <c r="I6" i="15"/>
  <c r="G25" i="1"/>
  <c r="F25" i="1"/>
  <c r="H7" i="15"/>
  <c r="D7" i="15"/>
  <c r="C7" i="15"/>
  <c r="B8" i="15"/>
  <c r="AB8" i="15" l="1"/>
  <c r="T8" i="15" s="1"/>
  <c r="Q8" i="15"/>
  <c r="G8" i="15"/>
  <c r="X8" i="15"/>
  <c r="Z7" i="15"/>
  <c r="R8" i="15"/>
  <c r="N8" i="15"/>
  <c r="P8" i="15"/>
  <c r="E8" i="15"/>
  <c r="O8" i="15"/>
  <c r="F8" i="15"/>
  <c r="M8" i="15"/>
  <c r="S7" i="15"/>
  <c r="I7" i="15"/>
  <c r="G26" i="1"/>
  <c r="F26" i="1"/>
  <c r="H8" i="15"/>
  <c r="C8" i="15"/>
  <c r="D8" i="15"/>
  <c r="B9" i="15"/>
  <c r="Z8" i="15" l="1"/>
  <c r="AB9" i="15"/>
  <c r="T9" i="15" s="1"/>
  <c r="Q9" i="15"/>
  <c r="G9" i="15"/>
  <c r="X9" i="15"/>
  <c r="P9" i="15"/>
  <c r="F9" i="15"/>
  <c r="E9" i="15"/>
  <c r="O9" i="15"/>
  <c r="N9" i="15"/>
  <c r="R9" i="15"/>
  <c r="M9" i="15"/>
  <c r="S8" i="15"/>
  <c r="I8" i="15"/>
  <c r="H9" i="15"/>
  <c r="D9" i="15"/>
  <c r="C9" i="15"/>
  <c r="B10" i="15"/>
  <c r="AB10" i="15" l="1"/>
  <c r="T10" i="15" s="1"/>
  <c r="G10" i="15"/>
  <c r="Q10" i="15"/>
  <c r="X10" i="15"/>
  <c r="Z9" i="15"/>
  <c r="R10" i="15"/>
  <c r="N10" i="15"/>
  <c r="P10" i="15"/>
  <c r="E10" i="15"/>
  <c r="O10" i="15"/>
  <c r="F10" i="15"/>
  <c r="M10" i="15"/>
  <c r="S9" i="15"/>
  <c r="I9" i="15"/>
  <c r="H10" i="15"/>
  <c r="D10" i="15"/>
  <c r="C10" i="15"/>
  <c r="B11" i="15"/>
  <c r="Z10" i="15" l="1"/>
  <c r="AB11" i="15"/>
  <c r="Q11" i="15"/>
  <c r="G11" i="15"/>
  <c r="X11" i="15"/>
  <c r="T11" i="15"/>
  <c r="P11" i="15"/>
  <c r="O11" i="15"/>
  <c r="F11" i="15"/>
  <c r="N11" i="15"/>
  <c r="R11" i="15"/>
  <c r="M11" i="15"/>
  <c r="E11" i="15"/>
  <c r="S10" i="15"/>
  <c r="I10" i="15"/>
  <c r="H11" i="15"/>
  <c r="D11" i="15"/>
  <c r="C11" i="15"/>
  <c r="B12" i="15"/>
  <c r="AB12" i="15" l="1"/>
  <c r="T12" i="15" s="1"/>
  <c r="Q12" i="15"/>
  <c r="G12" i="15"/>
  <c r="X12" i="15"/>
  <c r="Z11" i="15"/>
  <c r="S11" i="15"/>
  <c r="R12" i="15"/>
  <c r="N12" i="15"/>
  <c r="O12" i="15"/>
  <c r="M12" i="15"/>
  <c r="E12" i="15"/>
  <c r="P12" i="15"/>
  <c r="F12" i="15"/>
  <c r="I11" i="15"/>
  <c r="H12" i="15"/>
  <c r="D12" i="15"/>
  <c r="C12" i="15"/>
  <c r="B13" i="15"/>
  <c r="Z12" i="15" l="1"/>
  <c r="AB13" i="15"/>
  <c r="T13" i="15" s="1"/>
  <c r="Q13" i="15"/>
  <c r="G13" i="15"/>
  <c r="X13" i="15"/>
  <c r="S12" i="15"/>
  <c r="P13" i="15"/>
  <c r="F13" i="15"/>
  <c r="E13" i="15"/>
  <c r="N13" i="15"/>
  <c r="R13" i="15"/>
  <c r="M13" i="15"/>
  <c r="O13" i="15"/>
  <c r="I12" i="15"/>
  <c r="H13" i="15"/>
  <c r="D13" i="15"/>
  <c r="C13" i="15"/>
  <c r="B14" i="15"/>
  <c r="AB14" i="15" l="1"/>
  <c r="T14" i="15" s="1"/>
  <c r="G14" i="15"/>
  <c r="Q14" i="15"/>
  <c r="X14" i="15"/>
  <c r="Z13" i="15"/>
  <c r="R14" i="15"/>
  <c r="N14" i="15"/>
  <c r="M14" i="15"/>
  <c r="E14" i="15"/>
  <c r="P14" i="15"/>
  <c r="F14" i="15"/>
  <c r="O14" i="15"/>
  <c r="S13" i="15"/>
  <c r="I13" i="15"/>
  <c r="H14" i="15"/>
  <c r="D14" i="15"/>
  <c r="C14" i="15"/>
  <c r="B15" i="15"/>
  <c r="Z14" i="15" l="1"/>
  <c r="AB15" i="15"/>
  <c r="T15" i="15" s="1"/>
  <c r="Q15" i="15"/>
  <c r="G15" i="15"/>
  <c r="X15" i="15"/>
  <c r="P15" i="15"/>
  <c r="R15" i="15"/>
  <c r="M15" i="15"/>
  <c r="E15" i="15"/>
  <c r="F15" i="15"/>
  <c r="O15" i="15"/>
  <c r="N15" i="15"/>
  <c r="S14" i="15"/>
  <c r="I14" i="15"/>
  <c r="D15" i="15"/>
  <c r="H15" i="15"/>
  <c r="C15" i="15"/>
  <c r="B16" i="15"/>
  <c r="AB16" i="15" l="1"/>
  <c r="T16" i="15" s="1"/>
  <c r="Q16" i="15"/>
  <c r="G16" i="15"/>
  <c r="X16" i="15"/>
  <c r="Z15" i="15"/>
  <c r="R16" i="15"/>
  <c r="N16" i="15"/>
  <c r="F16" i="15"/>
  <c r="P16" i="15"/>
  <c r="O16" i="15"/>
  <c r="M16" i="15"/>
  <c r="E16" i="15"/>
  <c r="S15" i="15"/>
  <c r="I15" i="15"/>
  <c r="H16" i="15"/>
  <c r="C16" i="15"/>
  <c r="D16" i="15"/>
  <c r="B17" i="15"/>
  <c r="Z16" i="15" l="1"/>
  <c r="AB17" i="15"/>
  <c r="T17" i="15" s="1"/>
  <c r="Q17" i="15"/>
  <c r="G17" i="15"/>
  <c r="X17" i="15"/>
  <c r="P17" i="15"/>
  <c r="F17" i="15"/>
  <c r="E17" i="15"/>
  <c r="O17" i="15"/>
  <c r="N17" i="15"/>
  <c r="R17" i="15"/>
  <c r="M17" i="15"/>
  <c r="S16" i="15"/>
  <c r="I16" i="15"/>
  <c r="H17" i="15"/>
  <c r="D17" i="15"/>
  <c r="C17" i="15"/>
  <c r="B18" i="15"/>
  <c r="AB18" i="15" l="1"/>
  <c r="T18" i="15" s="1"/>
  <c r="G18" i="15"/>
  <c r="Q18" i="15"/>
  <c r="X18" i="15"/>
  <c r="Z17" i="15"/>
  <c r="R18" i="15"/>
  <c r="N18" i="15"/>
  <c r="P18" i="15"/>
  <c r="O18" i="15"/>
  <c r="M18" i="15"/>
  <c r="E18" i="15"/>
  <c r="F18" i="15"/>
  <c r="S17" i="15"/>
  <c r="I17" i="15"/>
  <c r="H18" i="15"/>
  <c r="D18" i="15"/>
  <c r="C18" i="15"/>
  <c r="B19" i="15"/>
  <c r="Z18" i="15" l="1"/>
  <c r="AB19" i="15"/>
  <c r="Q19" i="15"/>
  <c r="G19" i="15"/>
  <c r="X19" i="15"/>
  <c r="T19" i="15"/>
  <c r="S18" i="15"/>
  <c r="P19" i="15"/>
  <c r="O19" i="15"/>
  <c r="N19" i="15"/>
  <c r="E19" i="15"/>
  <c r="R19" i="15"/>
  <c r="M19" i="15"/>
  <c r="F19" i="15"/>
  <c r="I18" i="15"/>
  <c r="H19" i="15"/>
  <c r="D19" i="15"/>
  <c r="C19" i="15"/>
  <c r="B20" i="15"/>
  <c r="AB20" i="15" l="1"/>
  <c r="T20" i="15" s="1"/>
  <c r="Q20" i="15"/>
  <c r="G20" i="15"/>
  <c r="X20" i="15"/>
  <c r="Z19" i="15"/>
  <c r="R20" i="15"/>
  <c r="N20" i="15"/>
  <c r="O20" i="15"/>
  <c r="E20" i="15"/>
  <c r="M20" i="15"/>
  <c r="F20" i="15"/>
  <c r="P20" i="15"/>
  <c r="S19" i="15"/>
  <c r="I19" i="15"/>
  <c r="H20" i="15"/>
  <c r="D20" i="15"/>
  <c r="C20" i="15"/>
  <c r="B21" i="15"/>
  <c r="Z20" i="15" l="1"/>
  <c r="AB21" i="15"/>
  <c r="T21" i="15" s="1"/>
  <c r="Q21" i="15"/>
  <c r="G21" i="15"/>
  <c r="X21" i="15"/>
  <c r="S20" i="15"/>
  <c r="P21" i="15"/>
  <c r="F21" i="15"/>
  <c r="E21" i="15"/>
  <c r="N21" i="15"/>
  <c r="R21" i="15"/>
  <c r="M21" i="15"/>
  <c r="O21" i="15"/>
  <c r="I20" i="15"/>
  <c r="H21" i="15"/>
  <c r="D21" i="15"/>
  <c r="C21" i="15"/>
  <c r="B22" i="15"/>
  <c r="AB22" i="15" l="1"/>
  <c r="T22" i="15" s="1"/>
  <c r="G22" i="15"/>
  <c r="Q22" i="15"/>
  <c r="X22" i="15"/>
  <c r="Z21" i="15"/>
  <c r="R22" i="15"/>
  <c r="N22" i="15"/>
  <c r="M22" i="15"/>
  <c r="F22" i="15"/>
  <c r="P22" i="15"/>
  <c r="O22" i="15"/>
  <c r="E22" i="15"/>
  <c r="S21" i="15"/>
  <c r="I21" i="15"/>
  <c r="H22" i="15"/>
  <c r="D22" i="15"/>
  <c r="C22" i="15"/>
  <c r="B23" i="15"/>
  <c r="Z22" i="15" l="1"/>
  <c r="AB23" i="15"/>
  <c r="T23" i="15" s="1"/>
  <c r="Q23" i="15"/>
  <c r="G23" i="15"/>
  <c r="X23" i="15"/>
  <c r="P23" i="15"/>
  <c r="R23" i="15"/>
  <c r="M23" i="15"/>
  <c r="O23" i="15"/>
  <c r="E23" i="15"/>
  <c r="N23" i="15"/>
  <c r="F23" i="15"/>
  <c r="S22" i="15"/>
  <c r="I22" i="15"/>
  <c r="H23" i="15"/>
  <c r="D23" i="15"/>
  <c r="C23" i="15"/>
  <c r="B24" i="15"/>
  <c r="AB24" i="15" l="1"/>
  <c r="T24" i="15" s="1"/>
  <c r="Q24" i="15"/>
  <c r="G24" i="15"/>
  <c r="X24" i="15"/>
  <c r="Z23" i="15"/>
  <c r="R24" i="15"/>
  <c r="N24" i="15"/>
  <c r="P24" i="15"/>
  <c r="E24" i="15"/>
  <c r="O24" i="15"/>
  <c r="F24" i="15"/>
  <c r="M24" i="15"/>
  <c r="S23" i="15"/>
  <c r="I23" i="15"/>
  <c r="H24" i="15"/>
  <c r="C24" i="15"/>
  <c r="D24" i="15"/>
  <c r="B25" i="15"/>
  <c r="Z24" i="15" l="1"/>
  <c r="AB25" i="15"/>
  <c r="T25" i="15" s="1"/>
  <c r="Q25" i="15"/>
  <c r="G25" i="15"/>
  <c r="X25" i="15"/>
  <c r="P25" i="15"/>
  <c r="F25" i="15"/>
  <c r="E25" i="15"/>
  <c r="O25" i="15"/>
  <c r="N25" i="15"/>
  <c r="R25" i="15"/>
  <c r="M25" i="15"/>
  <c r="S24" i="15"/>
  <c r="I24" i="15"/>
  <c r="H25" i="15"/>
  <c r="D25" i="15"/>
  <c r="C25" i="15"/>
  <c r="B26" i="15"/>
  <c r="Z25" i="15" l="1"/>
  <c r="G26" i="15"/>
  <c r="AB26" i="15"/>
  <c r="T26" i="15" s="1"/>
  <c r="Q26" i="15"/>
  <c r="X26" i="15"/>
  <c r="R26" i="15"/>
  <c r="N26" i="15"/>
  <c r="P26" i="15"/>
  <c r="E26" i="15"/>
  <c r="O26" i="15"/>
  <c r="F26" i="15"/>
  <c r="M26" i="15"/>
  <c r="S25" i="15"/>
  <c r="I25" i="15"/>
  <c r="H26" i="15"/>
  <c r="D26" i="15"/>
  <c r="C26" i="15"/>
  <c r="B27" i="15"/>
  <c r="Z26" i="15" l="1"/>
  <c r="AB27" i="15"/>
  <c r="Q27" i="15"/>
  <c r="G27" i="15"/>
  <c r="X27" i="15"/>
  <c r="T27" i="15"/>
  <c r="P27" i="15"/>
  <c r="O27" i="15"/>
  <c r="F27" i="15"/>
  <c r="N27" i="15"/>
  <c r="R27" i="15"/>
  <c r="M27" i="15"/>
  <c r="E27" i="15"/>
  <c r="S26" i="15"/>
  <c r="I26" i="15"/>
  <c r="H27" i="15"/>
  <c r="D27" i="15"/>
  <c r="C27" i="15"/>
  <c r="B28" i="15"/>
  <c r="Z27" i="15" l="1"/>
  <c r="Q28" i="15"/>
  <c r="AB28" i="15"/>
  <c r="T28" i="15" s="1"/>
  <c r="G28" i="15"/>
  <c r="X28" i="15"/>
  <c r="S27" i="15"/>
  <c r="P28" i="15"/>
  <c r="N28" i="15"/>
  <c r="O28" i="15"/>
  <c r="M28" i="15"/>
  <c r="R28" i="15"/>
  <c r="E28" i="15"/>
  <c r="F28" i="15"/>
  <c r="I27" i="15"/>
  <c r="H28" i="15"/>
  <c r="D28" i="15"/>
  <c r="C28" i="15"/>
  <c r="B29" i="15"/>
  <c r="Z28" i="15" l="1"/>
  <c r="Q29" i="15"/>
  <c r="G29" i="15"/>
  <c r="AB29" i="15"/>
  <c r="T29" i="15" s="1"/>
  <c r="X29" i="15"/>
  <c r="S28" i="15"/>
  <c r="R29" i="15"/>
  <c r="N29" i="15"/>
  <c r="M29" i="15"/>
  <c r="F29" i="15"/>
  <c r="E29" i="15"/>
  <c r="P29" i="15"/>
  <c r="O29" i="15"/>
  <c r="I28" i="15"/>
  <c r="H29" i="15"/>
  <c r="D29" i="15"/>
  <c r="C29" i="15"/>
  <c r="B30" i="15"/>
  <c r="Z29" i="15" l="1"/>
  <c r="G30" i="15"/>
  <c r="AB30" i="15"/>
  <c r="T30" i="15" s="1"/>
  <c r="Q30" i="15"/>
  <c r="X30" i="15"/>
  <c r="P30" i="15"/>
  <c r="R30" i="15"/>
  <c r="M30" i="15"/>
  <c r="O30" i="15"/>
  <c r="E30" i="15"/>
  <c r="N30" i="15"/>
  <c r="F30" i="15"/>
  <c r="S29" i="15"/>
  <c r="I29" i="15"/>
  <c r="H30" i="15"/>
  <c r="D30" i="15"/>
  <c r="C30" i="15"/>
  <c r="B31" i="15"/>
  <c r="AB31" i="15" l="1"/>
  <c r="T31" i="15" s="1"/>
  <c r="Q31" i="15"/>
  <c r="G31" i="15"/>
  <c r="X31" i="15"/>
  <c r="Z30" i="15"/>
  <c r="R31" i="15"/>
  <c r="N31" i="15"/>
  <c r="E31" i="15"/>
  <c r="P31" i="15"/>
  <c r="F31" i="15"/>
  <c r="O31" i="15"/>
  <c r="M31" i="15"/>
  <c r="S30" i="15"/>
  <c r="I30" i="15"/>
  <c r="D31" i="15"/>
  <c r="H31" i="15"/>
  <c r="C31" i="15"/>
  <c r="B32" i="15"/>
  <c r="Z31" i="15" l="1"/>
  <c r="AB32" i="15"/>
  <c r="T32" i="15" s="1"/>
  <c r="Q32" i="15"/>
  <c r="G32" i="15"/>
  <c r="X32" i="15"/>
  <c r="P32" i="15"/>
  <c r="M32" i="15"/>
  <c r="F32" i="15"/>
  <c r="R32" i="15"/>
  <c r="O32" i="15"/>
  <c r="N32" i="15"/>
  <c r="E32" i="15"/>
  <c r="S31" i="15"/>
  <c r="I31" i="15"/>
  <c r="C32" i="15"/>
  <c r="D32" i="15"/>
  <c r="H32" i="15"/>
  <c r="B33" i="15"/>
  <c r="AB33" i="15" l="1"/>
  <c r="T33" i="15" s="1"/>
  <c r="Q33" i="15"/>
  <c r="G33" i="15"/>
  <c r="X33" i="15"/>
  <c r="Z32" i="15"/>
  <c r="R33" i="15"/>
  <c r="N33" i="15"/>
  <c r="P33" i="15"/>
  <c r="F33" i="15"/>
  <c r="E33" i="15"/>
  <c r="M33" i="15"/>
  <c r="O33" i="15"/>
  <c r="S32" i="15"/>
  <c r="I32" i="15"/>
  <c r="H33" i="15"/>
  <c r="D33" i="15"/>
  <c r="C33" i="15"/>
  <c r="B34" i="15"/>
  <c r="Z33" i="15" l="1"/>
  <c r="AB34" i="15"/>
  <c r="T34" i="15" s="1"/>
  <c r="G34" i="15"/>
  <c r="Q34" i="15"/>
  <c r="X34" i="15"/>
  <c r="S33" i="15"/>
  <c r="P34" i="15"/>
  <c r="O34" i="15"/>
  <c r="N34" i="15"/>
  <c r="M34" i="15"/>
  <c r="R34" i="15"/>
  <c r="E34" i="15"/>
  <c r="F34" i="15"/>
  <c r="I33" i="15"/>
  <c r="H34" i="15"/>
  <c r="D34" i="15"/>
  <c r="C34" i="15"/>
  <c r="B35" i="15"/>
  <c r="AB35" i="15" l="1"/>
  <c r="Q35" i="15"/>
  <c r="G35" i="15"/>
  <c r="X35" i="15"/>
  <c r="T35" i="15"/>
  <c r="Z34" i="15"/>
  <c r="S34" i="15"/>
  <c r="R35" i="15"/>
  <c r="N35" i="15"/>
  <c r="O35" i="15"/>
  <c r="P35" i="15"/>
  <c r="M35" i="15"/>
  <c r="E35" i="15"/>
  <c r="F35" i="15"/>
  <c r="I34" i="15"/>
  <c r="H35" i="15"/>
  <c r="D35" i="15"/>
  <c r="C35" i="15"/>
  <c r="B36" i="15"/>
  <c r="Z35" i="15" l="1"/>
  <c r="Q36" i="15"/>
  <c r="G36" i="15"/>
  <c r="AB36" i="15"/>
  <c r="T36" i="15" s="1"/>
  <c r="X36" i="15"/>
  <c r="S35" i="15"/>
  <c r="P36" i="15"/>
  <c r="N36" i="15"/>
  <c r="E36" i="15"/>
  <c r="O36" i="15"/>
  <c r="F36" i="15"/>
  <c r="M36" i="15"/>
  <c r="R36" i="15"/>
  <c r="I35" i="15"/>
  <c r="H36" i="15"/>
  <c r="D36" i="15"/>
  <c r="C36" i="15"/>
  <c r="B37" i="15"/>
  <c r="Z36" i="15" l="1"/>
  <c r="Q37" i="15"/>
  <c r="G37" i="15"/>
  <c r="AB37" i="15"/>
  <c r="T37" i="15"/>
  <c r="X37" i="15"/>
  <c r="R37" i="15"/>
  <c r="N37" i="15"/>
  <c r="M37" i="15"/>
  <c r="F37" i="15"/>
  <c r="E37" i="15"/>
  <c r="P37" i="15"/>
  <c r="O37" i="15"/>
  <c r="S36" i="15"/>
  <c r="I36" i="15"/>
  <c r="H37" i="15"/>
  <c r="D37" i="15"/>
  <c r="C37" i="15"/>
  <c r="B38" i="15"/>
  <c r="G38" i="15" l="1"/>
  <c r="Q38" i="15"/>
  <c r="AB38" i="15"/>
  <c r="T38" i="15" s="1"/>
  <c r="X38" i="15"/>
  <c r="Z37" i="15"/>
  <c r="P38" i="15"/>
  <c r="R38" i="15"/>
  <c r="M38" i="15"/>
  <c r="F38" i="15"/>
  <c r="O38" i="15"/>
  <c r="N38" i="15"/>
  <c r="E38" i="15"/>
  <c r="S37" i="15"/>
  <c r="I37" i="15"/>
  <c r="H38" i="15"/>
  <c r="D38" i="15"/>
  <c r="C38" i="15"/>
  <c r="B39" i="15"/>
  <c r="Z38" i="15" l="1"/>
  <c r="Q39" i="15"/>
  <c r="G39" i="15"/>
  <c r="AB39" i="15"/>
  <c r="T39" i="15" s="1"/>
  <c r="X39" i="15"/>
  <c r="R39" i="15"/>
  <c r="N39" i="15"/>
  <c r="M39" i="15"/>
  <c r="P39" i="15"/>
  <c r="E39" i="15"/>
  <c r="O39" i="15"/>
  <c r="F39" i="15"/>
  <c r="S38" i="15"/>
  <c r="I38" i="15"/>
  <c r="H39" i="15"/>
  <c r="D39" i="15"/>
  <c r="C39" i="15"/>
  <c r="B40" i="15"/>
  <c r="Z39" i="15" l="1"/>
  <c r="Q40" i="15"/>
  <c r="G40" i="15"/>
  <c r="AB40" i="15"/>
  <c r="T40" i="15" s="1"/>
  <c r="X40" i="15"/>
  <c r="P40" i="15"/>
  <c r="N40" i="15"/>
  <c r="M40" i="15"/>
  <c r="E40" i="15"/>
  <c r="R40" i="15"/>
  <c r="F40" i="15"/>
  <c r="O40" i="15"/>
  <c r="S39" i="15"/>
  <c r="I39" i="15"/>
  <c r="C40" i="15"/>
  <c r="H40" i="15"/>
  <c r="D40" i="15"/>
  <c r="B41" i="15"/>
  <c r="B45" i="15"/>
  <c r="Q41" i="15" l="1"/>
  <c r="G41" i="15"/>
  <c r="AB41" i="15"/>
  <c r="T41" i="15" s="1"/>
  <c r="X41" i="15"/>
  <c r="Z40" i="15"/>
  <c r="Q45" i="15"/>
  <c r="G45" i="15"/>
  <c r="AB45" i="15"/>
  <c r="T45" i="15" s="1"/>
  <c r="X45" i="15"/>
  <c r="R45" i="15"/>
  <c r="N45" i="15"/>
  <c r="M45" i="15"/>
  <c r="F45" i="15"/>
  <c r="E45" i="15"/>
  <c r="P45" i="15"/>
  <c r="O45" i="15"/>
  <c r="R41" i="15"/>
  <c r="N41" i="15"/>
  <c r="P41" i="15"/>
  <c r="F41" i="15"/>
  <c r="E41" i="15"/>
  <c r="O41" i="15"/>
  <c r="M41" i="15"/>
  <c r="S40" i="15"/>
  <c r="I40" i="15"/>
  <c r="H45" i="15"/>
  <c r="D45" i="15"/>
  <c r="C45" i="15"/>
  <c r="H41" i="15"/>
  <c r="D41" i="15"/>
  <c r="C41" i="15"/>
  <c r="B46" i="15"/>
  <c r="B42" i="15"/>
  <c r="G42" i="15" l="1"/>
  <c r="Q42" i="15"/>
  <c r="AB42" i="15"/>
  <c r="T42" i="15" s="1"/>
  <c r="X42" i="15"/>
  <c r="G46" i="15"/>
  <c r="Q46" i="15"/>
  <c r="AB46" i="15"/>
  <c r="T46" i="15" s="1"/>
  <c r="X46" i="15"/>
  <c r="Z46" i="15" s="1"/>
  <c r="Z45" i="15"/>
  <c r="Z41" i="15"/>
  <c r="P42" i="15"/>
  <c r="O42" i="15"/>
  <c r="E42" i="15"/>
  <c r="N42" i="15"/>
  <c r="F42" i="15"/>
  <c r="M42" i="15"/>
  <c r="R42" i="15"/>
  <c r="P46" i="15"/>
  <c r="R46" i="15"/>
  <c r="M46" i="15"/>
  <c r="N46" i="15"/>
  <c r="E46" i="15"/>
  <c r="F46" i="15"/>
  <c r="O46" i="15"/>
  <c r="S41" i="15"/>
  <c r="S45" i="15"/>
  <c r="I41" i="15"/>
  <c r="I45" i="15"/>
  <c r="H46" i="15"/>
  <c r="D46" i="15"/>
  <c r="C46" i="15"/>
  <c r="H42" i="15"/>
  <c r="D42" i="15"/>
  <c r="C42" i="15"/>
  <c r="B43" i="15"/>
  <c r="B47" i="15"/>
  <c r="Q47" i="15" l="1"/>
  <c r="G47" i="15"/>
  <c r="X47" i="15"/>
  <c r="AB47" i="15"/>
  <c r="T47" i="15" s="1"/>
  <c r="Q43" i="15"/>
  <c r="G43" i="15"/>
  <c r="AB43" i="15"/>
  <c r="T43" i="15" s="1"/>
  <c r="X43" i="15"/>
  <c r="Z42" i="15"/>
  <c r="R43" i="15"/>
  <c r="N43" i="15"/>
  <c r="O43" i="15"/>
  <c r="F43" i="15"/>
  <c r="P43" i="15"/>
  <c r="M43" i="15"/>
  <c r="E43" i="15"/>
  <c r="R47" i="15"/>
  <c r="N47" i="15"/>
  <c r="O47" i="15"/>
  <c r="E47" i="15"/>
  <c r="M47" i="15"/>
  <c r="F47" i="15"/>
  <c r="P47" i="15"/>
  <c r="S46" i="15"/>
  <c r="S42" i="15"/>
  <c r="I42" i="15"/>
  <c r="I46" i="15"/>
  <c r="D47" i="15"/>
  <c r="H47" i="15"/>
  <c r="C47" i="15"/>
  <c r="H43" i="15"/>
  <c r="D43" i="15"/>
  <c r="C43" i="15"/>
  <c r="B44" i="15"/>
  <c r="B48" i="15"/>
  <c r="D32" i="24" l="1"/>
  <c r="N32" i="24"/>
  <c r="Z43" i="15"/>
  <c r="P32" i="24"/>
  <c r="F32" i="24"/>
  <c r="G32" i="24"/>
  <c r="Q32" i="24"/>
  <c r="O32" i="24"/>
  <c r="E32" i="24"/>
  <c r="Z47" i="15"/>
  <c r="Q48" i="15"/>
  <c r="G48" i="15"/>
  <c r="AB48" i="15"/>
  <c r="T48" i="15" s="1"/>
  <c r="X48" i="15"/>
  <c r="Q44" i="15"/>
  <c r="G44" i="15"/>
  <c r="AB44" i="15"/>
  <c r="T44" i="15" s="1"/>
  <c r="X44" i="15"/>
  <c r="H31" i="20"/>
  <c r="R31" i="20"/>
  <c r="D33" i="20"/>
  <c r="H32" i="20"/>
  <c r="R32" i="20"/>
  <c r="S47" i="15"/>
  <c r="P44" i="15"/>
  <c r="N44" i="15"/>
  <c r="R44" i="15"/>
  <c r="O44" i="15"/>
  <c r="E44" i="15"/>
  <c r="M44" i="15"/>
  <c r="F44" i="15"/>
  <c r="P48" i="15"/>
  <c r="O48" i="15"/>
  <c r="F48" i="15"/>
  <c r="N48" i="15"/>
  <c r="M48" i="15"/>
  <c r="R48" i="15"/>
  <c r="E48" i="15"/>
  <c r="S43" i="15"/>
  <c r="I43" i="15"/>
  <c r="I47" i="15"/>
  <c r="H48" i="15"/>
  <c r="C48" i="15"/>
  <c r="D48" i="15"/>
  <c r="H44" i="15"/>
  <c r="D44" i="15"/>
  <c r="C44" i="15"/>
  <c r="B49" i="15"/>
  <c r="S33" i="20" l="1"/>
  <c r="Z48" i="15"/>
  <c r="I33" i="20"/>
  <c r="Z44" i="15"/>
  <c r="Q49" i="15"/>
  <c r="G49" i="15"/>
  <c r="X49" i="15"/>
  <c r="AB49" i="15"/>
  <c r="T49" i="15" s="1"/>
  <c r="H33" i="20"/>
  <c r="R33" i="20"/>
  <c r="G33" i="20"/>
  <c r="Q33" i="20"/>
  <c r="P33" i="20"/>
  <c r="F33" i="20"/>
  <c r="E33" i="20"/>
  <c r="O33" i="20"/>
  <c r="N33" i="20"/>
  <c r="S48" i="15"/>
  <c r="R49" i="15"/>
  <c r="N49" i="15"/>
  <c r="P49" i="15"/>
  <c r="F49" i="15"/>
  <c r="E49" i="15"/>
  <c r="O49" i="15"/>
  <c r="M49" i="15"/>
  <c r="S44" i="15"/>
  <c r="I48" i="15"/>
  <c r="I44" i="15"/>
  <c r="H49" i="15"/>
  <c r="D49" i="15"/>
  <c r="C49" i="15"/>
  <c r="B50" i="15"/>
  <c r="Z49" i="15" l="1"/>
  <c r="G50" i="15"/>
  <c r="Q50" i="15"/>
  <c r="AB50" i="15"/>
  <c r="T50" i="15" s="1"/>
  <c r="X50" i="15"/>
  <c r="P50" i="15"/>
  <c r="O50" i="15"/>
  <c r="R50" i="15"/>
  <c r="N50" i="15"/>
  <c r="E50" i="15"/>
  <c r="M50" i="15"/>
  <c r="F50" i="15"/>
  <c r="S49" i="15"/>
  <c r="I49" i="15"/>
  <c r="H50" i="15"/>
  <c r="D50" i="15"/>
  <c r="C50" i="15"/>
  <c r="B51" i="15"/>
  <c r="Z50" i="15" l="1"/>
  <c r="Q51" i="15"/>
  <c r="G51" i="15"/>
  <c r="AB51" i="15"/>
  <c r="T51" i="15" s="1"/>
  <c r="Z51" i="15" s="1"/>
  <c r="X51" i="15"/>
  <c r="R51" i="15"/>
  <c r="N51" i="15"/>
  <c r="O51" i="15"/>
  <c r="E51" i="15"/>
  <c r="P51" i="15"/>
  <c r="F51" i="15"/>
  <c r="M51" i="15"/>
  <c r="S50" i="15"/>
  <c r="I50" i="15"/>
  <c r="H51" i="15"/>
  <c r="D51" i="15"/>
  <c r="C51" i="15"/>
  <c r="B52" i="15"/>
  <c r="Q52" i="15" l="1"/>
  <c r="G52" i="15"/>
  <c r="AB52" i="15"/>
  <c r="T52" i="15" s="1"/>
  <c r="X52" i="15"/>
  <c r="P52" i="15"/>
  <c r="N52" i="15"/>
  <c r="M52" i="15"/>
  <c r="E52" i="15"/>
  <c r="R52" i="15"/>
  <c r="F52" i="15"/>
  <c r="O52" i="15"/>
  <c r="S51" i="15"/>
  <c r="I51" i="15"/>
  <c r="H52" i="15"/>
  <c r="D52" i="15"/>
  <c r="C52" i="15"/>
  <c r="B53" i="15"/>
  <c r="Z52" i="15" l="1"/>
  <c r="Q53" i="15"/>
  <c r="G53" i="15"/>
  <c r="AB53" i="15"/>
  <c r="T53" i="15" s="1"/>
  <c r="X53" i="15"/>
  <c r="R53" i="15"/>
  <c r="N53" i="15"/>
  <c r="M53" i="15"/>
  <c r="F53" i="15"/>
  <c r="E53" i="15"/>
  <c r="O53" i="15"/>
  <c r="P53" i="15"/>
  <c r="S52" i="15"/>
  <c r="I52" i="15"/>
  <c r="H53" i="15"/>
  <c r="D53" i="15"/>
  <c r="C53" i="15"/>
  <c r="B54" i="15"/>
  <c r="Z53" i="15" l="1"/>
  <c r="G54" i="15"/>
  <c r="Q54" i="15"/>
  <c r="X54" i="15"/>
  <c r="AB54" i="15"/>
  <c r="T54" i="15" s="1"/>
  <c r="P54" i="15"/>
  <c r="R54" i="15"/>
  <c r="M54" i="15"/>
  <c r="O54" i="15"/>
  <c r="F54" i="15"/>
  <c r="N54" i="15"/>
  <c r="E54" i="15"/>
  <c r="S53" i="15"/>
  <c r="I53" i="15"/>
  <c r="H54" i="15"/>
  <c r="D54" i="15"/>
  <c r="C54" i="15"/>
  <c r="B55" i="15"/>
  <c r="Z54" i="15" l="1"/>
  <c r="Q55" i="15"/>
  <c r="G55" i="15"/>
  <c r="X55" i="15"/>
  <c r="AB55" i="15"/>
  <c r="T55" i="15" s="1"/>
  <c r="R55" i="15"/>
  <c r="N55" i="15"/>
  <c r="P55" i="15"/>
  <c r="O55" i="15"/>
  <c r="M55" i="15"/>
  <c r="E55" i="15"/>
  <c r="F55" i="15"/>
  <c r="S54" i="15"/>
  <c r="I54" i="15"/>
  <c r="H55" i="15"/>
  <c r="D55" i="15"/>
  <c r="C55" i="15"/>
  <c r="B56" i="15"/>
  <c r="Z55" i="15" l="1"/>
  <c r="Q56" i="15"/>
  <c r="G56" i="15"/>
  <c r="X56" i="15"/>
  <c r="AB56" i="15"/>
  <c r="T56" i="15" s="1"/>
  <c r="S55" i="15"/>
  <c r="P56" i="15"/>
  <c r="O56" i="15"/>
  <c r="R56" i="15"/>
  <c r="E56" i="15"/>
  <c r="N56" i="15"/>
  <c r="F56" i="15"/>
  <c r="M56" i="15"/>
  <c r="I55" i="15"/>
  <c r="H56" i="15"/>
  <c r="C56" i="15"/>
  <c r="D56" i="15"/>
  <c r="B57" i="15"/>
  <c r="Z56" i="15" l="1"/>
  <c r="Q57" i="15"/>
  <c r="G57" i="15"/>
  <c r="X57" i="15"/>
  <c r="AB57" i="15"/>
  <c r="T57" i="15" s="1"/>
  <c r="S56" i="15"/>
  <c r="R57" i="15"/>
  <c r="N57" i="15"/>
  <c r="P57" i="15"/>
  <c r="F57" i="15"/>
  <c r="E57" i="15"/>
  <c r="O57" i="15"/>
  <c r="M57" i="15"/>
  <c r="I56" i="15"/>
  <c r="H57" i="15"/>
  <c r="D57" i="15"/>
  <c r="C57" i="15"/>
  <c r="B58" i="15"/>
  <c r="Z57" i="15" l="1"/>
  <c r="G58" i="15"/>
  <c r="Q58" i="15"/>
  <c r="X58" i="15"/>
  <c r="AB58" i="15"/>
  <c r="T58" i="15" s="1"/>
  <c r="P58" i="15"/>
  <c r="O58" i="15"/>
  <c r="N58" i="15"/>
  <c r="R58" i="15"/>
  <c r="E58" i="15"/>
  <c r="F58" i="15"/>
  <c r="M58" i="15"/>
  <c r="S57" i="15"/>
  <c r="I57" i="15"/>
  <c r="H58" i="15"/>
  <c r="D58" i="15"/>
  <c r="C58" i="15"/>
  <c r="B59" i="15"/>
  <c r="Z58" i="15" l="1"/>
  <c r="Q59" i="15"/>
  <c r="G59" i="15"/>
  <c r="X59" i="15"/>
  <c r="AB59" i="15"/>
  <c r="T59" i="15" s="1"/>
  <c r="R59" i="15"/>
  <c r="I32" i="20" s="1"/>
  <c r="N59" i="15"/>
  <c r="E32" i="20" s="1"/>
  <c r="O59" i="15"/>
  <c r="F32" i="20" s="1"/>
  <c r="M59" i="15"/>
  <c r="D32" i="20" s="1"/>
  <c r="F59" i="15"/>
  <c r="G31" i="20" s="1"/>
  <c r="P59" i="15"/>
  <c r="G32" i="20" s="1"/>
  <c r="E59" i="15"/>
  <c r="F31" i="20" s="1"/>
  <c r="S58" i="15"/>
  <c r="I58" i="15"/>
  <c r="H59" i="15"/>
  <c r="I31" i="20" s="1"/>
  <c r="D59" i="15"/>
  <c r="E31" i="20" s="1"/>
  <c r="C59" i="15"/>
  <c r="B60" i="15"/>
  <c r="Z59" i="15" l="1"/>
  <c r="C33" i="20" s="1"/>
  <c r="Q60" i="15"/>
  <c r="G60" i="15"/>
  <c r="X60" i="15"/>
  <c r="AB60" i="15"/>
  <c r="T60" i="15" s="1"/>
  <c r="D31" i="20"/>
  <c r="P60" i="15"/>
  <c r="N60" i="15"/>
  <c r="R60" i="15"/>
  <c r="M60" i="15"/>
  <c r="O60" i="15"/>
  <c r="E60" i="15"/>
  <c r="F60" i="15"/>
  <c r="S59" i="15"/>
  <c r="C32" i="20" s="1"/>
  <c r="I59" i="15"/>
  <c r="C31" i="20" s="1"/>
  <c r="H60" i="15"/>
  <c r="D60" i="15"/>
  <c r="C60" i="15"/>
  <c r="B61" i="15"/>
  <c r="Q61" i="15" l="1"/>
  <c r="G61" i="15"/>
  <c r="X61" i="15"/>
  <c r="AB61" i="15"/>
  <c r="T61" i="15" s="1"/>
  <c r="Z60" i="15"/>
  <c r="R61" i="15"/>
  <c r="N61" i="15"/>
  <c r="M61" i="15"/>
  <c r="F61" i="15"/>
  <c r="E61" i="15"/>
  <c r="P61" i="15"/>
  <c r="O61" i="15"/>
  <c r="S60" i="15"/>
  <c r="I60" i="15"/>
  <c r="H61" i="15"/>
  <c r="D61" i="15"/>
  <c r="C61" i="15"/>
  <c r="B62" i="15"/>
  <c r="Z61" i="15" l="1"/>
  <c r="G62" i="15"/>
  <c r="Q62" i="15"/>
  <c r="X62" i="15"/>
  <c r="AB62" i="15"/>
  <c r="T62" i="15" s="1"/>
  <c r="P62" i="15"/>
  <c r="R62" i="15"/>
  <c r="M62" i="15"/>
  <c r="O62" i="15"/>
  <c r="N62" i="15"/>
  <c r="E62" i="15"/>
  <c r="F62" i="15"/>
  <c r="S61" i="15"/>
  <c r="I61" i="15"/>
  <c r="H62" i="15"/>
  <c r="D62" i="15"/>
  <c r="C62" i="15"/>
  <c r="B63" i="15"/>
  <c r="Z62" i="15" l="1"/>
  <c r="Q63" i="15"/>
  <c r="G63" i="15"/>
  <c r="X63" i="15"/>
  <c r="AB63" i="15"/>
  <c r="T63" i="15" s="1"/>
  <c r="R63" i="15"/>
  <c r="N63" i="15"/>
  <c r="P63" i="15"/>
  <c r="E63" i="15"/>
  <c r="F63" i="15"/>
  <c r="O63" i="15"/>
  <c r="M63" i="15"/>
  <c r="S62" i="15"/>
  <c r="I62" i="15"/>
  <c r="D63" i="15"/>
  <c r="H63" i="15"/>
  <c r="C63" i="15"/>
  <c r="B64" i="15"/>
  <c r="Z63" i="15" l="1"/>
  <c r="Q64" i="15"/>
  <c r="G64" i="15"/>
  <c r="X64" i="15"/>
  <c r="AB64" i="15"/>
  <c r="T64" i="15" s="1"/>
  <c r="P64" i="15"/>
  <c r="O64" i="15"/>
  <c r="N64" i="15"/>
  <c r="F64" i="15"/>
  <c r="M64" i="15"/>
  <c r="R64" i="15"/>
  <c r="E64" i="15"/>
  <c r="S63" i="15"/>
  <c r="I63" i="15"/>
  <c r="C64" i="15"/>
  <c r="H64" i="15"/>
  <c r="D64" i="15"/>
  <c r="B65" i="15"/>
  <c r="Z64" i="15" l="1"/>
  <c r="Q65" i="15"/>
  <c r="G65" i="15"/>
  <c r="X65" i="15"/>
  <c r="AB65" i="15"/>
  <c r="T65" i="15" s="1"/>
  <c r="S64" i="15"/>
  <c r="R65" i="15"/>
  <c r="N65" i="15"/>
  <c r="P65" i="15"/>
  <c r="F65" i="15"/>
  <c r="E65" i="15"/>
  <c r="O65" i="15"/>
  <c r="M65" i="15"/>
  <c r="I64" i="15"/>
  <c r="H65" i="15"/>
  <c r="D65" i="15"/>
  <c r="C65" i="15"/>
  <c r="B66" i="15"/>
  <c r="Z65" i="15" l="1"/>
  <c r="G66" i="15"/>
  <c r="Q66" i="15"/>
  <c r="X66" i="15"/>
  <c r="AB66" i="15"/>
  <c r="T66" i="15" s="1"/>
  <c r="S65" i="15"/>
  <c r="P66" i="15"/>
  <c r="O66" i="15"/>
  <c r="N66" i="15"/>
  <c r="M66" i="15"/>
  <c r="R66" i="15"/>
  <c r="E66" i="15"/>
  <c r="F66" i="15"/>
  <c r="I65" i="15"/>
  <c r="H66" i="15"/>
  <c r="D66" i="15"/>
  <c r="C66" i="15"/>
  <c r="B67" i="15"/>
  <c r="Z66" i="15" l="1"/>
  <c r="Q67" i="15"/>
  <c r="G67" i="15"/>
  <c r="X67" i="15"/>
  <c r="AB67" i="15"/>
  <c r="T67" i="15" s="1"/>
  <c r="R67" i="15"/>
  <c r="N67" i="15"/>
  <c r="O67" i="15"/>
  <c r="M67" i="15"/>
  <c r="P67" i="15"/>
  <c r="E67" i="15"/>
  <c r="F67" i="15"/>
  <c r="S66" i="15"/>
  <c r="I66" i="15"/>
  <c r="H67" i="15"/>
  <c r="D67" i="15"/>
  <c r="C67" i="15"/>
  <c r="B68" i="15"/>
  <c r="Z67" i="15" l="1"/>
  <c r="Q68" i="15"/>
  <c r="G68" i="15"/>
  <c r="X68" i="15"/>
  <c r="AB68" i="15"/>
  <c r="T68" i="15" s="1"/>
  <c r="P68" i="15"/>
  <c r="N68" i="15"/>
  <c r="R68" i="15"/>
  <c r="M68" i="15"/>
  <c r="E68" i="15"/>
  <c r="F68" i="15"/>
  <c r="O68" i="15"/>
  <c r="S67" i="15"/>
  <c r="I67" i="15"/>
  <c r="H68" i="15"/>
  <c r="D68" i="15"/>
  <c r="C68" i="15"/>
  <c r="B69" i="15"/>
  <c r="Z68" i="15" l="1"/>
  <c r="Q69" i="15"/>
  <c r="G69" i="15"/>
  <c r="X69" i="15"/>
  <c r="AB69" i="15"/>
  <c r="T69" i="15" s="1"/>
  <c r="R69" i="15"/>
  <c r="N69" i="15"/>
  <c r="M69" i="15"/>
  <c r="F69" i="15"/>
  <c r="E69" i="15"/>
  <c r="P69" i="15"/>
  <c r="O69" i="15"/>
  <c r="S68" i="15"/>
  <c r="I68" i="15"/>
  <c r="H69" i="15"/>
  <c r="D69" i="15"/>
  <c r="C69" i="15"/>
  <c r="B70" i="15"/>
  <c r="Z69" i="15" l="1"/>
  <c r="G70" i="15"/>
  <c r="Q70" i="15"/>
  <c r="X70" i="15"/>
  <c r="AB70" i="15"/>
  <c r="T70" i="15" s="1"/>
  <c r="P70" i="15"/>
  <c r="R70" i="15"/>
  <c r="M70" i="15"/>
  <c r="F70" i="15"/>
  <c r="O70" i="15"/>
  <c r="N70" i="15"/>
  <c r="E70" i="15"/>
  <c r="S69" i="15"/>
  <c r="I69" i="15"/>
  <c r="H70" i="15"/>
  <c r="D70" i="15"/>
  <c r="C70" i="15"/>
  <c r="B71" i="15"/>
  <c r="Z70" i="15" l="1"/>
  <c r="Q71" i="15"/>
  <c r="G71" i="15"/>
  <c r="X71" i="15"/>
  <c r="AB71" i="15"/>
  <c r="T71" i="15" s="1"/>
  <c r="R71" i="15"/>
  <c r="N71" i="15"/>
  <c r="P71" i="15"/>
  <c r="O71" i="15"/>
  <c r="M71" i="15"/>
  <c r="E71" i="15"/>
  <c r="F71" i="15"/>
  <c r="S70" i="15"/>
  <c r="I70" i="15"/>
  <c r="H71" i="15"/>
  <c r="D71" i="15"/>
  <c r="C71" i="15"/>
  <c r="B72" i="15"/>
  <c r="Z71" i="15" l="1"/>
  <c r="Q72" i="15"/>
  <c r="G72" i="15"/>
  <c r="X72" i="15"/>
  <c r="AB72" i="15"/>
  <c r="T72" i="15" s="1"/>
  <c r="S71" i="15"/>
  <c r="P72" i="15"/>
  <c r="O72" i="15"/>
  <c r="R72" i="15"/>
  <c r="E72" i="15"/>
  <c r="N72" i="15"/>
  <c r="F72" i="15"/>
  <c r="M72" i="15"/>
  <c r="I71" i="15"/>
  <c r="H72" i="15"/>
  <c r="C72" i="15"/>
  <c r="D72" i="15"/>
  <c r="B73" i="15"/>
  <c r="Z72" i="15" l="1"/>
  <c r="Q73" i="15"/>
  <c r="G73" i="15"/>
  <c r="X73" i="15"/>
  <c r="AB73" i="15"/>
  <c r="T73" i="15" s="1"/>
  <c r="S72" i="15"/>
  <c r="R73" i="15"/>
  <c r="N73" i="15"/>
  <c r="P73" i="15"/>
  <c r="F73" i="15"/>
  <c r="E73" i="15"/>
  <c r="O73" i="15"/>
  <c r="M73" i="15"/>
  <c r="I72" i="15"/>
  <c r="H73" i="15"/>
  <c r="D73" i="15"/>
  <c r="C73" i="15"/>
  <c r="B74" i="15"/>
  <c r="Z73" i="15" l="1"/>
  <c r="G74" i="15"/>
  <c r="Q74" i="15"/>
  <c r="X74" i="15"/>
  <c r="AB74" i="15"/>
  <c r="T74" i="15" s="1"/>
  <c r="P74" i="15"/>
  <c r="O74" i="15"/>
  <c r="N74" i="15"/>
  <c r="R74" i="15"/>
  <c r="E74" i="15"/>
  <c r="F74" i="15"/>
  <c r="M74" i="15"/>
  <c r="S73" i="15"/>
  <c r="I73" i="15"/>
  <c r="H74" i="15"/>
  <c r="D74" i="15"/>
  <c r="C74" i="15"/>
  <c r="B75" i="15"/>
  <c r="Z74" i="15" l="1"/>
  <c r="Q75" i="15"/>
  <c r="G75" i="15"/>
  <c r="X75" i="15"/>
  <c r="AB75" i="15"/>
  <c r="T75" i="15" s="1"/>
  <c r="R75" i="15"/>
  <c r="N75" i="15"/>
  <c r="O75" i="15"/>
  <c r="M75" i="15"/>
  <c r="F75" i="15"/>
  <c r="P75" i="15"/>
  <c r="E75" i="15"/>
  <c r="S74" i="15"/>
  <c r="I74" i="15"/>
  <c r="H75" i="15"/>
  <c r="D75" i="15"/>
  <c r="C75" i="15"/>
  <c r="B76" i="15"/>
  <c r="Z75" i="15" l="1"/>
  <c r="Q76" i="15"/>
  <c r="G76" i="15"/>
  <c r="X76" i="15"/>
  <c r="AB76" i="15"/>
  <c r="T76" i="15" s="1"/>
  <c r="P76" i="15"/>
  <c r="N76" i="15"/>
  <c r="R76" i="15"/>
  <c r="M76" i="15"/>
  <c r="O76" i="15"/>
  <c r="E76" i="15"/>
  <c r="F76" i="15"/>
  <c r="S75" i="15"/>
  <c r="I75" i="15"/>
  <c r="H76" i="15"/>
  <c r="D76" i="15"/>
  <c r="C76" i="15"/>
  <c r="B77" i="15"/>
  <c r="Z76" i="15" l="1"/>
  <c r="Q77" i="15"/>
  <c r="G77" i="15"/>
  <c r="X77" i="15"/>
  <c r="AB77" i="15"/>
  <c r="T77" i="15" s="1"/>
  <c r="R77" i="15"/>
  <c r="N77" i="15"/>
  <c r="M77" i="15"/>
  <c r="F77" i="15"/>
  <c r="E77" i="15"/>
  <c r="P77" i="15"/>
  <c r="O77" i="15"/>
  <c r="S76" i="15"/>
  <c r="I76" i="15"/>
  <c r="H77" i="15"/>
  <c r="D77" i="15"/>
  <c r="C77" i="15"/>
  <c r="B78" i="15"/>
  <c r="Z77" i="15" l="1"/>
  <c r="G78" i="15"/>
  <c r="Q78" i="15"/>
  <c r="X78" i="15"/>
  <c r="AB78" i="15"/>
  <c r="T78" i="15" s="1"/>
  <c r="P78" i="15"/>
  <c r="R78" i="15"/>
  <c r="M78" i="15"/>
  <c r="O78" i="15"/>
  <c r="N78" i="15"/>
  <c r="E78" i="15"/>
  <c r="F78" i="15"/>
  <c r="S77" i="15"/>
  <c r="I77" i="15"/>
  <c r="H78" i="15"/>
  <c r="D78" i="15"/>
  <c r="C78" i="15"/>
  <c r="B79" i="15"/>
  <c r="Z78" i="15" l="1"/>
  <c r="Q79" i="15"/>
  <c r="G79" i="15"/>
  <c r="X79" i="15"/>
  <c r="AB79" i="15"/>
  <c r="T79" i="15" s="1"/>
  <c r="R79" i="15"/>
  <c r="S32" i="20" s="1"/>
  <c r="N79" i="15"/>
  <c r="O32" i="20" s="1"/>
  <c r="P79" i="15"/>
  <c r="Q32" i="20" s="1"/>
  <c r="E79" i="15"/>
  <c r="P31" i="20" s="1"/>
  <c r="F79" i="15"/>
  <c r="Q31" i="20" s="1"/>
  <c r="O79" i="15"/>
  <c r="P32" i="20" s="1"/>
  <c r="M79" i="15"/>
  <c r="N32" i="20" s="1"/>
  <c r="S78" i="15"/>
  <c r="I78" i="15"/>
  <c r="D79" i="15"/>
  <c r="O31" i="20" s="1"/>
  <c r="H79" i="15"/>
  <c r="S31" i="20" s="1"/>
  <c r="C79" i="15"/>
  <c r="B80" i="15"/>
  <c r="Z79" i="15" l="1"/>
  <c r="M33" i="20" s="1"/>
  <c r="Q80" i="15"/>
  <c r="G80" i="15"/>
  <c r="X80" i="15"/>
  <c r="AB80" i="15"/>
  <c r="T80" i="15" s="1"/>
  <c r="N31" i="20"/>
  <c r="P80" i="15"/>
  <c r="O80" i="15"/>
  <c r="N80" i="15"/>
  <c r="F80" i="15"/>
  <c r="M80" i="15"/>
  <c r="R80" i="15"/>
  <c r="E80" i="15"/>
  <c r="S79" i="15"/>
  <c r="M32" i="20" s="1"/>
  <c r="I79" i="15"/>
  <c r="M31" i="20" s="1"/>
  <c r="H80" i="15"/>
  <c r="C80" i="15"/>
  <c r="D80" i="15"/>
  <c r="B81" i="15"/>
  <c r="Z80" i="15" l="1"/>
  <c r="Q81" i="15"/>
  <c r="G81" i="15"/>
  <c r="X81" i="15"/>
  <c r="AB81" i="15"/>
  <c r="T81" i="15" s="1"/>
  <c r="S80" i="15"/>
  <c r="R81" i="15"/>
  <c r="N81" i="15"/>
  <c r="P81" i="15"/>
  <c r="F81" i="15"/>
  <c r="E81" i="15"/>
  <c r="O81" i="15"/>
  <c r="M81" i="15"/>
  <c r="I80" i="15"/>
  <c r="H81" i="15"/>
  <c r="D81" i="15"/>
  <c r="C81" i="15"/>
  <c r="B82" i="15"/>
  <c r="Z81" i="15" l="1"/>
  <c r="G82" i="15"/>
  <c r="Q82" i="15"/>
  <c r="X82" i="15"/>
  <c r="AB82" i="15"/>
  <c r="T82" i="15" s="1"/>
  <c r="S81" i="15"/>
  <c r="P82" i="15"/>
  <c r="O82" i="15"/>
  <c r="N82" i="15"/>
  <c r="M82" i="15"/>
  <c r="R82" i="15"/>
  <c r="E82" i="15"/>
  <c r="F82" i="15"/>
  <c r="I81" i="15"/>
  <c r="H82" i="15"/>
  <c r="D82" i="15"/>
  <c r="C82" i="15"/>
  <c r="B83" i="15"/>
  <c r="Z82" i="15" l="1"/>
  <c r="Q83" i="15"/>
  <c r="G83" i="15"/>
  <c r="X83" i="15"/>
  <c r="AB83" i="15"/>
  <c r="T83" i="15" s="1"/>
  <c r="S82" i="15"/>
  <c r="R83" i="15"/>
  <c r="N83" i="15"/>
  <c r="O83" i="15"/>
  <c r="M83" i="15"/>
  <c r="P83" i="15"/>
  <c r="E83" i="15"/>
  <c r="F83" i="15"/>
  <c r="I82" i="15"/>
  <c r="H83" i="15"/>
  <c r="D83" i="15"/>
  <c r="C83" i="15"/>
  <c r="B84" i="15"/>
  <c r="Z83" i="15" l="1"/>
  <c r="Q84" i="15"/>
  <c r="G84" i="15"/>
  <c r="X84" i="15"/>
  <c r="AB84" i="15"/>
  <c r="T84" i="15" s="1"/>
  <c r="S83" i="15"/>
  <c r="P84" i="15"/>
  <c r="N84" i="15"/>
  <c r="R84" i="15"/>
  <c r="M84" i="15"/>
  <c r="E84" i="15"/>
  <c r="F84" i="15"/>
  <c r="O84" i="15"/>
  <c r="I83" i="15"/>
  <c r="H84" i="15"/>
  <c r="D84" i="15"/>
  <c r="C84" i="15"/>
  <c r="B85" i="15"/>
  <c r="Z84" i="15" l="1"/>
  <c r="Q85" i="15"/>
  <c r="G85" i="15"/>
  <c r="X85" i="15"/>
  <c r="AB85" i="15"/>
  <c r="T85" i="15" s="1"/>
  <c r="S84" i="15"/>
  <c r="R85" i="15"/>
  <c r="N85" i="15"/>
  <c r="M85" i="15"/>
  <c r="F85" i="15"/>
  <c r="E85" i="15"/>
  <c r="P85" i="15"/>
  <c r="O85" i="15"/>
  <c r="I84" i="15"/>
  <c r="H85" i="15"/>
  <c r="D85" i="15"/>
  <c r="C85" i="15"/>
  <c r="B86" i="15"/>
  <c r="Z85" i="15" l="1"/>
  <c r="G86" i="15"/>
  <c r="Q86" i="15"/>
  <c r="X86" i="15"/>
  <c r="AB86" i="15"/>
  <c r="T86" i="15" s="1"/>
  <c r="P86" i="15"/>
  <c r="R86" i="15"/>
  <c r="M86" i="15"/>
  <c r="F86" i="15"/>
  <c r="O86" i="15"/>
  <c r="N86" i="15"/>
  <c r="E86" i="15"/>
  <c r="S85" i="15"/>
  <c r="I85" i="15"/>
  <c r="H86" i="15"/>
  <c r="D86" i="15"/>
  <c r="C86" i="15"/>
  <c r="B87" i="15"/>
  <c r="Z86" i="15" l="1"/>
  <c r="Q87" i="15"/>
  <c r="G87" i="15"/>
  <c r="X87" i="15"/>
  <c r="AB87" i="15"/>
  <c r="T87" i="15" s="1"/>
  <c r="R87" i="15"/>
  <c r="N87" i="15"/>
  <c r="P87" i="15"/>
  <c r="O87" i="15"/>
  <c r="M87" i="15"/>
  <c r="E87" i="15"/>
  <c r="F87" i="15"/>
  <c r="S86" i="15"/>
  <c r="I86" i="15"/>
  <c r="H87" i="15"/>
  <c r="D87" i="15"/>
  <c r="C87" i="15"/>
  <c r="B88" i="15"/>
  <c r="Z87" i="15" l="1"/>
  <c r="Q88" i="15"/>
  <c r="G88" i="15"/>
  <c r="X88" i="15"/>
  <c r="AB88" i="15"/>
  <c r="T88" i="15" s="1"/>
  <c r="S87" i="15"/>
  <c r="P88" i="15"/>
  <c r="O88" i="15"/>
  <c r="R88" i="15"/>
  <c r="E88" i="15"/>
  <c r="N88" i="15"/>
  <c r="F88" i="15"/>
  <c r="M88" i="15"/>
  <c r="I87" i="15"/>
  <c r="H88" i="15"/>
  <c r="C88" i="15"/>
  <c r="D88" i="15"/>
  <c r="B89" i="15"/>
  <c r="Z88" i="15" l="1"/>
  <c r="Q89" i="15"/>
  <c r="G89" i="15"/>
  <c r="X89" i="15"/>
  <c r="AB89" i="15"/>
  <c r="T89" i="15" s="1"/>
  <c r="R89" i="15"/>
  <c r="N89" i="15"/>
  <c r="P89" i="15"/>
  <c r="F89" i="15"/>
  <c r="E89" i="15"/>
  <c r="O89" i="15"/>
  <c r="M89" i="15"/>
  <c r="S88" i="15"/>
  <c r="I88" i="15"/>
  <c r="H89" i="15"/>
  <c r="D89" i="15"/>
  <c r="C89" i="15"/>
  <c r="B90" i="15"/>
  <c r="Z89" i="15" l="1"/>
  <c r="G90" i="15"/>
  <c r="Q90" i="15"/>
  <c r="X90" i="15"/>
  <c r="AB90" i="15"/>
  <c r="T90" i="15" s="1"/>
  <c r="P90" i="15"/>
  <c r="O90" i="15"/>
  <c r="N90" i="15"/>
  <c r="R90" i="15"/>
  <c r="E90" i="15"/>
  <c r="F90" i="15"/>
  <c r="M90" i="15"/>
  <c r="S89" i="15"/>
  <c r="I89" i="15"/>
  <c r="H90" i="15"/>
  <c r="D90" i="15"/>
  <c r="C90" i="15"/>
  <c r="B91" i="15"/>
  <c r="Z90" i="15" l="1"/>
  <c r="Q91" i="15"/>
  <c r="G91" i="15"/>
  <c r="X91" i="15"/>
  <c r="AB91" i="15"/>
  <c r="T91" i="15" s="1"/>
  <c r="R91" i="15"/>
  <c r="N91" i="15"/>
  <c r="O91" i="15"/>
  <c r="M91" i="15"/>
  <c r="F91" i="15"/>
  <c r="P91" i="15"/>
  <c r="E91" i="15"/>
  <c r="S90" i="15"/>
  <c r="I90" i="15"/>
  <c r="H91" i="15"/>
  <c r="D91" i="15"/>
  <c r="C91" i="15"/>
  <c r="B92" i="15"/>
  <c r="Z91" i="15" l="1"/>
  <c r="Q92" i="15"/>
  <c r="G92" i="15"/>
  <c r="X92" i="15"/>
  <c r="AB92" i="15"/>
  <c r="T92" i="15" s="1"/>
  <c r="P92" i="15"/>
  <c r="N92" i="15"/>
  <c r="R92" i="15"/>
  <c r="M92" i="15"/>
  <c r="O92" i="15"/>
  <c r="E92" i="15"/>
  <c r="F92" i="15"/>
  <c r="S91" i="15"/>
  <c r="I91" i="15"/>
  <c r="H92" i="15"/>
  <c r="D92" i="15"/>
  <c r="C92" i="15"/>
  <c r="B93" i="15"/>
  <c r="Z92" i="15" l="1"/>
  <c r="Q93" i="15"/>
  <c r="G93" i="15"/>
  <c r="X93" i="15"/>
  <c r="AB93" i="15"/>
  <c r="T93" i="15" s="1"/>
  <c r="Z93" i="15" s="1"/>
  <c r="R93" i="15"/>
  <c r="N93" i="15"/>
  <c r="M93" i="15"/>
  <c r="F93" i="15"/>
  <c r="E93" i="15"/>
  <c r="P93" i="15"/>
  <c r="O93" i="15"/>
  <c r="S92" i="15"/>
  <c r="I92" i="15"/>
  <c r="H93" i="15"/>
  <c r="D93" i="15"/>
  <c r="C93" i="15"/>
  <c r="B94" i="15"/>
  <c r="G94" i="15" l="1"/>
  <c r="Q94" i="15"/>
  <c r="X94" i="15"/>
  <c r="AB94" i="15"/>
  <c r="T94" i="15" s="1"/>
  <c r="P94" i="15"/>
  <c r="R94" i="15"/>
  <c r="M94" i="15"/>
  <c r="O94" i="15"/>
  <c r="N94" i="15"/>
  <c r="E94" i="15"/>
  <c r="F94" i="15"/>
  <c r="S93" i="15"/>
  <c r="I93" i="15"/>
  <c r="H94" i="15"/>
  <c r="D94" i="15"/>
  <c r="C94" i="15"/>
  <c r="B95" i="15"/>
  <c r="Z94" i="15" l="1"/>
  <c r="Q95" i="15"/>
  <c r="G95" i="15"/>
  <c r="X95" i="15"/>
  <c r="AB95" i="15"/>
  <c r="T95" i="15" s="1"/>
  <c r="Z95" i="15" s="1"/>
  <c r="R95" i="15"/>
  <c r="N95" i="15"/>
  <c r="P95" i="15"/>
  <c r="E95" i="15"/>
  <c r="F95" i="15"/>
  <c r="O95" i="15"/>
  <c r="M95" i="15"/>
  <c r="S94" i="15"/>
  <c r="I94" i="15"/>
  <c r="D95" i="15"/>
  <c r="H95" i="15"/>
  <c r="C95" i="15"/>
  <c r="B96" i="15"/>
  <c r="Q96" i="15" l="1"/>
  <c r="G96" i="15"/>
  <c r="X96" i="15"/>
  <c r="AB96" i="15"/>
  <c r="T96" i="15" s="1"/>
  <c r="P96" i="15"/>
  <c r="O96" i="15"/>
  <c r="N96" i="15"/>
  <c r="F96" i="15"/>
  <c r="M96" i="15"/>
  <c r="R96" i="15"/>
  <c r="E96" i="15"/>
  <c r="S95" i="15"/>
  <c r="I95" i="15"/>
  <c r="C96" i="15"/>
  <c r="H96" i="15"/>
  <c r="D96" i="15"/>
  <c r="B97" i="15"/>
  <c r="Z96" i="15" l="1"/>
  <c r="Q97" i="15"/>
  <c r="G97" i="15"/>
  <c r="X97" i="15"/>
  <c r="AB97" i="15"/>
  <c r="T97" i="15" s="1"/>
  <c r="Z97" i="15" s="1"/>
  <c r="S96" i="15"/>
  <c r="R97" i="15"/>
  <c r="N97" i="15"/>
  <c r="P97" i="15"/>
  <c r="F97" i="15"/>
  <c r="E97" i="15"/>
  <c r="O97" i="15"/>
  <c r="M97" i="15"/>
  <c r="I96" i="15"/>
  <c r="H97" i="15"/>
  <c r="D97" i="15"/>
  <c r="C97" i="15"/>
  <c r="B98" i="15"/>
  <c r="G98" i="15" l="1"/>
  <c r="Q98" i="15"/>
  <c r="X98" i="15"/>
  <c r="AB98" i="15"/>
  <c r="T98" i="15" s="1"/>
  <c r="S97" i="15"/>
  <c r="P98" i="15"/>
  <c r="O98" i="15"/>
  <c r="N98" i="15"/>
  <c r="M98" i="15"/>
  <c r="R98" i="15"/>
  <c r="E98" i="15"/>
  <c r="F98" i="15"/>
  <c r="I97" i="15"/>
  <c r="H98" i="15"/>
  <c r="D98" i="15"/>
  <c r="C98" i="15"/>
  <c r="B99" i="15"/>
  <c r="Z98" i="15" l="1"/>
  <c r="Q99" i="15"/>
  <c r="G99" i="15"/>
  <c r="X99" i="15"/>
  <c r="AB99" i="15"/>
  <c r="T99" i="15" s="1"/>
  <c r="Z99" i="15" s="1"/>
  <c r="S98" i="15"/>
  <c r="O99" i="15"/>
  <c r="N99" i="15"/>
  <c r="P99" i="15"/>
  <c r="M99" i="15"/>
  <c r="R99" i="15"/>
  <c r="E99" i="15"/>
  <c r="F99" i="15"/>
  <c r="I98" i="15"/>
  <c r="H99" i="15"/>
  <c r="D99" i="15"/>
  <c r="C99" i="15"/>
  <c r="B100" i="15"/>
  <c r="Q100" i="15" l="1"/>
  <c r="G100" i="15"/>
  <c r="X100" i="15"/>
  <c r="AB100" i="15"/>
  <c r="T100" i="15" s="1"/>
  <c r="S99" i="15"/>
  <c r="M100" i="15"/>
  <c r="N100" i="15"/>
  <c r="P100" i="15"/>
  <c r="O100" i="15"/>
  <c r="E100" i="15"/>
  <c r="F100" i="15"/>
  <c r="R100" i="15"/>
  <c r="I99" i="15"/>
  <c r="H100" i="15"/>
  <c r="D100" i="15"/>
  <c r="C100" i="15"/>
  <c r="B101" i="15"/>
  <c r="Z100" i="15" l="1"/>
  <c r="Q101" i="15"/>
  <c r="G101" i="15"/>
  <c r="X101" i="15"/>
  <c r="AB101" i="15"/>
  <c r="T101" i="15" s="1"/>
  <c r="O101" i="15"/>
  <c r="R101" i="15"/>
  <c r="M101" i="15"/>
  <c r="F101" i="15"/>
  <c r="E101" i="15"/>
  <c r="P101" i="15"/>
  <c r="N101" i="15"/>
  <c r="S100" i="15"/>
  <c r="I100" i="15"/>
  <c r="H101" i="15"/>
  <c r="D101" i="15"/>
  <c r="C101" i="15"/>
  <c r="B102" i="15"/>
  <c r="Z101" i="15" l="1"/>
  <c r="G102" i="15"/>
  <c r="Q102" i="15"/>
  <c r="X102" i="15"/>
  <c r="AB102" i="15"/>
  <c r="T102" i="15" s="1"/>
  <c r="M102" i="15"/>
  <c r="R102" i="15"/>
  <c r="P102" i="15"/>
  <c r="O102" i="15"/>
  <c r="F102" i="15"/>
  <c r="N102" i="15"/>
  <c r="E102" i="15"/>
  <c r="S101" i="15"/>
  <c r="I101" i="15"/>
  <c r="H102" i="15"/>
  <c r="D102" i="15"/>
  <c r="C102" i="15"/>
  <c r="B103" i="15"/>
  <c r="Z102" i="15" l="1"/>
  <c r="Q103" i="15"/>
  <c r="G103" i="15"/>
  <c r="X103" i="15"/>
  <c r="AB103" i="15"/>
  <c r="T103" i="15" s="1"/>
  <c r="Z103" i="15" s="1"/>
  <c r="S102" i="15"/>
  <c r="O103" i="15"/>
  <c r="M103" i="15"/>
  <c r="R103" i="15"/>
  <c r="P103" i="15"/>
  <c r="E103" i="15"/>
  <c r="N103" i="15"/>
  <c r="F103" i="15"/>
  <c r="I102" i="15"/>
  <c r="H103" i="15"/>
  <c r="D103" i="15"/>
  <c r="C103" i="15"/>
  <c r="B104" i="15"/>
  <c r="Q104" i="15" l="1"/>
  <c r="G104" i="15"/>
  <c r="X104" i="15"/>
  <c r="AB104" i="15"/>
  <c r="T104" i="15" s="1"/>
  <c r="M104" i="15"/>
  <c r="P104" i="15"/>
  <c r="N104" i="15"/>
  <c r="R104" i="15"/>
  <c r="O104" i="15"/>
  <c r="E104" i="15"/>
  <c r="F104" i="15"/>
  <c r="S103" i="15"/>
  <c r="I103" i="15"/>
  <c r="C104" i="15"/>
  <c r="H104" i="15"/>
  <c r="D104" i="15"/>
  <c r="B105" i="15"/>
  <c r="Z104" i="15" l="1"/>
  <c r="Q105" i="15"/>
  <c r="G105" i="15"/>
  <c r="X105" i="15"/>
  <c r="AB105" i="15"/>
  <c r="T105" i="15" s="1"/>
  <c r="Z105" i="15" s="1"/>
  <c r="S104" i="15"/>
  <c r="O105" i="15"/>
  <c r="P105" i="15"/>
  <c r="N105" i="15"/>
  <c r="F105" i="15"/>
  <c r="E105" i="15"/>
  <c r="M105" i="15"/>
  <c r="R105" i="15"/>
  <c r="I104" i="15"/>
  <c r="H105" i="15"/>
  <c r="D105" i="15"/>
  <c r="C105" i="15"/>
  <c r="B106" i="15"/>
  <c r="G106" i="15" l="1"/>
  <c r="Q106" i="15"/>
  <c r="X106" i="15"/>
  <c r="AB106" i="15"/>
  <c r="T106" i="15" s="1"/>
  <c r="M106" i="15"/>
  <c r="O106" i="15"/>
  <c r="P106" i="15"/>
  <c r="N106" i="15"/>
  <c r="E106" i="15"/>
  <c r="R106" i="15"/>
  <c r="F106" i="15"/>
  <c r="S105" i="15"/>
  <c r="I105" i="15"/>
  <c r="H106" i="15"/>
  <c r="D106" i="15"/>
  <c r="C106" i="15"/>
  <c r="B107" i="15"/>
  <c r="Z106" i="15" l="1"/>
  <c r="Q107" i="15"/>
  <c r="G107" i="15"/>
  <c r="X107" i="15"/>
  <c r="AB107" i="15"/>
  <c r="T107" i="15" s="1"/>
  <c r="Z107" i="15" s="1"/>
  <c r="S106" i="15"/>
  <c r="O107" i="15"/>
  <c r="N107" i="15"/>
  <c r="P107" i="15"/>
  <c r="M107" i="15"/>
  <c r="F107" i="15"/>
  <c r="R107" i="15"/>
  <c r="E107" i="15"/>
  <c r="I106" i="15"/>
  <c r="H107" i="15"/>
  <c r="D107" i="15"/>
  <c r="C107" i="15"/>
  <c r="B108" i="15"/>
  <c r="Q108" i="15" l="1"/>
  <c r="G108" i="15"/>
  <c r="X108" i="15"/>
  <c r="AB108" i="15"/>
  <c r="T108" i="15" s="1"/>
  <c r="S107" i="15"/>
  <c r="M108" i="15"/>
  <c r="N108" i="15"/>
  <c r="R108" i="15"/>
  <c r="P108" i="15"/>
  <c r="O108" i="15"/>
  <c r="E108" i="15"/>
  <c r="F108" i="15"/>
  <c r="I107" i="15"/>
  <c r="H108" i="15"/>
  <c r="D108" i="15"/>
  <c r="C108" i="15"/>
  <c r="B109" i="15"/>
  <c r="Z108" i="15" l="1"/>
  <c r="Q109" i="15"/>
  <c r="G109" i="15"/>
  <c r="X109" i="15"/>
  <c r="AB109" i="15"/>
  <c r="T109" i="15" s="1"/>
  <c r="Z109" i="15" s="1"/>
  <c r="O109" i="15"/>
  <c r="R109" i="15"/>
  <c r="M109" i="15"/>
  <c r="F109" i="15"/>
  <c r="E109" i="15"/>
  <c r="P109" i="15"/>
  <c r="N109" i="15"/>
  <c r="S108" i="15"/>
  <c r="I108" i="15"/>
  <c r="H109" i="15"/>
  <c r="D109" i="15"/>
  <c r="C109" i="15"/>
  <c r="B110" i="15"/>
  <c r="G110" i="15" l="1"/>
  <c r="Q110" i="15"/>
  <c r="X110" i="15"/>
  <c r="AB110" i="15"/>
  <c r="T110" i="15" s="1"/>
  <c r="M110" i="15"/>
  <c r="R110" i="15"/>
  <c r="N110" i="15"/>
  <c r="E110" i="15"/>
  <c r="P110" i="15"/>
  <c r="F110" i="15"/>
  <c r="O110" i="15"/>
  <c r="S109" i="15"/>
  <c r="I109" i="15"/>
  <c r="H110" i="15"/>
  <c r="D110" i="15"/>
  <c r="C110" i="15"/>
  <c r="B111" i="15"/>
  <c r="Z110" i="15" l="1"/>
  <c r="Q111" i="15"/>
  <c r="G111" i="15"/>
  <c r="X111" i="15"/>
  <c r="AB111" i="15"/>
  <c r="T111" i="15" s="1"/>
  <c r="Z111" i="15" s="1"/>
  <c r="S110" i="15"/>
  <c r="O111" i="15"/>
  <c r="N111" i="15"/>
  <c r="M111" i="15"/>
  <c r="R111" i="15"/>
  <c r="E111" i="15"/>
  <c r="P111" i="15"/>
  <c r="F111" i="15"/>
  <c r="I110" i="15"/>
  <c r="D111" i="15"/>
  <c r="H111" i="15"/>
  <c r="C111" i="15"/>
  <c r="B112" i="15"/>
  <c r="Q112" i="15" l="1"/>
  <c r="G112" i="15"/>
  <c r="X112" i="15"/>
  <c r="AB112" i="15"/>
  <c r="T112" i="15" s="1"/>
  <c r="S111" i="15"/>
  <c r="M112" i="15"/>
  <c r="P112" i="15"/>
  <c r="O112" i="15"/>
  <c r="N112" i="15"/>
  <c r="F112" i="15"/>
  <c r="R112" i="15"/>
  <c r="E112" i="15"/>
  <c r="I111" i="15"/>
  <c r="H112" i="15"/>
  <c r="C112" i="15"/>
  <c r="D112" i="15"/>
  <c r="B113" i="15"/>
  <c r="Z112" i="15" l="1"/>
  <c r="Q113" i="15"/>
  <c r="G113" i="15"/>
  <c r="X113" i="15"/>
  <c r="AB113" i="15"/>
  <c r="T113" i="15" s="1"/>
  <c r="Z113" i="15" s="1"/>
  <c r="R113" i="15"/>
  <c r="O113" i="15"/>
  <c r="P113" i="15"/>
  <c r="F113" i="15"/>
  <c r="E113" i="15"/>
  <c r="N113" i="15"/>
  <c r="M113" i="15"/>
  <c r="S112" i="15"/>
  <c r="I112" i="15"/>
  <c r="H113" i="15"/>
  <c r="D113" i="15"/>
  <c r="C113" i="15"/>
  <c r="B114" i="15"/>
  <c r="G114" i="15" l="1"/>
  <c r="Q114" i="15"/>
  <c r="X114" i="15"/>
  <c r="AB114" i="15"/>
  <c r="T114" i="15" s="1"/>
  <c r="P114" i="15"/>
  <c r="N114" i="15"/>
  <c r="R114" i="15"/>
  <c r="O114" i="15"/>
  <c r="M114" i="15"/>
  <c r="E114" i="15"/>
  <c r="F114" i="15"/>
  <c r="S113" i="15"/>
  <c r="I113" i="15"/>
  <c r="H114" i="15"/>
  <c r="D114" i="15"/>
  <c r="C114" i="15"/>
  <c r="B115" i="15"/>
  <c r="Z114" i="15" l="1"/>
  <c r="Q115" i="15"/>
  <c r="G115" i="15"/>
  <c r="X115" i="15"/>
  <c r="AB115" i="15"/>
  <c r="T115" i="15" s="1"/>
  <c r="Z115" i="15" s="1"/>
  <c r="S114" i="15"/>
  <c r="R115" i="15"/>
  <c r="N115" i="15"/>
  <c r="M115" i="15"/>
  <c r="O115" i="15"/>
  <c r="E115" i="15"/>
  <c r="F115" i="15"/>
  <c r="P115" i="15"/>
  <c r="I114" i="15"/>
  <c r="H115" i="15"/>
  <c r="D115" i="15"/>
  <c r="C115" i="15"/>
  <c r="B116" i="15"/>
  <c r="Q116" i="15" l="1"/>
  <c r="G116" i="15"/>
  <c r="X116" i="15"/>
  <c r="AB116" i="15"/>
  <c r="T116" i="15" s="1"/>
  <c r="P116" i="15"/>
  <c r="R116" i="15"/>
  <c r="M116" i="15"/>
  <c r="O116" i="15"/>
  <c r="E116" i="15"/>
  <c r="F116" i="15"/>
  <c r="N116" i="15"/>
  <c r="S115" i="15"/>
  <c r="I115" i="15"/>
  <c r="H116" i="15"/>
  <c r="D116" i="15"/>
  <c r="C116" i="15"/>
  <c r="B117" i="15"/>
  <c r="Z116" i="15" l="1"/>
  <c r="Q117" i="15"/>
  <c r="G117" i="15"/>
  <c r="X117" i="15"/>
  <c r="AB117" i="15"/>
  <c r="T117" i="15" s="1"/>
  <c r="Z117" i="15" s="1"/>
  <c r="R117" i="15"/>
  <c r="N117" i="15"/>
  <c r="M117" i="15"/>
  <c r="F117" i="15"/>
  <c r="E117" i="15"/>
  <c r="P117" i="15"/>
  <c r="O117" i="15"/>
  <c r="S116" i="15"/>
  <c r="I116" i="15"/>
  <c r="H117" i="15"/>
  <c r="D117" i="15"/>
  <c r="C117" i="15"/>
  <c r="B118" i="15"/>
  <c r="G118" i="15" l="1"/>
  <c r="Q118" i="15"/>
  <c r="X118" i="15"/>
  <c r="AB118" i="15"/>
  <c r="T118" i="15" s="1"/>
  <c r="P118" i="15"/>
  <c r="N118" i="15"/>
  <c r="O118" i="15"/>
  <c r="M118" i="15"/>
  <c r="F118" i="15"/>
  <c r="R118" i="15"/>
  <c r="E118" i="15"/>
  <c r="S117" i="15"/>
  <c r="I117" i="15"/>
  <c r="H118" i="15"/>
  <c r="D118" i="15"/>
  <c r="C118" i="15"/>
  <c r="B119" i="15"/>
  <c r="Z118" i="15" l="1"/>
  <c r="Q119" i="15"/>
  <c r="G119" i="15"/>
  <c r="X119" i="15"/>
  <c r="AB119" i="15"/>
  <c r="T119" i="15" s="1"/>
  <c r="Z119" i="15" s="1"/>
  <c r="S118" i="15"/>
  <c r="R119" i="15"/>
  <c r="N119" i="15"/>
  <c r="P119" i="15"/>
  <c r="O119" i="15"/>
  <c r="M119" i="15"/>
  <c r="E119" i="15"/>
  <c r="F119" i="15"/>
  <c r="I118" i="15"/>
  <c r="H119" i="15"/>
  <c r="D119" i="15"/>
  <c r="C119" i="15"/>
  <c r="B120" i="15"/>
  <c r="Q120" i="15" l="1"/>
  <c r="G120" i="15"/>
  <c r="X120" i="15"/>
  <c r="AB120" i="15"/>
  <c r="T120" i="15" s="1"/>
  <c r="P120" i="15"/>
  <c r="O120" i="15"/>
  <c r="M120" i="15"/>
  <c r="R120" i="15"/>
  <c r="N120" i="15"/>
  <c r="E120" i="15"/>
  <c r="F120" i="15"/>
  <c r="S119" i="15"/>
  <c r="I119" i="15"/>
  <c r="H120" i="15"/>
  <c r="C120" i="15"/>
  <c r="D120" i="15"/>
  <c r="B121" i="15"/>
  <c r="Z120" i="15" l="1"/>
  <c r="Q121" i="15"/>
  <c r="G121" i="15"/>
  <c r="X121" i="15"/>
  <c r="AB121" i="15"/>
  <c r="T121" i="15" s="1"/>
  <c r="Z121" i="15" s="1"/>
  <c r="R121" i="15"/>
  <c r="N121" i="15"/>
  <c r="O121" i="15"/>
  <c r="P121" i="15"/>
  <c r="F121" i="15"/>
  <c r="E121" i="15"/>
  <c r="M121" i="15"/>
  <c r="S120" i="15"/>
  <c r="I120" i="15"/>
  <c r="H121" i="15"/>
  <c r="D121" i="15"/>
  <c r="C121" i="15"/>
  <c r="B122" i="15"/>
  <c r="G122" i="15" l="1"/>
  <c r="Q122" i="15"/>
  <c r="X122" i="15"/>
  <c r="AB122" i="15"/>
  <c r="T122" i="15" s="1"/>
  <c r="P122" i="15"/>
  <c r="N122" i="15"/>
  <c r="R122" i="15"/>
  <c r="E122" i="15"/>
  <c r="F122" i="15"/>
  <c r="O122" i="15"/>
  <c r="M122" i="15"/>
  <c r="S121" i="15"/>
  <c r="I121" i="15"/>
  <c r="H122" i="15"/>
  <c r="D122" i="15"/>
  <c r="C122" i="15"/>
  <c r="B123" i="15"/>
  <c r="Z122" i="15" l="1"/>
  <c r="Q123" i="15"/>
  <c r="G123" i="15"/>
  <c r="X123" i="15"/>
  <c r="AB123" i="15"/>
  <c r="T123" i="15" s="1"/>
  <c r="Z123" i="15" s="1"/>
  <c r="R123" i="15"/>
  <c r="N123" i="15"/>
  <c r="M123" i="15"/>
  <c r="O123" i="15"/>
  <c r="F123" i="15"/>
  <c r="P123" i="15"/>
  <c r="E123" i="15"/>
  <c r="S122" i="15"/>
  <c r="I122" i="15"/>
  <c r="H123" i="15"/>
  <c r="D123" i="15"/>
  <c r="C123" i="15"/>
  <c r="B124" i="15"/>
  <c r="Q124" i="15" l="1"/>
  <c r="G124" i="15"/>
  <c r="X124" i="15"/>
  <c r="AB124" i="15"/>
  <c r="T124" i="15" s="1"/>
  <c r="P124" i="15"/>
  <c r="R124" i="15"/>
  <c r="M124" i="15"/>
  <c r="N124" i="15"/>
  <c r="O124" i="15"/>
  <c r="E124" i="15"/>
  <c r="F124" i="15"/>
  <c r="S123" i="15"/>
  <c r="I123" i="15"/>
  <c r="H124" i="15"/>
  <c r="D124" i="15"/>
  <c r="C124" i="15"/>
  <c r="B125" i="15"/>
  <c r="Z124" i="15" l="1"/>
  <c r="Q125" i="15"/>
  <c r="G125" i="15"/>
  <c r="X125" i="15"/>
  <c r="AB125" i="15"/>
  <c r="T125" i="15" s="1"/>
  <c r="Z125" i="15" s="1"/>
  <c r="R125" i="15"/>
  <c r="N125" i="15"/>
  <c r="O125" i="15"/>
  <c r="F125" i="15"/>
  <c r="E125" i="15"/>
  <c r="P125" i="15"/>
  <c r="M125" i="15"/>
  <c r="S124" i="15"/>
  <c r="I124" i="15"/>
  <c r="H125" i="15"/>
  <c r="D125" i="15"/>
  <c r="C125" i="15"/>
  <c r="B126" i="15"/>
  <c r="G126" i="15" l="1"/>
  <c r="Q126" i="15"/>
  <c r="X126" i="15"/>
  <c r="AB126" i="15"/>
  <c r="T126" i="15" s="1"/>
  <c r="P126" i="15"/>
  <c r="O126" i="15"/>
  <c r="N126" i="15"/>
  <c r="M126" i="15"/>
  <c r="R126" i="15"/>
  <c r="E126" i="15"/>
  <c r="F126" i="15"/>
  <c r="S125" i="15"/>
  <c r="I125" i="15"/>
  <c r="H126" i="15"/>
  <c r="D126" i="15"/>
  <c r="C126" i="15"/>
  <c r="B127" i="15"/>
  <c r="Z126" i="15" l="1"/>
  <c r="Q127" i="15"/>
  <c r="G127" i="15"/>
  <c r="X127" i="15"/>
  <c r="AB127" i="15"/>
  <c r="T127" i="15" s="1"/>
  <c r="Z127" i="15" s="1"/>
  <c r="S126" i="15"/>
  <c r="R127" i="15"/>
  <c r="N127" i="15"/>
  <c r="P127" i="15"/>
  <c r="O127" i="15"/>
  <c r="M127" i="15"/>
  <c r="E127" i="15"/>
  <c r="F127" i="15"/>
  <c r="I126" i="15"/>
  <c r="D127" i="15"/>
  <c r="H127" i="15"/>
  <c r="C127" i="15"/>
  <c r="B128" i="15"/>
  <c r="Q128" i="15" l="1"/>
  <c r="G128" i="15"/>
  <c r="X128" i="15"/>
  <c r="AB128" i="15"/>
  <c r="T128" i="15" s="1"/>
  <c r="P128" i="15"/>
  <c r="O128" i="15"/>
  <c r="R128" i="15"/>
  <c r="M128" i="15"/>
  <c r="F128" i="15"/>
  <c r="N128" i="15"/>
  <c r="E128" i="15"/>
  <c r="S127" i="15"/>
  <c r="I127" i="15"/>
  <c r="C128" i="15"/>
  <c r="H128" i="15"/>
  <c r="D128" i="15"/>
  <c r="B129" i="15"/>
  <c r="Z128" i="15" l="1"/>
  <c r="Q129" i="15"/>
  <c r="G129" i="15"/>
  <c r="X129" i="15"/>
  <c r="AB129" i="15"/>
  <c r="T129" i="15" s="1"/>
  <c r="R129" i="15"/>
  <c r="N129" i="15"/>
  <c r="O129" i="15"/>
  <c r="P129" i="15"/>
  <c r="F129" i="15"/>
  <c r="E129" i="15"/>
  <c r="M129" i="15"/>
  <c r="S128" i="15"/>
  <c r="I128" i="15"/>
  <c r="H129" i="15"/>
  <c r="D129" i="15"/>
  <c r="C129" i="15"/>
  <c r="B130" i="15"/>
  <c r="Z129" i="15" l="1"/>
  <c r="G130" i="15"/>
  <c r="Q130" i="15"/>
  <c r="X130" i="15"/>
  <c r="AB130" i="15"/>
  <c r="T130" i="15" s="1"/>
  <c r="Z130" i="15" s="1"/>
  <c r="P130" i="15"/>
  <c r="N130" i="15"/>
  <c r="M130" i="15"/>
  <c r="R130" i="15"/>
  <c r="O130" i="15"/>
  <c r="E130" i="15"/>
  <c r="F130" i="15"/>
  <c r="S129" i="15"/>
  <c r="I129" i="15"/>
  <c r="H130" i="15"/>
  <c r="D130" i="15"/>
  <c r="C130" i="15"/>
  <c r="B131" i="15"/>
  <c r="Q131" i="15" l="1"/>
  <c r="G131" i="15"/>
  <c r="X131" i="15"/>
  <c r="AB131" i="15"/>
  <c r="T131" i="15" s="1"/>
  <c r="R131" i="15"/>
  <c r="N131" i="15"/>
  <c r="M131" i="15"/>
  <c r="O131" i="15"/>
  <c r="E131" i="15"/>
  <c r="F131" i="15"/>
  <c r="P131" i="15"/>
  <c r="S130" i="15"/>
  <c r="I130" i="15"/>
  <c r="H131" i="15"/>
  <c r="D131" i="15"/>
  <c r="C131" i="15"/>
  <c r="B132" i="15"/>
  <c r="Z131" i="15" l="1"/>
  <c r="Q132" i="15"/>
  <c r="G132" i="15"/>
  <c r="X132" i="15"/>
  <c r="AB132" i="15"/>
  <c r="T132" i="15" s="1"/>
  <c r="Z132" i="15" s="1"/>
  <c r="P132" i="15"/>
  <c r="R132" i="15"/>
  <c r="M132" i="15"/>
  <c r="O132" i="15"/>
  <c r="N132" i="15"/>
  <c r="E132" i="15"/>
  <c r="F132" i="15"/>
  <c r="S131" i="15"/>
  <c r="I131" i="15"/>
  <c r="H132" i="15"/>
  <c r="D132" i="15"/>
  <c r="C132" i="15"/>
  <c r="B133" i="15"/>
  <c r="Q133" i="15" l="1"/>
  <c r="G133" i="15"/>
  <c r="X133" i="15"/>
  <c r="AB133" i="15"/>
  <c r="T133" i="15" s="1"/>
  <c r="R133" i="15"/>
  <c r="N133" i="15"/>
  <c r="P133" i="15"/>
  <c r="F133" i="15"/>
  <c r="E133" i="15"/>
  <c r="O133" i="15"/>
  <c r="M133" i="15"/>
  <c r="S132" i="15"/>
  <c r="I132" i="15"/>
  <c r="H133" i="15"/>
  <c r="D133" i="15"/>
  <c r="C133" i="15"/>
  <c r="B134" i="15"/>
  <c r="Z133" i="15" l="1"/>
  <c r="G134" i="15"/>
  <c r="Q134" i="15"/>
  <c r="X134" i="15"/>
  <c r="AB134" i="15"/>
  <c r="T134" i="15" s="1"/>
  <c r="Z134" i="15" s="1"/>
  <c r="P134" i="15"/>
  <c r="R134" i="15"/>
  <c r="N134" i="15"/>
  <c r="M134" i="15"/>
  <c r="F134" i="15"/>
  <c r="O134" i="15"/>
  <c r="E134" i="15"/>
  <c r="S133" i="15"/>
  <c r="I133" i="15"/>
  <c r="H134" i="15"/>
  <c r="D134" i="15"/>
  <c r="C134" i="15"/>
  <c r="B135" i="15"/>
  <c r="Q135" i="15" l="1"/>
  <c r="G135" i="15"/>
  <c r="X135" i="15"/>
  <c r="AB135" i="15"/>
  <c r="T135" i="15" s="1"/>
  <c r="S134" i="15"/>
  <c r="R135" i="15"/>
  <c r="N135" i="15"/>
  <c r="P135" i="15"/>
  <c r="O135" i="15"/>
  <c r="M135" i="15"/>
  <c r="E135" i="15"/>
  <c r="F135" i="15"/>
  <c r="I134" i="15"/>
  <c r="H135" i="15"/>
  <c r="D135" i="15"/>
  <c r="C135" i="15"/>
  <c r="B136" i="15"/>
  <c r="Z135" i="15" l="1"/>
  <c r="Q136" i="15"/>
  <c r="G136" i="15"/>
  <c r="X136" i="15"/>
  <c r="AB136" i="15"/>
  <c r="T136" i="15" s="1"/>
  <c r="Z136" i="15" s="1"/>
  <c r="P136" i="15"/>
  <c r="O136" i="15"/>
  <c r="M136" i="15"/>
  <c r="R136" i="15"/>
  <c r="N136" i="15"/>
  <c r="E136" i="15"/>
  <c r="F136" i="15"/>
  <c r="S135" i="15"/>
  <c r="I135" i="15"/>
  <c r="C136" i="15"/>
  <c r="H136" i="15"/>
  <c r="D136" i="15"/>
  <c r="B137" i="15"/>
  <c r="Q137" i="15" l="1"/>
  <c r="G137" i="15"/>
  <c r="X137" i="15"/>
  <c r="AB137" i="15"/>
  <c r="T137" i="15" s="1"/>
  <c r="R137" i="15"/>
  <c r="N137" i="15"/>
  <c r="O137" i="15"/>
  <c r="M137" i="15"/>
  <c r="P137" i="15"/>
  <c r="F137" i="15"/>
  <c r="E137" i="15"/>
  <c r="S136" i="15"/>
  <c r="I136" i="15"/>
  <c r="H137" i="15"/>
  <c r="D137" i="15"/>
  <c r="C137" i="15"/>
  <c r="B138" i="15"/>
  <c r="Z137" i="15" l="1"/>
  <c r="G138" i="15"/>
  <c r="Q138" i="15"/>
  <c r="X138" i="15"/>
  <c r="AB138" i="15"/>
  <c r="T138" i="15" s="1"/>
  <c r="Z138" i="15" s="1"/>
  <c r="P138" i="15"/>
  <c r="N138" i="15"/>
  <c r="O138" i="15"/>
  <c r="R138" i="15"/>
  <c r="E138" i="15"/>
  <c r="F138" i="15"/>
  <c r="M138" i="15"/>
  <c r="S137" i="15"/>
  <c r="I137" i="15"/>
  <c r="H138" i="15"/>
  <c r="D138" i="15"/>
  <c r="C138" i="15"/>
  <c r="B139" i="15"/>
  <c r="Q139" i="15" l="1"/>
  <c r="G139" i="15"/>
  <c r="X139" i="15"/>
  <c r="AB139" i="15"/>
  <c r="T139" i="15" s="1"/>
  <c r="R139" i="15"/>
  <c r="N139" i="15"/>
  <c r="M139" i="15"/>
  <c r="P139" i="15"/>
  <c r="F139" i="15"/>
  <c r="O139" i="15"/>
  <c r="E139" i="15"/>
  <c r="S138" i="15"/>
  <c r="I138" i="15"/>
  <c r="H139" i="15"/>
  <c r="D139" i="15"/>
  <c r="C139" i="15"/>
  <c r="B140" i="15"/>
  <c r="Z139" i="15" l="1"/>
  <c r="Q140" i="15"/>
  <c r="G140" i="15"/>
  <c r="X140" i="15"/>
  <c r="AB140" i="15"/>
  <c r="T140" i="15" s="1"/>
  <c r="Z140" i="15" s="1"/>
  <c r="P140" i="15"/>
  <c r="R140" i="15"/>
  <c r="M140" i="15"/>
  <c r="O140" i="15"/>
  <c r="N140" i="15"/>
  <c r="E140" i="15"/>
  <c r="F140" i="15"/>
  <c r="S139" i="15"/>
  <c r="I139" i="15"/>
  <c r="H140" i="15"/>
  <c r="D140" i="15"/>
  <c r="C140" i="15"/>
  <c r="B141" i="15"/>
  <c r="Q141" i="15" l="1"/>
  <c r="G141" i="15"/>
  <c r="X141" i="15"/>
  <c r="AB141" i="15"/>
  <c r="T141" i="15" s="1"/>
  <c r="R141" i="15"/>
  <c r="N141" i="15"/>
  <c r="F141" i="15"/>
  <c r="E141" i="15"/>
  <c r="P141" i="15"/>
  <c r="O141" i="15"/>
  <c r="M141" i="15"/>
  <c r="S140" i="15"/>
  <c r="I140" i="15"/>
  <c r="H141" i="15"/>
  <c r="D141" i="15"/>
  <c r="C141" i="15"/>
  <c r="B142" i="15"/>
  <c r="Z141" i="15" l="1"/>
  <c r="G142" i="15"/>
  <c r="Q142" i="15"/>
  <c r="X142" i="15"/>
  <c r="AB142" i="15"/>
  <c r="T142" i="15" s="1"/>
  <c r="Z142" i="15" s="1"/>
  <c r="P142" i="15"/>
  <c r="M142" i="15"/>
  <c r="N142" i="15"/>
  <c r="R142" i="15"/>
  <c r="O142" i="15"/>
  <c r="E142" i="15"/>
  <c r="F142" i="15"/>
  <c r="S141" i="15"/>
  <c r="I141" i="15"/>
  <c r="H142" i="15"/>
  <c r="D142" i="15"/>
  <c r="C142" i="15"/>
  <c r="B143" i="15"/>
  <c r="Q143" i="15" l="1"/>
  <c r="G143" i="15"/>
  <c r="X143" i="15"/>
  <c r="AB143" i="15"/>
  <c r="T143" i="15" s="1"/>
  <c r="R143" i="15"/>
  <c r="N143" i="15"/>
  <c r="P143" i="15"/>
  <c r="M143" i="15"/>
  <c r="O143" i="15"/>
  <c r="E143" i="15"/>
  <c r="F143" i="15"/>
  <c r="S142" i="15"/>
  <c r="I142" i="15"/>
  <c r="D143" i="15"/>
  <c r="H143" i="15"/>
  <c r="C143" i="15"/>
  <c r="B144" i="15"/>
  <c r="Z143" i="15" l="1"/>
  <c r="Q144" i="15"/>
  <c r="G144" i="15"/>
  <c r="X144" i="15"/>
  <c r="AB144" i="15"/>
  <c r="T144" i="15" s="1"/>
  <c r="Z144" i="15" s="1"/>
  <c r="P144" i="15"/>
  <c r="O144" i="15"/>
  <c r="N144" i="15"/>
  <c r="R144" i="15"/>
  <c r="F144" i="15"/>
  <c r="M144" i="15"/>
  <c r="E144" i="15"/>
  <c r="S143" i="15"/>
  <c r="I143" i="15"/>
  <c r="H144" i="15"/>
  <c r="C144" i="15"/>
  <c r="D144" i="15"/>
  <c r="B145" i="15"/>
  <c r="Q145" i="15" l="1"/>
  <c r="G145" i="15"/>
  <c r="X145" i="15"/>
  <c r="AB145" i="15"/>
  <c r="T145" i="15" s="1"/>
  <c r="R145" i="15"/>
  <c r="N145" i="15"/>
  <c r="O145" i="15"/>
  <c r="P145" i="15"/>
  <c r="M145" i="15"/>
  <c r="F145" i="15"/>
  <c r="E145" i="15"/>
  <c r="S144" i="15"/>
  <c r="I144" i="15"/>
  <c r="H145" i="15"/>
  <c r="D145" i="15"/>
  <c r="C145" i="15"/>
  <c r="B146" i="15"/>
  <c r="Z145" i="15" l="1"/>
  <c r="G146" i="15"/>
  <c r="Q146" i="15"/>
  <c r="X146" i="15"/>
  <c r="AB146" i="15"/>
  <c r="T146" i="15" s="1"/>
  <c r="Z146" i="15" s="1"/>
  <c r="S145" i="15"/>
  <c r="P146" i="15"/>
  <c r="N146" i="15"/>
  <c r="R146" i="15"/>
  <c r="O146" i="15"/>
  <c r="M146" i="15"/>
  <c r="E146" i="15"/>
  <c r="F146" i="15"/>
  <c r="I145" i="15"/>
  <c r="H146" i="15"/>
  <c r="D146" i="15"/>
  <c r="C146" i="15"/>
  <c r="B147" i="15"/>
  <c r="Q147" i="15" l="1"/>
  <c r="G147" i="15"/>
  <c r="X147" i="15"/>
  <c r="AB147" i="15"/>
  <c r="T147" i="15" s="1"/>
  <c r="R147" i="15"/>
  <c r="N147" i="15"/>
  <c r="M147" i="15"/>
  <c r="E147" i="15"/>
  <c r="P147" i="15"/>
  <c r="F147" i="15"/>
  <c r="O147" i="15"/>
  <c r="S146" i="15"/>
  <c r="I146" i="15"/>
  <c r="H147" i="15"/>
  <c r="D147" i="15"/>
  <c r="C147" i="15"/>
  <c r="B148" i="15"/>
  <c r="Z147" i="15" l="1"/>
  <c r="Q148" i="15"/>
  <c r="G148" i="15"/>
  <c r="X148" i="15"/>
  <c r="AB148" i="15"/>
  <c r="T148" i="15" s="1"/>
  <c r="Z148" i="15" s="1"/>
  <c r="P148" i="15"/>
  <c r="R148" i="15"/>
  <c r="M148" i="15"/>
  <c r="O148" i="15"/>
  <c r="N148" i="15"/>
  <c r="E148" i="15"/>
  <c r="F148" i="15"/>
  <c r="S147" i="15"/>
  <c r="I147" i="15"/>
  <c r="H148" i="15"/>
  <c r="D148" i="15"/>
  <c r="C148" i="15"/>
  <c r="B149" i="15"/>
  <c r="Q149" i="15" l="1"/>
  <c r="G149" i="15"/>
  <c r="X149" i="15"/>
  <c r="AB149" i="15"/>
  <c r="T149" i="15" s="1"/>
  <c r="R149" i="15"/>
  <c r="N149" i="15"/>
  <c r="M149" i="15"/>
  <c r="F149" i="15"/>
  <c r="E149" i="15"/>
  <c r="P149" i="15"/>
  <c r="O149" i="15"/>
  <c r="S148" i="15"/>
  <c r="I148" i="15"/>
  <c r="H149" i="15"/>
  <c r="D149" i="15"/>
  <c r="C149" i="15"/>
  <c r="B150" i="15"/>
  <c r="Z149" i="15" l="1"/>
  <c r="G150" i="15"/>
  <c r="Q150" i="15"/>
  <c r="X150" i="15"/>
  <c r="AB150" i="15"/>
  <c r="T150" i="15" s="1"/>
  <c r="Z150" i="15" s="1"/>
  <c r="P150" i="15"/>
  <c r="N150" i="15"/>
  <c r="M150" i="15"/>
  <c r="F150" i="15"/>
  <c r="R150" i="15"/>
  <c r="O150" i="15"/>
  <c r="E150" i="15"/>
  <c r="S149" i="15"/>
  <c r="I149" i="15"/>
  <c r="H150" i="15"/>
  <c r="D150" i="15"/>
  <c r="C150" i="15"/>
  <c r="B151" i="15"/>
  <c r="Q151" i="15" l="1"/>
  <c r="G151" i="15"/>
  <c r="X151" i="15"/>
  <c r="AB151" i="15"/>
  <c r="T151" i="15" s="1"/>
  <c r="R151" i="15"/>
  <c r="N151" i="15"/>
  <c r="P151" i="15"/>
  <c r="O151" i="15"/>
  <c r="M151" i="15"/>
  <c r="E151" i="15"/>
  <c r="F151" i="15"/>
  <c r="S150" i="15"/>
  <c r="I150" i="15"/>
  <c r="H151" i="15"/>
  <c r="D151" i="15"/>
  <c r="C151" i="15"/>
  <c r="B152" i="15"/>
  <c r="Z151" i="15" l="1"/>
  <c r="Q152" i="15"/>
  <c r="G152" i="15"/>
  <c r="X152" i="15"/>
  <c r="T152" i="15"/>
  <c r="Z152" i="15" s="1"/>
  <c r="S151" i="15"/>
  <c r="P152" i="15"/>
  <c r="O152" i="15"/>
  <c r="R152" i="15"/>
  <c r="N152" i="15"/>
  <c r="M152" i="15"/>
  <c r="E152" i="15"/>
  <c r="F152" i="15"/>
  <c r="I151" i="15"/>
  <c r="H152" i="15"/>
  <c r="C152" i="15"/>
  <c r="D152" i="15"/>
  <c r="B153" i="15"/>
  <c r="Q153" i="15" l="1"/>
  <c r="G153" i="15"/>
  <c r="X153" i="15"/>
  <c r="T153" i="15"/>
  <c r="S152" i="15"/>
  <c r="R153" i="15"/>
  <c r="N153" i="15"/>
  <c r="O153" i="15"/>
  <c r="M153" i="15"/>
  <c r="F153" i="15"/>
  <c r="E153" i="15"/>
  <c r="P153" i="15"/>
  <c r="I152" i="15"/>
  <c r="H153" i="15"/>
  <c r="D153" i="15"/>
  <c r="C153" i="15"/>
  <c r="B154" i="15"/>
  <c r="Z153" i="15" l="1"/>
  <c r="G154" i="15"/>
  <c r="Q154" i="15"/>
  <c r="X154" i="15"/>
  <c r="T154" i="15"/>
  <c r="Z154" i="15" s="1"/>
  <c r="S153" i="15"/>
  <c r="P154" i="15"/>
  <c r="N154" i="15"/>
  <c r="R154" i="15"/>
  <c r="O154" i="15"/>
  <c r="E154" i="15"/>
  <c r="F154" i="15"/>
  <c r="M154" i="15"/>
  <c r="I153" i="15"/>
  <c r="H154" i="15"/>
  <c r="C154" i="15"/>
  <c r="D154" i="15"/>
  <c r="B155" i="15"/>
  <c r="Q155" i="15" l="1"/>
  <c r="G155" i="15"/>
  <c r="X155" i="15"/>
  <c r="T155" i="15"/>
  <c r="S154" i="15"/>
  <c r="R155" i="15"/>
  <c r="N155" i="15"/>
  <c r="M155" i="15"/>
  <c r="P155" i="15"/>
  <c r="F155" i="15"/>
  <c r="O155" i="15"/>
  <c r="E155" i="15"/>
  <c r="I154" i="15"/>
  <c r="H155" i="15"/>
  <c r="D155" i="15"/>
  <c r="C155" i="15"/>
  <c r="B156" i="15"/>
  <c r="Z155" i="15" l="1"/>
  <c r="Q156" i="15"/>
  <c r="G156" i="15"/>
  <c r="X156" i="15"/>
  <c r="T156" i="15"/>
  <c r="Z156" i="15" s="1"/>
  <c r="P156" i="15"/>
  <c r="R156" i="15"/>
  <c r="M156" i="15"/>
  <c r="N156" i="15"/>
  <c r="O156" i="15"/>
  <c r="E156" i="15"/>
  <c r="F156" i="15"/>
  <c r="S155" i="15"/>
  <c r="I155" i="15"/>
  <c r="H156" i="15"/>
  <c r="C156" i="15"/>
  <c r="D156" i="15"/>
  <c r="B157" i="15"/>
  <c r="Q157" i="15" l="1"/>
  <c r="G157" i="15"/>
  <c r="X157" i="15"/>
  <c r="T157" i="15"/>
  <c r="R157" i="15"/>
  <c r="N157" i="15"/>
  <c r="O157" i="15"/>
  <c r="F157" i="15"/>
  <c r="E157" i="15"/>
  <c r="P157" i="15"/>
  <c r="M157" i="15"/>
  <c r="S156" i="15"/>
  <c r="I156" i="15"/>
  <c r="H157" i="15"/>
  <c r="D157" i="15"/>
  <c r="C157" i="15"/>
  <c r="B158" i="15"/>
  <c r="Z157" i="15" l="1"/>
  <c r="G158" i="15"/>
  <c r="Q158" i="15"/>
  <c r="X158" i="15"/>
  <c r="T158" i="15"/>
  <c r="Z158" i="15" s="1"/>
  <c r="P158" i="15"/>
  <c r="O158" i="15"/>
  <c r="M158" i="15"/>
  <c r="R158" i="15"/>
  <c r="N158" i="15"/>
  <c r="E158" i="15"/>
  <c r="F158" i="15"/>
  <c r="S157" i="15"/>
  <c r="I157" i="15"/>
  <c r="H158" i="15"/>
  <c r="C158" i="15"/>
  <c r="D158" i="15"/>
  <c r="B159" i="15"/>
  <c r="Q159" i="15" l="1"/>
  <c r="G159" i="15"/>
  <c r="X159" i="15"/>
  <c r="T159" i="15"/>
  <c r="R159" i="15"/>
  <c r="N159" i="15"/>
  <c r="P159" i="15"/>
  <c r="O159" i="15"/>
  <c r="M159" i="15"/>
  <c r="E159" i="15"/>
  <c r="F159" i="15"/>
  <c r="S158" i="15"/>
  <c r="I158" i="15"/>
  <c r="D159" i="15"/>
  <c r="H159" i="15"/>
  <c r="C159" i="15"/>
  <c r="B160" i="15"/>
  <c r="Z159" i="15" l="1"/>
  <c r="Q160" i="15"/>
  <c r="G160" i="15"/>
  <c r="X160" i="15"/>
  <c r="T160" i="15"/>
  <c r="S159" i="15"/>
  <c r="P160" i="15"/>
  <c r="O160" i="15"/>
  <c r="R160" i="15"/>
  <c r="F160" i="15"/>
  <c r="N160" i="15"/>
  <c r="M160" i="15"/>
  <c r="E160" i="15"/>
  <c r="I159" i="15"/>
  <c r="D160" i="15"/>
  <c r="C160" i="15"/>
  <c r="H160" i="15"/>
  <c r="B161" i="15"/>
  <c r="Z160" i="15" l="1"/>
  <c r="Q161" i="15"/>
  <c r="G161" i="15"/>
  <c r="X161" i="15"/>
  <c r="T161" i="15"/>
  <c r="R161" i="15"/>
  <c r="N161" i="15"/>
  <c r="O161" i="15"/>
  <c r="M161" i="15"/>
  <c r="F161" i="15"/>
  <c r="E161" i="15"/>
  <c r="P161" i="15"/>
  <c r="S160" i="15"/>
  <c r="I160" i="15"/>
  <c r="H161" i="15"/>
  <c r="D161" i="15"/>
  <c r="C161" i="15"/>
  <c r="B162" i="15"/>
  <c r="Z161" i="15" l="1"/>
  <c r="G162" i="15"/>
  <c r="Q162" i="15"/>
  <c r="X162" i="15"/>
  <c r="T162" i="15"/>
  <c r="P162" i="15"/>
  <c r="N162" i="15"/>
  <c r="M162" i="15"/>
  <c r="O162" i="15"/>
  <c r="E162" i="15"/>
  <c r="R162" i="15"/>
  <c r="F162" i="15"/>
  <c r="S161" i="15"/>
  <c r="I161" i="15"/>
  <c r="H162" i="15"/>
  <c r="C162" i="15"/>
  <c r="D162" i="15"/>
  <c r="B163" i="15"/>
  <c r="Z162" i="15" l="1"/>
  <c r="Q163" i="15"/>
  <c r="G163" i="15"/>
  <c r="X163" i="15"/>
  <c r="T163" i="15"/>
  <c r="R163" i="15"/>
  <c r="N163" i="15"/>
  <c r="M163" i="15"/>
  <c r="O163" i="15"/>
  <c r="E163" i="15"/>
  <c r="P163" i="15"/>
  <c r="F163" i="15"/>
  <c r="S162" i="15"/>
  <c r="I162" i="15"/>
  <c r="H163" i="15"/>
  <c r="D163" i="15"/>
  <c r="C163" i="15"/>
  <c r="B164" i="15"/>
  <c r="Z163" i="15" l="1"/>
  <c r="Q164" i="15"/>
  <c r="G164" i="15"/>
  <c r="X164" i="15"/>
  <c r="T164" i="15"/>
  <c r="P164" i="15"/>
  <c r="R164" i="15"/>
  <c r="M164" i="15"/>
  <c r="O164" i="15"/>
  <c r="N164" i="15"/>
  <c r="E164" i="15"/>
  <c r="F164" i="15"/>
  <c r="S163" i="15"/>
  <c r="I163" i="15"/>
  <c r="H164" i="15"/>
  <c r="D164" i="15"/>
  <c r="C164" i="15"/>
  <c r="B165" i="15"/>
  <c r="Z164" i="15" l="1"/>
  <c r="Q165" i="15"/>
  <c r="G165" i="15"/>
  <c r="X165" i="15"/>
  <c r="T165" i="15"/>
  <c r="R165" i="15"/>
  <c r="N165" i="15"/>
  <c r="P165" i="15"/>
  <c r="F165" i="15"/>
  <c r="E165" i="15"/>
  <c r="O165" i="15"/>
  <c r="M165" i="15"/>
  <c r="S164" i="15"/>
  <c r="I164" i="15"/>
  <c r="H165" i="15"/>
  <c r="D165" i="15"/>
  <c r="C165" i="15"/>
  <c r="B166" i="15"/>
  <c r="Z165" i="15" l="1"/>
  <c r="G166" i="15"/>
  <c r="Q166" i="15"/>
  <c r="X166" i="15"/>
  <c r="T166" i="15"/>
  <c r="P166" i="15"/>
  <c r="R166" i="15"/>
  <c r="M166" i="15"/>
  <c r="F166" i="15"/>
  <c r="O166" i="15"/>
  <c r="N166" i="15"/>
  <c r="E166" i="15"/>
  <c r="S165" i="15"/>
  <c r="I165" i="15"/>
  <c r="H166" i="15"/>
  <c r="C166" i="15"/>
  <c r="D166" i="15"/>
  <c r="B167" i="15"/>
  <c r="Z166" i="15" l="1"/>
  <c r="Q167" i="15"/>
  <c r="G167" i="15"/>
  <c r="X167" i="15"/>
  <c r="T167" i="15"/>
  <c r="R167" i="15"/>
  <c r="N167" i="15"/>
  <c r="P167" i="15"/>
  <c r="O167" i="15"/>
  <c r="M167" i="15"/>
  <c r="E167" i="15"/>
  <c r="F167" i="15"/>
  <c r="S166" i="15"/>
  <c r="I166" i="15"/>
  <c r="D167" i="15"/>
  <c r="H167" i="15"/>
  <c r="C167" i="15"/>
  <c r="B168" i="15"/>
  <c r="Z167" i="15" l="1"/>
  <c r="Q168" i="15"/>
  <c r="G168" i="15"/>
  <c r="X168" i="15"/>
  <c r="T168" i="15"/>
  <c r="Z168" i="15" s="1"/>
  <c r="S167" i="15"/>
  <c r="P168" i="15"/>
  <c r="O168" i="15"/>
  <c r="M168" i="15"/>
  <c r="R168" i="15"/>
  <c r="N168" i="15"/>
  <c r="E168" i="15"/>
  <c r="F168" i="15"/>
  <c r="I167" i="15"/>
  <c r="D168" i="15"/>
  <c r="C168" i="15"/>
  <c r="H168" i="15"/>
  <c r="B169" i="15"/>
  <c r="Q169" i="15" l="1"/>
  <c r="G169" i="15"/>
  <c r="X169" i="15"/>
  <c r="T169" i="15"/>
  <c r="R169" i="15"/>
  <c r="N169" i="15"/>
  <c r="O169" i="15"/>
  <c r="M169" i="15"/>
  <c r="F169" i="15"/>
  <c r="E169" i="15"/>
  <c r="P169" i="15"/>
  <c r="S168" i="15"/>
  <c r="I168" i="15"/>
  <c r="H169" i="15"/>
  <c r="D169" i="15"/>
  <c r="C169" i="15"/>
  <c r="Z169" i="15" l="1"/>
  <c r="S169" i="15"/>
  <c r="I169" i="15"/>
</calcChain>
</file>

<file path=xl/sharedStrings.xml><?xml version="1.0" encoding="utf-8"?>
<sst xmlns="http://schemas.openxmlformats.org/spreadsheetml/2006/main" count="185" uniqueCount="118">
  <si>
    <t>Alíquotas</t>
  </si>
  <si>
    <t xml:space="preserve">   CSLL</t>
  </si>
  <si>
    <t xml:space="preserve">   IRPJ</t>
  </si>
  <si>
    <t xml:space="preserve">   Adicional IRPJ</t>
  </si>
  <si>
    <t>Al_CS</t>
  </si>
  <si>
    <t>Al_IR</t>
  </si>
  <si>
    <t>Al_aIR</t>
  </si>
  <si>
    <t>BC_CS</t>
  </si>
  <si>
    <t>BC_IR</t>
  </si>
  <si>
    <t xml:space="preserve">   Pis</t>
  </si>
  <si>
    <t xml:space="preserve">   Cofins</t>
  </si>
  <si>
    <t>Al_Pis</t>
  </si>
  <si>
    <t>Al_Cofins</t>
  </si>
  <si>
    <t>Parâmetros</t>
  </si>
  <si>
    <t>Maior salário contribuição</t>
  </si>
  <si>
    <t>maior_sal_contrib</t>
  </si>
  <si>
    <t>Cofins</t>
  </si>
  <si>
    <t>CSLL</t>
  </si>
  <si>
    <t>-</t>
  </si>
  <si>
    <t>IRPJ</t>
  </si>
  <si>
    <t>COFINS</t>
  </si>
  <si>
    <t>PIS/PASEP</t>
  </si>
  <si>
    <t>INSS</t>
  </si>
  <si>
    <t>ISS</t>
  </si>
  <si>
    <t>FGTS</t>
  </si>
  <si>
    <t>Sistema S + SAT</t>
  </si>
  <si>
    <t>Sist_S_SAT</t>
  </si>
  <si>
    <t>Lucro Presumido</t>
  </si>
  <si>
    <t>Percentual de Presunção da CSLL</t>
  </si>
  <si>
    <t>Percentual de Presunção do IRPJ</t>
  </si>
  <si>
    <t xml:space="preserve">   ISS</t>
  </si>
  <si>
    <t>Salário de Contribuição (R$)</t>
  </si>
  <si>
    <t>Alíquota (%)</t>
  </si>
  <si>
    <t>Até R$ 1.556,94</t>
  </si>
  <si>
    <t>De R$ 1.556,95 a R$ 2.594,92</t>
  </si>
  <si>
    <t>De R$ 2.594,93 até R$ 5.189,82</t>
  </si>
  <si>
    <t>R$ 880,00 até R$ 5.189,82</t>
  </si>
  <si>
    <t>Salário Mínimo:</t>
  </si>
  <si>
    <t>Alíquota Patronal Previdência:</t>
  </si>
  <si>
    <t>Previd.</t>
  </si>
  <si>
    <t>Alíquota</t>
  </si>
  <si>
    <t>ANEXO IV DA LC 123</t>
  </si>
  <si>
    <t>Alíquota INSS Autônomo:</t>
  </si>
  <si>
    <t>Receita Bruta - Lim. Inf.</t>
  </si>
  <si>
    <t>Receita Bruta - Lim. Sup.</t>
  </si>
  <si>
    <t>PIS</t>
  </si>
  <si>
    <t>Tabelas progressivas anuais</t>
  </si>
  <si>
    <t>A partir do exercício 2016, ano-calendário de 2015:</t>
  </si>
  <si>
    <t>Base de cálculo (R$)</t>
  </si>
  <si>
    <t>Lim. Inf.</t>
  </si>
  <si>
    <t>Lim. Sup.</t>
  </si>
  <si>
    <t>PAD (R$)</t>
  </si>
  <si>
    <t>Alíq.(%)</t>
  </si>
  <si>
    <t>Pessoa Física</t>
  </si>
  <si>
    <t>Empregado, Empr. Domést. e Trab. Avulso</t>
  </si>
  <si>
    <t>Contribuinte Individual e Facultativo</t>
  </si>
  <si>
    <t>c3 -&gt;</t>
  </si>
  <si>
    <t>Dedução Média</t>
  </si>
  <si>
    <t>Valor Total de Rend. Tribut. Pág. Resumo</t>
  </si>
  <si>
    <t>Valor Tot. Deduções/Desc. Simplif. Pág. Resumo</t>
  </si>
  <si>
    <t>Faixa de Renda/Faturamento</t>
  </si>
  <si>
    <t>Considerações:</t>
  </si>
  <si>
    <t>1. A empresa do Lucro Presumido irá pagar um salário</t>
  </si>
  <si>
    <t xml:space="preserve">    mínimo vigente (R$ 880,00) a um empregado.</t>
  </si>
  <si>
    <t>2. A empresa do SIMPLES será enquadrada no Anexo IV da</t>
  </si>
  <si>
    <t xml:space="preserve">    LC 123, sendo obrigada a pagar a previdência à parte a</t>
  </si>
  <si>
    <t xml:space="preserve">    um funcionário ganhando um salário mínimo.</t>
  </si>
  <si>
    <t>3. À renda bruta da pessoa física foram aplicados os percentuais</t>
  </si>
  <si>
    <t>Linf</t>
  </si>
  <si>
    <t>Lsup</t>
  </si>
  <si>
    <t>Fx_AC_2014 (R$)</t>
  </si>
  <si>
    <t>Ded/RT</t>
  </si>
  <si>
    <t>Ded PF</t>
  </si>
  <si>
    <t>(1) Inclui FGTS e SAT</t>
  </si>
  <si>
    <t>(2) Inclui FGTS</t>
  </si>
  <si>
    <t xml:space="preserve">    de redução correspondendo ao percentual médio das deduções</t>
  </si>
  <si>
    <t xml:space="preserve">    sobre o rendimento tributável, de acordo com as faixas mostradas</t>
  </si>
  <si>
    <t xml:space="preserve">    na tabela de dedução média.</t>
  </si>
  <si>
    <t>SIMPLES</t>
  </si>
  <si>
    <t>4. Previdência do LP inclui FGTS e RAT e Previdência do SIMPLES inclui FGTS.</t>
  </si>
  <si>
    <t>Total SIMPLES</t>
  </si>
  <si>
    <t>Total PF</t>
  </si>
  <si>
    <t>Simples Soc. Unipessoal</t>
  </si>
  <si>
    <t>TOTAL</t>
  </si>
  <si>
    <t>Descrição</t>
  </si>
  <si>
    <t>.</t>
  </si>
  <si>
    <t>1. A empresa do Lucro Presumido irá pagar um salário mínimo vigente (R$ 880,00) a seu dirigente.</t>
  </si>
  <si>
    <t>2. A empresa do SIMPLES será enquadrada no Anexo IV da LC 123, sendo obrigada a pagar a previdência à parte a seu dirigente ganhando um salário mínimo.</t>
  </si>
  <si>
    <t>3. À renda bruta da pessoa física foram aplicados os percentuais de redução correspondendo ao percentual médio das deduções sobre o rendimento tributável, de acordo com suas respectivas faixas de renda.</t>
  </si>
  <si>
    <t>4. Previdência do LP inclui FGTS e RAT. Previdência do SIMPLES inclui FGTS.</t>
  </si>
  <si>
    <t>Métrica</t>
  </si>
  <si>
    <t>IRPF/IRPJ</t>
  </si>
  <si>
    <t>Previd. Emp</t>
  </si>
  <si>
    <t>Total LP - Prof</t>
  </si>
  <si>
    <t>Total LP - Emp</t>
  </si>
  <si>
    <t>Previd. Prof.</t>
  </si>
  <si>
    <t>LP - Empresa</t>
  </si>
  <si>
    <t>Qtde CNPJ Empresa</t>
  </si>
  <si>
    <t>GFIP - Qtd Vinc Tot Med</t>
  </si>
  <si>
    <t>GFIP - Massa Tot</t>
  </si>
  <si>
    <t>GFIP - Vl Apurado Empresa</t>
  </si>
  <si>
    <t>Contr. Patronal</t>
  </si>
  <si>
    <t>Massa Média</t>
  </si>
  <si>
    <t>Aliq. Média</t>
  </si>
  <si>
    <t>Faixa de RB 32%</t>
  </si>
  <si>
    <t>Colunas1</t>
  </si>
  <si>
    <t>Colunas2</t>
  </si>
  <si>
    <t>IR</t>
  </si>
  <si>
    <t>INSS Pat + FGTS + Sistema S + SAT</t>
  </si>
  <si>
    <t xml:space="preserve">LP - Profisionais </t>
  </si>
  <si>
    <t>LP - Profissionais</t>
  </si>
  <si>
    <t>NOTA:</t>
  </si>
  <si>
    <t>Esta simulação considera parâmetros gerais, não se aplicando a todas as situações verificáveis na realidade. A demonstração tem a finalidade exclusiva de estimar a incidência potencial comparativa dos modelos, sendo vedada sua utilização</t>
  </si>
  <si>
    <t>como mecanismo de apuração dos impostos e contribuições aqui mencionados.</t>
  </si>
  <si>
    <t>1. Aos rendimentos brutos da Pessoa Física foram aplicados os percentuais de redução correspondentes à média das deduções sobre os rendimentos tributáveis, de acordo com as respectivas faixas de renda.</t>
  </si>
  <si>
    <t xml:space="preserve">2. O item "Previdência" da empresa do lucro presumido (LP-Empresa) inclui, para fins de demonstração: contribuição patronal (20%), FGTS (8%), Sistema S e RAT (3%), incidentes sobre a massa salarial de seus empregados. </t>
  </si>
  <si>
    <t xml:space="preserve">    e RAT (3%). </t>
  </si>
  <si>
    <t>3. Para a empresa do lucro presumido de "Profissionais" (LP-Profissionais), considerou-se que será pago um salário mínimo vigente (R$ 880,00) a seu dirigente. Sobre esse salário incide: contribuição patronal (20%), FGTS (8%), Sistema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</si>
</sst>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R$&quot;\ #,##0.00;[Red]&quot;R$&quot;\ \-#,##0.00"/>
    <numFmt numFmtId="44" formatCode="_ &quot;R$&quot;\ * #,##0.00_ ;_ &quot;R$&quot;\ * \-#,##0.00_ ;_ &quot;R$&quot;\ * &quot;-&quot;??_ ;_ @_ "/>
    <numFmt numFmtId="164" formatCode="_(* #,##0.00_);_(* \(#,##0.00\);_(* &quot;-&quot;??_);_(@_)"/>
    <numFmt numFmtId="165" formatCode="0.0%"/>
    <numFmt numFmtId="166" formatCode="#,##0.00_ ;[Red]\-#,##0.00\ "/>
    <numFmt numFmtId="167" formatCode="_(* #,##0_);_(* \(#,##0\);_(* &quot;-&quot;??_);_(@_)"/>
    <numFmt numFmtId="168" formatCode="#,##0.00;\(#,##0.00\)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color indexed="12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0"/>
      <color rgb="FF231F2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color rgb="FF333333"/>
      <name val="Arial"/>
      <family val="2"/>
    </font>
    <font>
      <sz val="8"/>
      <color rgb="FFFF0000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b/>
      <sz val="8"/>
      <color rgb="FF25396E"/>
      <name val="Arial"/>
      <family val="2"/>
    </font>
    <font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3300"/>
        <bgColor indexed="64"/>
      </patternFill>
    </fill>
    <fill>
      <gradientFill degree="90">
        <stop position="0">
          <color rgb="FFC0C0C0"/>
        </stop>
        <stop position="1">
          <color rgb="FFF0F0F0"/>
        </stop>
      </gradientFill>
    </fill>
    <fill>
      <patternFill patternType="solid">
        <fgColor rgb="FFFFFFFF"/>
      </patternFill>
    </fill>
  </fills>
  <borders count="4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2"/>
      </top>
      <bottom style="medium">
        <color indexed="64"/>
      </bottom>
      <diagonal/>
    </border>
    <border>
      <left/>
      <right/>
      <top/>
      <bottom style="hair">
        <color indexed="62"/>
      </bottom>
      <diagonal/>
    </border>
    <border>
      <left style="medium">
        <color rgb="FFE4E2E1"/>
      </left>
      <right style="medium">
        <color rgb="FFE4E2E1"/>
      </right>
      <top style="medium">
        <color rgb="FFE4E2E1"/>
      </top>
      <bottom style="medium">
        <color rgb="FFE4E2E1"/>
      </bottom>
      <diagonal/>
    </border>
    <border>
      <left style="medium">
        <color rgb="FFE4E2E1"/>
      </left>
      <right/>
      <top style="medium">
        <color rgb="FFE4E2E1"/>
      </top>
      <bottom style="medium">
        <color rgb="FFE4E2E1"/>
      </bottom>
      <diagonal/>
    </border>
    <border>
      <left/>
      <right style="medium">
        <color rgb="FFE4E2E1"/>
      </right>
      <top style="medium">
        <color rgb="FFE4E2E1"/>
      </top>
      <bottom style="medium">
        <color rgb="FFE4E2E1"/>
      </bottom>
      <diagonal/>
    </border>
    <border>
      <left/>
      <right/>
      <top style="medium">
        <color rgb="FFE4E2E1"/>
      </top>
      <bottom style="medium">
        <color rgb="FFE4E2E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DDDDDD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0" fontId="4" fillId="0" borderId="0">
      <alignment vertical="center"/>
    </xf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16">
    <xf numFmtId="0" fontId="0" fillId="0" borderId="0" xfId="0"/>
    <xf numFmtId="40" fontId="5" fillId="0" borderId="0" xfId="1" applyFont="1" applyFill="1" applyBorder="1">
      <alignment vertical="center"/>
    </xf>
    <xf numFmtId="40" fontId="5" fillId="0" borderId="0" xfId="1" applyFont="1" applyAlignment="1">
      <alignment horizontal="center" vertical="center"/>
    </xf>
    <xf numFmtId="40" fontId="5" fillId="0" borderId="0" xfId="1" applyFont="1">
      <alignment vertical="center"/>
    </xf>
    <xf numFmtId="165" fontId="5" fillId="0" borderId="0" xfId="2" applyNumberFormat="1" applyFont="1" applyFill="1" applyBorder="1" applyAlignment="1">
      <alignment vertical="center"/>
    </xf>
    <xf numFmtId="40" fontId="3" fillId="0" borderId="0" xfId="1" applyFont="1" applyFill="1" applyBorder="1" applyAlignment="1">
      <alignment horizontal="center" vertical="center"/>
    </xf>
    <xf numFmtId="40" fontId="3" fillId="0" borderId="0" xfId="1" applyFont="1" applyFill="1" applyAlignment="1">
      <alignment horizontal="center" vertical="center"/>
    </xf>
    <xf numFmtId="38" fontId="5" fillId="0" borderId="0" xfId="1" applyNumberFormat="1" applyFont="1" applyAlignment="1">
      <alignment horizontal="center" vertical="center"/>
    </xf>
    <xf numFmtId="38" fontId="5" fillId="0" borderId="0" xfId="1" applyNumberFormat="1" applyFont="1" applyFill="1" applyBorder="1" applyAlignment="1">
      <alignment horizontal="center" vertical="center"/>
    </xf>
    <xf numFmtId="9" fontId="3" fillId="0" borderId="2" xfId="2" applyFont="1" applyFill="1" applyBorder="1" applyAlignment="1">
      <alignment horizontal="center" vertical="center" wrapText="1"/>
    </xf>
    <xf numFmtId="9" fontId="3" fillId="0" borderId="24" xfId="2" applyFont="1" applyFill="1" applyBorder="1" applyAlignment="1">
      <alignment horizontal="center" vertical="center" wrapText="1"/>
    </xf>
    <xf numFmtId="38" fontId="5" fillId="0" borderId="25" xfId="1" applyNumberFormat="1" applyFont="1" applyFill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center" vertical="center"/>
    </xf>
    <xf numFmtId="10" fontId="5" fillId="0" borderId="25" xfId="2" applyNumberFormat="1" applyFont="1" applyFill="1" applyBorder="1" applyAlignment="1">
      <alignment horizontal="center" vertical="center"/>
    </xf>
    <xf numFmtId="40" fontId="5" fillId="0" borderId="0" xfId="1" applyFont="1" applyFill="1">
      <alignment vertical="center"/>
    </xf>
    <xf numFmtId="10" fontId="5" fillId="0" borderId="0" xfId="2" applyNumberFormat="1" applyFont="1" applyFill="1" applyAlignment="1">
      <alignment vertical="center"/>
    </xf>
    <xf numFmtId="38" fontId="3" fillId="8" borderId="25" xfId="1" applyNumberFormat="1" applyFont="1" applyFill="1" applyBorder="1" applyAlignment="1">
      <alignment horizontal="center" vertical="center"/>
    </xf>
    <xf numFmtId="10" fontId="3" fillId="8" borderId="0" xfId="2" applyNumberFormat="1" applyFont="1" applyFill="1" applyBorder="1" applyAlignment="1">
      <alignment horizontal="center" vertical="center"/>
    </xf>
    <xf numFmtId="10" fontId="3" fillId="8" borderId="25" xfId="2" applyNumberFormat="1" applyFont="1" applyFill="1" applyBorder="1" applyAlignment="1">
      <alignment horizontal="center" vertical="center"/>
    </xf>
    <xf numFmtId="38" fontId="5" fillId="0" borderId="24" xfId="1" applyNumberFormat="1" applyFont="1" applyFill="1" applyBorder="1" applyAlignment="1">
      <alignment horizontal="center" vertical="center"/>
    </xf>
    <xf numFmtId="10" fontId="5" fillId="0" borderId="2" xfId="2" applyNumberFormat="1" applyFont="1" applyFill="1" applyBorder="1" applyAlignment="1">
      <alignment horizontal="center" vertical="center"/>
    </xf>
    <xf numFmtId="10" fontId="5" fillId="0" borderId="24" xfId="2" applyNumberFormat="1" applyFont="1" applyFill="1" applyBorder="1" applyAlignment="1">
      <alignment horizontal="center" vertical="center"/>
    </xf>
    <xf numFmtId="9" fontId="3" fillId="10" borderId="27" xfId="2" applyFont="1" applyFill="1" applyBorder="1" applyAlignment="1">
      <alignment horizontal="center" vertical="center" wrapText="1"/>
    </xf>
    <xf numFmtId="10" fontId="5" fillId="10" borderId="28" xfId="2" applyNumberFormat="1" applyFont="1" applyFill="1" applyBorder="1" applyAlignment="1">
      <alignment horizontal="center" vertical="center"/>
    </xf>
    <xf numFmtId="10" fontId="3" fillId="10" borderId="28" xfId="2" applyNumberFormat="1" applyFont="1" applyFill="1" applyBorder="1" applyAlignment="1">
      <alignment horizontal="center" vertical="center"/>
    </xf>
    <xf numFmtId="10" fontId="5" fillId="10" borderId="27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5" fillId="0" borderId="0" xfId="3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7" xfId="0" applyFont="1" applyFill="1" applyBorder="1" applyAlignment="1">
      <alignment vertical="center"/>
    </xf>
    <xf numFmtId="10" fontId="5" fillId="0" borderId="17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16" xfId="0" applyFont="1" applyFill="1" applyBorder="1" applyAlignment="1">
      <alignment vertical="center"/>
    </xf>
    <xf numFmtId="10" fontId="5" fillId="0" borderId="16" xfId="2" applyNumberFormat="1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44" fontId="9" fillId="0" borderId="0" xfId="4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0" fontId="5" fillId="0" borderId="1" xfId="2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vertical="center"/>
    </xf>
    <xf numFmtId="44" fontId="5" fillId="0" borderId="6" xfId="4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44" fontId="5" fillId="0" borderId="7" xfId="4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vertical="center"/>
    </xf>
    <xf numFmtId="10" fontId="5" fillId="0" borderId="26" xfId="2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4" fontId="9" fillId="0" borderId="2" xfId="4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0" fontId="10" fillId="0" borderId="0" xfId="0" applyNumberFormat="1" applyFont="1" applyFill="1" applyBorder="1" applyAlignment="1">
      <alignment horizontal="center" vertical="center"/>
    </xf>
    <xf numFmtId="164" fontId="3" fillId="0" borderId="0" xfId="3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0" fontId="5" fillId="0" borderId="2" xfId="2" applyNumberFormat="1" applyFont="1" applyFill="1" applyBorder="1" applyAlignment="1">
      <alignment vertical="center"/>
    </xf>
    <xf numFmtId="10" fontId="5" fillId="0" borderId="0" xfId="2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5" fillId="0" borderId="0" xfId="2" applyNumberFormat="1" applyFont="1" applyBorder="1" applyAlignment="1">
      <alignment vertical="center" wrapText="1"/>
    </xf>
    <xf numFmtId="165" fontId="5" fillId="0" borderId="2" xfId="2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3" fillId="5" borderId="1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66" fontId="5" fillId="0" borderId="31" xfId="0" applyNumberFormat="1" applyFont="1" applyFill="1" applyBorder="1" applyAlignment="1">
      <alignment horizontal="right" vertical="center"/>
    </xf>
    <xf numFmtId="166" fontId="5" fillId="0" borderId="31" xfId="0" applyNumberFormat="1" applyFont="1" applyBorder="1" applyAlignment="1">
      <alignment horizontal="right" vertical="center" wrapText="1"/>
    </xf>
    <xf numFmtId="166" fontId="5" fillId="0" borderId="4" xfId="0" applyNumberFormat="1" applyFont="1" applyBorder="1" applyAlignment="1">
      <alignment horizontal="right" vertical="center" wrapText="1"/>
    </xf>
    <xf numFmtId="166" fontId="5" fillId="0" borderId="8" xfId="0" applyNumberFormat="1" applyFont="1" applyFill="1" applyBorder="1" applyAlignment="1">
      <alignment horizontal="right" vertical="center"/>
    </xf>
    <xf numFmtId="9" fontId="3" fillId="10" borderId="14" xfId="2" applyFont="1" applyFill="1" applyBorder="1" applyAlignment="1">
      <alignment horizontal="center" vertical="center" wrapText="1"/>
    </xf>
    <xf numFmtId="10" fontId="5" fillId="10" borderId="13" xfId="2" applyNumberFormat="1" applyFont="1" applyFill="1" applyBorder="1" applyAlignment="1">
      <alignment horizontal="center" vertical="center"/>
    </xf>
    <xf numFmtId="10" fontId="5" fillId="0" borderId="14" xfId="2" applyNumberFormat="1" applyFont="1" applyFill="1" applyBorder="1" applyAlignment="1">
      <alignment horizontal="center" vertical="center"/>
    </xf>
    <xf numFmtId="10" fontId="5" fillId="10" borderId="14" xfId="2" applyNumberFormat="1" applyFont="1" applyFill="1" applyBorder="1" applyAlignment="1">
      <alignment horizontal="center" vertical="center"/>
    </xf>
    <xf numFmtId="10" fontId="3" fillId="8" borderId="0" xfId="2" applyNumberFormat="1" applyFont="1" applyFill="1" applyBorder="1" applyAlignment="1">
      <alignment horizontal="right" vertical="center"/>
    </xf>
    <xf numFmtId="10" fontId="5" fillId="0" borderId="2" xfId="2" applyNumberFormat="1" applyFont="1" applyFill="1" applyBorder="1" applyAlignment="1">
      <alignment horizontal="right" vertical="center"/>
    </xf>
    <xf numFmtId="0" fontId="1" fillId="0" borderId="0" xfId="0" applyFont="1"/>
    <xf numFmtId="0" fontId="1" fillId="0" borderId="0" xfId="0" quotePrefix="1" applyFont="1"/>
    <xf numFmtId="9" fontId="3" fillId="3" borderId="29" xfId="2" applyFont="1" applyFill="1" applyBorder="1" applyAlignment="1">
      <alignment horizontal="centerContinuous" vertical="center" wrapText="1"/>
    </xf>
    <xf numFmtId="9" fontId="3" fillId="3" borderId="10" xfId="2" applyFont="1" applyFill="1" applyBorder="1" applyAlignment="1">
      <alignment horizontal="centerContinuous" vertical="center" wrapText="1"/>
    </xf>
    <xf numFmtId="9" fontId="3" fillId="3" borderId="23" xfId="2" applyFont="1" applyFill="1" applyBorder="1" applyAlignment="1">
      <alignment horizontal="centerContinuous" vertical="center" wrapText="1"/>
    </xf>
    <xf numFmtId="0" fontId="5" fillId="7" borderId="18" xfId="0" applyFont="1" applyFill="1" applyBorder="1" applyAlignment="1">
      <alignment horizontal="center" vertical="top" wrapText="1"/>
    </xf>
    <xf numFmtId="0" fontId="14" fillId="0" borderId="0" xfId="0" applyFont="1" applyAlignment="1">
      <alignment vertical="center" wrapText="1"/>
    </xf>
    <xf numFmtId="0" fontId="5" fillId="0" borderId="0" xfId="0" applyFont="1"/>
    <xf numFmtId="0" fontId="5" fillId="7" borderId="19" xfId="0" applyFont="1" applyFill="1" applyBorder="1" applyAlignment="1">
      <alignment horizontal="center" vertical="top" wrapText="1"/>
    </xf>
    <xf numFmtId="8" fontId="5" fillId="7" borderId="18" xfId="0" applyNumberFormat="1" applyFont="1" applyFill="1" applyBorder="1" applyAlignment="1">
      <alignment horizontal="center" vertical="top" wrapText="1"/>
    </xf>
    <xf numFmtId="9" fontId="5" fillId="7" borderId="19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/>
    </xf>
    <xf numFmtId="167" fontId="5" fillId="0" borderId="0" xfId="3" applyNumberFormat="1" applyFont="1" applyFill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13" fillId="11" borderId="0" xfId="0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167" fontId="5" fillId="0" borderId="2" xfId="3" applyNumberFormat="1" applyFont="1" applyFill="1" applyBorder="1" applyAlignment="1">
      <alignment vertical="center"/>
    </xf>
    <xf numFmtId="167" fontId="5" fillId="0" borderId="2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9" fontId="1" fillId="0" borderId="0" xfId="2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166" fontId="9" fillId="0" borderId="0" xfId="0" applyNumberFormat="1" applyFont="1" applyFill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9" fontId="5" fillId="0" borderId="0" xfId="2" applyFont="1" applyFill="1" applyBorder="1" applyAlignment="1">
      <alignment horizontal="center" vertical="center"/>
    </xf>
    <xf numFmtId="9" fontId="5" fillId="0" borderId="2" xfId="2" applyFont="1" applyFill="1" applyBorder="1" applyAlignment="1">
      <alignment horizontal="center" vertical="center"/>
    </xf>
    <xf numFmtId="40" fontId="15" fillId="0" borderId="0" xfId="1" quotePrefix="1" applyFont="1" applyAlignment="1">
      <alignment horizontal="left" vertical="center"/>
    </xf>
    <xf numFmtId="10" fontId="0" fillId="0" borderId="0" xfId="0" applyNumberFormat="1" applyAlignment="1">
      <alignment horizontal="center"/>
    </xf>
    <xf numFmtId="10" fontId="2" fillId="0" borderId="0" xfId="2" applyNumberFormat="1" applyFont="1" applyFill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9" fontId="16" fillId="15" borderId="10" xfId="2" applyFont="1" applyFill="1" applyBorder="1" applyAlignment="1">
      <alignment horizontal="center" vertical="center" wrapText="1"/>
    </xf>
    <xf numFmtId="9" fontId="3" fillId="13" borderId="10" xfId="2" applyFont="1" applyFill="1" applyBorder="1" applyAlignment="1">
      <alignment horizontal="center" vertical="center" wrapText="1"/>
    </xf>
    <xf numFmtId="9" fontId="3" fillId="14" borderId="10" xfId="2" applyFont="1" applyFill="1" applyBorder="1" applyAlignment="1">
      <alignment horizontal="center" vertical="center" wrapText="1"/>
    </xf>
    <xf numFmtId="9" fontId="3" fillId="16" borderId="10" xfId="2" applyFont="1" applyFill="1" applyBorder="1" applyAlignment="1">
      <alignment horizontal="center" vertical="center" wrapText="1"/>
    </xf>
    <xf numFmtId="9" fontId="3" fillId="12" borderId="10" xfId="2" applyFont="1" applyFill="1" applyBorder="1" applyAlignment="1">
      <alignment horizontal="center" vertical="center" wrapText="1"/>
    </xf>
    <xf numFmtId="0" fontId="1" fillId="0" borderId="32" xfId="0" applyFont="1" applyBorder="1"/>
    <xf numFmtId="10" fontId="2" fillId="0" borderId="32" xfId="2" applyNumberFormat="1" applyFont="1" applyFill="1" applyBorder="1"/>
    <xf numFmtId="10" fontId="0" fillId="0" borderId="32" xfId="0" applyNumberFormat="1" applyBorder="1" applyAlignment="1">
      <alignment horizontal="center"/>
    </xf>
    <xf numFmtId="0" fontId="1" fillId="0" borderId="33" xfId="0" applyFont="1" applyBorder="1"/>
    <xf numFmtId="10" fontId="2" fillId="0" borderId="33" xfId="2" applyNumberFormat="1" applyFont="1" applyFill="1" applyBorder="1"/>
    <xf numFmtId="10" fontId="0" fillId="0" borderId="33" xfId="0" applyNumberFormat="1" applyBorder="1" applyAlignment="1">
      <alignment horizontal="center"/>
    </xf>
    <xf numFmtId="9" fontId="16" fillId="17" borderId="10" xfId="2" applyFont="1" applyFill="1" applyBorder="1" applyAlignment="1">
      <alignment horizontal="center" vertical="center" wrapText="1"/>
    </xf>
    <xf numFmtId="168" fontId="17" fillId="19" borderId="2" xfId="0" applyNumberFormat="1" applyFont="1" applyFill="1" applyBorder="1" applyAlignment="1">
      <alignment horizontal="right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8" fontId="17" fillId="19" borderId="0" xfId="0" applyNumberFormat="1" applyFont="1" applyFill="1" applyBorder="1" applyAlignment="1">
      <alignment horizontal="right" vertical="center" wrapText="1"/>
    </xf>
    <xf numFmtId="165" fontId="5" fillId="0" borderId="2" xfId="2" applyNumberFormat="1" applyFont="1" applyFill="1" applyBorder="1" applyAlignment="1">
      <alignment vertical="center"/>
    </xf>
    <xf numFmtId="165" fontId="5" fillId="0" borderId="0" xfId="0" applyNumberFormat="1" applyFont="1" applyFill="1" applyAlignment="1">
      <alignment vertical="center"/>
    </xf>
    <xf numFmtId="0" fontId="9" fillId="14" borderId="3" xfId="0" applyFont="1" applyFill="1" applyBorder="1" applyAlignment="1">
      <alignment horizontal="center" vertical="center"/>
    </xf>
    <xf numFmtId="166" fontId="9" fillId="14" borderId="3" xfId="0" applyNumberFormat="1" applyFont="1" applyFill="1" applyBorder="1" applyAlignment="1">
      <alignment horizontal="center" vertical="center"/>
    </xf>
    <xf numFmtId="168" fontId="17" fillId="14" borderId="3" xfId="0" applyNumberFormat="1" applyFont="1" applyFill="1" applyBorder="1" applyAlignment="1">
      <alignment horizontal="right" vertical="center" wrapText="1"/>
    </xf>
    <xf numFmtId="165" fontId="5" fillId="14" borderId="3" xfId="2" applyNumberFormat="1" applyFont="1" applyFill="1" applyBorder="1" applyAlignment="1">
      <alignment vertical="center"/>
    </xf>
    <xf numFmtId="166" fontId="9" fillId="14" borderId="0" xfId="0" applyNumberFormat="1" applyFont="1" applyFill="1" applyBorder="1" applyAlignment="1">
      <alignment horizontal="center" vertical="center"/>
    </xf>
    <xf numFmtId="168" fontId="17" fillId="14" borderId="0" xfId="0" applyNumberFormat="1" applyFont="1" applyFill="1" applyBorder="1" applyAlignment="1">
      <alignment horizontal="right" vertical="center" wrapText="1"/>
    </xf>
    <xf numFmtId="165" fontId="5" fillId="14" borderId="0" xfId="2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0" fontId="5" fillId="14" borderId="0" xfId="0" applyFont="1" applyFill="1" applyAlignment="1">
      <alignment vertical="center"/>
    </xf>
    <xf numFmtId="165" fontId="5" fillId="14" borderId="0" xfId="0" applyNumberFormat="1" applyFont="1" applyFill="1" applyAlignment="1">
      <alignment vertical="center"/>
    </xf>
    <xf numFmtId="165" fontId="5" fillId="0" borderId="0" xfId="2" applyNumberFormat="1" applyFont="1" applyAlignment="1">
      <alignment vertical="center"/>
    </xf>
    <xf numFmtId="165" fontId="5" fillId="0" borderId="2" xfId="2" applyNumberFormat="1" applyFont="1" applyBorder="1" applyAlignment="1">
      <alignment vertical="center"/>
    </xf>
    <xf numFmtId="165" fontId="3" fillId="10" borderId="9" xfId="2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Alignment="1">
      <alignment horizontal="center" vertical="center"/>
    </xf>
    <xf numFmtId="0" fontId="18" fillId="18" borderId="34" xfId="0" applyFont="1" applyFill="1" applyBorder="1" applyAlignment="1">
      <alignment horizontal="left" vertical="center" wrapText="1"/>
    </xf>
    <xf numFmtId="0" fontId="18" fillId="18" borderId="34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36" xfId="0" applyFont="1" applyFill="1" applyBorder="1" applyAlignment="1">
      <alignment horizontal="left" vertical="center" wrapText="1"/>
    </xf>
    <xf numFmtId="0" fontId="18" fillId="18" borderId="36" xfId="0" applyFont="1" applyFill="1" applyBorder="1" applyAlignment="1">
      <alignment horizontal="center" wrapText="1"/>
    </xf>
    <xf numFmtId="0" fontId="18" fillId="18" borderId="37" xfId="0" applyFont="1" applyFill="1" applyBorder="1" applyAlignment="1">
      <alignment horizontal="center" wrapText="1"/>
    </xf>
    <xf numFmtId="168" fontId="10" fillId="19" borderId="36" xfId="0" applyNumberFormat="1" applyFont="1" applyFill="1" applyBorder="1" applyAlignment="1">
      <alignment horizontal="right" vertical="center" wrapText="1"/>
    </xf>
    <xf numFmtId="168" fontId="10" fillId="19" borderId="37" xfId="0" applyNumberFormat="1" applyFont="1" applyFill="1" applyBorder="1" applyAlignment="1">
      <alignment horizontal="right" vertical="center" wrapText="1"/>
    </xf>
    <xf numFmtId="9" fontId="3" fillId="10" borderId="2" xfId="2" applyFont="1" applyFill="1" applyBorder="1" applyAlignment="1">
      <alignment horizontal="center" vertical="center" wrapText="1"/>
    </xf>
    <xf numFmtId="10" fontId="5" fillId="10" borderId="0" xfId="2" applyNumberFormat="1" applyFont="1" applyFill="1" applyBorder="1" applyAlignment="1">
      <alignment horizontal="center" vertical="center"/>
    </xf>
    <xf numFmtId="9" fontId="3" fillId="0" borderId="38" xfId="2" applyFont="1" applyFill="1" applyBorder="1" applyAlignment="1">
      <alignment horizontal="center" vertical="center" wrapText="1"/>
    </xf>
    <xf numFmtId="10" fontId="5" fillId="0" borderId="13" xfId="2" applyNumberFormat="1" applyFont="1" applyFill="1" applyBorder="1" applyAlignment="1">
      <alignment horizontal="center" vertical="center"/>
    </xf>
    <xf numFmtId="10" fontId="3" fillId="8" borderId="13" xfId="2" applyNumberFormat="1" applyFont="1" applyFill="1" applyBorder="1" applyAlignment="1">
      <alignment horizontal="center" vertical="center"/>
    </xf>
    <xf numFmtId="3" fontId="5" fillId="0" borderId="0" xfId="0" applyNumberFormat="1" applyFont="1"/>
    <xf numFmtId="4" fontId="5" fillId="0" borderId="0" xfId="0" applyNumberFormat="1" applyFont="1"/>
    <xf numFmtId="166" fontId="9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Alignment="1">
      <alignment horizontal="right" vertical="center"/>
    </xf>
    <xf numFmtId="0" fontId="5" fillId="0" borderId="39" xfId="0" applyFont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/>
    <xf numFmtId="4" fontId="5" fillId="0" borderId="0" xfId="0" applyNumberFormat="1" applyFont="1" applyBorder="1"/>
    <xf numFmtId="10" fontId="5" fillId="0" borderId="0" xfId="2" applyNumberFormat="1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horizontal="right" vertical="center"/>
    </xf>
    <xf numFmtId="10" fontId="3" fillId="3" borderId="10" xfId="2" applyNumberFormat="1" applyFont="1" applyFill="1" applyBorder="1" applyAlignment="1">
      <alignment horizontal="right" vertical="center" wrapText="1"/>
    </xf>
    <xf numFmtId="10" fontId="5" fillId="10" borderId="0" xfId="2" applyNumberFormat="1" applyFont="1" applyFill="1" applyBorder="1" applyAlignment="1">
      <alignment horizontal="right" vertical="center"/>
    </xf>
    <xf numFmtId="10" fontId="5" fillId="10" borderId="14" xfId="2" applyNumberFormat="1" applyFont="1" applyFill="1" applyBorder="1" applyAlignment="1">
      <alignment horizontal="right" vertical="center"/>
    </xf>
    <xf numFmtId="165" fontId="5" fillId="12" borderId="0" xfId="2" applyNumberFormat="1" applyFont="1" applyFill="1" applyAlignment="1">
      <alignment vertical="center"/>
    </xf>
    <xf numFmtId="10" fontId="5" fillId="10" borderId="24" xfId="2" applyNumberFormat="1" applyFont="1" applyFill="1" applyBorder="1" applyAlignment="1">
      <alignment horizontal="center" vertical="center"/>
    </xf>
    <xf numFmtId="4" fontId="19" fillId="0" borderId="0" xfId="0" applyNumberFormat="1" applyFont="1" applyFill="1" applyAlignment="1">
      <alignment vertical="center"/>
    </xf>
    <xf numFmtId="4" fontId="19" fillId="0" borderId="0" xfId="2" applyNumberFormat="1" applyFont="1" applyFill="1" applyAlignment="1">
      <alignment vertical="center"/>
    </xf>
    <xf numFmtId="0" fontId="19" fillId="0" borderId="39" xfId="0" applyFont="1" applyFill="1" applyBorder="1" applyAlignment="1">
      <alignment horizontal="center" vertical="center" wrapText="1"/>
    </xf>
    <xf numFmtId="10" fontId="19" fillId="0" borderId="0" xfId="2" applyNumberFormat="1" applyFont="1" applyFill="1" applyAlignment="1">
      <alignment vertical="center"/>
    </xf>
    <xf numFmtId="10" fontId="5" fillId="12" borderId="0" xfId="0" applyNumberFormat="1" applyFont="1" applyFill="1" applyBorder="1" applyAlignment="1">
      <alignment horizontal="center" vertical="center"/>
    </xf>
    <xf numFmtId="0" fontId="1" fillId="0" borderId="40" xfId="0" applyFont="1" applyBorder="1"/>
    <xf numFmtId="10" fontId="2" fillId="0" borderId="40" xfId="2" applyNumberFormat="1" applyFont="1" applyFill="1" applyBorder="1"/>
    <xf numFmtId="10" fontId="0" fillId="0" borderId="40" xfId="0" applyNumberFormat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/>
    <xf numFmtId="0" fontId="0" fillId="0" borderId="0" xfId="0" applyProtection="1">
      <protection locked="0"/>
    </xf>
    <xf numFmtId="40" fontId="3" fillId="0" borderId="0" xfId="1" applyFont="1" applyAlignment="1">
      <alignment horizontal="center" vertical="center"/>
    </xf>
    <xf numFmtId="40" fontId="3" fillId="4" borderId="22" xfId="1" applyFont="1" applyFill="1" applyBorder="1" applyAlignment="1">
      <alignment horizontal="center" vertical="center" wrapText="1"/>
    </xf>
    <xf numFmtId="40" fontId="3" fillId="4" borderId="24" xfId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top"/>
    </xf>
    <xf numFmtId="0" fontId="3" fillId="6" borderId="21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top" wrapText="1"/>
    </xf>
    <xf numFmtId="0" fontId="3" fillId="6" borderId="20" xfId="0" applyFont="1" applyFill="1" applyBorder="1" applyAlignment="1">
      <alignment horizontal="center" vertical="top" wrapText="1"/>
    </xf>
    <xf numFmtId="0" fontId="9" fillId="5" borderId="10" xfId="0" applyFont="1" applyFill="1" applyBorder="1" applyAlignment="1">
      <alignment horizontal="center" vertical="center"/>
    </xf>
    <xf numFmtId="164" fontId="5" fillId="5" borderId="3" xfId="3" applyFont="1" applyFill="1" applyBorder="1" applyAlignment="1">
      <alignment horizontal="center" vertical="center" wrapText="1"/>
    </xf>
    <xf numFmtId="164" fontId="5" fillId="5" borderId="2" xfId="3" applyFont="1" applyFill="1" applyBorder="1" applyAlignment="1">
      <alignment horizontal="center" vertical="center" wrapText="1"/>
    </xf>
    <xf numFmtId="10" fontId="5" fillId="5" borderId="3" xfId="0" applyNumberFormat="1" applyFont="1" applyFill="1" applyBorder="1" applyAlignment="1">
      <alignment horizontal="center" vertical="center" wrapText="1"/>
    </xf>
    <xf numFmtId="10" fontId="5" fillId="5" borderId="2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33" xfId="0" applyBorder="1"/>
  </cellXfs>
  <cellStyles count="5">
    <cellStyle name="Moeda" xfId="4" builtinId="4"/>
    <cellStyle name="Normal" xfId="0" builtinId="0"/>
    <cellStyle name="Normal_Tabela Presumido Serviços 2" xfId="1"/>
    <cellStyle name="Porcentagem" xfId="2" builtinId="5"/>
    <cellStyle name="Vírgula" xfId="3" builtinId="3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#,##0.00_ ;[Red]\-#,##0.00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,##0.00_ ;[Red]\-#,##0.00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3300"/>
      <color rgb="FFA50021"/>
      <color rgb="FFB2B2B2"/>
      <color rgb="FF969696"/>
      <color rgb="FFFF9900"/>
      <color rgb="FFFFFF00"/>
      <color rgb="FFFFFFCC"/>
      <color rgb="FFEAEAEA"/>
      <color rgb="FFCC66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56322576982362E-2"/>
          <c:y val="0.11012265180557029"/>
          <c:w val="0.8679474515467398"/>
          <c:h val="0.658115906122092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Dados!$C$4</c:f>
              <c:strCache>
                <c:ptCount val="1"/>
                <c:pt idx="0">
                  <c:v>IR</c:v>
                </c:pt>
              </c:strCache>
            </c:strRef>
          </c:tx>
          <c:spPr>
            <a:solidFill>
              <a:srgbClr val="0099CC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2867443150305047"/>
                  <c:y val="-5.4644820499295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6860787576261785"/>
                  <c:y val="-8.196723074894269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2423738214087632"/>
                  <c:y val="-1.001810136157551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(Dados!$C$3,Dados!$M$3,Dados!$T$3)</c:f>
              <c:strCache>
                <c:ptCount val="3"/>
                <c:pt idx="0">
                  <c:v>LP - Profissionais</c:v>
                </c:pt>
                <c:pt idx="1">
                  <c:v>Simples Soc. Unipessoal</c:v>
                </c:pt>
                <c:pt idx="2">
                  <c:v>Pessoa Física</c:v>
                </c:pt>
              </c:strCache>
            </c:strRef>
          </c:cat>
          <c:val>
            <c:numRef>
              <c:f>[0]!Int_IRPJ</c:f>
              <c:numCache>
                <c:formatCode>0.00%</c:formatCode>
                <c:ptCount val="3"/>
                <c:pt idx="0">
                  <c:v>5.3333333333333337E-2</c:v>
                </c:pt>
                <c:pt idx="1">
                  <c:v>8.8999999999999999E-3</c:v>
                </c:pt>
                <c:pt idx="2">
                  <c:v>0.22119666449737843</c:v>
                </c:pt>
              </c:numCache>
            </c:numRef>
          </c:val>
        </c:ser>
        <c:ser>
          <c:idx val="1"/>
          <c:order val="1"/>
          <c:tx>
            <c:strRef>
              <c:f>Dados!$D$4</c:f>
              <c:strCache>
                <c:ptCount val="1"/>
                <c:pt idx="0">
                  <c:v>CSLL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1758180809761505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464226289517471"/>
                  <c:y val="-1.09289640998588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[0]!Int_CSLL</c:f>
              <c:numCache>
                <c:formatCode>0.00%</c:formatCode>
                <c:ptCount val="3"/>
                <c:pt idx="0">
                  <c:v>2.8799999999999999E-2</c:v>
                </c:pt>
                <c:pt idx="1">
                  <c:v>1.89E-2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Dados!$E$4</c:f>
              <c:strCache>
                <c:ptCount val="1"/>
                <c:pt idx="0">
                  <c:v>PIS</c:v>
                </c:pt>
              </c:strCache>
            </c:strRef>
          </c:tx>
          <c:spPr>
            <a:solidFill>
              <a:srgbClr val="CC33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087077093732667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427066001109263"/>
                  <c:y val="-5.4644820499295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[0]!Int_PIS</c:f>
              <c:numCache>
                <c:formatCode>0.00%</c:formatCode>
                <c:ptCount val="3"/>
                <c:pt idx="0">
                  <c:v>6.4999999999999997E-3</c:v>
                </c:pt>
                <c:pt idx="1">
                  <c:v>2.8999999999999998E-3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Dados!$F$4</c:f>
              <c:strCache>
                <c:ptCount val="1"/>
                <c:pt idx="0">
                  <c:v>Cofins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0205213533000555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19111373293322"/>
                  <c:y val="-5.464482049929445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[0]!Int_Cofins</c:f>
              <c:numCache>
                <c:formatCode>0.00%</c:formatCode>
                <c:ptCount val="3"/>
                <c:pt idx="0">
                  <c:v>0.03</c:v>
                </c:pt>
                <c:pt idx="1">
                  <c:v>2.0299999999999999E-2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Dados!$G$4</c:f>
              <c:strCache>
                <c:ptCount val="1"/>
                <c:pt idx="0">
                  <c:v>Previd. Prof.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9833610648918464E-2"/>
                  <c:y val="8.196723074894168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4891846921797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309868595415801"/>
                  <c:y val="-4.6448097424400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[0]!Int_Prev</c:f>
              <c:numCache>
                <c:formatCode>0.00%</c:formatCode>
                <c:ptCount val="3"/>
                <c:pt idx="0">
                  <c:v>4.040471111111112E-3</c:v>
                </c:pt>
                <c:pt idx="1">
                  <c:v>3.649457777777778E-3</c:v>
                </c:pt>
                <c:pt idx="2">
                  <c:v>1.5373400133333336E-2</c:v>
                </c:pt>
              </c:numCache>
            </c:numRef>
          </c:val>
        </c:ser>
        <c:ser>
          <c:idx val="5"/>
          <c:order val="5"/>
          <c:tx>
            <c:strRef>
              <c:f>Dados!$H$4</c:f>
              <c:strCache>
                <c:ptCount val="1"/>
                <c:pt idx="0">
                  <c:v>ISS</c:v>
                </c:pt>
              </c:strCache>
            </c:strRef>
          </c:tx>
          <c:spPr>
            <a:solidFill>
              <a:srgbClr val="B2B2B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1314475873544093"/>
                  <c:y val="-2.4590169224682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4891846921797"/>
                  <c:y val="8.196723074894168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309868595415801"/>
                  <c:y val="-5.46448204992943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[0]!Int_ISS</c:f>
              <c:numCache>
                <c:formatCode>0.00%</c:formatCode>
                <c:ptCount val="3"/>
                <c:pt idx="0">
                  <c:v>0.05</c:v>
                </c:pt>
                <c:pt idx="1">
                  <c:v>3.8699999999999998E-2</c:v>
                </c:pt>
                <c:pt idx="2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33643344"/>
        <c:axId val="333643904"/>
      </c:barChart>
      <c:catAx>
        <c:axId val="33364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3643904"/>
        <c:crosses val="autoZero"/>
        <c:auto val="1"/>
        <c:lblAlgn val="ctr"/>
        <c:lblOffset val="100"/>
        <c:noMultiLvlLbl val="0"/>
      </c:catAx>
      <c:valAx>
        <c:axId val="333643904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364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933011909285047"/>
          <c:y val="0.87677418155666142"/>
          <c:w val="0.62133976181429895"/>
          <c:h val="5.31868936317276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819234722177476E-2"/>
          <c:y val="0.11012272149710267"/>
          <c:w val="0.8679474515467398"/>
          <c:h val="0.658115906122092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Dados!$C$4</c:f>
              <c:strCache>
                <c:ptCount val="1"/>
                <c:pt idx="0">
                  <c:v>IR</c:v>
                </c:pt>
              </c:strCache>
            </c:strRef>
          </c:tx>
          <c:spPr>
            <a:solidFill>
              <a:srgbClr val="0099C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464226289517471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3976705490848584"/>
                  <c:y val="-9.997612295868461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2645590682196339"/>
                  <c:y val="8.179959100204499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(Dados!$C$3,Dados!$M$3,Dados!$T$3)</c:f>
              <c:strCache>
                <c:ptCount val="3"/>
                <c:pt idx="0">
                  <c:v>LP - Profissionais</c:v>
                </c:pt>
                <c:pt idx="1">
                  <c:v>Simples Soc. Unipessoal</c:v>
                </c:pt>
                <c:pt idx="2">
                  <c:v>Pessoa Física</c:v>
                </c:pt>
              </c:strCache>
            </c:strRef>
          </c:cat>
          <c:val>
            <c:numRef>
              <c:f>[0]!Int_IRPJ_2</c:f>
              <c:numCache>
                <c:formatCode>0.00%</c:formatCode>
                <c:ptCount val="3"/>
                <c:pt idx="0">
                  <c:v>5.3333333333333337E-2</c:v>
                </c:pt>
                <c:pt idx="1">
                  <c:v>8.8999999999999999E-3</c:v>
                </c:pt>
                <c:pt idx="2">
                  <c:v>0.22119666449737843</c:v>
                </c:pt>
              </c:numCache>
            </c:numRef>
          </c:val>
        </c:ser>
        <c:ser>
          <c:idx val="1"/>
          <c:order val="1"/>
          <c:tx>
            <c:strRef>
              <c:f>Dados!$D$4</c:f>
              <c:strCache>
                <c:ptCount val="1"/>
                <c:pt idx="0">
                  <c:v>CSLL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3533000554631167"/>
                  <c:y val="-2.726653033401499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45590682196339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(Dados!$C$3,Dados!$M$3,Dados!$T$3)</c:f>
              <c:strCache>
                <c:ptCount val="3"/>
                <c:pt idx="0">
                  <c:v>LP - Profissionais</c:v>
                </c:pt>
                <c:pt idx="1">
                  <c:v>Simples Soc. Unipessoal</c:v>
                </c:pt>
                <c:pt idx="2">
                  <c:v>Pessoa Física</c:v>
                </c:pt>
              </c:strCache>
            </c:strRef>
          </c:cat>
          <c:val>
            <c:numRef>
              <c:f>[0]!Int_CSLL_2</c:f>
              <c:numCache>
                <c:formatCode>0.00%</c:formatCode>
                <c:ptCount val="3"/>
                <c:pt idx="0">
                  <c:v>2.8799999999999999E-2</c:v>
                </c:pt>
                <c:pt idx="1">
                  <c:v>1.89E-2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Dados!$E$4</c:f>
              <c:strCache>
                <c:ptCount val="1"/>
                <c:pt idx="0">
                  <c:v>PIS</c:v>
                </c:pt>
              </c:strCache>
            </c:strRef>
          </c:tx>
          <c:spPr>
            <a:solidFill>
              <a:srgbClr val="CC33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1092623405435385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1758180809761509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(Dados!$C$3,Dados!$M$3,Dados!$T$3)</c:f>
              <c:strCache>
                <c:ptCount val="3"/>
                <c:pt idx="0">
                  <c:v>LP - Profissionais</c:v>
                </c:pt>
                <c:pt idx="1">
                  <c:v>Simples Soc. Unipessoal</c:v>
                </c:pt>
                <c:pt idx="2">
                  <c:v>Pessoa Física</c:v>
                </c:pt>
              </c:strCache>
            </c:strRef>
          </c:cat>
          <c:val>
            <c:numRef>
              <c:f>[0]!Int_PIS_2</c:f>
              <c:numCache>
                <c:formatCode>0.00%</c:formatCode>
                <c:ptCount val="3"/>
                <c:pt idx="0">
                  <c:v>6.4999999999999997E-3</c:v>
                </c:pt>
                <c:pt idx="1">
                  <c:v>2.8999999999999998E-3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Dados!$F$4</c:f>
              <c:strCache>
                <c:ptCount val="1"/>
                <c:pt idx="0">
                  <c:v>Cofins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983361064891846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1758180809761509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(Dados!$C$3,Dados!$M$3,Dados!$T$3)</c:f>
              <c:strCache>
                <c:ptCount val="3"/>
                <c:pt idx="0">
                  <c:v>LP - Profissionais</c:v>
                </c:pt>
                <c:pt idx="1">
                  <c:v>Simples Soc. Unipessoal</c:v>
                </c:pt>
                <c:pt idx="2">
                  <c:v>Pessoa Física</c:v>
                </c:pt>
              </c:strCache>
            </c:strRef>
          </c:cat>
          <c:val>
            <c:numRef>
              <c:f>[0]!Int_Cofins_2</c:f>
              <c:numCache>
                <c:formatCode>0.00%</c:formatCode>
                <c:ptCount val="3"/>
                <c:pt idx="0">
                  <c:v>0.03</c:v>
                </c:pt>
                <c:pt idx="1">
                  <c:v>2.0299999999999999E-2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Dados!$G$4</c:f>
              <c:strCache>
                <c:ptCount val="1"/>
                <c:pt idx="0">
                  <c:v>Previd. Prof.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0205213533000555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9833610648918464E-2"/>
                  <c:y val="-4.9988061479342305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758180809761509"/>
                  <c:y val="3.27198364008179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(Dados!$C$3,Dados!$M$3,Dados!$T$3)</c:f>
              <c:strCache>
                <c:ptCount val="3"/>
                <c:pt idx="0">
                  <c:v>LP - Profissionais</c:v>
                </c:pt>
                <c:pt idx="1">
                  <c:v>Simples Soc. Unipessoal</c:v>
                </c:pt>
                <c:pt idx="2">
                  <c:v>Pessoa Física</c:v>
                </c:pt>
              </c:strCache>
            </c:strRef>
          </c:cat>
          <c:val>
            <c:numRef>
              <c:f>[0]!Int_Prev_2</c:f>
              <c:numCache>
                <c:formatCode>0.00%</c:formatCode>
                <c:ptCount val="3"/>
                <c:pt idx="0">
                  <c:v>4.040471111111112E-3</c:v>
                </c:pt>
                <c:pt idx="1">
                  <c:v>3.649457777777778E-3</c:v>
                </c:pt>
                <c:pt idx="2">
                  <c:v>1.5373400133333336E-2</c:v>
                </c:pt>
              </c:numCache>
            </c:numRef>
          </c:val>
        </c:ser>
        <c:ser>
          <c:idx val="5"/>
          <c:order val="5"/>
          <c:tx>
            <c:strRef>
              <c:f>Dados!$H$4</c:f>
              <c:strCache>
                <c:ptCount val="1"/>
                <c:pt idx="0">
                  <c:v>ISS</c:v>
                </c:pt>
              </c:strCache>
            </c:strRef>
          </c:tx>
          <c:spPr>
            <a:solidFill>
              <a:srgbClr val="B2B2B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0427066001109263"/>
                  <c:y val="-8.179959100204499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9833610648918464E-2"/>
                  <c:y val="2.72665303340144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64891846921797"/>
                  <c:y val="2.4994030739671153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(Dados!$C$3,Dados!$M$3,Dados!$T$3)</c:f>
              <c:strCache>
                <c:ptCount val="3"/>
                <c:pt idx="0">
                  <c:v>LP - Profissionais</c:v>
                </c:pt>
                <c:pt idx="1">
                  <c:v>Simples Soc. Unipessoal</c:v>
                </c:pt>
                <c:pt idx="2">
                  <c:v>Pessoa Física</c:v>
                </c:pt>
              </c:strCache>
            </c:strRef>
          </c:cat>
          <c:val>
            <c:numRef>
              <c:f>[0]!Int_ISS_2</c:f>
              <c:numCache>
                <c:formatCode>0.00%</c:formatCode>
                <c:ptCount val="3"/>
                <c:pt idx="0">
                  <c:v>0.05</c:v>
                </c:pt>
                <c:pt idx="1">
                  <c:v>3.8699999999999998E-2</c:v>
                </c:pt>
                <c:pt idx="2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33904000"/>
        <c:axId val="333904560"/>
      </c:barChart>
      <c:catAx>
        <c:axId val="33390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3904560"/>
        <c:crosses val="autoZero"/>
        <c:auto val="1"/>
        <c:lblAlgn val="ctr"/>
        <c:lblOffset val="100"/>
        <c:noMultiLvlLbl val="0"/>
      </c:catAx>
      <c:valAx>
        <c:axId val="333904560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390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933011909285047"/>
          <c:y val="0.87677418155666142"/>
          <c:w val="0.62133976181429895"/>
          <c:h val="5.31868936317276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12830600263401E-2"/>
          <c:y val="0.12651609795535862"/>
          <c:w val="0.86794753405268799"/>
          <c:h val="0.658115906122092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Dados!$C$4</c:f>
              <c:strCache>
                <c:ptCount val="1"/>
                <c:pt idx="0">
                  <c:v>IR</c:v>
                </c:pt>
              </c:strCache>
            </c:strRef>
          </c:tx>
          <c:spPr>
            <a:solidFill>
              <a:srgbClr val="0099CC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2867443150305047"/>
                  <c:y val="-5.4644820499295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6860787576261785"/>
                  <c:y val="-8.196723074894269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2423738214087632"/>
                  <c:y val="-1.001810136157551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(Dados!$T$3,Dados!$K$3,Dados!$C$3)</c:f>
              <c:strCache>
                <c:ptCount val="3"/>
                <c:pt idx="0">
                  <c:v>Pessoa Física</c:v>
                </c:pt>
                <c:pt idx="1">
                  <c:v>LP - Empresa</c:v>
                </c:pt>
                <c:pt idx="2">
                  <c:v>LP - Profissionais</c:v>
                </c:pt>
              </c:strCache>
            </c:strRef>
          </c:cat>
          <c:val>
            <c:numRef>
              <c:f>[0]!Int_IRPJ_Prof</c:f>
              <c:numCache>
                <c:formatCode>0.00%</c:formatCode>
                <c:ptCount val="3"/>
                <c:pt idx="0">
                  <c:v>0.25114604685960185</c:v>
                </c:pt>
                <c:pt idx="1">
                  <c:v>7.8285714285714292E-2</c:v>
                </c:pt>
                <c:pt idx="2">
                  <c:v>7.8285714285714292E-2</c:v>
                </c:pt>
              </c:numCache>
            </c:numRef>
          </c:val>
        </c:ser>
        <c:ser>
          <c:idx val="1"/>
          <c:order val="1"/>
          <c:tx>
            <c:strRef>
              <c:f>Dados!$D$4</c:f>
              <c:strCache>
                <c:ptCount val="1"/>
                <c:pt idx="0">
                  <c:v>CSLL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5293732420255285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2377850162866449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(Dados!$T$3,Dados!$K$3,Dados!$C$3)</c:f>
              <c:strCache>
                <c:ptCount val="3"/>
                <c:pt idx="0">
                  <c:v>Pessoa Física</c:v>
                </c:pt>
                <c:pt idx="1">
                  <c:v>LP - Empresa</c:v>
                </c:pt>
                <c:pt idx="2">
                  <c:v>LP - Profissionais</c:v>
                </c:pt>
              </c:strCache>
            </c:strRef>
          </c:cat>
          <c:val>
            <c:numRef>
              <c:f>[0]!Int_CSLL_Prof</c:f>
              <c:numCache>
                <c:formatCode>0.00%</c:formatCode>
                <c:ptCount val="3"/>
                <c:pt idx="0">
                  <c:v>0</c:v>
                </c:pt>
                <c:pt idx="1">
                  <c:v>2.8799999999999999E-2</c:v>
                </c:pt>
                <c:pt idx="2">
                  <c:v>2.8799999999999999E-2</c:v>
                </c:pt>
              </c:numCache>
            </c:numRef>
          </c:val>
        </c:ser>
        <c:ser>
          <c:idx val="2"/>
          <c:order val="2"/>
          <c:tx>
            <c:strRef>
              <c:f>Dados!$E$4</c:f>
              <c:strCache>
                <c:ptCount val="1"/>
                <c:pt idx="0">
                  <c:v>PIS</c:v>
                </c:pt>
              </c:strCache>
            </c:strRef>
          </c:tx>
          <c:spPr>
            <a:solidFill>
              <a:srgbClr val="CC33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427066001109263"/>
                  <c:y val="-5.4644820499295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2812160694896851"/>
                  <c:y val="-1.001810136157551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(Dados!$T$3,Dados!$K$3,Dados!$C$3)</c:f>
              <c:strCache>
                <c:ptCount val="3"/>
                <c:pt idx="0">
                  <c:v>Pessoa Física</c:v>
                </c:pt>
                <c:pt idx="1">
                  <c:v>LP - Empresa</c:v>
                </c:pt>
                <c:pt idx="2">
                  <c:v>LP - Profissionais</c:v>
                </c:pt>
              </c:strCache>
            </c:strRef>
          </c:cat>
          <c:val>
            <c:numRef>
              <c:f>[0]!Int_PIS_Prof</c:f>
              <c:numCache>
                <c:formatCode>0.00%</c:formatCode>
                <c:ptCount val="3"/>
                <c:pt idx="0">
                  <c:v>0</c:v>
                </c:pt>
                <c:pt idx="1">
                  <c:v>6.4999999999999997E-3</c:v>
                </c:pt>
                <c:pt idx="2">
                  <c:v>6.4999999999999997E-3</c:v>
                </c:pt>
              </c:numCache>
            </c:numRef>
          </c:val>
        </c:ser>
        <c:ser>
          <c:idx val="3"/>
          <c:order val="3"/>
          <c:tx>
            <c:strRef>
              <c:f>Dados!$F$4</c:f>
              <c:strCache>
                <c:ptCount val="1"/>
                <c:pt idx="0">
                  <c:v>Cofins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19111373293322"/>
                  <c:y val="-5.464482049929445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3246471226927253"/>
                  <c:y val="-5.46448204992944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(Dados!$T$3,Dados!$K$3,Dados!$C$3)</c:f>
              <c:strCache>
                <c:ptCount val="3"/>
                <c:pt idx="0">
                  <c:v>Pessoa Física</c:v>
                </c:pt>
                <c:pt idx="1">
                  <c:v>LP - Empresa</c:v>
                </c:pt>
                <c:pt idx="2">
                  <c:v>LP - Profissionais</c:v>
                </c:pt>
              </c:strCache>
            </c:strRef>
          </c:cat>
          <c:val>
            <c:numRef>
              <c:f>[0]!Int_Cofins_Prof</c:f>
              <c:numCache>
                <c:formatCode>0.00%</c:formatCode>
                <c:ptCount val="3"/>
                <c:pt idx="0">
                  <c:v>0</c:v>
                </c:pt>
                <c:pt idx="1">
                  <c:v>0.03</c:v>
                </c:pt>
                <c:pt idx="2">
                  <c:v>0.03</c:v>
                </c:pt>
              </c:numCache>
            </c:numRef>
          </c:val>
        </c:ser>
        <c:ser>
          <c:idx val="5"/>
          <c:order val="4"/>
          <c:tx>
            <c:strRef>
              <c:f>Dados!$H$4</c:f>
              <c:strCache>
                <c:ptCount val="1"/>
                <c:pt idx="0">
                  <c:v>ISS</c:v>
                </c:pt>
              </c:strCache>
            </c:strRef>
          </c:tx>
          <c:spPr>
            <a:solidFill>
              <a:srgbClr val="B2B2B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4891846921797"/>
                  <c:y val="8.196723074894168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309868595415801"/>
                  <c:y val="-5.46448204992943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(Dados!$T$3,Dados!$K$3,Dados!$C$3)</c:f>
              <c:strCache>
                <c:ptCount val="3"/>
                <c:pt idx="0">
                  <c:v>Pessoa Física</c:v>
                </c:pt>
                <c:pt idx="1">
                  <c:v>LP - Empresa</c:v>
                </c:pt>
                <c:pt idx="2">
                  <c:v>LP - Profissionais</c:v>
                </c:pt>
              </c:strCache>
            </c:strRef>
          </c:cat>
          <c:val>
            <c:numRef>
              <c:f>[0]!Int_ISS_Prof</c:f>
              <c:numCache>
                <c:formatCode>0.00%</c:formatCode>
                <c:ptCount val="3"/>
                <c:pt idx="0">
                  <c:v>0</c:v>
                </c:pt>
                <c:pt idx="1">
                  <c:v>0.05</c:v>
                </c:pt>
                <c:pt idx="2">
                  <c:v>0.05</c:v>
                </c:pt>
              </c:numCache>
            </c:numRef>
          </c:val>
        </c:ser>
        <c:ser>
          <c:idx val="4"/>
          <c:order val="5"/>
          <c:tx>
            <c:strRef>
              <c:f>Dados!$G$4</c:f>
              <c:strCache>
                <c:ptCount val="1"/>
                <c:pt idx="0">
                  <c:v>Previd. Prof.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9833610648918464E-2"/>
                  <c:y val="8.196723074894168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4891846921797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309868595415801"/>
                  <c:y val="-4.6448097424400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(Dados!$T$3,Dados!$K$3,Dados!$C$3)</c:f>
              <c:strCache>
                <c:ptCount val="3"/>
                <c:pt idx="0">
                  <c:v>Pessoa Física</c:v>
                </c:pt>
                <c:pt idx="1">
                  <c:v>LP - Empresa</c:v>
                </c:pt>
                <c:pt idx="2">
                  <c:v>LP - Profissionais</c:v>
                </c:pt>
              </c:strCache>
            </c:strRef>
          </c:cat>
          <c:val>
            <c:numRef>
              <c:f>[0]!Int_Prev_Prof</c:f>
              <c:numCache>
                <c:formatCode>0.00%</c:formatCode>
                <c:ptCount val="3"/>
                <c:pt idx="0">
                  <c:v>9.8829000857142868E-4</c:v>
                </c:pt>
                <c:pt idx="1">
                  <c:v>3.8572312708998586E-2</c:v>
                </c:pt>
                <c:pt idx="2">
                  <c:v>2.5974457142857147E-4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34354944"/>
        <c:axId val="334355504"/>
      </c:barChart>
      <c:catAx>
        <c:axId val="3343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4355504"/>
        <c:crosses val="autoZero"/>
        <c:auto val="1"/>
        <c:lblAlgn val="ctr"/>
        <c:lblOffset val="100"/>
        <c:noMultiLvlLbl val="0"/>
      </c:catAx>
      <c:valAx>
        <c:axId val="334355504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43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933011909285047"/>
          <c:y val="0.87677418155666142"/>
          <c:w val="0.62133976181429895"/>
          <c:h val="5.31868936317276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78550741454996E-2"/>
          <c:y val="0.12920921694604123"/>
          <c:w val="0.86569406422589867"/>
          <c:h val="0.658115906122092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Dados!$C$4</c:f>
              <c:strCache>
                <c:ptCount val="1"/>
                <c:pt idx="0">
                  <c:v>IR</c:v>
                </c:pt>
              </c:strCache>
            </c:strRef>
          </c:tx>
          <c:spPr>
            <a:solidFill>
              <a:srgbClr val="0099C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464226289517471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3976705490848584"/>
                  <c:y val="-9.997612295868461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2645590682196339"/>
                  <c:y val="8.179959100204499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(Dados!$T$3,Dados!$K$3,Dados!$C$3)</c:f>
              <c:strCache>
                <c:ptCount val="3"/>
                <c:pt idx="0">
                  <c:v>Pessoa Física</c:v>
                </c:pt>
                <c:pt idx="1">
                  <c:v>LP - Empresa</c:v>
                </c:pt>
                <c:pt idx="2">
                  <c:v>LP - Profissionais</c:v>
                </c:pt>
              </c:strCache>
            </c:strRef>
          </c:cat>
          <c:val>
            <c:numRef>
              <c:f>[0]!Int_IRPJ_2_Prof</c:f>
              <c:numCache>
                <c:formatCode>0.00%</c:formatCode>
                <c:ptCount val="3"/>
                <c:pt idx="0">
                  <c:v>0.11679187890139878</c:v>
                </c:pt>
                <c:pt idx="1">
                  <c:v>4.8000000000000001E-2</c:v>
                </c:pt>
                <c:pt idx="2">
                  <c:v>4.8000000000000001E-2</c:v>
                </c:pt>
              </c:numCache>
            </c:numRef>
          </c:val>
        </c:ser>
        <c:ser>
          <c:idx val="1"/>
          <c:order val="1"/>
          <c:tx>
            <c:strRef>
              <c:f>Dados!$D$4</c:f>
              <c:strCache>
                <c:ptCount val="1"/>
                <c:pt idx="0">
                  <c:v>CSLL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45590682196339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758180809761509"/>
                  <c:y val="5.45330606680289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(Dados!$T$3,Dados!$K$3,Dados!$C$3)</c:f>
              <c:strCache>
                <c:ptCount val="3"/>
                <c:pt idx="0">
                  <c:v>Pessoa Física</c:v>
                </c:pt>
                <c:pt idx="1">
                  <c:v>LP - Empresa</c:v>
                </c:pt>
                <c:pt idx="2">
                  <c:v>LP - Profissionais</c:v>
                </c:pt>
              </c:strCache>
            </c:strRef>
          </c:cat>
          <c:val>
            <c:numRef>
              <c:f>[0]!Int_CSLL_2_Prof</c:f>
              <c:numCache>
                <c:formatCode>0.00%</c:formatCode>
                <c:ptCount val="3"/>
                <c:pt idx="0">
                  <c:v>0</c:v>
                </c:pt>
                <c:pt idx="1">
                  <c:v>2.8799999999999999E-2</c:v>
                </c:pt>
                <c:pt idx="2">
                  <c:v>2.8799999999999999E-2</c:v>
                </c:pt>
              </c:numCache>
            </c:numRef>
          </c:val>
        </c:ser>
        <c:ser>
          <c:idx val="2"/>
          <c:order val="2"/>
          <c:tx>
            <c:strRef>
              <c:f>Dados!$E$4</c:f>
              <c:strCache>
                <c:ptCount val="1"/>
                <c:pt idx="0">
                  <c:v>PIS</c:v>
                </c:pt>
              </c:strCache>
            </c:strRef>
          </c:tx>
          <c:spPr>
            <a:solidFill>
              <a:srgbClr val="CC33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1758180809761509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092623405435385"/>
                  <c:y val="8.179959100204499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(Dados!$T$3,Dados!$K$3,Dados!$C$3)</c:f>
              <c:strCache>
                <c:ptCount val="3"/>
                <c:pt idx="0">
                  <c:v>Pessoa Física</c:v>
                </c:pt>
                <c:pt idx="1">
                  <c:v>LP - Empresa</c:v>
                </c:pt>
                <c:pt idx="2">
                  <c:v>LP - Profissionais</c:v>
                </c:pt>
              </c:strCache>
            </c:strRef>
          </c:cat>
          <c:val>
            <c:numRef>
              <c:f>[0]!Int_PIS_2_Prof</c:f>
              <c:numCache>
                <c:formatCode>0.00%</c:formatCode>
                <c:ptCount val="3"/>
                <c:pt idx="0">
                  <c:v>0</c:v>
                </c:pt>
                <c:pt idx="1">
                  <c:v>6.4999999999999997E-3</c:v>
                </c:pt>
                <c:pt idx="2">
                  <c:v>6.4999999999999997E-3</c:v>
                </c:pt>
              </c:numCache>
            </c:numRef>
          </c:val>
        </c:ser>
        <c:ser>
          <c:idx val="3"/>
          <c:order val="3"/>
          <c:tx>
            <c:strRef>
              <c:f>Dados!$F$4</c:f>
              <c:strCache>
                <c:ptCount val="1"/>
                <c:pt idx="0">
                  <c:v>Cofins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1758180809761509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64891846921797"/>
                  <c:y val="1.63599182004090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(Dados!$T$3,Dados!$K$3,Dados!$C$3)</c:f>
              <c:strCache>
                <c:ptCount val="3"/>
                <c:pt idx="0">
                  <c:v>Pessoa Física</c:v>
                </c:pt>
                <c:pt idx="1">
                  <c:v>LP - Empresa</c:v>
                </c:pt>
                <c:pt idx="2">
                  <c:v>LP - Profissionais</c:v>
                </c:pt>
              </c:strCache>
            </c:strRef>
          </c:cat>
          <c:val>
            <c:numRef>
              <c:f>[0]!Int_Cofins_2_Prof</c:f>
              <c:numCache>
                <c:formatCode>0.00%</c:formatCode>
                <c:ptCount val="3"/>
                <c:pt idx="0">
                  <c:v>0</c:v>
                </c:pt>
                <c:pt idx="1">
                  <c:v>0.03</c:v>
                </c:pt>
                <c:pt idx="2">
                  <c:v>0.03</c:v>
                </c:pt>
              </c:numCache>
            </c:numRef>
          </c:val>
        </c:ser>
        <c:ser>
          <c:idx val="5"/>
          <c:order val="4"/>
          <c:tx>
            <c:strRef>
              <c:f>Dados!$H$4</c:f>
              <c:strCache>
                <c:ptCount val="1"/>
                <c:pt idx="0">
                  <c:v>ISS</c:v>
                </c:pt>
              </c:strCache>
            </c:strRef>
          </c:tx>
          <c:spPr>
            <a:solidFill>
              <a:srgbClr val="B2B2B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9833610648918464E-2"/>
                  <c:y val="2.72665303340144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64891846921797"/>
                  <c:y val="2.4994030739671153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(Dados!$T$3,Dados!$K$3,Dados!$C$3)</c:f>
              <c:strCache>
                <c:ptCount val="3"/>
                <c:pt idx="0">
                  <c:v>Pessoa Física</c:v>
                </c:pt>
                <c:pt idx="1">
                  <c:v>LP - Empresa</c:v>
                </c:pt>
                <c:pt idx="2">
                  <c:v>LP - Profissionais</c:v>
                </c:pt>
              </c:strCache>
            </c:strRef>
          </c:cat>
          <c:val>
            <c:numRef>
              <c:f>[0]!Int_ISS_2_Prof</c:f>
              <c:numCache>
                <c:formatCode>0.00%</c:formatCode>
                <c:ptCount val="3"/>
                <c:pt idx="0">
                  <c:v>0</c:v>
                </c:pt>
                <c:pt idx="1">
                  <c:v>0.05</c:v>
                </c:pt>
                <c:pt idx="2">
                  <c:v>0.05</c:v>
                </c:pt>
              </c:numCache>
            </c:numRef>
          </c:val>
        </c:ser>
        <c:ser>
          <c:idx val="4"/>
          <c:order val="5"/>
          <c:tx>
            <c:strRef>
              <c:f>Dados!$G$4</c:f>
              <c:strCache>
                <c:ptCount val="1"/>
                <c:pt idx="0">
                  <c:v>Previd. Prof.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0205213533000555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9833610648918464E-2"/>
                  <c:y val="-4.9988061479342305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092623405435385"/>
                  <c:y val="-4.9988061479342305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(Dados!$T$3,Dados!$K$3,Dados!$C$3)</c:f>
              <c:strCache>
                <c:ptCount val="3"/>
                <c:pt idx="0">
                  <c:v>Pessoa Física</c:v>
                </c:pt>
                <c:pt idx="1">
                  <c:v>LP - Empresa</c:v>
                </c:pt>
                <c:pt idx="2">
                  <c:v>LP - Profissionais</c:v>
                </c:pt>
              </c:strCache>
            </c:strRef>
          </c:cat>
          <c:val>
            <c:numRef>
              <c:f>[0]!Int_Prev_2_Prof</c:f>
              <c:numCache>
                <c:formatCode>0.00%</c:formatCode>
                <c:ptCount val="3"/>
                <c:pt idx="0">
                  <c:v>0.13836060120000002</c:v>
                </c:pt>
                <c:pt idx="1">
                  <c:v>9.1549697979198041E-2</c:v>
                </c:pt>
                <c:pt idx="2">
                  <c:v>3.6364240000000006E-2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35140704"/>
        <c:axId val="335141264"/>
      </c:barChart>
      <c:catAx>
        <c:axId val="3351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5141264"/>
        <c:crosses val="autoZero"/>
        <c:auto val="1"/>
        <c:lblAlgn val="ctr"/>
        <c:lblOffset val="100"/>
        <c:noMultiLvlLbl val="0"/>
      </c:catAx>
      <c:valAx>
        <c:axId val="335141264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514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933011909285047"/>
          <c:y val="0.87677418155666142"/>
          <c:w val="0.62133976181429895"/>
          <c:h val="5.31868936317276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16" fmlaLink="$C$3" fmlaRange="Dados!$B$5:$B$169" noThreeD="1" sel="49" val="42"/>
</file>

<file path=xl/ctrlProps/ctrlProp2.xml><?xml version="1.0" encoding="utf-8"?>
<formControlPr xmlns="http://schemas.microsoft.com/office/spreadsheetml/2009/9/main" objectType="Drop" dropStyle="combo" dx="16" fmlaLink="$S$3" fmlaRange="Dados!$B$5:$B$169" noThreeD="1" sel="49" val="41"/>
</file>

<file path=xl/ctrlProps/ctrlProp3.xml><?xml version="1.0" encoding="utf-8"?>
<formControlPr xmlns="http://schemas.microsoft.com/office/spreadsheetml/2009/9/main" objectType="Drop" dropStyle="combo" dx="16" fmlaLink="$C$3" fmlaRange="Dados!$B$5:$B$169" noThreeD="1" sel="119" val="115"/>
</file>

<file path=xl/ctrlProps/ctrlProp4.xml><?xml version="1.0" encoding="utf-8"?>
<formControlPr xmlns="http://schemas.microsoft.com/office/spreadsheetml/2009/9/main" objectType="Drop" dropStyle="combo" dx="16" fmlaLink="$S$3" fmlaRange="Dados!$B$5:$B$169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9</xdr:col>
      <xdr:colOff>295275</xdr:colOff>
      <xdr:row>28</xdr:row>
      <xdr:rowOff>114299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2</xdr:row>
          <xdr:rowOff>0</xdr:rowOff>
        </xdr:from>
        <xdr:to>
          <xdr:col>5</xdr:col>
          <xdr:colOff>361950</xdr:colOff>
          <xdr:row>3</xdr:row>
          <xdr:rowOff>38100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9525</xdr:colOff>
      <xdr:row>0</xdr:row>
      <xdr:rowOff>0</xdr:rowOff>
    </xdr:from>
    <xdr:to>
      <xdr:col>19</xdr:col>
      <xdr:colOff>247650</xdr:colOff>
      <xdr:row>28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495300</xdr:colOff>
          <xdr:row>1</xdr:row>
          <xdr:rowOff>133350</xdr:rowOff>
        </xdr:from>
        <xdr:to>
          <xdr:col>16</xdr:col>
          <xdr:colOff>161925</xdr:colOff>
          <xdr:row>3</xdr:row>
          <xdr:rowOff>9525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11617</xdr:colOff>
      <xdr:row>0</xdr:row>
      <xdr:rowOff>23231</xdr:rowOff>
    </xdr:from>
    <xdr:to>
      <xdr:col>8</xdr:col>
      <xdr:colOff>720183</xdr:colOff>
      <xdr:row>28</xdr:row>
      <xdr:rowOff>137530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601701</xdr:colOff>
          <xdr:row>0</xdr:row>
          <xdr:rowOff>161925</xdr:rowOff>
        </xdr:from>
        <xdr:to>
          <xdr:col>5</xdr:col>
          <xdr:colOff>65281</xdr:colOff>
          <xdr:row>2</xdr:row>
          <xdr:rowOff>36706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10</xdr:col>
      <xdr:colOff>9292</xdr:colOff>
      <xdr:row>0</xdr:row>
      <xdr:rowOff>23233</xdr:rowOff>
    </xdr:from>
    <xdr:to>
      <xdr:col>19</xdr:col>
      <xdr:colOff>11616</xdr:colOff>
      <xdr:row>28</xdr:row>
      <xdr:rowOff>139390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439080</xdr:colOff>
          <xdr:row>0</xdr:row>
          <xdr:rowOff>151471</xdr:rowOff>
        </xdr:from>
        <xdr:to>
          <xdr:col>15</xdr:col>
          <xdr:colOff>490886</xdr:colOff>
          <xdr:row>2</xdr:row>
          <xdr:rowOff>26252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0.06232</cdr:x>
      <cdr:y>0.0224</cdr:y>
    </cdr:from>
    <cdr:to>
      <cdr:x>0.30612</cdr:x>
      <cdr:y>0.07217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54695" y="104543"/>
          <a:ext cx="1387681" cy="232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 b="1"/>
            <a:t>Rendim. Anual (R$):</a:t>
          </a:r>
        </a:p>
      </cdr:txBody>
    </cdr:sp>
  </cdr:relSizeAnchor>
  <cdr:relSizeAnchor xmlns:cdr="http://schemas.openxmlformats.org/drawingml/2006/chartDrawing">
    <cdr:from>
      <cdr:x>0.80244</cdr:x>
      <cdr:y>0.01244</cdr:y>
    </cdr:from>
    <cdr:to>
      <cdr:x>0.99593</cdr:x>
      <cdr:y>0.07963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576645" y="58080"/>
          <a:ext cx="1103507" cy="31362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400" b="1"/>
            <a:t>Situação A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0.13724</cdr:x>
      <cdr:y>0.02328</cdr:y>
    </cdr:from>
    <cdr:to>
      <cdr:x>0.37964</cdr:x>
      <cdr:y>0.06965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773470" y="108701"/>
          <a:ext cx="1366171" cy="216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 b="1"/>
            <a:t>Rendim. Anual (R$):</a:t>
          </a:r>
        </a:p>
      </cdr:txBody>
    </cdr:sp>
  </cdr:relSizeAnchor>
  <cdr:relSizeAnchor xmlns:cdr="http://schemas.openxmlformats.org/drawingml/2006/chartDrawing">
    <cdr:from>
      <cdr:x>0.7922</cdr:x>
      <cdr:y>0.01337</cdr:y>
    </cdr:from>
    <cdr:to>
      <cdr:x>0.98799</cdr:x>
      <cdr:y>0.08053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4464825" y="62416"/>
          <a:ext cx="1103507" cy="31362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400" b="1"/>
            <a:t>Situação B</a:t>
          </a:r>
        </a:p>
      </cdr:txBody>
    </cdr:sp>
  </cdr:relSizeAnchor>
</c:userShapes>
</file>

<file path=xl/tables/table1.xml><?xml version="1.0" encoding="utf-8"?>
<table xmlns="http://schemas.openxmlformats.org/spreadsheetml/2006/main" id="1" name="LP_FX" displayName="LP_FX" ref="E108:O122" totalsRowShown="0" headerRowDxfId="14" dataDxfId="12" headerRowBorderDxfId="13" tableBorderDxfId="11">
  <autoFilter ref="E108:O122"/>
  <tableColumns count="11">
    <tableColumn id="1" name="Linf" dataDxfId="10">
      <calculatedColumnFormula>F108+0.01</calculatedColumnFormula>
    </tableColumn>
    <tableColumn id="2" name="Lsup" dataDxfId="9"/>
    <tableColumn id="3" name="Qtde CNPJ Empresa" dataDxfId="8"/>
    <tableColumn id="4" name="GFIP - Qtd Vinc Tot Med" dataDxfId="7"/>
    <tableColumn id="5" name="GFIP - Massa Tot" dataDxfId="6"/>
    <tableColumn id="6" name="GFIP - Vl Apurado Empresa" dataDxfId="5"/>
    <tableColumn id="7" name="Contr. Patronal" dataDxfId="4">
      <calculatedColumnFormula>J109/G109</calculatedColumnFormula>
    </tableColumn>
    <tableColumn id="8" name="Massa Média" dataDxfId="3">
      <calculatedColumnFormula>I109/G109</calculatedColumnFormula>
    </tableColumn>
    <tableColumn id="9" name="Aliq. Média" dataDxfId="2" dataCellStyle="Porcentagem">
      <calculatedColumnFormula>K109/L109</calculatedColumnFormula>
    </tableColumn>
    <tableColumn id="10" name="Colunas1" dataDxfId="1">
      <calculatedColumnFormula>LP_FX[[#This Row],[Massa Média]]/(LP_FX[[#This Row],[Linf]]+(LP_FX[[#This Row],[Lsup]]-LP_FX[[#This Row],[Linf]])/2)</calculatedColumnFormula>
    </tableColumn>
    <tableColumn id="11" name="Colunas2" dataDxfId="0" dataCellStyle="Porcentagem">
      <calculatedColumnFormula>LP_FX[[#This Row],[Aliq. Média]]*LP_FX[[#This Row],[Colunas1]]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0"/>
  <sheetViews>
    <sheetView showGridLines="0" workbookViewId="0">
      <selection activeCell="V21" sqref="V21"/>
    </sheetView>
  </sheetViews>
  <sheetFormatPr defaultRowHeight="12.75" x14ac:dyDescent="0.2"/>
  <cols>
    <col min="9" max="9" width="11" customWidth="1"/>
    <col min="10" max="10" width="6.5703125" customWidth="1"/>
    <col min="20" max="20" width="4.140625" customWidth="1"/>
  </cols>
  <sheetData>
    <row r="1" spans="3:19" x14ac:dyDescent="0.2">
      <c r="I1" s="86" t="s">
        <v>56</v>
      </c>
    </row>
    <row r="3" spans="3:19" x14ac:dyDescent="0.2">
      <c r="C3">
        <v>49</v>
      </c>
      <c r="S3">
        <v>49</v>
      </c>
    </row>
    <row r="25" spans="1:19" x14ac:dyDescent="0.2">
      <c r="H25" s="87"/>
    </row>
    <row r="29" spans="1:19" ht="13.5" thickBot="1" x14ac:dyDescent="0.25"/>
    <row r="30" spans="1:19" x14ac:dyDescent="0.2">
      <c r="A30" s="121" t="s">
        <v>84</v>
      </c>
      <c r="B30" s="121"/>
      <c r="C30" s="122" t="s">
        <v>83</v>
      </c>
      <c r="D30" s="123" t="s">
        <v>91</v>
      </c>
      <c r="E30" s="127" t="s">
        <v>17</v>
      </c>
      <c r="F30" s="134" t="s">
        <v>45</v>
      </c>
      <c r="G30" s="126" t="s">
        <v>16</v>
      </c>
      <c r="H30" s="124" t="s">
        <v>39</v>
      </c>
      <c r="I30" s="125" t="s">
        <v>23</v>
      </c>
      <c r="K30" s="121" t="s">
        <v>84</v>
      </c>
      <c r="L30" s="121"/>
      <c r="M30" s="122" t="s">
        <v>83</v>
      </c>
      <c r="N30" s="123" t="s">
        <v>91</v>
      </c>
      <c r="O30" s="127" t="s">
        <v>17</v>
      </c>
      <c r="P30" s="134" t="s">
        <v>45</v>
      </c>
      <c r="Q30" s="126" t="s">
        <v>16</v>
      </c>
      <c r="R30" s="124" t="s">
        <v>39</v>
      </c>
      <c r="S30" s="125" t="s">
        <v>23</v>
      </c>
    </row>
    <row r="31" spans="1:19" x14ac:dyDescent="0.2">
      <c r="A31" s="86" t="s">
        <v>27</v>
      </c>
      <c r="B31" s="86"/>
      <c r="C31" s="120">
        <f ca="1">OFFSET(Dados!$B$3,C3+1,7,1,1)</f>
        <v>0.17267380444444447</v>
      </c>
      <c r="D31" s="119">
        <f ca="1">OFFSET(Dados!$B$3,C3+1,1,1,1)</f>
        <v>5.3333333333333337E-2</v>
      </c>
      <c r="E31" s="119">
        <f ca="1">OFFSET(Dados!$B$3,C3+1,2,1,1)</f>
        <v>2.8799999999999999E-2</v>
      </c>
      <c r="F31" s="119">
        <f ca="1">OFFSET(Dados!$B$3,C3+1,3,1,1)</f>
        <v>6.4999999999999997E-3</v>
      </c>
      <c r="G31" s="119">
        <f ca="1">OFFSET(Dados!$B$3,C3+1,4,1,1)</f>
        <v>0.03</v>
      </c>
      <c r="H31" s="119">
        <f ca="1">OFFSET(Dados!$B$3,C3+1,5,1,1)</f>
        <v>4.040471111111112E-3</v>
      </c>
      <c r="I31" s="119">
        <f ca="1">OFFSET(Dados!$B$3,C3+1,6,1,1)</f>
        <v>0.05</v>
      </c>
      <c r="K31" s="86" t="s">
        <v>27</v>
      </c>
      <c r="L31" s="86"/>
      <c r="M31" s="120">
        <f ca="1">OFFSET(Dados!$B$3,S3+1,7,1,1)</f>
        <v>0.17267380444444447</v>
      </c>
      <c r="N31" s="119">
        <f ca="1">OFFSET(Dados!$B$3,S3+1,1,1,1)</f>
        <v>5.3333333333333337E-2</v>
      </c>
      <c r="O31" s="119">
        <f ca="1">OFFSET(Dados!$B$3,S3+1,2,1,1)</f>
        <v>2.8799999999999999E-2</v>
      </c>
      <c r="P31" s="119">
        <f ca="1">OFFSET(Dados!$B$3,S3+1,3,1,1)</f>
        <v>6.4999999999999997E-3</v>
      </c>
      <c r="Q31" s="119">
        <f ca="1">OFFSET(Dados!$B$3,S3+1,4,1,1)</f>
        <v>0.03</v>
      </c>
      <c r="R31" s="119">
        <f ca="1">OFFSET(Dados!$B$3,S3+1,5,1,1)</f>
        <v>4.040471111111112E-3</v>
      </c>
      <c r="S31" s="119">
        <f ca="1">OFFSET(Dados!$B$3,S3+1,6,1,1)</f>
        <v>0.05</v>
      </c>
    </row>
    <row r="32" spans="1:19" x14ac:dyDescent="0.2">
      <c r="A32" s="128" t="s">
        <v>78</v>
      </c>
      <c r="B32" s="128"/>
      <c r="C32" s="129">
        <f ca="1">OFFSET(Dados!$B$3,C3+1,14,1,1)</f>
        <v>2.0299999999999999E-2</v>
      </c>
      <c r="D32" s="130">
        <f ca="1">OFFSET(Dados!$B$3,C3+1,8,1,1)</f>
        <v>2.807715350178603E-2</v>
      </c>
      <c r="E32" s="130">
        <f ca="1">OFFSET(Dados!$B$3,C3+1,9,1,1)</f>
        <v>4.8952821136392578E-2</v>
      </c>
      <c r="F32" s="130">
        <f ca="1">OFFSET(Dados!$B$3,C3+1,10,1,1)</f>
        <v>0.21758615446972593</v>
      </c>
      <c r="G32" s="130">
        <f ca="1">OFFSET(Dados!$B$3,C3+1,11,1,1)</f>
        <v>8.8999999999999999E-3</v>
      </c>
      <c r="H32" s="130">
        <f ca="1">OFFSET(Dados!$B$3,C3+1,12,1,1)</f>
        <v>1.89E-2</v>
      </c>
      <c r="I32" s="130">
        <f ca="1">OFFSET(Dados!$B$3,C3+1,13,1,1)</f>
        <v>2.8999999999999998E-3</v>
      </c>
      <c r="K32" s="128" t="s">
        <v>78</v>
      </c>
      <c r="L32" s="128"/>
      <c r="M32" s="129">
        <f ca="1">OFFSET(Dados!$B$3,S3+1,14,1,1)</f>
        <v>2.0299999999999999E-2</v>
      </c>
      <c r="N32" s="130">
        <f ca="1">OFFSET(Dados!$B$3,S3+1,8,1,1)</f>
        <v>2.807715350178603E-2</v>
      </c>
      <c r="O32" s="130">
        <f ca="1">OFFSET(Dados!$B$3,S3+1,9,1,1)</f>
        <v>4.8952821136392578E-2</v>
      </c>
      <c r="P32" s="130">
        <f ca="1">OFFSET(Dados!$B$3,S3+1,10,1,1)</f>
        <v>0.21758615446972593</v>
      </c>
      <c r="Q32" s="130">
        <f ca="1">OFFSET(Dados!$B$3,S3+1,11,1,1)</f>
        <v>8.8999999999999999E-3</v>
      </c>
      <c r="R32" s="130">
        <f ca="1">OFFSET(Dados!$B$3,S3+1,12,1,1)</f>
        <v>1.89E-2</v>
      </c>
      <c r="S32" s="130">
        <f ca="1">OFFSET(Dados!$B$3,S3+1,13,1,1)</f>
        <v>2.8999999999999998E-3</v>
      </c>
    </row>
    <row r="33" spans="1:19" ht="13.5" thickBot="1" x14ac:dyDescent="0.25">
      <c r="A33" s="131" t="s">
        <v>53</v>
      </c>
      <c r="B33" s="131"/>
      <c r="C33" s="132">
        <f ca="1">OFFSET(Dados!$B$3,C3+1,21,1,1)</f>
        <v>0</v>
      </c>
      <c r="D33" s="133">
        <f ca="1">OFFSET(Dados!$B$3,C3+1,15,1,1)</f>
        <v>3.649457777777778E-3</v>
      </c>
      <c r="E33" s="133">
        <f ca="1">OFFSET(Dados!$B$3,C3+1,16,1,1)</f>
        <v>3.8699999999999998E-2</v>
      </c>
      <c r="F33" s="133">
        <f ca="1">OFFSET(Dados!$B$3,C3+1,17,1,1)</f>
        <v>9.334945777777777E-2</v>
      </c>
      <c r="G33" s="133">
        <f ca="1">OFFSET(Dados!$B$3,C3+1,18,1,1)</f>
        <v>0.22119666449737843</v>
      </c>
      <c r="H33" s="133">
        <f ca="1">OFFSET(Dados!$B$3,C3+1,19,1,1)</f>
        <v>0</v>
      </c>
      <c r="I33" s="133">
        <f ca="1">OFFSET(Dados!$B$3,C3+1,20,1,1)</f>
        <v>0</v>
      </c>
      <c r="K33" s="131" t="s">
        <v>53</v>
      </c>
      <c r="L33" s="131"/>
      <c r="M33" s="132">
        <f ca="1">OFFSET(Dados!$B$3,S3+1,21,1,1)</f>
        <v>0</v>
      </c>
      <c r="N33" s="133">
        <f ca="1">OFFSET(Dados!$B$3,S3+1,15,1,1)</f>
        <v>3.649457777777778E-3</v>
      </c>
      <c r="O33" s="133">
        <f ca="1">OFFSET(Dados!$B$3,S3+1,16,1,1)</f>
        <v>3.8699999999999998E-2</v>
      </c>
      <c r="P33" s="133">
        <f ca="1">OFFSET(Dados!$B$3,S3+1,17,1,1)</f>
        <v>9.334945777777777E-2</v>
      </c>
      <c r="Q33" s="133">
        <f ca="1">OFFSET(Dados!$B$3,S3+1,18,1,1)</f>
        <v>0.22119666449737843</v>
      </c>
      <c r="R33" s="133">
        <f ca="1">OFFSET(Dados!$B$3,S3+1,19,1,1)</f>
        <v>0</v>
      </c>
      <c r="S33" s="133">
        <f ca="1">OFFSET(Dados!$B$3,S3+1,20,1,1)</f>
        <v>0</v>
      </c>
    </row>
    <row r="35" spans="1:19" x14ac:dyDescent="0.2">
      <c r="A35" s="30" t="s">
        <v>86</v>
      </c>
    </row>
    <row r="36" spans="1:19" x14ac:dyDescent="0.2">
      <c r="A36" s="30" t="s">
        <v>87</v>
      </c>
    </row>
    <row r="37" spans="1:19" x14ac:dyDescent="0.2">
      <c r="A37" s="30" t="s">
        <v>88</v>
      </c>
    </row>
    <row r="38" spans="1:19" x14ac:dyDescent="0.2">
      <c r="A38" s="30" t="s">
        <v>89</v>
      </c>
    </row>
    <row r="39" spans="1:19" x14ac:dyDescent="0.2">
      <c r="A39" s="30"/>
    </row>
    <row r="40" spans="1:19" x14ac:dyDescent="0.2">
      <c r="A40" s="30" t="s">
        <v>85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</xdr:col>
                    <xdr:colOff>504825</xdr:colOff>
                    <xdr:row>2</xdr:row>
                    <xdr:rowOff>0</xdr:rowOff>
                  </from>
                  <to>
                    <xdr:col>5</xdr:col>
                    <xdr:colOff>361950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12</xdr:col>
                    <xdr:colOff>495300</xdr:colOff>
                    <xdr:row>1</xdr:row>
                    <xdr:rowOff>133350</xdr:rowOff>
                  </from>
                  <to>
                    <xdr:col>16</xdr:col>
                    <xdr:colOff>161925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1"/>
  <sheetViews>
    <sheetView showGridLines="0" tabSelected="1" zoomScale="82" zoomScaleNormal="82" workbookViewId="0">
      <selection activeCell="V15" sqref="V15"/>
    </sheetView>
  </sheetViews>
  <sheetFormatPr defaultRowHeight="12.75" x14ac:dyDescent="0.2"/>
  <cols>
    <col min="4" max="4" width="11.5703125" customWidth="1"/>
    <col min="9" max="9" width="11" customWidth="1"/>
    <col min="10" max="10" width="4.42578125" customWidth="1"/>
    <col min="12" max="12" width="9.140625" customWidth="1"/>
    <col min="14" max="14" width="12" customWidth="1"/>
    <col min="20" max="20" width="4.140625" customWidth="1"/>
  </cols>
  <sheetData>
    <row r="1" spans="3:19" x14ac:dyDescent="0.2">
      <c r="I1" s="86" t="s">
        <v>56</v>
      </c>
    </row>
    <row r="3" spans="3:19" x14ac:dyDescent="0.2">
      <c r="C3" s="192">
        <v>119</v>
      </c>
      <c r="S3" s="192">
        <v>1</v>
      </c>
    </row>
    <row r="25" spans="1:19" x14ac:dyDescent="0.2">
      <c r="H25" s="87"/>
    </row>
    <row r="29" spans="1:19" ht="13.5" thickBot="1" x14ac:dyDescent="0.25"/>
    <row r="30" spans="1:19" ht="22.5" customHeight="1" x14ac:dyDescent="0.2">
      <c r="A30" s="213" t="s">
        <v>84</v>
      </c>
      <c r="B30" s="213"/>
      <c r="C30" s="214" t="s">
        <v>83</v>
      </c>
      <c r="D30" s="123" t="s">
        <v>91</v>
      </c>
      <c r="E30" s="127" t="s">
        <v>17</v>
      </c>
      <c r="F30" s="134" t="s">
        <v>45</v>
      </c>
      <c r="G30" s="126" t="s">
        <v>16</v>
      </c>
      <c r="H30" s="125" t="s">
        <v>23</v>
      </c>
      <c r="I30" s="124" t="s">
        <v>39</v>
      </c>
      <c r="K30" s="213" t="s">
        <v>84</v>
      </c>
      <c r="L30" s="213"/>
      <c r="M30" s="214" t="s">
        <v>83</v>
      </c>
      <c r="N30" s="123" t="s">
        <v>91</v>
      </c>
      <c r="O30" s="127" t="s">
        <v>17</v>
      </c>
      <c r="P30" s="134" t="s">
        <v>45</v>
      </c>
      <c r="Q30" s="126" t="s">
        <v>16</v>
      </c>
      <c r="R30" s="125" t="s">
        <v>23</v>
      </c>
      <c r="S30" s="124" t="s">
        <v>39</v>
      </c>
    </row>
    <row r="31" spans="1:19" x14ac:dyDescent="0.2">
      <c r="A31" s="187" t="s">
        <v>53</v>
      </c>
      <c r="B31" s="187"/>
      <c r="C31" s="188">
        <f ca="1">OFFSET(Dados!$B$3,C3+1,24,1,1)</f>
        <v>0.25213433686817327</v>
      </c>
      <c r="D31" s="189">
        <f ca="1">OFFSET(Dados!$B$3,C3+1,18,1,1)</f>
        <v>0.25114604685960185</v>
      </c>
      <c r="E31" s="189">
        <f ca="1">OFFSET(Dados!$B$3,C3+1,19,1,1)</f>
        <v>0</v>
      </c>
      <c r="F31" s="189">
        <f ca="1">OFFSET(Dados!$B$3,C3+1,20,1,1)</f>
        <v>0</v>
      </c>
      <c r="G31" s="189">
        <f ca="1">OFFSET(Dados!$B$3,C3+1,21,1,1)</f>
        <v>0</v>
      </c>
      <c r="H31" s="189">
        <f ca="1">OFFSET(Dados!$B$3,C3+1,23,1,1)</f>
        <v>0</v>
      </c>
      <c r="I31" s="189">
        <f ca="1">OFFSET(Dados!$B$3,C3+1,22,1,1)</f>
        <v>9.8829000857142868E-4</v>
      </c>
      <c r="K31" s="187" t="s">
        <v>53</v>
      </c>
      <c r="L31" s="187"/>
      <c r="M31" s="188">
        <f ca="1">OFFSET(Dados!$B$3,S3+1,24,1,1)</f>
        <v>0.25515248010139879</v>
      </c>
      <c r="N31" s="189">
        <f ca="1">OFFSET(Dados!$B$3,S3+1,18,1,1)</f>
        <v>0.11679187890139878</v>
      </c>
      <c r="O31" s="189">
        <f ca="1">OFFSET(Dados!$B$3,S3+1,19,1,1)</f>
        <v>0</v>
      </c>
      <c r="P31" s="189">
        <f ca="1">OFFSET(Dados!$B$3,S3+1,20,1,1)</f>
        <v>0</v>
      </c>
      <c r="Q31" s="189">
        <f ca="1">OFFSET(Dados!$B$3,S3+1,21,1,1)</f>
        <v>0</v>
      </c>
      <c r="R31" s="189">
        <f ca="1">OFFSET(Dados!$B$3,S3+1,23,1,1)</f>
        <v>0</v>
      </c>
      <c r="S31" s="189">
        <f ca="1">OFFSET(Dados!$B$3,S3+1,22,1,1)</f>
        <v>0.13836060120000002</v>
      </c>
    </row>
    <row r="32" spans="1:19" x14ac:dyDescent="0.2">
      <c r="A32" s="128" t="s">
        <v>96</v>
      </c>
      <c r="B32" s="128"/>
      <c r="C32" s="129">
        <f ca="1">OFFSET(Dados!$B$3,C3+1,10,1,1)</f>
        <v>0.23215802699471288</v>
      </c>
      <c r="D32" s="130">
        <f ca="1">OFFSET(Dados!$B$3,C3+1,1,1,1)</f>
        <v>7.8285714285714292E-2</v>
      </c>
      <c r="E32" s="130">
        <f ca="1">OFFSET(Dados!$B$3,C3+1,2,1,1)</f>
        <v>2.8799999999999999E-2</v>
      </c>
      <c r="F32" s="130">
        <f ca="1">OFFSET(Dados!$B$3,C3+1,3,1,1)</f>
        <v>6.4999999999999997E-3</v>
      </c>
      <c r="G32" s="130">
        <f ca="1">OFFSET(Dados!$B$3,C3+1,4,1,1)</f>
        <v>0.03</v>
      </c>
      <c r="H32" s="130">
        <f ca="1">OFFSET(Dados!$B$3,C3+1,6,1,1)</f>
        <v>0.05</v>
      </c>
      <c r="I32" s="130">
        <f ca="1">OFFSET(Dados!$B$3,C3+1,9,1,1)</f>
        <v>3.8572312708998586E-2</v>
      </c>
      <c r="K32" s="128" t="s">
        <v>96</v>
      </c>
      <c r="L32" s="128"/>
      <c r="M32" s="129">
        <f ca="1">OFFSET(Dados!$B$3,S3+1,10,1,1)</f>
        <v>0.25484969797919804</v>
      </c>
      <c r="N32" s="130">
        <f ca="1">OFFSET(Dados!$B$3,S3+1,1,1,1)</f>
        <v>4.8000000000000001E-2</v>
      </c>
      <c r="O32" s="130">
        <f ca="1">OFFSET(Dados!$B$3,S3+1,2,1,1)</f>
        <v>2.8799999999999999E-2</v>
      </c>
      <c r="P32" s="130">
        <f ca="1">OFFSET(Dados!$B$3,S3+1,3,1,1)</f>
        <v>6.4999999999999997E-3</v>
      </c>
      <c r="Q32" s="130">
        <f ca="1">OFFSET(Dados!$B$3,S3+1,4,1,1)</f>
        <v>0.03</v>
      </c>
      <c r="R32" s="130">
        <f ca="1">OFFSET(Dados!$B$3,S3+1,6,1,1)</f>
        <v>0.05</v>
      </c>
      <c r="S32" s="130">
        <f ca="1">OFFSET(Dados!$B$3,S3+1,9,1,1)</f>
        <v>9.1549697979198041E-2</v>
      </c>
    </row>
    <row r="33" spans="1:19" ht="13.5" thickBot="1" x14ac:dyDescent="0.25">
      <c r="A33" s="131" t="s">
        <v>109</v>
      </c>
      <c r="B33" s="215"/>
      <c r="C33" s="132">
        <f ca="1">OFFSET(Dados!$B$3,C3+1,7,1,1)</f>
        <v>0.19384545885714288</v>
      </c>
      <c r="D33" s="133">
        <f ca="1">OFFSET(Dados!$B$3,C3+1,1,1,1)</f>
        <v>7.8285714285714292E-2</v>
      </c>
      <c r="E33" s="133">
        <f ca="1">OFFSET(Dados!$B$3,C3+1,2,1,1)</f>
        <v>2.8799999999999999E-2</v>
      </c>
      <c r="F33" s="133">
        <f ca="1">OFFSET(Dados!$B$3,C3+1,3,1,1)</f>
        <v>6.4999999999999997E-3</v>
      </c>
      <c r="G33" s="133">
        <f ca="1">OFFSET(Dados!$B$3,C3+1,4,1,1)</f>
        <v>0.03</v>
      </c>
      <c r="H33" s="133">
        <f ca="1">OFFSET(Dados!$B$3,C3+1,6,1,1)</f>
        <v>0.05</v>
      </c>
      <c r="I33" s="133">
        <f ca="1">OFFSET(Dados!$B$3,C3+1,5,1,1)</f>
        <v>2.5974457142857147E-4</v>
      </c>
      <c r="K33" s="131" t="s">
        <v>109</v>
      </c>
      <c r="L33" s="215"/>
      <c r="M33" s="132">
        <f ca="1">OFFSET(Dados!$B$3,S3+1,7,1,1)</f>
        <v>0.19966423999999999</v>
      </c>
      <c r="N33" s="133">
        <f ca="1">OFFSET(Dados!$B$3,S3+1,1,1,1)</f>
        <v>4.8000000000000001E-2</v>
      </c>
      <c r="O33" s="133">
        <f ca="1">OFFSET(Dados!$B$3,S3+1,2,1,1)</f>
        <v>2.8799999999999999E-2</v>
      </c>
      <c r="P33" s="133">
        <f ca="1">OFFSET(Dados!$B$3,S3+1,3,1,1)</f>
        <v>6.4999999999999997E-3</v>
      </c>
      <c r="Q33" s="133">
        <f ca="1">OFFSET(Dados!$B$3,S3+1,4,1,1)</f>
        <v>0.03</v>
      </c>
      <c r="R33" s="133">
        <f ca="1">OFFSET(Dados!$B$3,S3+1,6,1,1)</f>
        <v>0.05</v>
      </c>
      <c r="S33" s="133">
        <f ca="1">OFFSET(Dados!$B$3,S3+1,5,1,1)</f>
        <v>3.6364240000000006E-2</v>
      </c>
    </row>
    <row r="35" spans="1:19" x14ac:dyDescent="0.2">
      <c r="A35" s="30" t="s">
        <v>114</v>
      </c>
    </row>
    <row r="36" spans="1:19" x14ac:dyDescent="0.2">
      <c r="A36" s="30" t="s">
        <v>115</v>
      </c>
    </row>
    <row r="37" spans="1:19" x14ac:dyDescent="0.2">
      <c r="A37" s="30" t="s">
        <v>117</v>
      </c>
    </row>
    <row r="38" spans="1:19" x14ac:dyDescent="0.2">
      <c r="A38" s="30" t="s">
        <v>116</v>
      </c>
    </row>
    <row r="39" spans="1:19" x14ac:dyDescent="0.2">
      <c r="A39" s="30" t="s">
        <v>111</v>
      </c>
    </row>
    <row r="40" spans="1:19" x14ac:dyDescent="0.2">
      <c r="A40" s="190" t="s">
        <v>112</v>
      </c>
    </row>
    <row r="41" spans="1:19" x14ac:dyDescent="0.2">
      <c r="A41" s="191" t="s">
        <v>113</v>
      </c>
    </row>
  </sheetData>
  <sheetProtection password="A17A" sheet="1" objects="1" scenarios="1"/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locked="0" defaultSize="0" autoLine="0" autoPict="0">
                <anchor moveWithCells="1">
                  <from>
                    <xdr:col>2</xdr:col>
                    <xdr:colOff>600075</xdr:colOff>
                    <xdr:row>0</xdr:row>
                    <xdr:rowOff>161925</xdr:rowOff>
                  </from>
                  <to>
                    <xdr:col>5</xdr:col>
                    <xdr:colOff>66675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locked="0" defaultSize="0" autoLine="0" autoPict="0">
                <anchor moveWithCells="1">
                  <from>
                    <xdr:col>13</xdr:col>
                    <xdr:colOff>438150</xdr:colOff>
                    <xdr:row>0</xdr:row>
                    <xdr:rowOff>152400</xdr:rowOff>
                  </from>
                  <to>
                    <xdr:col>15</xdr:col>
                    <xdr:colOff>495300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2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5" sqref="L5"/>
    </sheetView>
  </sheetViews>
  <sheetFormatPr defaultRowHeight="11.25" x14ac:dyDescent="0.2"/>
  <cols>
    <col min="1" max="1" width="5.140625" style="1" customWidth="1"/>
    <col min="2" max="2" width="12.140625" style="2" customWidth="1"/>
    <col min="3" max="6" width="7.28515625" style="3" customWidth="1"/>
    <col min="7" max="7" width="9.85546875" style="1" customWidth="1"/>
    <col min="8" max="8" width="7.28515625" style="1" customWidth="1"/>
    <col min="9" max="9" width="9.7109375" style="1" customWidth="1"/>
    <col min="10" max="10" width="9.42578125" style="64" customWidth="1"/>
    <col min="11" max="11" width="10.28515625" style="1" bestFit="1" customWidth="1"/>
    <col min="12" max="12" width="9.7109375" style="1" customWidth="1"/>
    <col min="13" max="18" width="7.42578125" style="1" customWidth="1"/>
    <col min="19" max="19" width="8.42578125" style="1" customWidth="1"/>
    <col min="20" max="21" width="10.85546875" style="3" bestFit="1" customWidth="1"/>
    <col min="22" max="22" width="7.42578125" style="3" customWidth="1"/>
    <col min="23" max="23" width="10.85546875" style="3" bestFit="1" customWidth="1"/>
    <col min="24" max="25" width="7.42578125" style="3" customWidth="1"/>
    <col min="26" max="26" width="8.85546875" style="3" customWidth="1"/>
    <col min="27" max="27" width="9.140625" style="3"/>
    <col min="28" max="28" width="9.140625" style="150"/>
    <col min="29" max="16384" width="9.140625" style="3"/>
  </cols>
  <sheetData>
    <row r="1" spans="1:28" x14ac:dyDescent="0.2">
      <c r="D1" s="193"/>
      <c r="E1" s="193"/>
      <c r="F1" s="193"/>
      <c r="G1" s="5"/>
      <c r="H1" s="5"/>
      <c r="I1" s="5"/>
      <c r="J1" s="176"/>
      <c r="K1" s="5"/>
      <c r="L1" s="5"/>
      <c r="M1" s="4"/>
      <c r="N1" s="5"/>
      <c r="O1" s="5"/>
      <c r="P1" s="5"/>
      <c r="Q1" s="5"/>
      <c r="R1" s="5"/>
      <c r="S1" s="5"/>
    </row>
    <row r="2" spans="1:28" ht="12" thickBot="1" x14ac:dyDescent="0.25">
      <c r="C2" s="6"/>
      <c r="D2" s="7"/>
      <c r="E2" s="7"/>
      <c r="F2" s="7"/>
      <c r="G2" s="8"/>
      <c r="H2" s="8"/>
      <c r="I2" s="8"/>
      <c r="K2" s="8"/>
      <c r="L2" s="8"/>
      <c r="M2" s="64"/>
      <c r="N2" s="8"/>
      <c r="O2" s="8"/>
      <c r="P2" s="8"/>
      <c r="Q2" s="8"/>
      <c r="R2" s="8"/>
      <c r="S2" s="8"/>
    </row>
    <row r="3" spans="1:28" ht="20.25" customHeight="1" thickBot="1" x14ac:dyDescent="0.25">
      <c r="B3" s="194" t="s">
        <v>60</v>
      </c>
      <c r="C3" s="88" t="s">
        <v>110</v>
      </c>
      <c r="D3" s="89"/>
      <c r="E3" s="89"/>
      <c r="F3" s="89"/>
      <c r="G3" s="89"/>
      <c r="H3" s="89"/>
      <c r="I3" s="90"/>
      <c r="J3" s="177"/>
      <c r="K3" s="89" t="s">
        <v>96</v>
      </c>
      <c r="L3" s="89"/>
      <c r="M3" s="88" t="s">
        <v>82</v>
      </c>
      <c r="N3" s="89"/>
      <c r="O3" s="89"/>
      <c r="P3" s="89"/>
      <c r="Q3" s="89"/>
      <c r="R3" s="89"/>
      <c r="S3" s="90"/>
      <c r="T3" s="88" t="s">
        <v>53</v>
      </c>
      <c r="U3" s="89"/>
      <c r="V3" s="89"/>
      <c r="W3" s="89"/>
      <c r="X3" s="89"/>
      <c r="Y3" s="89"/>
      <c r="Z3" s="89"/>
      <c r="AB3" s="151"/>
    </row>
    <row r="4" spans="1:28" ht="19.5" customHeight="1" thickBot="1" x14ac:dyDescent="0.25">
      <c r="B4" s="195"/>
      <c r="C4" s="9" t="s">
        <v>107</v>
      </c>
      <c r="D4" s="9" t="s">
        <v>17</v>
      </c>
      <c r="E4" s="9" t="s">
        <v>45</v>
      </c>
      <c r="F4" s="9" t="s">
        <v>16</v>
      </c>
      <c r="G4" s="9" t="s">
        <v>95</v>
      </c>
      <c r="H4" s="10" t="s">
        <v>23</v>
      </c>
      <c r="I4" s="22" t="s">
        <v>93</v>
      </c>
      <c r="J4" s="9" t="s">
        <v>92</v>
      </c>
      <c r="K4" s="9" t="s">
        <v>92</v>
      </c>
      <c r="L4" s="162" t="s">
        <v>94</v>
      </c>
      <c r="M4" s="164" t="s">
        <v>107</v>
      </c>
      <c r="N4" s="9" t="s">
        <v>17</v>
      </c>
      <c r="O4" s="9" t="s">
        <v>45</v>
      </c>
      <c r="P4" s="9" t="s">
        <v>16</v>
      </c>
      <c r="Q4" s="9" t="s">
        <v>39</v>
      </c>
      <c r="R4" s="10" t="s">
        <v>23</v>
      </c>
      <c r="S4" s="22" t="s">
        <v>80</v>
      </c>
      <c r="T4" s="9" t="s">
        <v>107</v>
      </c>
      <c r="U4" s="9" t="s">
        <v>17</v>
      </c>
      <c r="V4" s="9" t="s">
        <v>45</v>
      </c>
      <c r="W4" s="9" t="s">
        <v>16</v>
      </c>
      <c r="X4" s="9" t="s">
        <v>39</v>
      </c>
      <c r="Y4" s="10" t="s">
        <v>23</v>
      </c>
      <c r="Z4" s="80" t="s">
        <v>81</v>
      </c>
      <c r="AB4" s="152" t="s">
        <v>72</v>
      </c>
    </row>
    <row r="5" spans="1:28" s="14" customFormat="1" x14ac:dyDescent="0.2">
      <c r="A5" s="1"/>
      <c r="B5" s="11">
        <f>95000+5000</f>
        <v>100000</v>
      </c>
      <c r="C5" s="12">
        <f t="shared" ref="C5:C28" si="0">IF($B5&lt;=240000/BC_IR,($B5*(Al_IR)*BC_IR)/$B5,($B5*(Al_IR)*BC_IR+($B5-(240000/BC_IR))*BC_IR*Al_aIR)/$B5)</f>
        <v>4.8000000000000001E-2</v>
      </c>
      <c r="D5" s="12">
        <f t="shared" ref="D5:D28" si="1">$B5*(Al_CS)*BC_CS/$B5</f>
        <v>2.8799999999999999E-2</v>
      </c>
      <c r="E5" s="12">
        <f t="shared" ref="E5:E36" si="2">B5*(Al_Pis)/B5</f>
        <v>6.4999999999999997E-3</v>
      </c>
      <c r="F5" s="12">
        <f t="shared" ref="F5:F36" si="3">B5*(Al_Cofins)/B5</f>
        <v>0.03</v>
      </c>
      <c r="G5" s="12">
        <f>Parâmetros!$C$14*13.33*(Parâmetros!$C$15+FGTS+Sist_S_SAT)/Dados!B5</f>
        <v>3.6364240000000006E-2</v>
      </c>
      <c r="H5" s="13">
        <f>B5*Parâmetros!$C$13/Dados!B5</f>
        <v>0.05</v>
      </c>
      <c r="I5" s="23">
        <f>SUM(C5:H5)</f>
        <v>0.19966423999999999</v>
      </c>
      <c r="J5" s="178">
        <f>VLOOKUP(B5,LP_FX[],8,TRUE)*Parâmetros!$M$124/B5</f>
        <v>9.4515877195936196E-2</v>
      </c>
      <c r="K5" s="12">
        <f>Parâmetros!$C$20*(2*VLOOKUP(B5,LP_FX[],8,TRUE)/(VLOOKUP(B5,LP_FX[],1,TRUE)+VLOOKUP(B5,LP_FX[],2,TRUE)))</f>
        <v>9.1549697979198041E-2</v>
      </c>
      <c r="L5" s="163">
        <f>SUM(C5:F5,H5)+K5</f>
        <v>0.25484969797919804</v>
      </c>
      <c r="M5" s="165">
        <f>IF($B5&lt;=3600000,$B5*INDEX(Parâmetros!$F$7:$M$26,ROUNDUP(($B5/180000),0),4)/$B5,$B5*INDEX(Parâmetros!$F$7:$M$26,20,4)/$B5)</f>
        <v>0</v>
      </c>
      <c r="N5" s="12">
        <f>IF($B5&lt;=3600000,$B5*INDEX(Parâmetros!$F$7:$M$26,ROUNDUP(($B5/180000),0),5)/$B5,$B5*INDEX(Parâmetros!$F$7:$M$26,20,5)/$B5)</f>
        <v>1.2200000000000001E-2</v>
      </c>
      <c r="O5" s="12">
        <f>IF($B5&lt;=3600000,$B5*INDEX(Parâmetros!$F$7:$M$26,ROUNDUP(($B5/180000),0),6)/$B5,$B5*INDEX(Parâmetros!$F$7:$M$26,20,6)/$B5)</f>
        <v>0</v>
      </c>
      <c r="P5" s="12">
        <f>IF($B5&lt;=3600000,$B5*INDEX(Parâmetros!$F$7:$M$26,ROUNDUP(($B5/180000),0),7)/$B5,$B5*INDEX(Parâmetros!$F$7:$M$26,20,7)/$B5)</f>
        <v>1.2800000000000001E-2</v>
      </c>
      <c r="Q5" s="12">
        <f>Parâmetros!$C$14*13.33*(Parâmetros!$C$15+FGTS)/B5</f>
        <v>3.2845119999999998E-2</v>
      </c>
      <c r="R5" s="12">
        <f>IF($B5&lt;=3600000,$B5*INDEX(Parâmetros!$F$7:$M$26,ROUNDUP(($B5/180000),0),8)/$B5,$B5*INDEX(Parâmetros!$F$7:$M$26,20,8)/$B5)</f>
        <v>0.02</v>
      </c>
      <c r="S5" s="23">
        <f>SUM(M5:R5)</f>
        <v>7.7845120000000004E-2</v>
      </c>
      <c r="T5" s="12">
        <f t="shared" ref="T5:T36" si="4">IF(B5*AB5&lt;=22499.13,B5*0,IF(B5*AB5&lt;=33477.72,B5*0.075-1687.43,IF(B5*AB5&lt;=44476.74,B5*0.15-4198.26,IF(B5*AB5&lt;=55373.55,B5*0.225-7534.02,B5*AB5*0.275-10302.7))))/B5</f>
        <v>0.11679187890139878</v>
      </c>
      <c r="U5" s="64">
        <v>0</v>
      </c>
      <c r="V5" s="64">
        <v>0</v>
      </c>
      <c r="W5" s="64">
        <v>0</v>
      </c>
      <c r="X5" s="64">
        <f t="shared" ref="X5:X36" si="5">maior_sal_contrib*13.33*20%/B5</f>
        <v>0.13836060120000002</v>
      </c>
      <c r="Y5" s="64">
        <v>0</v>
      </c>
      <c r="Z5" s="81">
        <f>SUM(T5:Y5)</f>
        <v>0.25515248010139879</v>
      </c>
      <c r="AB5" s="153">
        <f>1-IF(B5&lt;=Parâmetros!$G$60,Parâmetros!$L$60,IF(B5&lt;=Parâmetros!$G$61,Parâmetros!$L$61,IF(B5&lt;=Parâmetros!$G$62,Parâmetros!$L$62,IF(B5&lt;=Parâmetros!$G$63,Parâmetros!$L$63,IF(B5&lt;=Parâmetros!$L$64,Parâmetros!$J$64,Parâmetros!$L$64)))))</f>
        <v>0.7993413778232682</v>
      </c>
    </row>
    <row r="6" spans="1:28" s="14" customFormat="1" x14ac:dyDescent="0.2">
      <c r="A6" s="1"/>
      <c r="B6" s="11">
        <f>B5+10000</f>
        <v>110000</v>
      </c>
      <c r="C6" s="12">
        <f t="shared" si="0"/>
        <v>4.8000000000000001E-2</v>
      </c>
      <c r="D6" s="12">
        <f t="shared" si="1"/>
        <v>2.8799999999999999E-2</v>
      </c>
      <c r="E6" s="12">
        <f t="shared" si="2"/>
        <v>6.4999999999999997E-3</v>
      </c>
      <c r="F6" s="12">
        <f t="shared" si="3"/>
        <v>0.03</v>
      </c>
      <c r="G6" s="12">
        <f>Parâmetros!$C$14*13.33*(Parâmetros!$C$15+FGTS+Sist_S_SAT)/Dados!B6</f>
        <v>3.3058400000000002E-2</v>
      </c>
      <c r="H6" s="13">
        <f>B6*Parâmetros!$C$13/Dados!B6</f>
        <v>0.05</v>
      </c>
      <c r="I6" s="23">
        <f t="shared" ref="I6:I69" si="6">SUM(C6:H6)</f>
        <v>0.19635839999999999</v>
      </c>
      <c r="J6" s="178">
        <f>VLOOKUP(B6,LP_FX[],8,TRUE)*Parâmetros!$M$124/B6</f>
        <v>8.5923524723578351E-2</v>
      </c>
      <c r="K6" s="12">
        <f>Parâmetros!$C$20*(2*VLOOKUP(B6,LP_FX[],8,TRUE)/(VLOOKUP(B6,LP_FX[],1,TRUE)+VLOOKUP(B6,LP_FX[],2,TRUE)))</f>
        <v>9.1549697979198041E-2</v>
      </c>
      <c r="L6" s="163">
        <f t="shared" ref="L6:L69" si="7">SUM(C6:F6,H6)+K6</f>
        <v>0.25484969797919804</v>
      </c>
      <c r="M6" s="165">
        <f>IF($B6&lt;=3600000,$B6*INDEX(Parâmetros!$F$7:$M$26,ROUNDUP(($B6/180000),0),4)/$B6,$B6*INDEX(Parâmetros!$F$7:$M$26,20,4)/$B6)</f>
        <v>0</v>
      </c>
      <c r="N6" s="12">
        <f>IF($B6&lt;=3600000,$B6*INDEX(Parâmetros!$F$7:$M$26,ROUNDUP(($B6/180000),0),5)/$B6,$B6*INDEX(Parâmetros!$F$7:$M$26,20,5)/$B6)</f>
        <v>1.2200000000000001E-2</v>
      </c>
      <c r="O6" s="12">
        <f>IF($B6&lt;=3600000,$B6*INDEX(Parâmetros!$F$7:$M$26,ROUNDUP(($B6/180000),0),6)/$B6,$B6*INDEX(Parâmetros!$F$7:$M$26,20,6)/$B6)</f>
        <v>0</v>
      </c>
      <c r="P6" s="12">
        <f>IF($B6&lt;=3600000,$B6*INDEX(Parâmetros!$F$7:$M$26,ROUNDUP(($B6/180000),0),7)/$B6,$B6*INDEX(Parâmetros!$F$7:$M$26,20,7)/$B6)</f>
        <v>1.2800000000000001E-2</v>
      </c>
      <c r="Q6" s="12">
        <f>Parâmetros!$C$14*13.33*(Parâmetros!$C$15+FGTS)/B6</f>
        <v>2.9859200000000002E-2</v>
      </c>
      <c r="R6" s="12">
        <f>IF($B6&lt;=3600000,$B6*INDEX(Parâmetros!$F$7:$M$26,ROUNDUP(($B6/180000),0),8)/$B6,$B6*INDEX(Parâmetros!$F$7:$M$26,20,8)/$B6)</f>
        <v>0.02</v>
      </c>
      <c r="S6" s="23">
        <f t="shared" ref="S6:S69" si="8">SUM(M6:R6)</f>
        <v>7.4859200000000001E-2</v>
      </c>
      <c r="T6" s="12">
        <f t="shared" si="4"/>
        <v>0.12615796981048966</v>
      </c>
      <c r="U6" s="64">
        <v>0</v>
      </c>
      <c r="V6" s="64">
        <v>0</v>
      </c>
      <c r="W6" s="64">
        <v>0</v>
      </c>
      <c r="X6" s="64">
        <f t="shared" si="5"/>
        <v>0.12578236472727275</v>
      </c>
      <c r="Y6" s="64">
        <v>0</v>
      </c>
      <c r="Z6" s="81">
        <f t="shared" ref="Z6:Z69" si="9">SUM(T6:Y6)</f>
        <v>0.25194033453776243</v>
      </c>
      <c r="AB6" s="153">
        <f>1-IF(B6&lt;=Parâmetros!$G$60,Parâmetros!$L$60,IF(B6&lt;=Parâmetros!$G$61,Parâmetros!$L$61,IF(B6&lt;=Parâmetros!$G$62,Parâmetros!$L$62,IF(B6&lt;=Parâmetros!$G$63,Parâmetros!$L$63,IF(B6&lt;=Parâmetros!$L$64,Parâmetros!$J$64,Parâmetros!$L$64)))))</f>
        <v>0.7993413778232682</v>
      </c>
    </row>
    <row r="7" spans="1:28" s="14" customFormat="1" x14ac:dyDescent="0.2">
      <c r="A7" s="1"/>
      <c r="B7" s="11">
        <f t="shared" ref="B7:B29" si="10">B6+10000</f>
        <v>120000</v>
      </c>
      <c r="C7" s="12">
        <f t="shared" si="0"/>
        <v>4.8000000000000001E-2</v>
      </c>
      <c r="D7" s="12">
        <f t="shared" si="1"/>
        <v>2.8799999999999999E-2</v>
      </c>
      <c r="E7" s="12">
        <f t="shared" si="2"/>
        <v>6.4999999999999997E-3</v>
      </c>
      <c r="F7" s="12">
        <f t="shared" si="3"/>
        <v>0.03</v>
      </c>
      <c r="G7" s="12">
        <f>Parâmetros!$C$14*13.33*(Parâmetros!$C$15+FGTS+Sist_S_SAT)/Dados!B7</f>
        <v>3.0303533333333337E-2</v>
      </c>
      <c r="H7" s="13">
        <f>B7*Parâmetros!$C$13/Dados!B7</f>
        <v>0.05</v>
      </c>
      <c r="I7" s="23">
        <f t="shared" si="6"/>
        <v>0.19360353333333336</v>
      </c>
      <c r="J7" s="178">
        <f>VLOOKUP(B7,LP_FX[],8,TRUE)*Parâmetros!$M$124/B7</f>
        <v>7.876323099661349E-2</v>
      </c>
      <c r="K7" s="12">
        <f>Parâmetros!$C$20*(2*VLOOKUP(B7,LP_FX[],8,TRUE)/(VLOOKUP(B7,LP_FX[],1,TRUE)+VLOOKUP(B7,LP_FX[],2,TRUE)))</f>
        <v>9.1549697979198041E-2</v>
      </c>
      <c r="L7" s="163">
        <f t="shared" si="7"/>
        <v>0.25484969797919804</v>
      </c>
      <c r="M7" s="165">
        <f>IF($B7&lt;=3600000,$B7*INDEX(Parâmetros!$F$7:$M$26,ROUNDUP(($B7/180000),0),4)/$B7,$B7*INDEX(Parâmetros!$F$7:$M$26,20,4)/$B7)</f>
        <v>0</v>
      </c>
      <c r="N7" s="12">
        <f>IF($B7&lt;=3600000,$B7*INDEX(Parâmetros!$F$7:$M$26,ROUNDUP(($B7/180000),0),5)/$B7,$B7*INDEX(Parâmetros!$F$7:$M$26,20,5)/$B7)</f>
        <v>1.2200000000000001E-2</v>
      </c>
      <c r="O7" s="12">
        <f>IF($B7&lt;=3600000,$B7*INDEX(Parâmetros!$F$7:$M$26,ROUNDUP(($B7/180000),0),6)/$B7,$B7*INDEX(Parâmetros!$F$7:$M$26,20,6)/$B7)</f>
        <v>0</v>
      </c>
      <c r="P7" s="12">
        <f>IF($B7&lt;=3600000,$B7*INDEX(Parâmetros!$F$7:$M$26,ROUNDUP(($B7/180000),0),7)/$B7,$B7*INDEX(Parâmetros!$F$7:$M$26,20,7)/$B7)</f>
        <v>1.2800000000000001E-2</v>
      </c>
      <c r="Q7" s="12">
        <f>Parâmetros!$C$14*13.33*(Parâmetros!$C$15+FGTS)/B7</f>
        <v>2.7370933333333333E-2</v>
      </c>
      <c r="R7" s="12">
        <f>IF($B7&lt;=3600000,$B7*INDEX(Parâmetros!$F$7:$M$26,ROUNDUP(($B7/180000),0),8)/$B7,$B7*INDEX(Parâmetros!$F$7:$M$26,20,8)/$B7)</f>
        <v>0.02</v>
      </c>
      <c r="S7" s="23">
        <f t="shared" si="8"/>
        <v>7.2370933333333332E-2</v>
      </c>
      <c r="T7" s="12">
        <f t="shared" si="4"/>
        <v>0.13396304556806546</v>
      </c>
      <c r="U7" s="64">
        <v>0</v>
      </c>
      <c r="V7" s="64">
        <v>0</v>
      </c>
      <c r="W7" s="64">
        <v>0</v>
      </c>
      <c r="X7" s="64">
        <f t="shared" si="5"/>
        <v>0.11530050100000001</v>
      </c>
      <c r="Y7" s="64">
        <v>0</v>
      </c>
      <c r="Z7" s="81">
        <f t="shared" si="9"/>
        <v>0.24926354656806549</v>
      </c>
      <c r="AB7" s="153">
        <f>1-IF(B7&lt;=Parâmetros!$G$60,Parâmetros!$L$60,IF(B7&lt;=Parâmetros!$G$61,Parâmetros!$L$61,IF(B7&lt;=Parâmetros!$G$62,Parâmetros!$L$62,IF(B7&lt;=Parâmetros!$G$63,Parâmetros!$L$63,IF(B7&lt;=Parâmetros!$L$64,Parâmetros!$J$64,Parâmetros!$L$64)))))</f>
        <v>0.7993413778232682</v>
      </c>
    </row>
    <row r="8" spans="1:28" s="14" customFormat="1" x14ac:dyDescent="0.2">
      <c r="A8" s="1"/>
      <c r="B8" s="11">
        <f t="shared" si="10"/>
        <v>130000</v>
      </c>
      <c r="C8" s="12">
        <f t="shared" si="0"/>
        <v>4.8000000000000001E-2</v>
      </c>
      <c r="D8" s="12">
        <f t="shared" si="1"/>
        <v>2.8799999999999999E-2</v>
      </c>
      <c r="E8" s="12">
        <f t="shared" si="2"/>
        <v>6.4999999999999997E-3</v>
      </c>
      <c r="F8" s="12">
        <f t="shared" si="3"/>
        <v>0.03</v>
      </c>
      <c r="G8" s="12">
        <f>Parâmetros!$C$14*13.33*(Parâmetros!$C$15+FGTS+Sist_S_SAT)/Dados!B8</f>
        <v>2.7972492307692311E-2</v>
      </c>
      <c r="H8" s="13">
        <f>B8*Parâmetros!$C$13/Dados!B8</f>
        <v>0.05</v>
      </c>
      <c r="I8" s="23">
        <f t="shared" si="6"/>
        <v>0.19127249230769233</v>
      </c>
      <c r="J8" s="178">
        <f>VLOOKUP(B8,LP_FX[],8,TRUE)*Parâmetros!$M$124/B8</f>
        <v>7.2704520919950916E-2</v>
      </c>
      <c r="K8" s="12">
        <f>Parâmetros!$C$20*(2*VLOOKUP(B8,LP_FX[],8,TRUE)/(VLOOKUP(B8,LP_FX[],1,TRUE)+VLOOKUP(B8,LP_FX[],2,TRUE)))</f>
        <v>9.1549697979198041E-2</v>
      </c>
      <c r="L8" s="163">
        <f t="shared" si="7"/>
        <v>0.25484969797919804</v>
      </c>
      <c r="M8" s="165">
        <f>IF($B8&lt;=3600000,$B8*INDEX(Parâmetros!$F$7:$M$26,ROUNDUP(($B8/180000),0),4)/$B8,$B8*INDEX(Parâmetros!$F$7:$M$26,20,4)/$B8)</f>
        <v>0</v>
      </c>
      <c r="N8" s="12">
        <f>IF($B8&lt;=3600000,$B8*INDEX(Parâmetros!$F$7:$M$26,ROUNDUP(($B8/180000),0),5)/$B8,$B8*INDEX(Parâmetros!$F$7:$M$26,20,5)/$B8)</f>
        <v>1.2200000000000001E-2</v>
      </c>
      <c r="O8" s="12">
        <f>IF($B8&lt;=3600000,$B8*INDEX(Parâmetros!$F$7:$M$26,ROUNDUP(($B8/180000),0),6)/$B8,$B8*INDEX(Parâmetros!$F$7:$M$26,20,6)/$B8)</f>
        <v>0</v>
      </c>
      <c r="P8" s="12">
        <f>IF($B8&lt;=3600000,$B8*INDEX(Parâmetros!$F$7:$M$26,ROUNDUP(($B8/180000),0),7)/$B8,$B8*INDEX(Parâmetros!$F$7:$M$26,20,7)/$B8)</f>
        <v>1.2800000000000001E-2</v>
      </c>
      <c r="Q8" s="12">
        <f>Parâmetros!$C$14*13.33*(Parâmetros!$C$15+FGTS)/B8</f>
        <v>2.5265476923076926E-2</v>
      </c>
      <c r="R8" s="12">
        <f>IF($B8&lt;=3600000,$B8*INDEX(Parâmetros!$F$7:$M$26,ROUNDUP(($B8/180000),0),8)/$B8,$B8*INDEX(Parâmetros!$F$7:$M$26,20,8)/$B8)</f>
        <v>0.02</v>
      </c>
      <c r="S8" s="23">
        <f t="shared" si="8"/>
        <v>7.0265476923076928E-2</v>
      </c>
      <c r="T8" s="12">
        <f t="shared" si="4"/>
        <v>0.1405673404398603</v>
      </c>
      <c r="U8" s="64">
        <v>0</v>
      </c>
      <c r="V8" s="64">
        <v>0</v>
      </c>
      <c r="W8" s="64">
        <v>0</v>
      </c>
      <c r="X8" s="64">
        <f t="shared" si="5"/>
        <v>0.10643123169230771</v>
      </c>
      <c r="Y8" s="64">
        <v>0</v>
      </c>
      <c r="Z8" s="81">
        <f t="shared" si="9"/>
        <v>0.24699857213216803</v>
      </c>
      <c r="AB8" s="153">
        <f>1-IF(B8&lt;=Parâmetros!$G$60,Parâmetros!$L$60,IF(B8&lt;=Parâmetros!$G$61,Parâmetros!$L$61,IF(B8&lt;=Parâmetros!$G$62,Parâmetros!$L$62,IF(B8&lt;=Parâmetros!$G$63,Parâmetros!$L$63,IF(B8&lt;=Parâmetros!$L$64,Parâmetros!$J$64,Parâmetros!$L$64)))))</f>
        <v>0.7993413778232682</v>
      </c>
    </row>
    <row r="9" spans="1:28" s="14" customFormat="1" x14ac:dyDescent="0.2">
      <c r="A9" s="1"/>
      <c r="B9" s="11">
        <f t="shared" si="10"/>
        <v>140000</v>
      </c>
      <c r="C9" s="12">
        <f t="shared" si="0"/>
        <v>4.8000000000000001E-2</v>
      </c>
      <c r="D9" s="12">
        <f t="shared" si="1"/>
        <v>2.8799999999999999E-2</v>
      </c>
      <c r="E9" s="12">
        <f t="shared" si="2"/>
        <v>6.4999999999999997E-3</v>
      </c>
      <c r="F9" s="12">
        <f t="shared" si="3"/>
        <v>0.03</v>
      </c>
      <c r="G9" s="12">
        <f>Parâmetros!$C$14*13.33*(Parâmetros!$C$15+FGTS+Sist_S_SAT)/Dados!B9</f>
        <v>2.5974457142857146E-2</v>
      </c>
      <c r="H9" s="13">
        <f>B9*Parâmetros!$C$13/Dados!B9</f>
        <v>0.05</v>
      </c>
      <c r="I9" s="23">
        <f t="shared" si="6"/>
        <v>0.18927445714285718</v>
      </c>
      <c r="J9" s="178">
        <f>VLOOKUP(B9,LP_FX[],8,TRUE)*Parâmetros!$M$124/B9</f>
        <v>6.751134085424014E-2</v>
      </c>
      <c r="K9" s="12">
        <f>Parâmetros!$C$20*(2*VLOOKUP(B9,LP_FX[],8,TRUE)/(VLOOKUP(B9,LP_FX[],1,TRUE)+VLOOKUP(B9,LP_FX[],2,TRUE)))</f>
        <v>9.1549697979198041E-2</v>
      </c>
      <c r="L9" s="163">
        <f t="shared" si="7"/>
        <v>0.25484969797919804</v>
      </c>
      <c r="M9" s="165">
        <f>IF($B9&lt;=3600000,$B9*INDEX(Parâmetros!$F$7:$M$26,ROUNDUP(($B9/180000),0),4)/$B9,$B9*INDEX(Parâmetros!$F$7:$M$26,20,4)/$B9)</f>
        <v>0</v>
      </c>
      <c r="N9" s="12">
        <f>IF($B9&lt;=3600000,$B9*INDEX(Parâmetros!$F$7:$M$26,ROUNDUP(($B9/180000),0),5)/$B9,$B9*INDEX(Parâmetros!$F$7:$M$26,20,5)/$B9)</f>
        <v>1.2200000000000001E-2</v>
      </c>
      <c r="O9" s="12">
        <f>IF($B9&lt;=3600000,$B9*INDEX(Parâmetros!$F$7:$M$26,ROUNDUP(($B9/180000),0),6)/$B9,$B9*INDEX(Parâmetros!$F$7:$M$26,20,6)/$B9)</f>
        <v>0</v>
      </c>
      <c r="P9" s="12">
        <f>IF($B9&lt;=3600000,$B9*INDEX(Parâmetros!$F$7:$M$26,ROUNDUP(($B9/180000),0),7)/$B9,$B9*INDEX(Parâmetros!$F$7:$M$26,20,7)/$B9)</f>
        <v>1.2800000000000001E-2</v>
      </c>
      <c r="Q9" s="12">
        <f>Parâmetros!$C$14*13.33*(Parâmetros!$C$15+FGTS)/B9</f>
        <v>2.34608E-2</v>
      </c>
      <c r="R9" s="12">
        <f>IF($B9&lt;=3600000,$B9*INDEX(Parâmetros!$F$7:$M$26,ROUNDUP(($B9/180000),0),8)/$B9,$B9*INDEX(Parâmetros!$F$7:$M$26,20,8)/$B9)</f>
        <v>0.02</v>
      </c>
      <c r="S9" s="23">
        <f t="shared" si="8"/>
        <v>6.8460800000000002E-2</v>
      </c>
      <c r="T9" s="12">
        <f t="shared" si="4"/>
        <v>0.14622816461568447</v>
      </c>
      <c r="U9" s="64">
        <v>0</v>
      </c>
      <c r="V9" s="64">
        <v>0</v>
      </c>
      <c r="W9" s="64">
        <v>0</v>
      </c>
      <c r="X9" s="64">
        <f t="shared" si="5"/>
        <v>9.8829000857142871E-2</v>
      </c>
      <c r="Y9" s="64">
        <v>0</v>
      </c>
      <c r="Z9" s="81">
        <f t="shared" si="9"/>
        <v>0.24505716547282735</v>
      </c>
      <c r="AB9" s="153">
        <f>1-IF(B9&lt;=Parâmetros!$G$60,Parâmetros!$L$60,IF(B9&lt;=Parâmetros!$G$61,Parâmetros!$L$61,IF(B9&lt;=Parâmetros!$G$62,Parâmetros!$L$62,IF(B9&lt;=Parâmetros!$G$63,Parâmetros!$L$63,IF(B9&lt;=Parâmetros!$L$64,Parâmetros!$J$64,Parâmetros!$L$64)))))</f>
        <v>0.7993413778232682</v>
      </c>
    </row>
    <row r="10" spans="1:28" s="14" customFormat="1" x14ac:dyDescent="0.2">
      <c r="A10" s="1"/>
      <c r="B10" s="11">
        <f t="shared" si="10"/>
        <v>150000</v>
      </c>
      <c r="C10" s="12">
        <f t="shared" si="0"/>
        <v>4.8000000000000001E-2</v>
      </c>
      <c r="D10" s="12">
        <f t="shared" si="1"/>
        <v>2.8799999999999999E-2</v>
      </c>
      <c r="E10" s="12">
        <f t="shared" si="2"/>
        <v>6.4999999999999997E-3</v>
      </c>
      <c r="F10" s="12">
        <f t="shared" si="3"/>
        <v>0.03</v>
      </c>
      <c r="G10" s="12">
        <f>Parâmetros!$C$14*13.33*(Parâmetros!$C$15+FGTS+Sist_S_SAT)/Dados!B10</f>
        <v>2.4242826666666668E-2</v>
      </c>
      <c r="H10" s="13">
        <f>B10*Parâmetros!$C$13/Dados!B10</f>
        <v>0.05</v>
      </c>
      <c r="I10" s="23">
        <f t="shared" si="6"/>
        <v>0.18754282666666666</v>
      </c>
      <c r="J10" s="178">
        <f>VLOOKUP(B10,LP_FX[],8,TRUE)*Parâmetros!$M$124/B10</f>
        <v>6.3010584797290797E-2</v>
      </c>
      <c r="K10" s="12">
        <f>Parâmetros!$C$20*(2*VLOOKUP(B10,LP_FX[],8,TRUE)/(VLOOKUP(B10,LP_FX[],1,TRUE)+VLOOKUP(B10,LP_FX[],2,TRUE)))</f>
        <v>9.1549697979198041E-2</v>
      </c>
      <c r="L10" s="163">
        <f t="shared" si="7"/>
        <v>0.25484969797919804</v>
      </c>
      <c r="M10" s="165">
        <f>IF($B10&lt;=3600000,$B10*INDEX(Parâmetros!$F$7:$M$26,ROUNDUP(($B10/180000),0),4)/$B10,$B10*INDEX(Parâmetros!$F$7:$M$26,20,4)/$B10)</f>
        <v>0</v>
      </c>
      <c r="N10" s="12">
        <f>IF($B10&lt;=3600000,$B10*INDEX(Parâmetros!$F$7:$M$26,ROUNDUP(($B10/180000),0),5)/$B10,$B10*INDEX(Parâmetros!$F$7:$M$26,20,5)/$B10)</f>
        <v>1.2200000000000001E-2</v>
      </c>
      <c r="O10" s="12">
        <f>IF($B10&lt;=3600000,$B10*INDEX(Parâmetros!$F$7:$M$26,ROUNDUP(($B10/180000),0),6)/$B10,$B10*INDEX(Parâmetros!$F$7:$M$26,20,6)/$B10)</f>
        <v>0</v>
      </c>
      <c r="P10" s="12">
        <f>IF($B10&lt;=3600000,$B10*INDEX(Parâmetros!$F$7:$M$26,ROUNDUP(($B10/180000),0),7)/$B10,$B10*INDEX(Parâmetros!$F$7:$M$26,20,7)/$B10)</f>
        <v>1.2800000000000001E-2</v>
      </c>
      <c r="Q10" s="12">
        <f>Parâmetros!$C$14*13.33*(Parâmetros!$C$15+FGTS)/B10</f>
        <v>2.1896746666666668E-2</v>
      </c>
      <c r="R10" s="12">
        <f>IF($B10&lt;=3600000,$B10*INDEX(Parâmetros!$F$7:$M$26,ROUNDUP(($B10/180000),0),8)/$B10,$B10*INDEX(Parâmetros!$F$7:$M$26,20,8)/$B10)</f>
        <v>0.02</v>
      </c>
      <c r="S10" s="23">
        <f t="shared" si="8"/>
        <v>6.6896746666666673E-2</v>
      </c>
      <c r="T10" s="12">
        <f t="shared" si="4"/>
        <v>0.15113421223473208</v>
      </c>
      <c r="U10" s="64">
        <v>0</v>
      </c>
      <c r="V10" s="64">
        <v>0</v>
      </c>
      <c r="W10" s="64">
        <v>0</v>
      </c>
      <c r="X10" s="64">
        <f t="shared" si="5"/>
        <v>9.2240400800000011E-2</v>
      </c>
      <c r="Y10" s="64">
        <v>0</v>
      </c>
      <c r="Z10" s="81">
        <f t="shared" si="9"/>
        <v>0.2433746130347321</v>
      </c>
      <c r="AB10" s="153">
        <f>1-IF(B10&lt;=Parâmetros!$G$60,Parâmetros!$L$60,IF(B10&lt;=Parâmetros!$G$61,Parâmetros!$L$61,IF(B10&lt;=Parâmetros!$G$62,Parâmetros!$L$62,IF(B10&lt;=Parâmetros!$G$63,Parâmetros!$L$63,IF(B10&lt;=Parâmetros!$L$64,Parâmetros!$J$64,Parâmetros!$L$64)))))</f>
        <v>0.7993413778232682</v>
      </c>
    </row>
    <row r="11" spans="1:28" s="14" customFormat="1" x14ac:dyDescent="0.2">
      <c r="A11" s="1"/>
      <c r="B11" s="11">
        <f t="shared" si="10"/>
        <v>160000</v>
      </c>
      <c r="C11" s="12">
        <f t="shared" si="0"/>
        <v>4.8000000000000001E-2</v>
      </c>
      <c r="D11" s="12">
        <f t="shared" si="1"/>
        <v>2.8799999999999999E-2</v>
      </c>
      <c r="E11" s="12">
        <f t="shared" si="2"/>
        <v>6.4999999999999997E-3</v>
      </c>
      <c r="F11" s="12">
        <f t="shared" si="3"/>
        <v>0.03</v>
      </c>
      <c r="G11" s="12">
        <f>Parâmetros!$C$14*13.33*(Parâmetros!$C$15+FGTS+Sist_S_SAT)/Dados!B11</f>
        <v>2.2727650000000002E-2</v>
      </c>
      <c r="H11" s="13">
        <f>B11*Parâmetros!$C$13/Dados!B11</f>
        <v>0.05</v>
      </c>
      <c r="I11" s="23">
        <f t="shared" si="6"/>
        <v>0.18602764999999999</v>
      </c>
      <c r="J11" s="178">
        <f>VLOOKUP(B11,LP_FX[],8,TRUE)*Parâmetros!$M$124/B11</f>
        <v>5.9072423247460121E-2</v>
      </c>
      <c r="K11" s="12">
        <f>Parâmetros!$C$20*(2*VLOOKUP(B11,LP_FX[],8,TRUE)/(VLOOKUP(B11,LP_FX[],1,TRUE)+VLOOKUP(B11,LP_FX[],2,TRUE)))</f>
        <v>9.1549697979198041E-2</v>
      </c>
      <c r="L11" s="163">
        <f t="shared" si="7"/>
        <v>0.25484969797919804</v>
      </c>
      <c r="M11" s="165">
        <f>IF($B11&lt;=3600000,$B11*INDEX(Parâmetros!$F$7:$M$26,ROUNDUP(($B11/180000),0),4)/$B11,$B11*INDEX(Parâmetros!$F$7:$M$26,20,4)/$B11)</f>
        <v>0</v>
      </c>
      <c r="N11" s="12">
        <f>IF($B11&lt;=3600000,$B11*INDEX(Parâmetros!$F$7:$M$26,ROUNDUP(($B11/180000),0),5)/$B11,$B11*INDEX(Parâmetros!$F$7:$M$26,20,5)/$B11)</f>
        <v>1.2200000000000001E-2</v>
      </c>
      <c r="O11" s="12">
        <f>IF($B11&lt;=3600000,$B11*INDEX(Parâmetros!$F$7:$M$26,ROUNDUP(($B11/180000),0),6)/$B11,$B11*INDEX(Parâmetros!$F$7:$M$26,20,6)/$B11)</f>
        <v>0</v>
      </c>
      <c r="P11" s="12">
        <f>IF($B11&lt;=3600000,$B11*INDEX(Parâmetros!$F$7:$M$26,ROUNDUP(($B11/180000),0),7)/$B11,$B11*INDEX(Parâmetros!$F$7:$M$26,20,7)/$B11)</f>
        <v>1.2800000000000001E-2</v>
      </c>
      <c r="Q11" s="12">
        <f>Parâmetros!$C$14*13.33*(Parâmetros!$C$15+FGTS)/B11</f>
        <v>2.05282E-2</v>
      </c>
      <c r="R11" s="12">
        <f>IF($B11&lt;=3600000,$B11*INDEX(Parâmetros!$F$7:$M$26,ROUNDUP(($B11/180000),0),8)/$B11,$B11*INDEX(Parâmetros!$F$7:$M$26,20,8)/$B11)</f>
        <v>0.02</v>
      </c>
      <c r="S11" s="23">
        <f t="shared" si="8"/>
        <v>6.5528200000000009E-2</v>
      </c>
      <c r="T11" s="12">
        <f t="shared" si="4"/>
        <v>0.15542700390139874</v>
      </c>
      <c r="U11" s="64">
        <v>0</v>
      </c>
      <c r="V11" s="64">
        <v>0</v>
      </c>
      <c r="W11" s="64">
        <v>0</v>
      </c>
      <c r="X11" s="64">
        <f t="shared" si="5"/>
        <v>8.6475375750000014E-2</v>
      </c>
      <c r="Y11" s="64">
        <v>0</v>
      </c>
      <c r="Z11" s="81">
        <f t="shared" si="9"/>
        <v>0.24190237965139877</v>
      </c>
      <c r="AB11" s="153">
        <f>1-IF(B11&lt;=Parâmetros!$G$60,Parâmetros!$L$60,IF(B11&lt;=Parâmetros!$G$61,Parâmetros!$L$61,IF(B11&lt;=Parâmetros!$G$62,Parâmetros!$L$62,IF(B11&lt;=Parâmetros!$G$63,Parâmetros!$L$63,IF(B11&lt;=Parâmetros!$L$64,Parâmetros!$J$64,Parâmetros!$L$64)))))</f>
        <v>0.7993413778232682</v>
      </c>
    </row>
    <row r="12" spans="1:28" s="14" customFormat="1" x14ac:dyDescent="0.2">
      <c r="A12" s="1"/>
      <c r="B12" s="11">
        <f t="shared" si="10"/>
        <v>170000</v>
      </c>
      <c r="C12" s="12">
        <f t="shared" si="0"/>
        <v>4.8000000000000001E-2</v>
      </c>
      <c r="D12" s="12">
        <f t="shared" si="1"/>
        <v>2.8799999999999999E-2</v>
      </c>
      <c r="E12" s="12">
        <f t="shared" si="2"/>
        <v>6.4999999999999997E-3</v>
      </c>
      <c r="F12" s="12">
        <f t="shared" si="3"/>
        <v>0.03</v>
      </c>
      <c r="G12" s="12">
        <f>Parâmetros!$C$14*13.33*(Parâmetros!$C$15+FGTS+Sist_S_SAT)/Dados!B12</f>
        <v>2.139072941176471E-2</v>
      </c>
      <c r="H12" s="13">
        <f>B12*Parâmetros!$C$13/Dados!B12</f>
        <v>0.05</v>
      </c>
      <c r="I12" s="23">
        <f t="shared" si="6"/>
        <v>0.18469072941176473</v>
      </c>
      <c r="J12" s="178">
        <f>VLOOKUP(B12,LP_FX[],8,TRUE)*Parâmetros!$M$124/B12</f>
        <v>5.5597574821138938E-2</v>
      </c>
      <c r="K12" s="12">
        <f>Parâmetros!$C$20*(2*VLOOKUP(B12,LP_FX[],8,TRUE)/(VLOOKUP(B12,LP_FX[],1,TRUE)+VLOOKUP(B12,LP_FX[],2,TRUE)))</f>
        <v>9.1549697979198041E-2</v>
      </c>
      <c r="L12" s="163">
        <f t="shared" si="7"/>
        <v>0.25484969797919804</v>
      </c>
      <c r="M12" s="165">
        <f>IF($B12&lt;=3600000,$B12*INDEX(Parâmetros!$F$7:$M$26,ROUNDUP(($B12/180000),0),4)/$B12,$B12*INDEX(Parâmetros!$F$7:$M$26,20,4)/$B12)</f>
        <v>0</v>
      </c>
      <c r="N12" s="12">
        <f>IF($B12&lt;=3600000,$B12*INDEX(Parâmetros!$F$7:$M$26,ROUNDUP(($B12/180000),0),5)/$B12,$B12*INDEX(Parâmetros!$F$7:$M$26,20,5)/$B12)</f>
        <v>1.2200000000000001E-2</v>
      </c>
      <c r="O12" s="12">
        <f>IF($B12&lt;=3600000,$B12*INDEX(Parâmetros!$F$7:$M$26,ROUNDUP(($B12/180000),0),6)/$B12,$B12*INDEX(Parâmetros!$F$7:$M$26,20,6)/$B12)</f>
        <v>0</v>
      </c>
      <c r="P12" s="12">
        <f>IF($B12&lt;=3600000,$B12*INDEX(Parâmetros!$F$7:$M$26,ROUNDUP(($B12/180000),0),7)/$B12,$B12*INDEX(Parâmetros!$F$7:$M$26,20,7)/$B12)</f>
        <v>1.2800000000000001E-2</v>
      </c>
      <c r="Q12" s="12">
        <f>Parâmetros!$C$14*13.33*(Parâmetros!$C$15+FGTS)/B12</f>
        <v>1.9320658823529412E-2</v>
      </c>
      <c r="R12" s="12">
        <f>IF($B12&lt;=3600000,$B12*INDEX(Parâmetros!$F$7:$M$26,ROUNDUP(($B12/180000),0),8)/$B12,$B12*INDEX(Parâmetros!$F$7:$M$26,20,8)/$B12)</f>
        <v>0.02</v>
      </c>
      <c r="S12" s="23">
        <f t="shared" si="8"/>
        <v>6.4320658823529414E-2</v>
      </c>
      <c r="T12" s="12">
        <f t="shared" si="4"/>
        <v>0.15921476125433998</v>
      </c>
      <c r="U12" s="64">
        <v>0</v>
      </c>
      <c r="V12" s="64">
        <v>0</v>
      </c>
      <c r="W12" s="64">
        <v>0</v>
      </c>
      <c r="X12" s="64">
        <f t="shared" si="5"/>
        <v>8.1388588941176482E-2</v>
      </c>
      <c r="Y12" s="64">
        <v>0</v>
      </c>
      <c r="Z12" s="81">
        <f t="shared" si="9"/>
        <v>0.24060335019551646</v>
      </c>
      <c r="AB12" s="153">
        <f>1-IF(B12&lt;=Parâmetros!$G$60,Parâmetros!$L$60,IF(B12&lt;=Parâmetros!$G$61,Parâmetros!$L$61,IF(B12&lt;=Parâmetros!$G$62,Parâmetros!$L$62,IF(B12&lt;=Parâmetros!$G$63,Parâmetros!$L$63,IF(B12&lt;=Parâmetros!$L$64,Parâmetros!$J$64,Parâmetros!$L$64)))))</f>
        <v>0.7993413778232682</v>
      </c>
    </row>
    <row r="13" spans="1:28" s="14" customFormat="1" x14ac:dyDescent="0.2">
      <c r="A13" s="1"/>
      <c r="B13" s="11">
        <f t="shared" si="10"/>
        <v>180000</v>
      </c>
      <c r="C13" s="12">
        <f t="shared" si="0"/>
        <v>4.8000000000000001E-2</v>
      </c>
      <c r="D13" s="12">
        <f t="shared" si="1"/>
        <v>2.8799999999999999E-2</v>
      </c>
      <c r="E13" s="12">
        <f t="shared" si="2"/>
        <v>6.4999999999999997E-3</v>
      </c>
      <c r="F13" s="12">
        <f t="shared" si="3"/>
        <v>0.03</v>
      </c>
      <c r="G13" s="12">
        <f>Parâmetros!$C$14*13.33*(Parâmetros!$C$15+FGTS+Sist_S_SAT)/Dados!B13</f>
        <v>2.0202355555555558E-2</v>
      </c>
      <c r="H13" s="13">
        <f>B13*Parâmetros!$C$13/Dados!B13</f>
        <v>0.05</v>
      </c>
      <c r="I13" s="23">
        <f t="shared" si="6"/>
        <v>0.18350235555555555</v>
      </c>
      <c r="J13" s="178">
        <f>VLOOKUP(B13,LP_FX[],8,TRUE)*Parâmetros!$M$124/B13</f>
        <v>5.2508820664408998E-2</v>
      </c>
      <c r="K13" s="12">
        <f>Parâmetros!$C$20*(2*VLOOKUP(B13,LP_FX[],8,TRUE)/(VLOOKUP(B13,LP_FX[],1,TRUE)+VLOOKUP(B13,LP_FX[],2,TRUE)))</f>
        <v>9.1549697979198041E-2</v>
      </c>
      <c r="L13" s="163">
        <f t="shared" si="7"/>
        <v>0.25484969797919804</v>
      </c>
      <c r="M13" s="165">
        <f>IF($B13&lt;=3600000,$B13*INDEX(Parâmetros!$F$7:$M$26,ROUNDUP(($B13/180000),0),4)/$B13,$B13*INDEX(Parâmetros!$F$7:$M$26,20,4)/$B13)</f>
        <v>0</v>
      </c>
      <c r="N13" s="12">
        <f>IF($B13&lt;=3600000,$B13*INDEX(Parâmetros!$F$7:$M$26,ROUNDUP(($B13/180000),0),5)/$B13,$B13*INDEX(Parâmetros!$F$7:$M$26,20,5)/$B13)</f>
        <v>1.2200000000000001E-2</v>
      </c>
      <c r="O13" s="12">
        <f>IF($B13&lt;=3600000,$B13*INDEX(Parâmetros!$F$7:$M$26,ROUNDUP(($B13/180000),0),6)/$B13,$B13*INDEX(Parâmetros!$F$7:$M$26,20,6)/$B13)</f>
        <v>0</v>
      </c>
      <c r="P13" s="12">
        <f>IF($B13&lt;=3600000,$B13*INDEX(Parâmetros!$F$7:$M$26,ROUNDUP(($B13/180000),0),7)/$B13,$B13*INDEX(Parâmetros!$F$7:$M$26,20,7)/$B13)</f>
        <v>1.2800000000000001E-2</v>
      </c>
      <c r="Q13" s="12">
        <f>Parâmetros!$C$14*13.33*(Parâmetros!$C$15+FGTS)/B13</f>
        <v>1.824728888888889E-2</v>
      </c>
      <c r="R13" s="12">
        <f>IF($B13&lt;=3600000,$B13*INDEX(Parâmetros!$F$7:$M$26,ROUNDUP(($B13/180000),0),8)/$B13,$B13*INDEX(Parâmetros!$F$7:$M$26,20,8)/$B13)</f>
        <v>0.02</v>
      </c>
      <c r="S13" s="23">
        <f t="shared" si="8"/>
        <v>6.3247288888888892E-2</v>
      </c>
      <c r="T13" s="12">
        <f t="shared" si="4"/>
        <v>0.16258165667917657</v>
      </c>
      <c r="U13" s="64">
        <v>0</v>
      </c>
      <c r="V13" s="64">
        <v>0</v>
      </c>
      <c r="W13" s="64">
        <v>0</v>
      </c>
      <c r="X13" s="64">
        <f t="shared" si="5"/>
        <v>7.6867000666666671E-2</v>
      </c>
      <c r="Y13" s="64">
        <v>0</v>
      </c>
      <c r="Z13" s="81">
        <f t="shared" si="9"/>
        <v>0.23944865734584325</v>
      </c>
      <c r="AB13" s="153">
        <f>1-IF(B13&lt;=Parâmetros!$G$60,Parâmetros!$L$60,IF(B13&lt;=Parâmetros!$G$61,Parâmetros!$L$61,IF(B13&lt;=Parâmetros!$G$62,Parâmetros!$L$62,IF(B13&lt;=Parâmetros!$G$63,Parâmetros!$L$63,IF(B13&lt;=Parâmetros!$L$64,Parâmetros!$J$64,Parâmetros!$L$64)))))</f>
        <v>0.7993413778232682</v>
      </c>
    </row>
    <row r="14" spans="1:28" s="14" customFormat="1" x14ac:dyDescent="0.2">
      <c r="A14" s="1"/>
      <c r="B14" s="11">
        <f t="shared" si="10"/>
        <v>190000</v>
      </c>
      <c r="C14" s="12">
        <f t="shared" si="0"/>
        <v>4.8000000000000001E-2</v>
      </c>
      <c r="D14" s="12">
        <f t="shared" si="1"/>
        <v>2.8799999999999999E-2</v>
      </c>
      <c r="E14" s="12">
        <f t="shared" si="2"/>
        <v>6.4999999999999997E-3</v>
      </c>
      <c r="F14" s="12">
        <f t="shared" si="3"/>
        <v>0.03</v>
      </c>
      <c r="G14" s="12">
        <f>Parâmetros!$C$14*13.33*(Parâmetros!$C$15+FGTS+Sist_S_SAT)/Dados!B14</f>
        <v>1.9139073684210528E-2</v>
      </c>
      <c r="H14" s="13">
        <f>B14*Parâmetros!$C$13/Dados!B14</f>
        <v>0.05</v>
      </c>
      <c r="I14" s="23">
        <f t="shared" si="6"/>
        <v>0.18243907368421053</v>
      </c>
      <c r="J14" s="178">
        <f>VLOOKUP(B14,LP_FX[],8,TRUE)*Parâmetros!$M$124/B14</f>
        <v>4.9745198524176942E-2</v>
      </c>
      <c r="K14" s="12">
        <f>Parâmetros!$C$20*(2*VLOOKUP(B14,LP_FX[],8,TRUE)/(VLOOKUP(B14,LP_FX[],1,TRUE)+VLOOKUP(B14,LP_FX[],2,TRUE)))</f>
        <v>9.1549697979198041E-2</v>
      </c>
      <c r="L14" s="163">
        <f t="shared" si="7"/>
        <v>0.25484969797919804</v>
      </c>
      <c r="M14" s="165">
        <f>IF($B14&lt;=3600000,$B14*INDEX(Parâmetros!$F$7:$M$26,ROUNDUP(($B14/180000),0),4)/$B14,$B14*INDEX(Parâmetros!$F$7:$M$26,20,4)/$B14)</f>
        <v>0</v>
      </c>
      <c r="N14" s="12">
        <f>IF($B14&lt;=3600000,$B14*INDEX(Parâmetros!$F$7:$M$26,ROUNDUP(($B14/180000),0),5)/$B14,$B14*INDEX(Parâmetros!$F$7:$M$26,20,5)/$B14)</f>
        <v>1.84E-2</v>
      </c>
      <c r="O14" s="12">
        <f>IF($B14&lt;=3600000,$B14*INDEX(Parâmetros!$F$7:$M$26,ROUNDUP(($B14/180000),0),6)/$B14,$B14*INDEX(Parâmetros!$F$7:$M$26,20,6)/$B14)</f>
        <v>0</v>
      </c>
      <c r="P14" s="12">
        <f>IF($B14&lt;=3600000,$B14*INDEX(Parâmetros!$F$7:$M$26,ROUNDUP(($B14/180000),0),7)/$B14,$B14*INDEX(Parâmetros!$F$7:$M$26,20,7)/$B14)</f>
        <v>1.9099999999999999E-2</v>
      </c>
      <c r="Q14" s="12">
        <f>Parâmetros!$C$14*13.33*(Parâmetros!$C$15+FGTS)/B14</f>
        <v>1.7286905263157896E-2</v>
      </c>
      <c r="R14" s="12">
        <f>IF($B14&lt;=3600000,$B14*INDEX(Parâmetros!$F$7:$M$26,ROUNDUP(($B14/180000),0),8)/$B14,$B14*INDEX(Parâmetros!$F$7:$M$26,20,8)/$B14)</f>
        <v>2.7900000000000001E-2</v>
      </c>
      <c r="S14" s="23">
        <f t="shared" si="8"/>
        <v>8.2686905263157889E-2</v>
      </c>
      <c r="T14" s="12">
        <f t="shared" si="4"/>
        <v>0.16559414205929349</v>
      </c>
      <c r="U14" s="64">
        <v>0</v>
      </c>
      <c r="V14" s="64">
        <v>0</v>
      </c>
      <c r="W14" s="64">
        <v>0</v>
      </c>
      <c r="X14" s="64">
        <f t="shared" si="5"/>
        <v>7.282136905263159E-2</v>
      </c>
      <c r="Y14" s="64">
        <v>0</v>
      </c>
      <c r="Z14" s="81">
        <f t="shared" si="9"/>
        <v>0.23841551111192508</v>
      </c>
      <c r="AB14" s="153">
        <f>1-IF(B14&lt;=Parâmetros!$G$60,Parâmetros!$L$60,IF(B14&lt;=Parâmetros!$G$61,Parâmetros!$L$61,IF(B14&lt;=Parâmetros!$G$62,Parâmetros!$L$62,IF(B14&lt;=Parâmetros!$G$63,Parâmetros!$L$63,IF(B14&lt;=Parâmetros!$L$64,Parâmetros!$J$64,Parâmetros!$L$64)))))</f>
        <v>0.7993413778232682</v>
      </c>
    </row>
    <row r="15" spans="1:28" s="14" customFormat="1" x14ac:dyDescent="0.2">
      <c r="A15" s="1"/>
      <c r="B15" s="11">
        <f t="shared" si="10"/>
        <v>200000</v>
      </c>
      <c r="C15" s="12">
        <f t="shared" si="0"/>
        <v>4.8000000000000001E-2</v>
      </c>
      <c r="D15" s="12">
        <f t="shared" si="1"/>
        <v>2.8799999999999999E-2</v>
      </c>
      <c r="E15" s="12">
        <f t="shared" si="2"/>
        <v>6.4999999999999997E-3</v>
      </c>
      <c r="F15" s="12">
        <f t="shared" si="3"/>
        <v>0.03</v>
      </c>
      <c r="G15" s="12">
        <f>Parâmetros!$C$14*13.33*(Parâmetros!$C$15+FGTS+Sist_S_SAT)/Dados!B15</f>
        <v>1.8182120000000003E-2</v>
      </c>
      <c r="H15" s="13">
        <f>B15*Parâmetros!$C$13/Dados!B15</f>
        <v>0.05</v>
      </c>
      <c r="I15" s="23">
        <f t="shared" si="6"/>
        <v>0.18148212000000002</v>
      </c>
      <c r="J15" s="178">
        <f>VLOOKUP(B15,LP_FX[],8,TRUE)*Parâmetros!$M$124/B15</f>
        <v>4.7257938597968098E-2</v>
      </c>
      <c r="K15" s="12">
        <f>Parâmetros!$C$20*(2*VLOOKUP(B15,LP_FX[],8,TRUE)/(VLOOKUP(B15,LP_FX[],1,TRUE)+VLOOKUP(B15,LP_FX[],2,TRUE)))</f>
        <v>9.1549697979198041E-2</v>
      </c>
      <c r="L15" s="163">
        <f t="shared" si="7"/>
        <v>0.25484969797919804</v>
      </c>
      <c r="M15" s="165">
        <f>IF($B15&lt;=3600000,$B15*INDEX(Parâmetros!$F$7:$M$26,ROUNDUP(($B15/180000),0),4)/$B15,$B15*INDEX(Parâmetros!$F$7:$M$26,20,4)/$B15)</f>
        <v>0</v>
      </c>
      <c r="N15" s="12">
        <f>IF($B15&lt;=3600000,$B15*INDEX(Parâmetros!$F$7:$M$26,ROUNDUP(($B15/180000),0),5)/$B15,$B15*INDEX(Parâmetros!$F$7:$M$26,20,5)/$B15)</f>
        <v>1.84E-2</v>
      </c>
      <c r="O15" s="12">
        <f>IF($B15&lt;=3600000,$B15*INDEX(Parâmetros!$F$7:$M$26,ROUNDUP(($B15/180000),0),6)/$B15,$B15*INDEX(Parâmetros!$F$7:$M$26,20,6)/$B15)</f>
        <v>0</v>
      </c>
      <c r="P15" s="12">
        <f>IF($B15&lt;=3600000,$B15*INDEX(Parâmetros!$F$7:$M$26,ROUNDUP(($B15/180000),0),7)/$B15,$B15*INDEX(Parâmetros!$F$7:$M$26,20,7)/$B15)</f>
        <v>1.9099999999999999E-2</v>
      </c>
      <c r="Q15" s="12">
        <f>Parâmetros!$C$14*13.33*(Parâmetros!$C$15+FGTS)/B15</f>
        <v>1.6422559999999999E-2</v>
      </c>
      <c r="R15" s="12">
        <f>IF($B15&lt;=3600000,$B15*INDEX(Parâmetros!$F$7:$M$26,ROUNDUP(($B15/180000),0),8)/$B15,$B15*INDEX(Parâmetros!$F$7:$M$26,20,8)/$B15)</f>
        <v>2.7900000000000001E-2</v>
      </c>
      <c r="S15" s="23">
        <f t="shared" si="8"/>
        <v>8.1822559999999989E-2</v>
      </c>
      <c r="T15" s="12">
        <f t="shared" si="4"/>
        <v>0.16830537890139879</v>
      </c>
      <c r="U15" s="64">
        <v>0</v>
      </c>
      <c r="V15" s="64">
        <v>0</v>
      </c>
      <c r="W15" s="64">
        <v>0</v>
      </c>
      <c r="X15" s="64">
        <f t="shared" si="5"/>
        <v>6.9180300600000008E-2</v>
      </c>
      <c r="Y15" s="64">
        <v>0</v>
      </c>
      <c r="Z15" s="81">
        <f t="shared" si="9"/>
        <v>0.23748567950139882</v>
      </c>
      <c r="AB15" s="153">
        <f>1-IF(B15&lt;=Parâmetros!$G$60,Parâmetros!$L$60,IF(B15&lt;=Parâmetros!$G$61,Parâmetros!$L$61,IF(B15&lt;=Parâmetros!$G$62,Parâmetros!$L$62,IF(B15&lt;=Parâmetros!$G$63,Parâmetros!$L$63,IF(B15&lt;=Parâmetros!$L$64,Parâmetros!$J$64,Parâmetros!$L$64)))))</f>
        <v>0.7993413778232682</v>
      </c>
    </row>
    <row r="16" spans="1:28" s="14" customFormat="1" x14ac:dyDescent="0.2">
      <c r="A16" s="1"/>
      <c r="B16" s="11">
        <f t="shared" si="10"/>
        <v>210000</v>
      </c>
      <c r="C16" s="12">
        <f t="shared" si="0"/>
        <v>4.8000000000000001E-2</v>
      </c>
      <c r="D16" s="12">
        <f t="shared" si="1"/>
        <v>2.8799999999999999E-2</v>
      </c>
      <c r="E16" s="12">
        <f t="shared" si="2"/>
        <v>6.4999999999999997E-3</v>
      </c>
      <c r="F16" s="12">
        <f t="shared" si="3"/>
        <v>0.03</v>
      </c>
      <c r="G16" s="12">
        <f>Parâmetros!$C$14*13.33*(Parâmetros!$C$15+FGTS+Sist_S_SAT)/Dados!B16</f>
        <v>1.7316304761904763E-2</v>
      </c>
      <c r="H16" s="13">
        <f>B16*Parâmetros!$C$13/Dados!B16</f>
        <v>0.05</v>
      </c>
      <c r="I16" s="23">
        <f t="shared" si="6"/>
        <v>0.18061630476190477</v>
      </c>
      <c r="J16" s="178">
        <f>VLOOKUP(B16,LP_FX[],8,TRUE)*Parâmetros!$M$124/B16</f>
        <v>5.3851285455070674E-2</v>
      </c>
      <c r="K16" s="12">
        <f>Parâmetros!$C$20*(2*VLOOKUP(B16,LP_FX[],8,TRUE)/(VLOOKUP(B16,LP_FX[],1,TRUE)+VLOOKUP(B16,LP_FX[],2,TRUE)))</f>
        <v>6.5723208610558304E-2</v>
      </c>
      <c r="L16" s="163">
        <f t="shared" si="7"/>
        <v>0.2290232086105583</v>
      </c>
      <c r="M16" s="165">
        <f>IF($B16&lt;=3600000,$B16*INDEX(Parâmetros!$F$7:$M$26,ROUNDUP(($B16/180000),0),4)/$B16,$B16*INDEX(Parâmetros!$F$7:$M$26,20,4)/$B16)</f>
        <v>0</v>
      </c>
      <c r="N16" s="12">
        <f>IF($B16&lt;=3600000,$B16*INDEX(Parâmetros!$F$7:$M$26,ROUNDUP(($B16/180000),0),5)/$B16,$B16*INDEX(Parâmetros!$F$7:$M$26,20,5)/$B16)</f>
        <v>1.84E-2</v>
      </c>
      <c r="O16" s="12">
        <f>IF($B16&lt;=3600000,$B16*INDEX(Parâmetros!$F$7:$M$26,ROUNDUP(($B16/180000),0),6)/$B16,$B16*INDEX(Parâmetros!$F$7:$M$26,20,6)/$B16)</f>
        <v>0</v>
      </c>
      <c r="P16" s="12">
        <f>IF($B16&lt;=3600000,$B16*INDEX(Parâmetros!$F$7:$M$26,ROUNDUP(($B16/180000),0),7)/$B16,$B16*INDEX(Parâmetros!$F$7:$M$26,20,7)/$B16)</f>
        <v>1.9099999999999999E-2</v>
      </c>
      <c r="Q16" s="12">
        <f>Parâmetros!$C$14*13.33*(Parâmetros!$C$15+FGTS)/B16</f>
        <v>1.5640533333333335E-2</v>
      </c>
      <c r="R16" s="12">
        <f>IF($B16&lt;=3600000,$B16*INDEX(Parâmetros!$F$7:$M$26,ROUNDUP(($B16/180000),0),8)/$B16,$B16*INDEX(Parâmetros!$F$7:$M$26,20,8)/$B16)</f>
        <v>2.7900000000000001E-2</v>
      </c>
      <c r="S16" s="23">
        <f t="shared" si="8"/>
        <v>8.1040533333333331E-2</v>
      </c>
      <c r="T16" s="12">
        <f t="shared" si="4"/>
        <v>0.17396471022102861</v>
      </c>
      <c r="U16" s="64">
        <v>0</v>
      </c>
      <c r="V16" s="64">
        <v>0</v>
      </c>
      <c r="W16" s="64">
        <v>0</v>
      </c>
      <c r="X16" s="64">
        <f t="shared" si="5"/>
        <v>6.5886000571428585E-2</v>
      </c>
      <c r="Y16" s="64">
        <v>0</v>
      </c>
      <c r="Z16" s="81">
        <f t="shared" si="9"/>
        <v>0.23985071079245718</v>
      </c>
      <c r="AB16" s="153">
        <f>1-IF(B16&lt;=Parâmetros!$G$60,Parâmetros!$L$60,IF(B16&lt;=Parâmetros!$G$61,Parâmetros!$L$61,IF(B16&lt;=Parâmetros!$G$62,Parâmetros!$L$62,IF(B16&lt;=Parâmetros!$G$63,Parâmetros!$L$63,IF(B16&lt;=Parâmetros!$L$64,Parâmetros!$J$64,Parâmetros!$L$64)))))</f>
        <v>0.81100067786001739</v>
      </c>
    </row>
    <row r="17" spans="1:28" s="14" customFormat="1" x14ac:dyDescent="0.2">
      <c r="A17" s="1"/>
      <c r="B17" s="11">
        <f t="shared" si="10"/>
        <v>220000</v>
      </c>
      <c r="C17" s="12">
        <f t="shared" si="0"/>
        <v>4.8000000000000001E-2</v>
      </c>
      <c r="D17" s="12">
        <f t="shared" si="1"/>
        <v>2.8799999999999999E-2</v>
      </c>
      <c r="E17" s="12">
        <f t="shared" si="2"/>
        <v>6.4999999999999997E-3</v>
      </c>
      <c r="F17" s="12">
        <f t="shared" si="3"/>
        <v>0.03</v>
      </c>
      <c r="G17" s="12">
        <f>Parâmetros!$C$14*13.33*(Parâmetros!$C$15+FGTS+Sist_S_SAT)/Dados!B17</f>
        <v>1.6529200000000001E-2</v>
      </c>
      <c r="H17" s="13">
        <f>B17*Parâmetros!$C$13/Dados!B17</f>
        <v>0.05</v>
      </c>
      <c r="I17" s="23">
        <f t="shared" si="6"/>
        <v>0.17982920000000002</v>
      </c>
      <c r="J17" s="178">
        <f>VLOOKUP(B17,LP_FX[],8,TRUE)*Parâmetros!$M$124/B17</f>
        <v>5.1403499752567465E-2</v>
      </c>
      <c r="K17" s="12">
        <f>Parâmetros!$C$20*(2*VLOOKUP(B17,LP_FX[],8,TRUE)/(VLOOKUP(B17,LP_FX[],1,TRUE)+VLOOKUP(B17,LP_FX[],2,TRUE)))</f>
        <v>6.5723208610558304E-2</v>
      </c>
      <c r="L17" s="163">
        <f t="shared" si="7"/>
        <v>0.2290232086105583</v>
      </c>
      <c r="M17" s="165">
        <f>IF($B17&lt;=3600000,$B17*INDEX(Parâmetros!$F$7:$M$26,ROUNDUP(($B17/180000),0),4)/$B17,$B17*INDEX(Parâmetros!$F$7:$M$26,20,4)/$B17)</f>
        <v>0</v>
      </c>
      <c r="N17" s="12">
        <f>IF($B17&lt;=3600000,$B17*INDEX(Parâmetros!$F$7:$M$26,ROUNDUP(($B17/180000),0),5)/$B17,$B17*INDEX(Parâmetros!$F$7:$M$26,20,5)/$B17)</f>
        <v>1.84E-2</v>
      </c>
      <c r="O17" s="12">
        <f>IF($B17&lt;=3600000,$B17*INDEX(Parâmetros!$F$7:$M$26,ROUNDUP(($B17/180000),0),6)/$B17,$B17*INDEX(Parâmetros!$F$7:$M$26,20,6)/$B17)</f>
        <v>0</v>
      </c>
      <c r="P17" s="12">
        <f>IF($B17&lt;=3600000,$B17*INDEX(Parâmetros!$F$7:$M$26,ROUNDUP(($B17/180000),0),7)/$B17,$B17*INDEX(Parâmetros!$F$7:$M$26,20,7)/$B17)</f>
        <v>1.9099999999999999E-2</v>
      </c>
      <c r="Q17" s="12">
        <f>Parâmetros!$C$14*13.33*(Parâmetros!$C$15+FGTS)/B17</f>
        <v>1.4929600000000001E-2</v>
      </c>
      <c r="R17" s="12">
        <f>IF($B17&lt;=3600000,$B17*INDEX(Parâmetros!$F$7:$M$26,ROUNDUP(($B17/180000),0),8)/$B17,$B17*INDEX(Parâmetros!$F$7:$M$26,20,8)/$B17)</f>
        <v>2.7900000000000001E-2</v>
      </c>
      <c r="S17" s="23">
        <f t="shared" si="8"/>
        <v>8.0329600000000001E-2</v>
      </c>
      <c r="T17" s="12">
        <f t="shared" si="4"/>
        <v>0.17619473186605028</v>
      </c>
      <c r="U17" s="64">
        <v>0</v>
      </c>
      <c r="V17" s="64">
        <v>0</v>
      </c>
      <c r="W17" s="64">
        <v>0</v>
      </c>
      <c r="X17" s="64">
        <f t="shared" si="5"/>
        <v>6.2891182363636375E-2</v>
      </c>
      <c r="Y17" s="64">
        <v>0</v>
      </c>
      <c r="Z17" s="81">
        <f t="shared" si="9"/>
        <v>0.23908591422968667</v>
      </c>
      <c r="AB17" s="153">
        <f>1-IF(B17&lt;=Parâmetros!$G$60,Parâmetros!$L$60,IF(B17&lt;=Parâmetros!$G$61,Parâmetros!$L$61,IF(B17&lt;=Parâmetros!$G$62,Parâmetros!$L$62,IF(B17&lt;=Parâmetros!$G$63,Parâmetros!$L$63,IF(B17&lt;=Parâmetros!$L$64,Parâmetros!$J$64,Parâmetros!$L$64)))))</f>
        <v>0.81100067786001739</v>
      </c>
    </row>
    <row r="18" spans="1:28" s="14" customFormat="1" x14ac:dyDescent="0.2">
      <c r="A18" s="1"/>
      <c r="B18" s="11">
        <f t="shared" si="10"/>
        <v>230000</v>
      </c>
      <c r="C18" s="12">
        <f t="shared" si="0"/>
        <v>4.8000000000000001E-2</v>
      </c>
      <c r="D18" s="12">
        <f t="shared" si="1"/>
        <v>2.8799999999999999E-2</v>
      </c>
      <c r="E18" s="12">
        <f t="shared" si="2"/>
        <v>6.4999999999999997E-3</v>
      </c>
      <c r="F18" s="12">
        <f t="shared" si="3"/>
        <v>0.03</v>
      </c>
      <c r="G18" s="12">
        <f>Parâmetros!$C$14*13.33*(Parâmetros!$C$15+FGTS+Sist_S_SAT)/Dados!B18</f>
        <v>1.5810539130434783E-2</v>
      </c>
      <c r="H18" s="13">
        <f>B18*Parâmetros!$C$13/Dados!B18</f>
        <v>0.05</v>
      </c>
      <c r="I18" s="23">
        <f t="shared" si="6"/>
        <v>0.17911053913043479</v>
      </c>
      <c r="J18" s="178">
        <f>VLOOKUP(B18,LP_FX[],8,TRUE)*Parâmetros!$M$124/B18</f>
        <v>4.91685649807167E-2</v>
      </c>
      <c r="K18" s="12">
        <f>Parâmetros!$C$20*(2*VLOOKUP(B18,LP_FX[],8,TRUE)/(VLOOKUP(B18,LP_FX[],1,TRUE)+VLOOKUP(B18,LP_FX[],2,TRUE)))</f>
        <v>6.5723208610558304E-2</v>
      </c>
      <c r="L18" s="163">
        <f t="shared" si="7"/>
        <v>0.2290232086105583</v>
      </c>
      <c r="M18" s="165">
        <f>IF($B18&lt;=3600000,$B18*INDEX(Parâmetros!$F$7:$M$26,ROUNDUP(($B18/180000),0),4)/$B18,$B18*INDEX(Parâmetros!$F$7:$M$26,20,4)/$B18)</f>
        <v>0</v>
      </c>
      <c r="N18" s="12">
        <f>IF($B18&lt;=3600000,$B18*INDEX(Parâmetros!$F$7:$M$26,ROUNDUP(($B18/180000),0),5)/$B18,$B18*INDEX(Parâmetros!$F$7:$M$26,20,5)/$B18)</f>
        <v>1.84E-2</v>
      </c>
      <c r="O18" s="12">
        <f>IF($B18&lt;=3600000,$B18*INDEX(Parâmetros!$F$7:$M$26,ROUNDUP(($B18/180000),0),6)/$B18,$B18*INDEX(Parâmetros!$F$7:$M$26,20,6)/$B18)</f>
        <v>0</v>
      </c>
      <c r="P18" s="12">
        <f>IF($B18&lt;=3600000,$B18*INDEX(Parâmetros!$F$7:$M$26,ROUNDUP(($B18/180000),0),7)/$B18,$B18*INDEX(Parâmetros!$F$7:$M$26,20,7)/$B18)</f>
        <v>1.9099999999999999E-2</v>
      </c>
      <c r="Q18" s="12">
        <f>Parâmetros!$C$14*13.33*(Parâmetros!$C$15+FGTS)/B18</f>
        <v>1.4280486956521741E-2</v>
      </c>
      <c r="R18" s="12">
        <f>IF($B18&lt;=3600000,$B18*INDEX(Parâmetros!$F$7:$M$26,ROUNDUP(($B18/180000),0),8)/$B18,$B18*INDEX(Parâmetros!$F$7:$M$26,20,8)/$B18)</f>
        <v>2.7900000000000001E-2</v>
      </c>
      <c r="S18" s="23">
        <f t="shared" si="8"/>
        <v>7.9680486956521746E-2</v>
      </c>
      <c r="T18" s="12">
        <f t="shared" si="4"/>
        <v>0.17823083858541783</v>
      </c>
      <c r="U18" s="64">
        <v>0</v>
      </c>
      <c r="V18" s="64">
        <v>0</v>
      </c>
      <c r="W18" s="64">
        <v>0</v>
      </c>
      <c r="X18" s="64">
        <f t="shared" si="5"/>
        <v>6.0156783130434793E-2</v>
      </c>
      <c r="Y18" s="64">
        <v>0</v>
      </c>
      <c r="Z18" s="81">
        <f t="shared" si="9"/>
        <v>0.23838762171585262</v>
      </c>
      <c r="AB18" s="153">
        <f>1-IF(B18&lt;=Parâmetros!$G$60,Parâmetros!$L$60,IF(B18&lt;=Parâmetros!$G$61,Parâmetros!$L$61,IF(B18&lt;=Parâmetros!$G$62,Parâmetros!$L$62,IF(B18&lt;=Parâmetros!$G$63,Parâmetros!$L$63,IF(B18&lt;=Parâmetros!$L$64,Parâmetros!$J$64,Parâmetros!$L$64)))))</f>
        <v>0.81100067786001739</v>
      </c>
    </row>
    <row r="19" spans="1:28" s="14" customFormat="1" x14ac:dyDescent="0.2">
      <c r="A19" s="1"/>
      <c r="B19" s="11">
        <f t="shared" si="10"/>
        <v>240000</v>
      </c>
      <c r="C19" s="12">
        <f t="shared" si="0"/>
        <v>4.8000000000000001E-2</v>
      </c>
      <c r="D19" s="12">
        <f t="shared" si="1"/>
        <v>2.8799999999999999E-2</v>
      </c>
      <c r="E19" s="12">
        <f t="shared" si="2"/>
        <v>6.4999999999999997E-3</v>
      </c>
      <c r="F19" s="12">
        <f t="shared" si="3"/>
        <v>0.03</v>
      </c>
      <c r="G19" s="12">
        <f>Parâmetros!$C$14*13.33*(Parâmetros!$C$15+FGTS+Sist_S_SAT)/Dados!B19</f>
        <v>1.5151766666666669E-2</v>
      </c>
      <c r="H19" s="13">
        <f>B19*Parâmetros!$C$13/Dados!B19</f>
        <v>0.05</v>
      </c>
      <c r="I19" s="23">
        <f t="shared" si="6"/>
        <v>0.17845176666666668</v>
      </c>
      <c r="J19" s="178">
        <f>VLOOKUP(B19,LP_FX[],8,TRUE)*Parâmetros!$M$124/B19</f>
        <v>4.711987477318684E-2</v>
      </c>
      <c r="K19" s="12">
        <f>Parâmetros!$C$20*(2*VLOOKUP(B19,LP_FX[],8,TRUE)/(VLOOKUP(B19,LP_FX[],1,TRUE)+VLOOKUP(B19,LP_FX[],2,TRUE)))</f>
        <v>6.5723208610558304E-2</v>
      </c>
      <c r="L19" s="163">
        <f t="shared" si="7"/>
        <v>0.2290232086105583</v>
      </c>
      <c r="M19" s="165">
        <f>IF($B19&lt;=3600000,$B19*INDEX(Parâmetros!$F$7:$M$26,ROUNDUP(($B19/180000),0),4)/$B19,$B19*INDEX(Parâmetros!$F$7:$M$26,20,4)/$B19)</f>
        <v>0</v>
      </c>
      <c r="N19" s="12">
        <f>IF($B19&lt;=3600000,$B19*INDEX(Parâmetros!$F$7:$M$26,ROUNDUP(($B19/180000),0),5)/$B19,$B19*INDEX(Parâmetros!$F$7:$M$26,20,5)/$B19)</f>
        <v>1.84E-2</v>
      </c>
      <c r="O19" s="12">
        <f>IF($B19&lt;=3600000,$B19*INDEX(Parâmetros!$F$7:$M$26,ROUNDUP(($B19/180000),0),6)/$B19,$B19*INDEX(Parâmetros!$F$7:$M$26,20,6)/$B19)</f>
        <v>0</v>
      </c>
      <c r="P19" s="12">
        <f>IF($B19&lt;=3600000,$B19*INDEX(Parâmetros!$F$7:$M$26,ROUNDUP(($B19/180000),0),7)/$B19,$B19*INDEX(Parâmetros!$F$7:$M$26,20,7)/$B19)</f>
        <v>1.9099999999999999E-2</v>
      </c>
      <c r="Q19" s="12">
        <f>Parâmetros!$C$14*13.33*(Parâmetros!$C$15+FGTS)/B19</f>
        <v>1.3685466666666667E-2</v>
      </c>
      <c r="R19" s="12">
        <f>IF($B19&lt;=3600000,$B19*INDEX(Parâmetros!$F$7:$M$26,ROUNDUP(($B19/180000),0),8)/$B19,$B19*INDEX(Parâmetros!$F$7:$M$26,20,8)/$B19)</f>
        <v>2.7900000000000001E-2</v>
      </c>
      <c r="S19" s="23">
        <f t="shared" si="8"/>
        <v>7.9085466666666659E-2</v>
      </c>
      <c r="T19" s="12">
        <f t="shared" si="4"/>
        <v>0.18009726974483814</v>
      </c>
      <c r="U19" s="64">
        <v>0</v>
      </c>
      <c r="V19" s="64">
        <v>0</v>
      </c>
      <c r="W19" s="64">
        <v>0</v>
      </c>
      <c r="X19" s="64">
        <f t="shared" si="5"/>
        <v>5.7650250500000007E-2</v>
      </c>
      <c r="Y19" s="64">
        <v>0</v>
      </c>
      <c r="Z19" s="81">
        <f t="shared" si="9"/>
        <v>0.23774752024483814</v>
      </c>
      <c r="AB19" s="153">
        <f>1-IF(B19&lt;=Parâmetros!$G$60,Parâmetros!$L$60,IF(B19&lt;=Parâmetros!$G$61,Parâmetros!$L$61,IF(B19&lt;=Parâmetros!$G$62,Parâmetros!$L$62,IF(B19&lt;=Parâmetros!$G$63,Parâmetros!$L$63,IF(B19&lt;=Parâmetros!$L$64,Parâmetros!$J$64,Parâmetros!$L$64)))))</f>
        <v>0.81100067786001739</v>
      </c>
    </row>
    <row r="20" spans="1:28" s="14" customFormat="1" x14ac:dyDescent="0.2">
      <c r="A20" s="1"/>
      <c r="B20" s="11">
        <f t="shared" si="10"/>
        <v>250000</v>
      </c>
      <c r="C20" s="12">
        <f t="shared" si="0"/>
        <v>4.8000000000000001E-2</v>
      </c>
      <c r="D20" s="12">
        <f t="shared" si="1"/>
        <v>2.8799999999999999E-2</v>
      </c>
      <c r="E20" s="12">
        <f t="shared" si="2"/>
        <v>6.4999999999999997E-3</v>
      </c>
      <c r="F20" s="12">
        <f t="shared" si="3"/>
        <v>0.03</v>
      </c>
      <c r="G20" s="12">
        <f>Parâmetros!$C$14*13.33*(Parâmetros!$C$15+FGTS+Sist_S_SAT)/Dados!B20</f>
        <v>1.4545696000000002E-2</v>
      </c>
      <c r="H20" s="13">
        <f>B20*Parâmetros!$C$13/Dados!B20</f>
        <v>0.05</v>
      </c>
      <c r="I20" s="23">
        <f t="shared" si="6"/>
        <v>0.177845696</v>
      </c>
      <c r="J20" s="178">
        <f>VLOOKUP(B20,LP_FX[],8,TRUE)*Parâmetros!$M$124/B20</f>
        <v>4.5235079782259366E-2</v>
      </c>
      <c r="K20" s="12">
        <f>Parâmetros!$C$20*(2*VLOOKUP(B20,LP_FX[],8,TRUE)/(VLOOKUP(B20,LP_FX[],1,TRUE)+VLOOKUP(B20,LP_FX[],2,TRUE)))</f>
        <v>6.5723208610558304E-2</v>
      </c>
      <c r="L20" s="163">
        <f t="shared" si="7"/>
        <v>0.2290232086105583</v>
      </c>
      <c r="M20" s="165">
        <f>IF($B20&lt;=3600000,$B20*INDEX(Parâmetros!$F$7:$M$26,ROUNDUP(($B20/180000),0),4)/$B20,$B20*INDEX(Parâmetros!$F$7:$M$26,20,4)/$B20)</f>
        <v>0</v>
      </c>
      <c r="N20" s="12">
        <f>IF($B20&lt;=3600000,$B20*INDEX(Parâmetros!$F$7:$M$26,ROUNDUP(($B20/180000),0),5)/$B20,$B20*INDEX(Parâmetros!$F$7:$M$26,20,5)/$B20)</f>
        <v>1.84E-2</v>
      </c>
      <c r="O20" s="12">
        <f>IF($B20&lt;=3600000,$B20*INDEX(Parâmetros!$F$7:$M$26,ROUNDUP(($B20/180000),0),6)/$B20,$B20*INDEX(Parâmetros!$F$7:$M$26,20,6)/$B20)</f>
        <v>0</v>
      </c>
      <c r="P20" s="12">
        <f>IF($B20&lt;=3600000,$B20*INDEX(Parâmetros!$F$7:$M$26,ROUNDUP(($B20/180000),0),7)/$B20,$B20*INDEX(Parâmetros!$F$7:$M$26,20,7)/$B20)</f>
        <v>1.9099999999999999E-2</v>
      </c>
      <c r="Q20" s="12">
        <f>Parâmetros!$C$14*13.33*(Parâmetros!$C$15+FGTS)/B20</f>
        <v>1.3138048000000001E-2</v>
      </c>
      <c r="R20" s="12">
        <f>IF($B20&lt;=3600000,$B20*INDEX(Parâmetros!$F$7:$M$26,ROUNDUP(($B20/180000),0),8)/$B20,$B20*INDEX(Parâmetros!$F$7:$M$26,20,8)/$B20)</f>
        <v>2.7900000000000001E-2</v>
      </c>
      <c r="S20" s="23">
        <f t="shared" si="8"/>
        <v>7.8538047999999999E-2</v>
      </c>
      <c r="T20" s="12">
        <f t="shared" si="4"/>
        <v>0.18181438641150482</v>
      </c>
      <c r="U20" s="64">
        <v>0</v>
      </c>
      <c r="V20" s="64">
        <v>0</v>
      </c>
      <c r="W20" s="64">
        <v>0</v>
      </c>
      <c r="X20" s="64">
        <f t="shared" si="5"/>
        <v>5.5344240480000008E-2</v>
      </c>
      <c r="Y20" s="64">
        <v>0</v>
      </c>
      <c r="Z20" s="81">
        <f t="shared" si="9"/>
        <v>0.23715862689150483</v>
      </c>
      <c r="AB20" s="153">
        <f>1-IF(B20&lt;=Parâmetros!$G$60,Parâmetros!$L$60,IF(B20&lt;=Parâmetros!$G$61,Parâmetros!$L$61,IF(B20&lt;=Parâmetros!$G$62,Parâmetros!$L$62,IF(B20&lt;=Parâmetros!$G$63,Parâmetros!$L$63,IF(B20&lt;=Parâmetros!$L$64,Parâmetros!$J$64,Parâmetros!$L$64)))))</f>
        <v>0.81100067786001739</v>
      </c>
    </row>
    <row r="21" spans="1:28" s="14" customFormat="1" x14ac:dyDescent="0.2">
      <c r="A21" s="1"/>
      <c r="B21" s="11">
        <f t="shared" si="10"/>
        <v>260000</v>
      </c>
      <c r="C21" s="12">
        <f t="shared" si="0"/>
        <v>4.8000000000000001E-2</v>
      </c>
      <c r="D21" s="12">
        <f t="shared" si="1"/>
        <v>2.8799999999999999E-2</v>
      </c>
      <c r="E21" s="12">
        <f t="shared" si="2"/>
        <v>6.4999999999999997E-3</v>
      </c>
      <c r="F21" s="12">
        <f t="shared" si="3"/>
        <v>0.03</v>
      </c>
      <c r="G21" s="12">
        <f>Parâmetros!$C$14*13.33*(Parâmetros!$C$15+FGTS+Sist_S_SAT)/Dados!B21</f>
        <v>1.3986246153846155E-2</v>
      </c>
      <c r="H21" s="13">
        <f>B21*Parâmetros!$C$13/Dados!B21</f>
        <v>0.05</v>
      </c>
      <c r="I21" s="23">
        <f t="shared" si="6"/>
        <v>0.17728624615384619</v>
      </c>
      <c r="J21" s="178">
        <f>VLOOKUP(B21,LP_FX[],8,TRUE)*Parâmetros!$M$124/B21</f>
        <v>4.3495269021403236E-2</v>
      </c>
      <c r="K21" s="12">
        <f>Parâmetros!$C$20*(2*VLOOKUP(B21,LP_FX[],8,TRUE)/(VLOOKUP(B21,LP_FX[],1,TRUE)+VLOOKUP(B21,LP_FX[],2,TRUE)))</f>
        <v>6.5723208610558304E-2</v>
      </c>
      <c r="L21" s="163">
        <f t="shared" si="7"/>
        <v>0.2290232086105583</v>
      </c>
      <c r="M21" s="165">
        <f>IF($B21&lt;=3600000,$B21*INDEX(Parâmetros!$F$7:$M$26,ROUNDUP(($B21/180000),0),4)/$B21,$B21*INDEX(Parâmetros!$F$7:$M$26,20,4)/$B21)</f>
        <v>0</v>
      </c>
      <c r="N21" s="12">
        <f>IF($B21&lt;=3600000,$B21*INDEX(Parâmetros!$F$7:$M$26,ROUNDUP(($B21/180000),0),5)/$B21,$B21*INDEX(Parâmetros!$F$7:$M$26,20,5)/$B21)</f>
        <v>1.84E-2</v>
      </c>
      <c r="O21" s="12">
        <f>IF($B21&lt;=3600000,$B21*INDEX(Parâmetros!$F$7:$M$26,ROUNDUP(($B21/180000),0),6)/$B21,$B21*INDEX(Parâmetros!$F$7:$M$26,20,6)/$B21)</f>
        <v>0</v>
      </c>
      <c r="P21" s="12">
        <f>IF($B21&lt;=3600000,$B21*INDEX(Parâmetros!$F$7:$M$26,ROUNDUP(($B21/180000),0),7)/$B21,$B21*INDEX(Parâmetros!$F$7:$M$26,20,7)/$B21)</f>
        <v>1.9099999999999999E-2</v>
      </c>
      <c r="Q21" s="12">
        <f>Parâmetros!$C$14*13.33*(Parâmetros!$C$15+FGTS)/B21</f>
        <v>1.2632738461538463E-2</v>
      </c>
      <c r="R21" s="12">
        <f>IF($B21&lt;=3600000,$B21*INDEX(Parâmetros!$F$7:$M$26,ROUNDUP(($B21/180000),0),8)/$B21,$B21*INDEX(Parâmetros!$F$7:$M$26,20,8)/$B21)</f>
        <v>2.7900000000000001E-2</v>
      </c>
      <c r="S21" s="23">
        <f t="shared" si="8"/>
        <v>7.8032738461538464E-2</v>
      </c>
      <c r="T21" s="12">
        <f t="shared" si="4"/>
        <v>0.18339941718073555</v>
      </c>
      <c r="U21" s="64">
        <v>0</v>
      </c>
      <c r="V21" s="64">
        <v>0</v>
      </c>
      <c r="W21" s="64">
        <v>0</v>
      </c>
      <c r="X21" s="64">
        <f t="shared" si="5"/>
        <v>5.3215615846153856E-2</v>
      </c>
      <c r="Y21" s="64">
        <v>0</v>
      </c>
      <c r="Z21" s="81">
        <f t="shared" si="9"/>
        <v>0.23661503302688941</v>
      </c>
      <c r="AB21" s="153">
        <f>1-IF(B21&lt;=Parâmetros!$G$60,Parâmetros!$L$60,IF(B21&lt;=Parâmetros!$G$61,Parâmetros!$L$61,IF(B21&lt;=Parâmetros!$G$62,Parâmetros!$L$62,IF(B21&lt;=Parâmetros!$G$63,Parâmetros!$L$63,IF(B21&lt;=Parâmetros!$L$64,Parâmetros!$J$64,Parâmetros!$L$64)))))</f>
        <v>0.81100067786001739</v>
      </c>
    </row>
    <row r="22" spans="1:28" s="14" customFormat="1" x14ac:dyDescent="0.2">
      <c r="A22" s="1"/>
      <c r="B22" s="11">
        <f t="shared" si="10"/>
        <v>270000</v>
      </c>
      <c r="C22" s="12">
        <f t="shared" si="0"/>
        <v>4.8000000000000001E-2</v>
      </c>
      <c r="D22" s="12">
        <f t="shared" si="1"/>
        <v>2.8799999999999999E-2</v>
      </c>
      <c r="E22" s="12">
        <f t="shared" si="2"/>
        <v>6.4999999999999997E-3</v>
      </c>
      <c r="F22" s="12">
        <f t="shared" si="3"/>
        <v>0.03</v>
      </c>
      <c r="G22" s="12">
        <f>Parâmetros!$C$14*13.33*(Parâmetros!$C$15+FGTS+Sist_S_SAT)/Dados!B22</f>
        <v>1.3468237037037039E-2</v>
      </c>
      <c r="H22" s="13">
        <f>B22*Parâmetros!$C$13/Dados!B22</f>
        <v>0.05</v>
      </c>
      <c r="I22" s="23">
        <f t="shared" si="6"/>
        <v>0.17676823703703703</v>
      </c>
      <c r="J22" s="178">
        <f>VLOOKUP(B22,LP_FX[],8,TRUE)*Parâmetros!$M$124/B22</f>
        <v>4.1884333131721636E-2</v>
      </c>
      <c r="K22" s="12">
        <f>Parâmetros!$C$20*(2*VLOOKUP(B22,LP_FX[],8,TRUE)/(VLOOKUP(B22,LP_FX[],1,TRUE)+VLOOKUP(B22,LP_FX[],2,TRUE)))</f>
        <v>6.5723208610558304E-2</v>
      </c>
      <c r="L22" s="163">
        <f t="shared" si="7"/>
        <v>0.2290232086105583</v>
      </c>
      <c r="M22" s="165">
        <f>IF($B22&lt;=3600000,$B22*INDEX(Parâmetros!$F$7:$M$26,ROUNDUP(($B22/180000),0),4)/$B22,$B22*INDEX(Parâmetros!$F$7:$M$26,20,4)/$B22)</f>
        <v>0</v>
      </c>
      <c r="N22" s="12">
        <f>IF($B22&lt;=3600000,$B22*INDEX(Parâmetros!$F$7:$M$26,ROUNDUP(($B22/180000),0),5)/$B22,$B22*INDEX(Parâmetros!$F$7:$M$26,20,5)/$B22)</f>
        <v>1.84E-2</v>
      </c>
      <c r="O22" s="12">
        <f>IF($B22&lt;=3600000,$B22*INDEX(Parâmetros!$F$7:$M$26,ROUNDUP(($B22/180000),0),6)/$B22,$B22*INDEX(Parâmetros!$F$7:$M$26,20,6)/$B22)</f>
        <v>0</v>
      </c>
      <c r="P22" s="12">
        <f>IF($B22&lt;=3600000,$B22*INDEX(Parâmetros!$F$7:$M$26,ROUNDUP(($B22/180000),0),7)/$B22,$B22*INDEX(Parâmetros!$F$7:$M$26,20,7)/$B22)</f>
        <v>1.9099999999999999E-2</v>
      </c>
      <c r="Q22" s="12">
        <f>Parâmetros!$C$14*13.33*(Parâmetros!$C$15+FGTS)/B22</f>
        <v>1.216485925925926E-2</v>
      </c>
      <c r="R22" s="12">
        <f>IF($B22&lt;=3600000,$B22*INDEX(Parâmetros!$F$7:$M$26,ROUNDUP(($B22/180000),0),8)/$B22,$B22*INDEX(Parâmetros!$F$7:$M$26,20,8)/$B22)</f>
        <v>2.7900000000000001E-2</v>
      </c>
      <c r="S22" s="23">
        <f t="shared" si="8"/>
        <v>7.7564859259259267E-2</v>
      </c>
      <c r="T22" s="12">
        <f t="shared" si="4"/>
        <v>0.18486703826335665</v>
      </c>
      <c r="U22" s="64">
        <v>0</v>
      </c>
      <c r="V22" s="64">
        <v>0</v>
      </c>
      <c r="W22" s="64">
        <v>0</v>
      </c>
      <c r="X22" s="64">
        <f t="shared" si="5"/>
        <v>5.1244667111111121E-2</v>
      </c>
      <c r="Y22" s="64">
        <v>0</v>
      </c>
      <c r="Z22" s="81">
        <f t="shared" si="9"/>
        <v>0.23611170537446777</v>
      </c>
      <c r="AB22" s="153">
        <f>1-IF(B22&lt;=Parâmetros!$G$60,Parâmetros!$L$60,IF(B22&lt;=Parâmetros!$G$61,Parâmetros!$L$61,IF(B22&lt;=Parâmetros!$G$62,Parâmetros!$L$62,IF(B22&lt;=Parâmetros!$G$63,Parâmetros!$L$63,IF(B22&lt;=Parâmetros!$L$64,Parâmetros!$J$64,Parâmetros!$L$64)))))</f>
        <v>0.81100067786001739</v>
      </c>
    </row>
    <row r="23" spans="1:28" s="14" customFormat="1" x14ac:dyDescent="0.2">
      <c r="A23" s="1"/>
      <c r="B23" s="11">
        <f t="shared" si="10"/>
        <v>280000</v>
      </c>
      <c r="C23" s="12">
        <f t="shared" si="0"/>
        <v>4.8000000000000001E-2</v>
      </c>
      <c r="D23" s="12">
        <f t="shared" si="1"/>
        <v>2.8799999999999999E-2</v>
      </c>
      <c r="E23" s="12">
        <f t="shared" si="2"/>
        <v>6.4999999999999997E-3</v>
      </c>
      <c r="F23" s="12">
        <f t="shared" si="3"/>
        <v>0.03</v>
      </c>
      <c r="G23" s="12">
        <f>Parâmetros!$C$14*13.33*(Parâmetros!$C$15+FGTS+Sist_S_SAT)/Dados!B23</f>
        <v>1.2987228571428573E-2</v>
      </c>
      <c r="H23" s="13">
        <f>B23*Parâmetros!$C$13/Dados!B23</f>
        <v>0.05</v>
      </c>
      <c r="I23" s="23">
        <f t="shared" si="6"/>
        <v>0.17628722857142859</v>
      </c>
      <c r="J23" s="178">
        <f>VLOOKUP(B23,LP_FX[],8,TRUE)*Parâmetros!$M$124/B23</f>
        <v>4.0388464091303006E-2</v>
      </c>
      <c r="K23" s="12">
        <f>Parâmetros!$C$20*(2*VLOOKUP(B23,LP_FX[],8,TRUE)/(VLOOKUP(B23,LP_FX[],1,TRUE)+VLOOKUP(B23,LP_FX[],2,TRUE)))</f>
        <v>6.5723208610558304E-2</v>
      </c>
      <c r="L23" s="163">
        <f t="shared" si="7"/>
        <v>0.2290232086105583</v>
      </c>
      <c r="M23" s="165">
        <f>IF($B23&lt;=3600000,$B23*INDEX(Parâmetros!$F$7:$M$26,ROUNDUP(($B23/180000),0),4)/$B23,$B23*INDEX(Parâmetros!$F$7:$M$26,20,4)/$B23)</f>
        <v>0</v>
      </c>
      <c r="N23" s="12">
        <f>IF($B23&lt;=3600000,$B23*INDEX(Parâmetros!$F$7:$M$26,ROUNDUP(($B23/180000),0),5)/$B23,$B23*INDEX(Parâmetros!$F$7:$M$26,20,5)/$B23)</f>
        <v>1.84E-2</v>
      </c>
      <c r="O23" s="12">
        <f>IF($B23&lt;=3600000,$B23*INDEX(Parâmetros!$F$7:$M$26,ROUNDUP(($B23/180000),0),6)/$B23,$B23*INDEX(Parâmetros!$F$7:$M$26,20,6)/$B23)</f>
        <v>0</v>
      </c>
      <c r="P23" s="12">
        <f>IF($B23&lt;=3600000,$B23*INDEX(Parâmetros!$F$7:$M$26,ROUNDUP(($B23/180000),0),7)/$B23,$B23*INDEX(Parâmetros!$F$7:$M$26,20,7)/$B23)</f>
        <v>1.9099999999999999E-2</v>
      </c>
      <c r="Q23" s="12">
        <f>Parâmetros!$C$14*13.33*(Parâmetros!$C$15+FGTS)/B23</f>
        <v>1.17304E-2</v>
      </c>
      <c r="R23" s="12">
        <f>IF($B23&lt;=3600000,$B23*INDEX(Parâmetros!$F$7:$M$26,ROUNDUP(($B23/180000),0),8)/$B23,$B23*INDEX(Parâmetros!$F$7:$M$26,20,8)/$B23)</f>
        <v>2.7900000000000001E-2</v>
      </c>
      <c r="S23" s="23">
        <f t="shared" si="8"/>
        <v>7.7130400000000002E-2</v>
      </c>
      <c r="T23" s="12">
        <f t="shared" si="4"/>
        <v>0.18622982926864762</v>
      </c>
      <c r="U23" s="64">
        <v>0</v>
      </c>
      <c r="V23" s="64">
        <v>0</v>
      </c>
      <c r="W23" s="64">
        <v>0</v>
      </c>
      <c r="X23" s="64">
        <f t="shared" si="5"/>
        <v>4.9414500428571435E-2</v>
      </c>
      <c r="Y23" s="64">
        <v>0</v>
      </c>
      <c r="Z23" s="81">
        <f t="shared" si="9"/>
        <v>0.23564432969721905</v>
      </c>
      <c r="AB23" s="153">
        <f>1-IF(B23&lt;=Parâmetros!$G$60,Parâmetros!$L$60,IF(B23&lt;=Parâmetros!$G$61,Parâmetros!$L$61,IF(B23&lt;=Parâmetros!$G$62,Parâmetros!$L$62,IF(B23&lt;=Parâmetros!$G$63,Parâmetros!$L$63,IF(B23&lt;=Parâmetros!$L$64,Parâmetros!$J$64,Parâmetros!$L$64)))))</f>
        <v>0.81100067786001739</v>
      </c>
    </row>
    <row r="24" spans="1:28" s="14" customFormat="1" x14ac:dyDescent="0.2">
      <c r="A24" s="1"/>
      <c r="B24" s="11">
        <f t="shared" si="10"/>
        <v>290000</v>
      </c>
      <c r="C24" s="12">
        <f t="shared" si="0"/>
        <v>4.8000000000000001E-2</v>
      </c>
      <c r="D24" s="12">
        <f t="shared" si="1"/>
        <v>2.8799999999999999E-2</v>
      </c>
      <c r="E24" s="12">
        <f t="shared" si="2"/>
        <v>6.4999999999999997E-3</v>
      </c>
      <c r="F24" s="12">
        <f t="shared" si="3"/>
        <v>0.03</v>
      </c>
      <c r="G24" s="12">
        <f>Parâmetros!$C$14*13.33*(Parâmetros!$C$15+FGTS+Sist_S_SAT)/Dados!B24</f>
        <v>1.2539393103448277E-2</v>
      </c>
      <c r="H24" s="13">
        <f>B24*Parâmetros!$C$13/Dados!B24</f>
        <v>0.05</v>
      </c>
      <c r="I24" s="23">
        <f t="shared" si="6"/>
        <v>0.17583939310344832</v>
      </c>
      <c r="J24" s="178">
        <f>VLOOKUP(B24,LP_FX[],8,TRUE)*Parâmetros!$M$124/B24</f>
        <v>3.8995758432982211E-2</v>
      </c>
      <c r="K24" s="12">
        <f>Parâmetros!$C$20*(2*VLOOKUP(B24,LP_FX[],8,TRUE)/(VLOOKUP(B24,LP_FX[],1,TRUE)+VLOOKUP(B24,LP_FX[],2,TRUE)))</f>
        <v>6.5723208610558304E-2</v>
      </c>
      <c r="L24" s="163">
        <f t="shared" si="7"/>
        <v>0.2290232086105583</v>
      </c>
      <c r="M24" s="165">
        <f>IF($B24&lt;=3600000,$B24*INDEX(Parâmetros!$F$7:$M$26,ROUNDUP(($B24/180000),0),4)/$B24,$B24*INDEX(Parâmetros!$F$7:$M$26,20,4)/$B24)</f>
        <v>0</v>
      </c>
      <c r="N24" s="12">
        <f>IF($B24&lt;=3600000,$B24*INDEX(Parâmetros!$F$7:$M$26,ROUNDUP(($B24/180000),0),5)/$B24,$B24*INDEX(Parâmetros!$F$7:$M$26,20,5)/$B24)</f>
        <v>1.84E-2</v>
      </c>
      <c r="O24" s="12">
        <f>IF($B24&lt;=3600000,$B24*INDEX(Parâmetros!$F$7:$M$26,ROUNDUP(($B24/180000),0),6)/$B24,$B24*INDEX(Parâmetros!$F$7:$M$26,20,6)/$B24)</f>
        <v>0</v>
      </c>
      <c r="P24" s="12">
        <f>IF($B24&lt;=3600000,$B24*INDEX(Parâmetros!$F$7:$M$26,ROUNDUP(($B24/180000),0),7)/$B24,$B24*INDEX(Parâmetros!$F$7:$M$26,20,7)/$B24)</f>
        <v>1.9099999999999999E-2</v>
      </c>
      <c r="Q24" s="12">
        <f>Parâmetros!$C$14*13.33*(Parâmetros!$C$15+FGTS)/B24</f>
        <v>1.1325903448275863E-2</v>
      </c>
      <c r="R24" s="12">
        <f>IF($B24&lt;=3600000,$B24*INDEX(Parâmetros!$F$7:$M$26,ROUNDUP(($B24/180000),0),8)/$B24,$B24*INDEX(Parâmetros!$F$7:$M$26,20,8)/$B24)</f>
        <v>2.7900000000000001E-2</v>
      </c>
      <c r="S24" s="23">
        <f t="shared" si="8"/>
        <v>7.6725903448275873E-2</v>
      </c>
      <c r="T24" s="12">
        <f t="shared" si="4"/>
        <v>0.18749863468736686</v>
      </c>
      <c r="U24" s="64">
        <v>0</v>
      </c>
      <c r="V24" s="64">
        <v>0</v>
      </c>
      <c r="W24" s="64">
        <v>0</v>
      </c>
      <c r="X24" s="64">
        <f t="shared" si="5"/>
        <v>4.7710552137931038E-2</v>
      </c>
      <c r="Y24" s="64">
        <v>0</v>
      </c>
      <c r="Z24" s="81">
        <f t="shared" si="9"/>
        <v>0.2352091868252979</v>
      </c>
      <c r="AB24" s="153">
        <f>1-IF(B24&lt;=Parâmetros!$G$60,Parâmetros!$L$60,IF(B24&lt;=Parâmetros!$G$61,Parâmetros!$L$61,IF(B24&lt;=Parâmetros!$G$62,Parâmetros!$L$62,IF(B24&lt;=Parâmetros!$G$63,Parâmetros!$L$63,IF(B24&lt;=Parâmetros!$L$64,Parâmetros!$J$64,Parâmetros!$L$64)))))</f>
        <v>0.81100067786001739</v>
      </c>
    </row>
    <row r="25" spans="1:28" s="14" customFormat="1" x14ac:dyDescent="0.2">
      <c r="A25" s="1"/>
      <c r="B25" s="16">
        <f t="shared" si="10"/>
        <v>300000</v>
      </c>
      <c r="C25" s="17">
        <f t="shared" si="0"/>
        <v>4.8000000000000001E-2</v>
      </c>
      <c r="D25" s="17">
        <f t="shared" si="1"/>
        <v>2.8799999999999999E-2</v>
      </c>
      <c r="E25" s="17">
        <f t="shared" si="2"/>
        <v>6.4999999999999997E-3</v>
      </c>
      <c r="F25" s="17">
        <f t="shared" si="3"/>
        <v>0.03</v>
      </c>
      <c r="G25" s="17">
        <f>Parâmetros!$C$14*13.33*(Parâmetros!$C$15+FGTS+Sist_S_SAT)/Dados!B25</f>
        <v>1.2121413333333334E-2</v>
      </c>
      <c r="H25" s="18">
        <f>B25*Parâmetros!$C$13/Dados!B25</f>
        <v>0.05</v>
      </c>
      <c r="I25" s="24">
        <f t="shared" si="6"/>
        <v>0.17542141333333333</v>
      </c>
      <c r="J25" s="178">
        <f>VLOOKUP(B25,LP_FX[],8,TRUE)*Parâmetros!$M$124/B25</f>
        <v>3.7695899818549469E-2</v>
      </c>
      <c r="K25" s="12">
        <f>Parâmetros!$C$20*(2*VLOOKUP(B25,LP_FX[],8,TRUE)/(VLOOKUP(B25,LP_FX[],1,TRUE)+VLOOKUP(B25,LP_FX[],2,TRUE)))</f>
        <v>6.5723208610558304E-2</v>
      </c>
      <c r="L25" s="163">
        <f t="shared" si="7"/>
        <v>0.2290232086105583</v>
      </c>
      <c r="M25" s="166">
        <f>IF($B25&lt;=3600000,$B25*INDEX(Parâmetros!$F$7:$M$26,ROUNDUP(($B25/180000),0),4)/$B25,$B25*INDEX(Parâmetros!$F$7:$M$26,20,4)/$B25)</f>
        <v>0</v>
      </c>
      <c r="N25" s="17">
        <f>IF($B25&lt;=3600000,$B25*INDEX(Parâmetros!$F$7:$M$26,ROUNDUP(($B25/180000),0),5)/$B25,$B25*INDEX(Parâmetros!$F$7:$M$26,20,5)/$B25)</f>
        <v>1.84E-2</v>
      </c>
      <c r="O25" s="17">
        <f>IF($B25&lt;=3600000,$B25*INDEX(Parâmetros!$F$7:$M$26,ROUNDUP(($B25/180000),0),6)/$B25,$B25*INDEX(Parâmetros!$F$7:$M$26,20,6)/$B25)</f>
        <v>0</v>
      </c>
      <c r="P25" s="17">
        <f>IF($B25&lt;=3600000,$B25*INDEX(Parâmetros!$F$7:$M$26,ROUNDUP(($B25/180000),0),7)/$B25,$B25*INDEX(Parâmetros!$F$7:$M$26,20,7)/$B25)</f>
        <v>1.9099999999999999E-2</v>
      </c>
      <c r="Q25" s="17">
        <f>Parâmetros!$C$14*13.33*(Parâmetros!$C$15+FGTS)/B25</f>
        <v>1.0948373333333334E-2</v>
      </c>
      <c r="R25" s="17">
        <f>IF($B25&lt;=3600000,$B25*INDEX(Parâmetros!$F$7:$M$26,ROUNDUP(($B25/180000),0),8)/$B25,$B25*INDEX(Parâmetros!$F$7:$M$26,20,8)/$B25)</f>
        <v>2.7900000000000001E-2</v>
      </c>
      <c r="S25" s="24">
        <f t="shared" si="8"/>
        <v>7.634837333333333E-2</v>
      </c>
      <c r="T25" s="17">
        <f t="shared" si="4"/>
        <v>0.18868285307817145</v>
      </c>
      <c r="U25" s="84">
        <v>0</v>
      </c>
      <c r="V25" s="84">
        <v>0</v>
      </c>
      <c r="W25" s="84">
        <v>0</v>
      </c>
      <c r="X25" s="84">
        <f t="shared" si="5"/>
        <v>4.6120200400000005E-2</v>
      </c>
      <c r="Y25" s="84">
        <v>0</v>
      </c>
      <c r="Z25" s="81">
        <f t="shared" si="9"/>
        <v>0.23480305347817146</v>
      </c>
      <c r="AB25" s="153">
        <f>1-IF(B25&lt;=Parâmetros!$G$60,Parâmetros!$L$60,IF(B25&lt;=Parâmetros!$G$61,Parâmetros!$L$61,IF(B25&lt;=Parâmetros!$G$62,Parâmetros!$L$62,IF(B25&lt;=Parâmetros!$G$63,Parâmetros!$L$63,IF(B25&lt;=Parâmetros!$L$64,Parâmetros!$J$64,Parâmetros!$L$64)))))</f>
        <v>0.81100067786001739</v>
      </c>
    </row>
    <row r="26" spans="1:28" s="14" customFormat="1" x14ac:dyDescent="0.2">
      <c r="A26" s="1"/>
      <c r="B26" s="11">
        <f t="shared" si="10"/>
        <v>310000</v>
      </c>
      <c r="C26" s="12">
        <f t="shared" si="0"/>
        <v>4.8000000000000001E-2</v>
      </c>
      <c r="D26" s="12">
        <f t="shared" si="1"/>
        <v>2.8799999999999999E-2</v>
      </c>
      <c r="E26" s="12">
        <f t="shared" si="2"/>
        <v>6.4999999999999997E-3</v>
      </c>
      <c r="F26" s="12">
        <f t="shared" si="3"/>
        <v>0.03</v>
      </c>
      <c r="G26" s="12">
        <f>Parâmetros!$C$14*13.33*(Parâmetros!$C$15+FGTS+Sist_S_SAT)/Dados!B26</f>
        <v>1.1730400000000002E-2</v>
      </c>
      <c r="H26" s="13">
        <f>B26*Parâmetros!$C$13/Dados!B26</f>
        <v>0.05</v>
      </c>
      <c r="I26" s="23">
        <f t="shared" si="6"/>
        <v>0.17503040000000003</v>
      </c>
      <c r="J26" s="178">
        <f>VLOOKUP(B26,LP_FX[],8,TRUE)*Parâmetros!$M$124/B26</f>
        <v>4.383101554392721E-2</v>
      </c>
      <c r="K26" s="12">
        <f>Parâmetros!$C$20*(2*VLOOKUP(B26,LP_FX[],8,TRUE)/(VLOOKUP(B26,LP_FX[],1,TRUE)+VLOOKUP(B26,LP_FX[],2,TRUE)))</f>
        <v>5.6405127085658709E-2</v>
      </c>
      <c r="L26" s="163">
        <f t="shared" si="7"/>
        <v>0.2197051270856587</v>
      </c>
      <c r="M26" s="165">
        <f>IF($B26&lt;=3600000,$B26*INDEX(Parâmetros!$F$7:$M$26,ROUNDUP(($B26/180000),0),4)/$B26,$B26*INDEX(Parâmetros!$F$7:$M$26,20,4)/$B26)</f>
        <v>0</v>
      </c>
      <c r="N26" s="12">
        <f>IF($B26&lt;=3600000,$B26*INDEX(Parâmetros!$F$7:$M$26,ROUNDUP(($B26/180000),0),5)/$B26,$B26*INDEX(Parâmetros!$F$7:$M$26,20,5)/$B26)</f>
        <v>1.84E-2</v>
      </c>
      <c r="O26" s="12">
        <f>IF($B26&lt;=3600000,$B26*INDEX(Parâmetros!$F$7:$M$26,ROUNDUP(($B26/180000),0),6)/$B26,$B26*INDEX(Parâmetros!$F$7:$M$26,20,6)/$B26)</f>
        <v>0</v>
      </c>
      <c r="P26" s="12">
        <f>IF($B26&lt;=3600000,$B26*INDEX(Parâmetros!$F$7:$M$26,ROUNDUP(($B26/180000),0),7)/$B26,$B26*INDEX(Parâmetros!$F$7:$M$26,20,7)/$B26)</f>
        <v>1.9099999999999999E-2</v>
      </c>
      <c r="Q26" s="12">
        <f>Parâmetros!$C$14*13.33*(Parâmetros!$C$15+FGTS)/B26</f>
        <v>1.0595200000000001E-2</v>
      </c>
      <c r="R26" s="12">
        <f>IF($B26&lt;=3600000,$B26*INDEX(Parâmetros!$F$7:$M$26,ROUNDUP(($B26/180000),0),8)/$B26,$B26*INDEX(Parâmetros!$F$7:$M$26,20,8)/$B26)</f>
        <v>2.7900000000000001E-2</v>
      </c>
      <c r="S26" s="23">
        <f t="shared" si="8"/>
        <v>7.5995199999999999E-2</v>
      </c>
      <c r="T26" s="12">
        <f t="shared" si="4"/>
        <v>0.1929969777925786</v>
      </c>
      <c r="U26" s="64">
        <v>0</v>
      </c>
      <c r="V26" s="64">
        <v>0</v>
      </c>
      <c r="W26" s="64">
        <v>0</v>
      </c>
      <c r="X26" s="64">
        <f t="shared" si="5"/>
        <v>4.4632452000000003E-2</v>
      </c>
      <c r="Y26" s="64">
        <v>0</v>
      </c>
      <c r="Z26" s="81">
        <f t="shared" si="9"/>
        <v>0.23762942979257862</v>
      </c>
      <c r="AB26" s="153">
        <f>1-IF(B26&lt;=Parâmetros!$G$60,Parâmetros!$L$60,IF(B26&lt;=Parâmetros!$G$61,Parâmetros!$L$61,IF(B26&lt;=Parâmetros!$G$62,Parâmetros!$L$62,IF(B26&lt;=Parâmetros!$G$63,Parâmetros!$L$63,IF(B26&lt;=Parâmetros!$L$64,Parâmetros!$J$64,Parâmetros!$L$64)))))</f>
        <v>0.82265997789676659</v>
      </c>
    </row>
    <row r="27" spans="1:28" s="14" customFormat="1" x14ac:dyDescent="0.2">
      <c r="A27" s="1"/>
      <c r="B27" s="11">
        <f t="shared" si="10"/>
        <v>320000</v>
      </c>
      <c r="C27" s="12">
        <f t="shared" si="0"/>
        <v>4.8000000000000001E-2</v>
      </c>
      <c r="D27" s="12">
        <f t="shared" si="1"/>
        <v>2.8799999999999999E-2</v>
      </c>
      <c r="E27" s="12">
        <f t="shared" si="2"/>
        <v>6.4999999999999997E-3</v>
      </c>
      <c r="F27" s="12">
        <f t="shared" si="3"/>
        <v>0.03</v>
      </c>
      <c r="G27" s="12">
        <f>Parâmetros!$C$14*13.33*(Parâmetros!$C$15+FGTS+Sist_S_SAT)/Dados!B27</f>
        <v>1.1363825000000001E-2</v>
      </c>
      <c r="H27" s="13">
        <f>B27*Parâmetros!$C$13/Dados!B27</f>
        <v>0.05</v>
      </c>
      <c r="I27" s="23">
        <f t="shared" si="6"/>
        <v>0.17466382499999999</v>
      </c>
      <c r="J27" s="178">
        <f>VLOOKUP(B27,LP_FX[],8,TRUE)*Parâmetros!$M$124/B27</f>
        <v>4.2461296308179484E-2</v>
      </c>
      <c r="K27" s="12">
        <f>Parâmetros!$C$20*(2*VLOOKUP(B27,LP_FX[],8,TRUE)/(VLOOKUP(B27,LP_FX[],1,TRUE)+VLOOKUP(B27,LP_FX[],2,TRUE)))</f>
        <v>5.6405127085658709E-2</v>
      </c>
      <c r="L27" s="163">
        <f t="shared" si="7"/>
        <v>0.2197051270856587</v>
      </c>
      <c r="M27" s="165">
        <f>IF($B27&lt;=3600000,$B27*INDEX(Parâmetros!$F$7:$M$26,ROUNDUP(($B27/180000),0),4)/$B27,$B27*INDEX(Parâmetros!$F$7:$M$26,20,4)/$B27)</f>
        <v>0</v>
      </c>
      <c r="N27" s="12">
        <f>IF($B27&lt;=3600000,$B27*INDEX(Parâmetros!$F$7:$M$26,ROUNDUP(($B27/180000),0),5)/$B27,$B27*INDEX(Parâmetros!$F$7:$M$26,20,5)/$B27)</f>
        <v>1.84E-2</v>
      </c>
      <c r="O27" s="12">
        <f>IF($B27&lt;=3600000,$B27*INDEX(Parâmetros!$F$7:$M$26,ROUNDUP(($B27/180000),0),6)/$B27,$B27*INDEX(Parâmetros!$F$7:$M$26,20,6)/$B27)</f>
        <v>0</v>
      </c>
      <c r="P27" s="12">
        <f>IF($B27&lt;=3600000,$B27*INDEX(Parâmetros!$F$7:$M$26,ROUNDUP(($B27/180000),0),7)/$B27,$B27*INDEX(Parâmetros!$F$7:$M$26,20,7)/$B27)</f>
        <v>1.9099999999999999E-2</v>
      </c>
      <c r="Q27" s="12">
        <f>Parâmetros!$C$14*13.33*(Parâmetros!$C$15+FGTS)/B27</f>
        <v>1.02641E-2</v>
      </c>
      <c r="R27" s="12">
        <f>IF($B27&lt;=3600000,$B27*INDEX(Parâmetros!$F$7:$M$26,ROUNDUP(($B27/180000),0),8)/$B27,$B27*INDEX(Parâmetros!$F$7:$M$26,20,8)/$B27)</f>
        <v>2.7900000000000001E-2</v>
      </c>
      <c r="S27" s="23">
        <f t="shared" si="8"/>
        <v>7.5664099999999998E-2</v>
      </c>
      <c r="T27" s="12">
        <f t="shared" si="4"/>
        <v>0.19403555642161083</v>
      </c>
      <c r="U27" s="64">
        <v>0</v>
      </c>
      <c r="V27" s="64">
        <v>0</v>
      </c>
      <c r="W27" s="64">
        <v>0</v>
      </c>
      <c r="X27" s="64">
        <f t="shared" si="5"/>
        <v>4.3237687875000007E-2</v>
      </c>
      <c r="Y27" s="64">
        <v>0</v>
      </c>
      <c r="Z27" s="81">
        <f t="shared" si="9"/>
        <v>0.23727324429661084</v>
      </c>
      <c r="AB27" s="153">
        <f>1-IF(B27&lt;=Parâmetros!$G$60,Parâmetros!$L$60,IF(B27&lt;=Parâmetros!$G$61,Parâmetros!$L$61,IF(B27&lt;=Parâmetros!$G$62,Parâmetros!$L$62,IF(B27&lt;=Parâmetros!$G$63,Parâmetros!$L$63,IF(B27&lt;=Parâmetros!$L$64,Parâmetros!$J$64,Parâmetros!$L$64)))))</f>
        <v>0.82265997789676659</v>
      </c>
    </row>
    <row r="28" spans="1:28" s="14" customFormat="1" x14ac:dyDescent="0.2">
      <c r="A28" s="1"/>
      <c r="B28" s="11">
        <f t="shared" si="10"/>
        <v>330000</v>
      </c>
      <c r="C28" s="12">
        <f t="shared" si="0"/>
        <v>4.8000000000000001E-2</v>
      </c>
      <c r="D28" s="12">
        <f t="shared" si="1"/>
        <v>2.8799999999999999E-2</v>
      </c>
      <c r="E28" s="12">
        <f t="shared" si="2"/>
        <v>6.4999999999999997E-3</v>
      </c>
      <c r="F28" s="12">
        <f t="shared" si="3"/>
        <v>0.03</v>
      </c>
      <c r="G28" s="12">
        <f>Parâmetros!$C$14*13.33*(Parâmetros!$C$15+FGTS+Sist_S_SAT)/Dados!B28</f>
        <v>1.1019466666666668E-2</v>
      </c>
      <c r="H28" s="13">
        <f>B28*Parâmetros!$C$13/Dados!B28</f>
        <v>0.05</v>
      </c>
      <c r="I28" s="23">
        <f t="shared" si="6"/>
        <v>0.1743194666666667</v>
      </c>
      <c r="J28" s="178">
        <f>VLOOKUP(B28,LP_FX[],8,TRUE)*Parâmetros!$M$124/B28</f>
        <v>4.1174590359446768E-2</v>
      </c>
      <c r="K28" s="12">
        <f>Parâmetros!$C$20*(2*VLOOKUP(B28,LP_FX[],8,TRUE)/(VLOOKUP(B28,LP_FX[],1,TRUE)+VLOOKUP(B28,LP_FX[],2,TRUE)))</f>
        <v>5.6405127085658709E-2</v>
      </c>
      <c r="L28" s="163">
        <f t="shared" si="7"/>
        <v>0.2197051270856587</v>
      </c>
      <c r="M28" s="165">
        <f>IF($B28&lt;=3600000,$B28*INDEX(Parâmetros!$F$7:$M$26,ROUNDUP(($B28/180000),0),4)/$B28,$B28*INDEX(Parâmetros!$F$7:$M$26,20,4)/$B28)</f>
        <v>0</v>
      </c>
      <c r="N28" s="12">
        <f>IF($B28&lt;=3600000,$B28*INDEX(Parâmetros!$F$7:$M$26,ROUNDUP(($B28/180000),0),5)/$B28,$B28*INDEX(Parâmetros!$F$7:$M$26,20,5)/$B28)</f>
        <v>1.84E-2</v>
      </c>
      <c r="O28" s="12">
        <f>IF($B28&lt;=3600000,$B28*INDEX(Parâmetros!$F$7:$M$26,ROUNDUP(($B28/180000),0),6)/$B28,$B28*INDEX(Parâmetros!$F$7:$M$26,20,6)/$B28)</f>
        <v>0</v>
      </c>
      <c r="P28" s="12">
        <f>IF($B28&lt;=3600000,$B28*INDEX(Parâmetros!$F$7:$M$26,ROUNDUP(($B28/180000),0),7)/$B28,$B28*INDEX(Parâmetros!$F$7:$M$26,20,7)/$B28)</f>
        <v>1.9099999999999999E-2</v>
      </c>
      <c r="Q28" s="12">
        <f>Parâmetros!$C$14*13.33*(Parâmetros!$C$15+FGTS)/B28</f>
        <v>9.953066666666668E-3</v>
      </c>
      <c r="R28" s="12">
        <f>IF($B28&lt;=3600000,$B28*INDEX(Parâmetros!$F$7:$M$26,ROUNDUP(($B28/180000),0),8)/$B28,$B28*INDEX(Parâmetros!$F$7:$M$26,20,8)/$B28)</f>
        <v>2.7900000000000001E-2</v>
      </c>
      <c r="S28" s="23">
        <f t="shared" si="8"/>
        <v>7.5353066666666663E-2</v>
      </c>
      <c r="T28" s="12">
        <f t="shared" si="4"/>
        <v>0.19501119089130781</v>
      </c>
      <c r="U28" s="64">
        <v>0</v>
      </c>
      <c r="V28" s="64">
        <v>0</v>
      </c>
      <c r="W28" s="64">
        <v>0</v>
      </c>
      <c r="X28" s="64">
        <f t="shared" si="5"/>
        <v>4.1927454909090917E-2</v>
      </c>
      <c r="Y28" s="64">
        <v>0</v>
      </c>
      <c r="Z28" s="81">
        <f t="shared" si="9"/>
        <v>0.23693864580039872</v>
      </c>
      <c r="AB28" s="153">
        <f>1-IF(B28&lt;=Parâmetros!$G$60,Parâmetros!$L$60,IF(B28&lt;=Parâmetros!$G$61,Parâmetros!$L$61,IF(B28&lt;=Parâmetros!$G$62,Parâmetros!$L$62,IF(B28&lt;=Parâmetros!$G$63,Parâmetros!$L$63,IF(B28&lt;=Parâmetros!$L$64,Parâmetros!$J$64,Parâmetros!$L$64)))))</f>
        <v>0.82265997789676659</v>
      </c>
    </row>
    <row r="29" spans="1:28" s="14" customFormat="1" x14ac:dyDescent="0.2">
      <c r="A29" s="1"/>
      <c r="B29" s="11">
        <f t="shared" si="10"/>
        <v>340000</v>
      </c>
      <c r="C29" s="12">
        <f t="shared" ref="C29:C60" si="11">IF($B29&lt;=240000/BC_IR,($B29*(Al_IR)*BC_IR)/$B29,($B29*(Al_IR)*BC_IR+($B29-(240000/BC_IR))*BC_IR*Al_aIR)/$B29)</f>
        <v>4.8000000000000001E-2</v>
      </c>
      <c r="D29" s="12">
        <f t="shared" ref="D29:D60" si="12">$B29*(Al_CS)*BC_CS/$B29</f>
        <v>2.8799999999999999E-2</v>
      </c>
      <c r="E29" s="12">
        <f t="shared" si="2"/>
        <v>6.4999999999999997E-3</v>
      </c>
      <c r="F29" s="12">
        <f t="shared" si="3"/>
        <v>0.03</v>
      </c>
      <c r="G29" s="12">
        <f>Parâmetros!$C$14*13.33*(Parâmetros!$C$15+FGTS+Sist_S_SAT)/Dados!B29</f>
        <v>1.0695364705882355E-2</v>
      </c>
      <c r="H29" s="13">
        <f>B29*Parâmetros!$C$13/Dados!B29</f>
        <v>0.05</v>
      </c>
      <c r="I29" s="23">
        <f t="shared" si="6"/>
        <v>0.17399536470588237</v>
      </c>
      <c r="J29" s="178">
        <f>VLOOKUP(B29,LP_FX[],8,TRUE)*Parâmetros!$M$124/B29</f>
        <v>3.996357299593363E-2</v>
      </c>
      <c r="K29" s="12">
        <f>Parâmetros!$C$20*(2*VLOOKUP(B29,LP_FX[],8,TRUE)/(VLOOKUP(B29,LP_FX[],1,TRUE)+VLOOKUP(B29,LP_FX[],2,TRUE)))</f>
        <v>5.6405127085658709E-2</v>
      </c>
      <c r="L29" s="163">
        <f t="shared" si="7"/>
        <v>0.2197051270856587</v>
      </c>
      <c r="M29" s="165">
        <f>IF($B29&lt;=3600000,$B29*INDEX(Parâmetros!$F$7:$M$26,ROUNDUP(($B29/180000),0),4)/$B29,$B29*INDEX(Parâmetros!$F$7:$M$26,20,4)/$B29)</f>
        <v>0</v>
      </c>
      <c r="N29" s="12">
        <f>IF($B29&lt;=3600000,$B29*INDEX(Parâmetros!$F$7:$M$26,ROUNDUP(($B29/180000),0),5)/$B29,$B29*INDEX(Parâmetros!$F$7:$M$26,20,5)/$B29)</f>
        <v>1.84E-2</v>
      </c>
      <c r="O29" s="12">
        <f>IF($B29&lt;=3600000,$B29*INDEX(Parâmetros!$F$7:$M$26,ROUNDUP(($B29/180000),0),6)/$B29,$B29*INDEX(Parâmetros!$F$7:$M$26,20,6)/$B29)</f>
        <v>0</v>
      </c>
      <c r="P29" s="12">
        <f>IF($B29&lt;=3600000,$B29*INDEX(Parâmetros!$F$7:$M$26,ROUNDUP(($B29/180000),0),7)/$B29,$B29*INDEX(Parâmetros!$F$7:$M$26,20,7)/$B29)</f>
        <v>1.9099999999999999E-2</v>
      </c>
      <c r="Q29" s="12">
        <f>Parâmetros!$C$14*13.33*(Parâmetros!$C$15+FGTS)/B29</f>
        <v>9.6603294117647062E-3</v>
      </c>
      <c r="R29" s="12">
        <f>IF($B29&lt;=3600000,$B29*INDEX(Parâmetros!$F$7:$M$26,ROUNDUP(($B29/180000),0),8)/$B29,$B29*INDEX(Parâmetros!$F$7:$M$26,20,8)/$B29)</f>
        <v>2.7900000000000001E-2</v>
      </c>
      <c r="S29" s="23">
        <f t="shared" si="8"/>
        <v>7.5060329411764715E-2</v>
      </c>
      <c r="T29" s="12">
        <f t="shared" si="4"/>
        <v>0.19592943509808144</v>
      </c>
      <c r="U29" s="64">
        <v>0</v>
      </c>
      <c r="V29" s="64">
        <v>0</v>
      </c>
      <c r="W29" s="64">
        <v>0</v>
      </c>
      <c r="X29" s="64">
        <f t="shared" si="5"/>
        <v>4.0694294470588241E-2</v>
      </c>
      <c r="Y29" s="64">
        <v>0</v>
      </c>
      <c r="Z29" s="81">
        <f t="shared" si="9"/>
        <v>0.23662372956866967</v>
      </c>
      <c r="AB29" s="153">
        <f>1-IF(B29&lt;=Parâmetros!$G$60,Parâmetros!$L$60,IF(B29&lt;=Parâmetros!$G$61,Parâmetros!$L$61,IF(B29&lt;=Parâmetros!$G$62,Parâmetros!$L$62,IF(B29&lt;=Parâmetros!$G$63,Parâmetros!$L$63,IF(B29&lt;=Parâmetros!$L$64,Parâmetros!$J$64,Parâmetros!$L$64)))))</f>
        <v>0.82265997789676659</v>
      </c>
    </row>
    <row r="30" spans="1:28" s="14" customFormat="1" x14ac:dyDescent="0.2">
      <c r="A30" s="1"/>
      <c r="B30" s="11">
        <f>B29+10000</f>
        <v>350000</v>
      </c>
      <c r="C30" s="12">
        <f t="shared" si="11"/>
        <v>4.8000000000000001E-2</v>
      </c>
      <c r="D30" s="12">
        <f t="shared" si="12"/>
        <v>2.8799999999999999E-2</v>
      </c>
      <c r="E30" s="12">
        <f t="shared" si="2"/>
        <v>6.4999999999999997E-3</v>
      </c>
      <c r="F30" s="12">
        <f t="shared" si="3"/>
        <v>0.03</v>
      </c>
      <c r="G30" s="12">
        <f>Parâmetros!$C$14*13.33*(Parâmetros!$C$15+FGTS+Sist_S_SAT)/Dados!B30</f>
        <v>1.0389782857142859E-2</v>
      </c>
      <c r="H30" s="13">
        <f>B30*Parâmetros!$C$13/Dados!B30</f>
        <v>0.05</v>
      </c>
      <c r="I30" s="23">
        <f t="shared" si="6"/>
        <v>0.17368978285714287</v>
      </c>
      <c r="J30" s="178">
        <f>VLOOKUP(B30,LP_FX[],8,TRUE)*Parâmetros!$M$124/B30</f>
        <v>3.8821756624621243E-2</v>
      </c>
      <c r="K30" s="12">
        <f>Parâmetros!$C$20*(2*VLOOKUP(B30,LP_FX[],8,TRUE)/(VLOOKUP(B30,LP_FX[],1,TRUE)+VLOOKUP(B30,LP_FX[],2,TRUE)))</f>
        <v>5.6405127085658709E-2</v>
      </c>
      <c r="L30" s="163">
        <f t="shared" si="7"/>
        <v>0.2197051270856587</v>
      </c>
      <c r="M30" s="165">
        <f>IF($B30&lt;=3600000,$B30*INDEX(Parâmetros!$F$7:$M$26,ROUNDUP(($B30/180000),0),4)/$B30,$B30*INDEX(Parâmetros!$F$7:$M$26,20,4)/$B30)</f>
        <v>0</v>
      </c>
      <c r="N30" s="12">
        <f>IF($B30&lt;=3600000,$B30*INDEX(Parâmetros!$F$7:$M$26,ROUNDUP(($B30/180000),0),5)/$B30,$B30*INDEX(Parâmetros!$F$7:$M$26,20,5)/$B30)</f>
        <v>1.84E-2</v>
      </c>
      <c r="O30" s="12">
        <f>IF($B30&lt;=3600000,$B30*INDEX(Parâmetros!$F$7:$M$26,ROUNDUP(($B30/180000),0),6)/$B30,$B30*INDEX(Parâmetros!$F$7:$M$26,20,6)/$B30)</f>
        <v>0</v>
      </c>
      <c r="P30" s="12">
        <f>IF($B30&lt;=3600000,$B30*INDEX(Parâmetros!$F$7:$M$26,ROUNDUP(($B30/180000),0),7)/$B30,$B30*INDEX(Parâmetros!$F$7:$M$26,20,7)/$B30)</f>
        <v>1.9099999999999999E-2</v>
      </c>
      <c r="Q30" s="12">
        <f>Parâmetros!$C$14*13.33*(Parâmetros!$C$15+FGTS)/B30</f>
        <v>9.3843199999999998E-3</v>
      </c>
      <c r="R30" s="12">
        <f>IF($B30&lt;=3600000,$B30*INDEX(Parâmetros!$F$7:$M$26,ROUNDUP(($B30/180000),0),8)/$B30,$B30*INDEX(Parâmetros!$F$7:$M$26,20,8)/$B30)</f>
        <v>2.7900000000000001E-2</v>
      </c>
      <c r="S30" s="23">
        <f t="shared" si="8"/>
        <v>7.4784320000000001E-2</v>
      </c>
      <c r="T30" s="12">
        <f t="shared" si="4"/>
        <v>0.19679520820732516</v>
      </c>
      <c r="U30" s="64">
        <v>0</v>
      </c>
      <c r="V30" s="64">
        <v>0</v>
      </c>
      <c r="W30" s="64">
        <v>0</v>
      </c>
      <c r="X30" s="64">
        <f t="shared" si="5"/>
        <v>3.9531600342857146E-2</v>
      </c>
      <c r="Y30" s="64">
        <v>0</v>
      </c>
      <c r="Z30" s="81">
        <f t="shared" si="9"/>
        <v>0.23632680855018229</v>
      </c>
      <c r="AB30" s="153">
        <f>1-IF(B30&lt;=Parâmetros!$G$60,Parâmetros!$L$60,IF(B30&lt;=Parâmetros!$G$61,Parâmetros!$L$61,IF(B30&lt;=Parâmetros!$G$62,Parâmetros!$L$62,IF(B30&lt;=Parâmetros!$G$63,Parâmetros!$L$63,IF(B30&lt;=Parâmetros!$L$64,Parâmetros!$J$64,Parâmetros!$L$64)))))</f>
        <v>0.82265997789676659</v>
      </c>
    </row>
    <row r="31" spans="1:28" s="14" customFormat="1" x14ac:dyDescent="0.2">
      <c r="A31" s="1"/>
      <c r="B31" s="11">
        <f t="shared" ref="B31:B44" si="13">B30+10000</f>
        <v>360000</v>
      </c>
      <c r="C31" s="12">
        <f t="shared" si="11"/>
        <v>4.8000000000000001E-2</v>
      </c>
      <c r="D31" s="12">
        <f t="shared" si="12"/>
        <v>2.8799999999999999E-2</v>
      </c>
      <c r="E31" s="12">
        <f t="shared" si="2"/>
        <v>6.4999999999999997E-3</v>
      </c>
      <c r="F31" s="12">
        <f t="shared" si="3"/>
        <v>0.03</v>
      </c>
      <c r="G31" s="12">
        <f>Parâmetros!$C$14*13.33*(Parâmetros!$C$15+FGTS+Sist_S_SAT)/Dados!B31</f>
        <v>1.0101177777777779E-2</v>
      </c>
      <c r="H31" s="13">
        <f>B31*Parâmetros!$C$13/Dados!B31</f>
        <v>0.05</v>
      </c>
      <c r="I31" s="23">
        <f t="shared" si="6"/>
        <v>0.1734011777777778</v>
      </c>
      <c r="J31" s="178">
        <f>VLOOKUP(B31,LP_FX[],8,TRUE)*Parâmetros!$M$124/B31</f>
        <v>3.774337449615954E-2</v>
      </c>
      <c r="K31" s="12">
        <f>Parâmetros!$C$20*(2*VLOOKUP(B31,LP_FX[],8,TRUE)/(VLOOKUP(B31,LP_FX[],1,TRUE)+VLOOKUP(B31,LP_FX[],2,TRUE)))</f>
        <v>5.6405127085658709E-2</v>
      </c>
      <c r="L31" s="163">
        <f t="shared" si="7"/>
        <v>0.2197051270856587</v>
      </c>
      <c r="M31" s="165">
        <f>IF($B31&lt;=3600000,$B31*INDEX(Parâmetros!$F$7:$M$26,ROUNDUP(($B31/180000),0),4)/$B31,$B31*INDEX(Parâmetros!$F$7:$M$26,20,4)/$B31)</f>
        <v>0</v>
      </c>
      <c r="N31" s="12">
        <f>IF($B31&lt;=3600000,$B31*INDEX(Parâmetros!$F$7:$M$26,ROUNDUP(($B31/180000),0),5)/$B31,$B31*INDEX(Parâmetros!$F$7:$M$26,20,5)/$B31)</f>
        <v>1.84E-2</v>
      </c>
      <c r="O31" s="12">
        <f>IF($B31&lt;=3600000,$B31*INDEX(Parâmetros!$F$7:$M$26,ROUNDUP(($B31/180000),0),6)/$B31,$B31*INDEX(Parâmetros!$F$7:$M$26,20,6)/$B31)</f>
        <v>0</v>
      </c>
      <c r="P31" s="12">
        <f>IF($B31&lt;=3600000,$B31*INDEX(Parâmetros!$F$7:$M$26,ROUNDUP(($B31/180000),0),7)/$B31,$B31*INDEX(Parâmetros!$F$7:$M$26,20,7)/$B31)</f>
        <v>1.9099999999999999E-2</v>
      </c>
      <c r="Q31" s="12">
        <f>Parâmetros!$C$14*13.33*(Parâmetros!$C$15+FGTS)/B31</f>
        <v>9.123644444444445E-3</v>
      </c>
      <c r="R31" s="12">
        <f>IF($B31&lt;=3600000,$B31*INDEX(Parâmetros!$F$7:$M$26,ROUNDUP(($B31/180000),0),8)/$B31,$B31*INDEX(Parâmetros!$F$7:$M$26,20,8)/$B31)</f>
        <v>2.7900000000000001E-2</v>
      </c>
      <c r="S31" s="23">
        <f t="shared" si="8"/>
        <v>7.4523644444444453E-2</v>
      </c>
      <c r="T31" s="12">
        <f t="shared" si="4"/>
        <v>0.19761288281049974</v>
      </c>
      <c r="U31" s="64">
        <v>0</v>
      </c>
      <c r="V31" s="64">
        <v>0</v>
      </c>
      <c r="W31" s="64">
        <v>0</v>
      </c>
      <c r="X31" s="64">
        <f t="shared" si="5"/>
        <v>3.8433500333333336E-2</v>
      </c>
      <c r="Y31" s="64">
        <v>0</v>
      </c>
      <c r="Z31" s="81">
        <f t="shared" si="9"/>
        <v>0.23604638314383308</v>
      </c>
      <c r="AB31" s="153">
        <f>1-IF(B31&lt;=Parâmetros!$G$60,Parâmetros!$L$60,IF(B31&lt;=Parâmetros!$G$61,Parâmetros!$L$61,IF(B31&lt;=Parâmetros!$G$62,Parâmetros!$L$62,IF(B31&lt;=Parâmetros!$G$63,Parâmetros!$L$63,IF(B31&lt;=Parâmetros!$L$64,Parâmetros!$J$64,Parâmetros!$L$64)))))</f>
        <v>0.82265997789676659</v>
      </c>
    </row>
    <row r="32" spans="1:28" s="14" customFormat="1" x14ac:dyDescent="0.2">
      <c r="A32" s="1"/>
      <c r="B32" s="11">
        <f t="shared" si="13"/>
        <v>370000</v>
      </c>
      <c r="C32" s="12">
        <f t="shared" si="11"/>
        <v>4.8000000000000001E-2</v>
      </c>
      <c r="D32" s="12">
        <f t="shared" si="12"/>
        <v>2.8799999999999999E-2</v>
      </c>
      <c r="E32" s="12">
        <f t="shared" si="2"/>
        <v>6.4999999999999997E-3</v>
      </c>
      <c r="F32" s="12">
        <f t="shared" si="3"/>
        <v>0.03</v>
      </c>
      <c r="G32" s="12">
        <f>Parâmetros!$C$14*13.33*(Parâmetros!$C$15+FGTS+Sist_S_SAT)/Dados!B32</f>
        <v>9.8281729729729744E-3</v>
      </c>
      <c r="H32" s="13">
        <f>B32*Parâmetros!$C$13/Dados!B32</f>
        <v>0.05</v>
      </c>
      <c r="I32" s="23">
        <f t="shared" si="6"/>
        <v>0.173128172972973</v>
      </c>
      <c r="J32" s="178">
        <f>VLOOKUP(B32,LP_FX[],8,TRUE)*Parâmetros!$M$124/B32</f>
        <v>3.672328329356063E-2</v>
      </c>
      <c r="K32" s="12">
        <f>Parâmetros!$C$20*(2*VLOOKUP(B32,LP_FX[],8,TRUE)/(VLOOKUP(B32,LP_FX[],1,TRUE)+VLOOKUP(B32,LP_FX[],2,TRUE)))</f>
        <v>5.6405127085658709E-2</v>
      </c>
      <c r="L32" s="163">
        <f t="shared" si="7"/>
        <v>0.2197051270856587</v>
      </c>
      <c r="M32" s="165">
        <f>IF($B32&lt;=3600000,$B32*INDEX(Parâmetros!$F$7:$M$26,ROUNDUP(($B32/180000),0),4)/$B32,$B32*INDEX(Parâmetros!$F$7:$M$26,20,4)/$B32)</f>
        <v>1.6000000000000001E-3</v>
      </c>
      <c r="N32" s="12">
        <f>IF($B32&lt;=3600000,$B32*INDEX(Parâmetros!$F$7:$M$26,ROUNDUP(($B32/180000),0),5)/$B32,$B32*INDEX(Parâmetros!$F$7:$M$26,20,5)/$B32)</f>
        <v>1.8499999999999999E-2</v>
      </c>
      <c r="O32" s="12">
        <f>IF($B32&lt;=3600000,$B32*INDEX(Parâmetros!$F$7:$M$26,ROUNDUP(($B32/180000),0),6)/$B32,$B32*INDEX(Parâmetros!$F$7:$M$26,20,6)/$B32)</f>
        <v>2.3999999999999998E-3</v>
      </c>
      <c r="P32" s="12">
        <f>IF($B32&lt;=3600000,$B32*INDEX(Parâmetros!$F$7:$M$26,ROUNDUP(($B32/180000),0),7)/$B32,$B32*INDEX(Parâmetros!$F$7:$M$26,20,7)/$B32)</f>
        <v>1.95E-2</v>
      </c>
      <c r="Q32" s="12">
        <f>Parâmetros!$C$14*13.33*(Parâmetros!$C$15+FGTS)/B32</f>
        <v>8.8770594594594597E-3</v>
      </c>
      <c r="R32" s="12">
        <f>IF($B32&lt;=3600000,$B32*INDEX(Parâmetros!$F$7:$M$26,ROUNDUP(($B32/180000),0),8)/$B32,$B32*INDEX(Parâmetros!$F$7:$M$26,20,8)/$B32)</f>
        <v>3.5000000000000003E-2</v>
      </c>
      <c r="S32" s="23">
        <f t="shared" si="8"/>
        <v>8.5877059459459462E-2</v>
      </c>
      <c r="T32" s="12">
        <f t="shared" si="4"/>
        <v>0.19838635878647568</v>
      </c>
      <c r="U32" s="64">
        <v>0</v>
      </c>
      <c r="V32" s="64">
        <v>0</v>
      </c>
      <c r="W32" s="64">
        <v>0</v>
      </c>
      <c r="X32" s="64">
        <f t="shared" si="5"/>
        <v>3.7394757081081087E-2</v>
      </c>
      <c r="Y32" s="64">
        <v>0</v>
      </c>
      <c r="Z32" s="81">
        <f t="shared" si="9"/>
        <v>0.23578111586755676</v>
      </c>
      <c r="AB32" s="153">
        <f>1-IF(B32&lt;=Parâmetros!$G$60,Parâmetros!$L$60,IF(B32&lt;=Parâmetros!$G$61,Parâmetros!$L$61,IF(B32&lt;=Parâmetros!$G$62,Parâmetros!$L$62,IF(B32&lt;=Parâmetros!$G$63,Parâmetros!$L$63,IF(B32&lt;=Parâmetros!$L$64,Parâmetros!$J$64,Parâmetros!$L$64)))))</f>
        <v>0.82265997789676659</v>
      </c>
    </row>
    <row r="33" spans="1:28" s="14" customFormat="1" x14ac:dyDescent="0.2">
      <c r="A33" s="1"/>
      <c r="B33" s="11">
        <f t="shared" si="13"/>
        <v>380000</v>
      </c>
      <c r="C33" s="12">
        <f t="shared" si="11"/>
        <v>4.8000000000000001E-2</v>
      </c>
      <c r="D33" s="12">
        <f t="shared" si="12"/>
        <v>2.8799999999999999E-2</v>
      </c>
      <c r="E33" s="12">
        <f t="shared" si="2"/>
        <v>6.4999999999999997E-3</v>
      </c>
      <c r="F33" s="12">
        <f t="shared" si="3"/>
        <v>0.03</v>
      </c>
      <c r="G33" s="12">
        <f>Parâmetros!$C$14*13.33*(Parâmetros!$C$15+FGTS+Sist_S_SAT)/Dados!B33</f>
        <v>9.569536842105264E-3</v>
      </c>
      <c r="H33" s="13">
        <f>B33*Parâmetros!$C$13/Dados!B33</f>
        <v>0.05</v>
      </c>
      <c r="I33" s="23">
        <f t="shared" si="6"/>
        <v>0.17286953684210526</v>
      </c>
      <c r="J33" s="178">
        <f>VLOOKUP(B33,LP_FX[],8,TRUE)*Parâmetros!$M$124/B33</f>
        <v>3.5756881101624824E-2</v>
      </c>
      <c r="K33" s="12">
        <f>Parâmetros!$C$20*(2*VLOOKUP(B33,LP_FX[],8,TRUE)/(VLOOKUP(B33,LP_FX[],1,TRUE)+VLOOKUP(B33,LP_FX[],2,TRUE)))</f>
        <v>5.6405127085658709E-2</v>
      </c>
      <c r="L33" s="163">
        <f t="shared" si="7"/>
        <v>0.2197051270856587</v>
      </c>
      <c r="M33" s="165">
        <f>IF($B33&lt;=3600000,$B33*INDEX(Parâmetros!$F$7:$M$26,ROUNDUP(($B33/180000),0),4)/$B33,$B33*INDEX(Parâmetros!$F$7:$M$26,20,4)/$B33)</f>
        <v>1.6000000000000001E-3</v>
      </c>
      <c r="N33" s="12">
        <f>IF($B33&lt;=3600000,$B33*INDEX(Parâmetros!$F$7:$M$26,ROUNDUP(($B33/180000),0),5)/$B33,$B33*INDEX(Parâmetros!$F$7:$M$26,20,5)/$B33)</f>
        <v>1.8499999999999999E-2</v>
      </c>
      <c r="O33" s="12">
        <f>IF($B33&lt;=3600000,$B33*INDEX(Parâmetros!$F$7:$M$26,ROUNDUP(($B33/180000),0),6)/$B33,$B33*INDEX(Parâmetros!$F$7:$M$26,20,6)/$B33)</f>
        <v>2.3999999999999998E-3</v>
      </c>
      <c r="P33" s="12">
        <f>IF($B33&lt;=3600000,$B33*INDEX(Parâmetros!$F$7:$M$26,ROUNDUP(($B33/180000),0),7)/$B33,$B33*INDEX(Parâmetros!$F$7:$M$26,20,7)/$B33)</f>
        <v>1.95E-2</v>
      </c>
      <c r="Q33" s="12">
        <f>Parâmetros!$C$14*13.33*(Parâmetros!$C$15+FGTS)/B33</f>
        <v>8.6434526315789482E-3</v>
      </c>
      <c r="R33" s="12">
        <f>IF($B33&lt;=3600000,$B33*INDEX(Parâmetros!$F$7:$M$26,ROUNDUP(($B33/180000),0),8)/$B33,$B33*INDEX(Parâmetros!$F$7:$M$26,20,8)/$B33)</f>
        <v>3.5000000000000003E-2</v>
      </c>
      <c r="S33" s="23">
        <f t="shared" si="8"/>
        <v>8.5643452631578951E-2</v>
      </c>
      <c r="T33" s="12">
        <f t="shared" si="4"/>
        <v>0.19911912550055821</v>
      </c>
      <c r="U33" s="64">
        <v>0</v>
      </c>
      <c r="V33" s="64">
        <v>0</v>
      </c>
      <c r="W33" s="64">
        <v>0</v>
      </c>
      <c r="X33" s="64">
        <f t="shared" si="5"/>
        <v>3.6410684526315795E-2</v>
      </c>
      <c r="Y33" s="64">
        <v>0</v>
      </c>
      <c r="Z33" s="81">
        <f t="shared" si="9"/>
        <v>0.23552981002687401</v>
      </c>
      <c r="AB33" s="153">
        <f>1-IF(B33&lt;=Parâmetros!$G$60,Parâmetros!$L$60,IF(B33&lt;=Parâmetros!$G$61,Parâmetros!$L$61,IF(B33&lt;=Parâmetros!$G$62,Parâmetros!$L$62,IF(B33&lt;=Parâmetros!$G$63,Parâmetros!$L$63,IF(B33&lt;=Parâmetros!$L$64,Parâmetros!$J$64,Parâmetros!$L$64)))))</f>
        <v>0.82265997789676659</v>
      </c>
    </row>
    <row r="34" spans="1:28" s="14" customFormat="1" x14ac:dyDescent="0.2">
      <c r="A34" s="1"/>
      <c r="B34" s="11">
        <f t="shared" si="13"/>
        <v>390000</v>
      </c>
      <c r="C34" s="12">
        <f t="shared" si="11"/>
        <v>4.8000000000000001E-2</v>
      </c>
      <c r="D34" s="12">
        <f t="shared" si="12"/>
        <v>2.8799999999999999E-2</v>
      </c>
      <c r="E34" s="12">
        <f t="shared" si="2"/>
        <v>6.4999999999999997E-3</v>
      </c>
      <c r="F34" s="12">
        <f t="shared" si="3"/>
        <v>0.03</v>
      </c>
      <c r="G34" s="12">
        <f>Parâmetros!$C$14*13.33*(Parâmetros!$C$15+FGTS+Sist_S_SAT)/Dados!B34</f>
        <v>9.3241641025641041E-3</v>
      </c>
      <c r="H34" s="13">
        <f>B34*Parâmetros!$C$13/Dados!B34</f>
        <v>0.05</v>
      </c>
      <c r="I34" s="23">
        <f t="shared" si="6"/>
        <v>0.17262416410256412</v>
      </c>
      <c r="J34" s="178">
        <f>VLOOKUP(B34,LP_FX[],8,TRUE)*Parâmetros!$M$124/B34</f>
        <v>3.4840037996454958E-2</v>
      </c>
      <c r="K34" s="12">
        <f>Parâmetros!$C$20*(2*VLOOKUP(B34,LP_FX[],8,TRUE)/(VLOOKUP(B34,LP_FX[],1,TRUE)+VLOOKUP(B34,LP_FX[],2,TRUE)))</f>
        <v>5.6405127085658709E-2</v>
      </c>
      <c r="L34" s="163">
        <f t="shared" si="7"/>
        <v>0.2197051270856587</v>
      </c>
      <c r="M34" s="165">
        <f>IF($B34&lt;=3600000,$B34*INDEX(Parâmetros!$F$7:$M$26,ROUNDUP(($B34/180000),0),4)/$B34,$B34*INDEX(Parâmetros!$F$7:$M$26,20,4)/$B34)</f>
        <v>1.6000000000000001E-3</v>
      </c>
      <c r="N34" s="12">
        <f>IF($B34&lt;=3600000,$B34*INDEX(Parâmetros!$F$7:$M$26,ROUNDUP(($B34/180000),0),5)/$B34,$B34*INDEX(Parâmetros!$F$7:$M$26,20,5)/$B34)</f>
        <v>1.8499999999999999E-2</v>
      </c>
      <c r="O34" s="12">
        <f>IF($B34&lt;=3600000,$B34*INDEX(Parâmetros!$F$7:$M$26,ROUNDUP(($B34/180000),0),6)/$B34,$B34*INDEX(Parâmetros!$F$7:$M$26,20,6)/$B34)</f>
        <v>2.3999999999999998E-3</v>
      </c>
      <c r="P34" s="12">
        <f>IF($B34&lt;=3600000,$B34*INDEX(Parâmetros!$F$7:$M$26,ROUNDUP(($B34/180000),0),7)/$B34,$B34*INDEX(Parâmetros!$F$7:$M$26,20,7)/$B34)</f>
        <v>1.95E-2</v>
      </c>
      <c r="Q34" s="12">
        <f>Parâmetros!$C$14*13.33*(Parâmetros!$C$15+FGTS)/B34</f>
        <v>8.4218256410256414E-3</v>
      </c>
      <c r="R34" s="12">
        <f>IF($B34&lt;=3600000,$B34*INDEX(Parâmetros!$F$7:$M$26,ROUNDUP(($B34/180000),0),8)/$B34,$B34*INDEX(Parâmetros!$F$7:$M$26,20,8)/$B34)</f>
        <v>3.5000000000000003E-2</v>
      </c>
      <c r="S34" s="23">
        <f t="shared" si="8"/>
        <v>8.5421825641025642E-2</v>
      </c>
      <c r="T34" s="12">
        <f t="shared" si="4"/>
        <v>0.19981431443443137</v>
      </c>
      <c r="U34" s="64">
        <v>0</v>
      </c>
      <c r="V34" s="64">
        <v>0</v>
      </c>
      <c r="W34" s="64">
        <v>0</v>
      </c>
      <c r="X34" s="64">
        <f t="shared" si="5"/>
        <v>3.5477077230769233E-2</v>
      </c>
      <c r="Y34" s="64">
        <v>0</v>
      </c>
      <c r="Z34" s="81">
        <f t="shared" si="9"/>
        <v>0.23529139166520061</v>
      </c>
      <c r="AB34" s="153">
        <f>1-IF(B34&lt;=Parâmetros!$G$60,Parâmetros!$L$60,IF(B34&lt;=Parâmetros!$G$61,Parâmetros!$L$61,IF(B34&lt;=Parâmetros!$G$62,Parâmetros!$L$62,IF(B34&lt;=Parâmetros!$G$63,Parâmetros!$L$63,IF(B34&lt;=Parâmetros!$L$64,Parâmetros!$J$64,Parâmetros!$L$64)))))</f>
        <v>0.82265997789676659</v>
      </c>
    </row>
    <row r="35" spans="1:28" s="14" customFormat="1" x14ac:dyDescent="0.2">
      <c r="A35" s="1"/>
      <c r="B35" s="11">
        <f t="shared" si="13"/>
        <v>400000</v>
      </c>
      <c r="C35" s="12">
        <f t="shared" si="11"/>
        <v>4.8000000000000001E-2</v>
      </c>
      <c r="D35" s="12">
        <f t="shared" si="12"/>
        <v>2.8799999999999999E-2</v>
      </c>
      <c r="E35" s="12">
        <f t="shared" si="2"/>
        <v>6.4999999999999997E-3</v>
      </c>
      <c r="F35" s="12">
        <f t="shared" si="3"/>
        <v>0.03</v>
      </c>
      <c r="G35" s="12">
        <f>Parâmetros!$C$14*13.33*(Parâmetros!$C$15+FGTS+Sist_S_SAT)/Dados!B35</f>
        <v>9.0910600000000015E-3</v>
      </c>
      <c r="H35" s="13">
        <f>B35*Parâmetros!$C$13/Dados!B35</f>
        <v>0.05</v>
      </c>
      <c r="I35" s="23">
        <f t="shared" si="6"/>
        <v>0.17239106000000001</v>
      </c>
      <c r="J35" s="178">
        <f>VLOOKUP(B35,LP_FX[],8,TRUE)*Parâmetros!$M$124/B35</f>
        <v>3.3969037046543582E-2</v>
      </c>
      <c r="K35" s="12">
        <f>Parâmetros!$C$20*(2*VLOOKUP(B35,LP_FX[],8,TRUE)/(VLOOKUP(B35,LP_FX[],1,TRUE)+VLOOKUP(B35,LP_FX[],2,TRUE)))</f>
        <v>5.6405127085658709E-2</v>
      </c>
      <c r="L35" s="163">
        <f t="shared" si="7"/>
        <v>0.2197051270856587</v>
      </c>
      <c r="M35" s="165">
        <f>IF($B35&lt;=3600000,$B35*INDEX(Parâmetros!$F$7:$M$26,ROUNDUP(($B35/180000),0),4)/$B35,$B35*INDEX(Parâmetros!$F$7:$M$26,20,4)/$B35)</f>
        <v>1.6000000000000001E-3</v>
      </c>
      <c r="N35" s="12">
        <f>IF($B35&lt;=3600000,$B35*INDEX(Parâmetros!$F$7:$M$26,ROUNDUP(($B35/180000),0),5)/$B35,$B35*INDEX(Parâmetros!$F$7:$M$26,20,5)/$B35)</f>
        <v>1.8499999999999999E-2</v>
      </c>
      <c r="O35" s="12">
        <f>IF($B35&lt;=3600000,$B35*INDEX(Parâmetros!$F$7:$M$26,ROUNDUP(($B35/180000),0),6)/$B35,$B35*INDEX(Parâmetros!$F$7:$M$26,20,6)/$B35)</f>
        <v>2.3999999999999998E-3</v>
      </c>
      <c r="P35" s="12">
        <f>IF($B35&lt;=3600000,$B35*INDEX(Parâmetros!$F$7:$M$26,ROUNDUP(($B35/180000),0),7)/$B35,$B35*INDEX(Parâmetros!$F$7:$M$26,20,7)/$B35)</f>
        <v>1.95E-2</v>
      </c>
      <c r="Q35" s="12">
        <f>Parâmetros!$C$14*13.33*(Parâmetros!$C$15+FGTS)/B35</f>
        <v>8.2112799999999996E-3</v>
      </c>
      <c r="R35" s="12">
        <f>IF($B35&lt;=3600000,$B35*INDEX(Parâmetros!$F$7:$M$26,ROUNDUP(($B35/180000),0),8)/$B35,$B35*INDEX(Parâmetros!$F$7:$M$26,20,8)/$B35)</f>
        <v>3.5000000000000003E-2</v>
      </c>
      <c r="S35" s="23">
        <f t="shared" si="8"/>
        <v>8.521128E-2</v>
      </c>
      <c r="T35" s="12">
        <f t="shared" si="4"/>
        <v>0.20047474392161085</v>
      </c>
      <c r="U35" s="64">
        <v>0</v>
      </c>
      <c r="V35" s="64">
        <v>0</v>
      </c>
      <c r="W35" s="64">
        <v>0</v>
      </c>
      <c r="X35" s="64">
        <f t="shared" si="5"/>
        <v>3.4590150300000004E-2</v>
      </c>
      <c r="Y35" s="64">
        <v>0</v>
      </c>
      <c r="Z35" s="81">
        <f t="shared" si="9"/>
        <v>0.23506489422161086</v>
      </c>
      <c r="AB35" s="153">
        <f>1-IF(B35&lt;=Parâmetros!$G$60,Parâmetros!$L$60,IF(B35&lt;=Parâmetros!$G$61,Parâmetros!$L$61,IF(B35&lt;=Parâmetros!$G$62,Parâmetros!$L$62,IF(B35&lt;=Parâmetros!$G$63,Parâmetros!$L$63,IF(B35&lt;=Parâmetros!$L$64,Parâmetros!$J$64,Parâmetros!$L$64)))))</f>
        <v>0.82265997789676659</v>
      </c>
    </row>
    <row r="36" spans="1:28" s="14" customFormat="1" x14ac:dyDescent="0.2">
      <c r="A36" s="1"/>
      <c r="B36" s="11">
        <f t="shared" si="13"/>
        <v>410000</v>
      </c>
      <c r="C36" s="12">
        <f t="shared" si="11"/>
        <v>4.8000000000000001E-2</v>
      </c>
      <c r="D36" s="12">
        <f t="shared" si="12"/>
        <v>2.8799999999999999E-2</v>
      </c>
      <c r="E36" s="12">
        <f t="shared" si="2"/>
        <v>6.4999999999999997E-3</v>
      </c>
      <c r="F36" s="12">
        <f t="shared" si="3"/>
        <v>0.03</v>
      </c>
      <c r="G36" s="12">
        <f>Parâmetros!$C$14*13.33*(Parâmetros!$C$15+FGTS+Sist_S_SAT)/Dados!B36</f>
        <v>8.8693268292682932E-3</v>
      </c>
      <c r="H36" s="13">
        <f>B36*Parâmetros!$C$13/Dados!B36</f>
        <v>0.05</v>
      </c>
      <c r="I36" s="23">
        <f t="shared" si="6"/>
        <v>0.1721693268292683</v>
      </c>
      <c r="J36" s="178">
        <f>VLOOKUP(B36,LP_FX[],8,TRUE)*Parâmetros!$M$124/B36</f>
        <v>4.2512708787353276E-2</v>
      </c>
      <c r="K36" s="12">
        <f>Parâmetros!$C$20*(2*VLOOKUP(B36,LP_FX[],8,TRUE)/(VLOOKUP(B36,LP_FX[],1,TRUE)+VLOOKUP(B36,LP_FX[],2,TRUE)))</f>
        <v>5.6277334772130247E-2</v>
      </c>
      <c r="L36" s="163">
        <f t="shared" si="7"/>
        <v>0.21957733477213026</v>
      </c>
      <c r="M36" s="165">
        <f>IF($B36&lt;=3600000,$B36*INDEX(Parâmetros!$F$7:$M$26,ROUNDUP(($B36/180000),0),4)/$B36,$B36*INDEX(Parâmetros!$F$7:$M$26,20,4)/$B36)</f>
        <v>1.6000000000000001E-3</v>
      </c>
      <c r="N36" s="12">
        <f>IF($B36&lt;=3600000,$B36*INDEX(Parâmetros!$F$7:$M$26,ROUNDUP(($B36/180000),0),5)/$B36,$B36*INDEX(Parâmetros!$F$7:$M$26,20,5)/$B36)</f>
        <v>1.8499999999999999E-2</v>
      </c>
      <c r="O36" s="12">
        <f>IF($B36&lt;=3600000,$B36*INDEX(Parâmetros!$F$7:$M$26,ROUNDUP(($B36/180000),0),6)/$B36,$B36*INDEX(Parâmetros!$F$7:$M$26,20,6)/$B36)</f>
        <v>2.3999999999999998E-3</v>
      </c>
      <c r="P36" s="12">
        <f>IF($B36&lt;=3600000,$B36*INDEX(Parâmetros!$F$7:$M$26,ROUNDUP(($B36/180000),0),7)/$B36,$B36*INDEX(Parâmetros!$F$7:$M$26,20,7)/$B36)</f>
        <v>1.95E-2</v>
      </c>
      <c r="Q36" s="12">
        <f>Parâmetros!$C$14*13.33*(Parâmetros!$C$15+FGTS)/B36</f>
        <v>8.0110048780487816E-3</v>
      </c>
      <c r="R36" s="12">
        <f>IF($B36&lt;=3600000,$B36*INDEX(Parâmetros!$F$7:$M$26,ROUNDUP(($B36/180000),0),8)/$B36,$B36*INDEX(Parâmetros!$F$7:$M$26,20,8)/$B36)</f>
        <v>3.5000000000000003E-2</v>
      </c>
      <c r="S36" s="23">
        <f t="shared" si="8"/>
        <v>8.5011004878048774E-2</v>
      </c>
      <c r="T36" s="12">
        <f t="shared" si="4"/>
        <v>0.20430926484635101</v>
      </c>
      <c r="U36" s="64">
        <v>0</v>
      </c>
      <c r="V36" s="64">
        <v>0</v>
      </c>
      <c r="W36" s="64">
        <v>0</v>
      </c>
      <c r="X36" s="64">
        <f t="shared" si="5"/>
        <v>3.3746488097560978E-2</v>
      </c>
      <c r="Y36" s="64">
        <v>0</v>
      </c>
      <c r="Z36" s="81">
        <f t="shared" si="9"/>
        <v>0.23805575294391199</v>
      </c>
      <c r="AB36" s="153">
        <f>1-IF(B36&lt;=Parâmetros!$G$60,Parâmetros!$L$60,IF(B36&lt;=Parâmetros!$G$61,Parâmetros!$L$61,IF(B36&lt;=Parâmetros!$G$62,Parâmetros!$L$62,IF(B36&lt;=Parâmetros!$G$63,Parâmetros!$L$63,IF(B36&lt;=Parâmetros!$L$64,Parâmetros!$J$64,Parâmetros!$L$64)))))</f>
        <v>0.83431927793351579</v>
      </c>
    </row>
    <row r="37" spans="1:28" s="14" customFormat="1" x14ac:dyDescent="0.2">
      <c r="A37" s="1"/>
      <c r="B37" s="11">
        <f t="shared" si="13"/>
        <v>420000</v>
      </c>
      <c r="C37" s="12">
        <f t="shared" si="11"/>
        <v>4.8000000000000001E-2</v>
      </c>
      <c r="D37" s="12">
        <f t="shared" si="12"/>
        <v>2.8799999999999999E-2</v>
      </c>
      <c r="E37" s="12">
        <f t="shared" ref="E37:E68" si="14">B37*(Al_Pis)/B37</f>
        <v>6.4999999999999997E-3</v>
      </c>
      <c r="F37" s="12">
        <f t="shared" ref="F37:F68" si="15">B37*(Al_Cofins)/B37</f>
        <v>0.03</v>
      </c>
      <c r="G37" s="12">
        <f>Parâmetros!$C$14*13.33*(Parâmetros!$C$15+FGTS+Sist_S_SAT)/Dados!B37</f>
        <v>8.6581523809523813E-3</v>
      </c>
      <c r="H37" s="13">
        <f>B37*Parâmetros!$C$13/Dados!B37</f>
        <v>0.05</v>
      </c>
      <c r="I37" s="23">
        <f t="shared" si="6"/>
        <v>0.17195815238095241</v>
      </c>
      <c r="J37" s="178">
        <f>VLOOKUP(B37,LP_FX[],8,TRUE)*Parâmetros!$M$124/B37</f>
        <v>4.1500501435273437E-2</v>
      </c>
      <c r="K37" s="12">
        <f>Parâmetros!$C$20*(2*VLOOKUP(B37,LP_FX[],8,TRUE)/(VLOOKUP(B37,LP_FX[],1,TRUE)+VLOOKUP(B37,LP_FX[],2,TRUE)))</f>
        <v>5.6277334772130247E-2</v>
      </c>
      <c r="L37" s="163">
        <f t="shared" si="7"/>
        <v>0.21957733477213026</v>
      </c>
      <c r="M37" s="165">
        <f>IF($B37&lt;=3600000,$B37*INDEX(Parâmetros!$F$7:$M$26,ROUNDUP(($B37/180000),0),4)/$B37,$B37*INDEX(Parâmetros!$F$7:$M$26,20,4)/$B37)</f>
        <v>1.6000000000000001E-3</v>
      </c>
      <c r="N37" s="12">
        <f>IF($B37&lt;=3600000,$B37*INDEX(Parâmetros!$F$7:$M$26,ROUNDUP(($B37/180000),0),5)/$B37,$B37*INDEX(Parâmetros!$F$7:$M$26,20,5)/$B37)</f>
        <v>1.8499999999999999E-2</v>
      </c>
      <c r="O37" s="12">
        <f>IF($B37&lt;=3600000,$B37*INDEX(Parâmetros!$F$7:$M$26,ROUNDUP(($B37/180000),0),6)/$B37,$B37*INDEX(Parâmetros!$F$7:$M$26,20,6)/$B37)</f>
        <v>2.3999999999999998E-3</v>
      </c>
      <c r="P37" s="12">
        <f>IF($B37&lt;=3600000,$B37*INDEX(Parâmetros!$F$7:$M$26,ROUNDUP(($B37/180000),0),7)/$B37,$B37*INDEX(Parâmetros!$F$7:$M$26,20,7)/$B37)</f>
        <v>1.95E-2</v>
      </c>
      <c r="Q37" s="12">
        <f>Parâmetros!$C$14*13.33*(Parâmetros!$C$15+FGTS)/B37</f>
        <v>7.8202666666666674E-3</v>
      </c>
      <c r="R37" s="12">
        <f>IF($B37&lt;=3600000,$B37*INDEX(Parâmetros!$F$7:$M$26,ROUNDUP(($B37/180000),0),8)/$B37,$B37*INDEX(Parâmetros!$F$7:$M$26,20,8)/$B37)</f>
        <v>3.5000000000000003E-2</v>
      </c>
      <c r="S37" s="23">
        <f t="shared" si="8"/>
        <v>8.4820266666666672E-2</v>
      </c>
      <c r="T37" s="12">
        <f t="shared" ref="T37:T68" si="16">IF(B37*AB37&lt;=22499.13,B37*0,IF(B37*AB37&lt;=33477.72,B37*0.075-1687.43,IF(B37*AB37&lt;=44476.74,B37*0.15-4198.26,IF(B37*AB37&lt;=55373.55,B37*0.225-7534.02,B37*AB37*0.275-10302.7))))/B37</f>
        <v>0.20490756333647875</v>
      </c>
      <c r="U37" s="64">
        <v>0</v>
      </c>
      <c r="V37" s="64">
        <v>0</v>
      </c>
      <c r="W37" s="64">
        <v>0</v>
      </c>
      <c r="X37" s="64">
        <f t="shared" ref="X37:X68" si="17">maior_sal_contrib*13.33*20%/B37</f>
        <v>3.2943000285714293E-2</v>
      </c>
      <c r="Y37" s="64">
        <v>0</v>
      </c>
      <c r="Z37" s="81">
        <f t="shared" si="9"/>
        <v>0.23785056362219303</v>
      </c>
      <c r="AB37" s="153">
        <f>1-IF(B37&lt;=Parâmetros!$G$60,Parâmetros!$L$60,IF(B37&lt;=Parâmetros!$G$61,Parâmetros!$L$61,IF(B37&lt;=Parâmetros!$G$62,Parâmetros!$L$62,IF(B37&lt;=Parâmetros!$G$63,Parâmetros!$L$63,IF(B37&lt;=Parâmetros!$L$64,Parâmetros!$J$64,Parâmetros!$L$64)))))</f>
        <v>0.83431927793351579</v>
      </c>
    </row>
    <row r="38" spans="1:28" s="14" customFormat="1" x14ac:dyDescent="0.2">
      <c r="A38" s="1"/>
      <c r="B38" s="11">
        <f t="shared" si="13"/>
        <v>430000</v>
      </c>
      <c r="C38" s="12">
        <f t="shared" si="11"/>
        <v>4.8000000000000001E-2</v>
      </c>
      <c r="D38" s="12">
        <f t="shared" si="12"/>
        <v>2.8799999999999999E-2</v>
      </c>
      <c r="E38" s="12">
        <f t="shared" si="14"/>
        <v>6.4999999999999997E-3</v>
      </c>
      <c r="F38" s="12">
        <f t="shared" si="15"/>
        <v>0.03</v>
      </c>
      <c r="G38" s="12">
        <f>Parâmetros!$C$14*13.33*(Parâmetros!$C$15+FGTS+Sist_S_SAT)/Dados!B38</f>
        <v>8.4568000000000004E-3</v>
      </c>
      <c r="H38" s="13">
        <f>B38*Parâmetros!$C$13/Dados!B38</f>
        <v>0.05</v>
      </c>
      <c r="I38" s="23">
        <f t="shared" si="6"/>
        <v>0.17175680000000002</v>
      </c>
      <c r="J38" s="178">
        <f>VLOOKUP(B38,LP_FX[],8,TRUE)*Parâmetros!$M$124/B38</f>
        <v>4.0535373494918245E-2</v>
      </c>
      <c r="K38" s="12">
        <f>Parâmetros!$C$20*(2*VLOOKUP(B38,LP_FX[],8,TRUE)/(VLOOKUP(B38,LP_FX[],1,TRUE)+VLOOKUP(B38,LP_FX[],2,TRUE)))</f>
        <v>5.6277334772130247E-2</v>
      </c>
      <c r="L38" s="163">
        <f t="shared" si="7"/>
        <v>0.21957733477213026</v>
      </c>
      <c r="M38" s="165">
        <f>IF($B38&lt;=3600000,$B38*INDEX(Parâmetros!$F$7:$M$26,ROUNDUP(($B38/180000),0),4)/$B38,$B38*INDEX(Parâmetros!$F$7:$M$26,20,4)/$B38)</f>
        <v>1.6000000000000001E-3</v>
      </c>
      <c r="N38" s="12">
        <f>IF($B38&lt;=3600000,$B38*INDEX(Parâmetros!$F$7:$M$26,ROUNDUP(($B38/180000),0),5)/$B38,$B38*INDEX(Parâmetros!$F$7:$M$26,20,5)/$B38)</f>
        <v>1.8499999999999999E-2</v>
      </c>
      <c r="O38" s="12">
        <f>IF($B38&lt;=3600000,$B38*INDEX(Parâmetros!$F$7:$M$26,ROUNDUP(($B38/180000),0),6)/$B38,$B38*INDEX(Parâmetros!$F$7:$M$26,20,6)/$B38)</f>
        <v>2.3999999999999998E-3</v>
      </c>
      <c r="P38" s="12">
        <f>IF($B38&lt;=3600000,$B38*INDEX(Parâmetros!$F$7:$M$26,ROUNDUP(($B38/180000),0),7)/$B38,$B38*INDEX(Parâmetros!$F$7:$M$26,20,7)/$B38)</f>
        <v>1.95E-2</v>
      </c>
      <c r="Q38" s="12">
        <f>Parâmetros!$C$14*13.33*(Parâmetros!$C$15+FGTS)/B38</f>
        <v>7.6384000000000001E-3</v>
      </c>
      <c r="R38" s="12">
        <f>IF($B38&lt;=3600000,$B38*INDEX(Parâmetros!$F$7:$M$26,ROUNDUP(($B38/180000),0),8)/$B38,$B38*INDEX(Parâmetros!$F$7:$M$26,20,8)/$B38)</f>
        <v>3.5000000000000003E-2</v>
      </c>
      <c r="S38" s="23">
        <f t="shared" si="8"/>
        <v>8.4638400000000003E-2</v>
      </c>
      <c r="T38" s="12">
        <f t="shared" si="16"/>
        <v>0.20547803398985642</v>
      </c>
      <c r="U38" s="64">
        <v>0</v>
      </c>
      <c r="V38" s="64">
        <v>0</v>
      </c>
      <c r="W38" s="64">
        <v>0</v>
      </c>
      <c r="X38" s="64">
        <f t="shared" si="17"/>
        <v>3.2176884000000003E-2</v>
      </c>
      <c r="Y38" s="64">
        <v>0</v>
      </c>
      <c r="Z38" s="81">
        <f t="shared" si="9"/>
        <v>0.23765491798985644</v>
      </c>
      <c r="AB38" s="153">
        <f>1-IF(B38&lt;=Parâmetros!$G$60,Parâmetros!$L$60,IF(B38&lt;=Parâmetros!$G$61,Parâmetros!$L$61,IF(B38&lt;=Parâmetros!$G$62,Parâmetros!$L$62,IF(B38&lt;=Parâmetros!$G$63,Parâmetros!$L$63,IF(B38&lt;=Parâmetros!$L$64,Parâmetros!$J$64,Parâmetros!$L$64)))))</f>
        <v>0.83431927793351579</v>
      </c>
    </row>
    <row r="39" spans="1:28" s="14" customFormat="1" x14ac:dyDescent="0.2">
      <c r="A39" s="1"/>
      <c r="B39" s="11">
        <f t="shared" si="13"/>
        <v>440000</v>
      </c>
      <c r="C39" s="12">
        <f t="shared" si="11"/>
        <v>4.8000000000000001E-2</v>
      </c>
      <c r="D39" s="12">
        <f t="shared" si="12"/>
        <v>2.8799999999999999E-2</v>
      </c>
      <c r="E39" s="12">
        <f t="shared" si="14"/>
        <v>6.4999999999999997E-3</v>
      </c>
      <c r="F39" s="12">
        <f t="shared" si="15"/>
        <v>0.03</v>
      </c>
      <c r="G39" s="12">
        <f>Parâmetros!$C$14*13.33*(Parâmetros!$C$15+FGTS+Sist_S_SAT)/Dados!B39</f>
        <v>8.2646000000000004E-3</v>
      </c>
      <c r="H39" s="13">
        <f>B39*Parâmetros!$C$13/Dados!B39</f>
        <v>0.05</v>
      </c>
      <c r="I39" s="23">
        <f t="shared" si="6"/>
        <v>0.17156460000000001</v>
      </c>
      <c r="J39" s="178">
        <f>VLOOKUP(B39,LP_FX[],8,TRUE)*Parâmetros!$M$124/B39</f>
        <v>3.9614115006397374E-2</v>
      </c>
      <c r="K39" s="12">
        <f>Parâmetros!$C$20*(2*VLOOKUP(B39,LP_FX[],8,TRUE)/(VLOOKUP(B39,LP_FX[],1,TRUE)+VLOOKUP(B39,LP_FX[],2,TRUE)))</f>
        <v>5.6277334772130247E-2</v>
      </c>
      <c r="L39" s="163">
        <f t="shared" si="7"/>
        <v>0.21957733477213026</v>
      </c>
      <c r="M39" s="165">
        <f>IF($B39&lt;=3600000,$B39*INDEX(Parâmetros!$F$7:$M$26,ROUNDUP(($B39/180000),0),4)/$B39,$B39*INDEX(Parâmetros!$F$7:$M$26,20,4)/$B39)</f>
        <v>1.6000000000000001E-3</v>
      </c>
      <c r="N39" s="12">
        <f>IF($B39&lt;=3600000,$B39*INDEX(Parâmetros!$F$7:$M$26,ROUNDUP(($B39/180000),0),5)/$B39,$B39*INDEX(Parâmetros!$F$7:$M$26,20,5)/$B39)</f>
        <v>1.8499999999999999E-2</v>
      </c>
      <c r="O39" s="12">
        <f>IF($B39&lt;=3600000,$B39*INDEX(Parâmetros!$F$7:$M$26,ROUNDUP(($B39/180000),0),6)/$B39,$B39*INDEX(Parâmetros!$F$7:$M$26,20,6)/$B39)</f>
        <v>2.3999999999999998E-3</v>
      </c>
      <c r="P39" s="12">
        <f>IF($B39&lt;=3600000,$B39*INDEX(Parâmetros!$F$7:$M$26,ROUNDUP(($B39/180000),0),7)/$B39,$B39*INDEX(Parâmetros!$F$7:$M$26,20,7)/$B39)</f>
        <v>1.95E-2</v>
      </c>
      <c r="Q39" s="12">
        <f>Parâmetros!$C$14*13.33*(Parâmetros!$C$15+FGTS)/B39</f>
        <v>7.4648000000000006E-3</v>
      </c>
      <c r="R39" s="12">
        <f>IF($B39&lt;=3600000,$B39*INDEX(Parâmetros!$F$7:$M$26,ROUNDUP(($B39/180000),0),8)/$B39,$B39*INDEX(Parâmetros!$F$7:$M$26,20,8)/$B39)</f>
        <v>3.5000000000000003E-2</v>
      </c>
      <c r="S39" s="23">
        <f t="shared" si="8"/>
        <v>8.4464800000000007E-2</v>
      </c>
      <c r="T39" s="12">
        <f t="shared" si="16"/>
        <v>0.20602257415898959</v>
      </c>
      <c r="U39" s="64">
        <v>0</v>
      </c>
      <c r="V39" s="64">
        <v>0</v>
      </c>
      <c r="W39" s="64">
        <v>0</v>
      </c>
      <c r="X39" s="64">
        <f t="shared" si="17"/>
        <v>3.1445591181818187E-2</v>
      </c>
      <c r="Y39" s="64">
        <v>0</v>
      </c>
      <c r="Z39" s="81">
        <f t="shared" si="9"/>
        <v>0.23746816534080778</v>
      </c>
      <c r="AB39" s="153">
        <f>1-IF(B39&lt;=Parâmetros!$G$60,Parâmetros!$L$60,IF(B39&lt;=Parâmetros!$G$61,Parâmetros!$L$61,IF(B39&lt;=Parâmetros!$G$62,Parâmetros!$L$62,IF(B39&lt;=Parâmetros!$G$63,Parâmetros!$L$63,IF(B39&lt;=Parâmetros!$L$64,Parâmetros!$J$64,Parâmetros!$L$64)))))</f>
        <v>0.83431927793351579</v>
      </c>
    </row>
    <row r="40" spans="1:28" s="14" customFormat="1" x14ac:dyDescent="0.2">
      <c r="A40" s="1"/>
      <c r="B40" s="11">
        <f t="shared" si="13"/>
        <v>450000</v>
      </c>
      <c r="C40" s="12">
        <f t="shared" si="11"/>
        <v>4.8000000000000001E-2</v>
      </c>
      <c r="D40" s="12">
        <f t="shared" si="12"/>
        <v>2.8799999999999999E-2</v>
      </c>
      <c r="E40" s="12">
        <f t="shared" si="14"/>
        <v>6.4999999999999997E-3</v>
      </c>
      <c r="F40" s="12">
        <f t="shared" si="15"/>
        <v>0.03</v>
      </c>
      <c r="G40" s="12">
        <f>Parâmetros!$C$14*13.33*(Parâmetros!$C$15+FGTS+Sist_S_SAT)/Dados!B40</f>
        <v>8.0809422222222239E-3</v>
      </c>
      <c r="H40" s="13">
        <f>B40*Parâmetros!$C$13/Dados!B40</f>
        <v>0.05</v>
      </c>
      <c r="I40" s="23">
        <f t="shared" si="6"/>
        <v>0.17138094222222222</v>
      </c>
      <c r="J40" s="178">
        <f>VLOOKUP(B40,LP_FX[],8,TRUE)*Parâmetros!$M$124/B40</f>
        <v>3.8733801339588543E-2</v>
      </c>
      <c r="K40" s="12">
        <f>Parâmetros!$C$20*(2*VLOOKUP(B40,LP_FX[],8,TRUE)/(VLOOKUP(B40,LP_FX[],1,TRUE)+VLOOKUP(B40,LP_FX[],2,TRUE)))</f>
        <v>5.6277334772130247E-2</v>
      </c>
      <c r="L40" s="163">
        <f t="shared" si="7"/>
        <v>0.21957733477213026</v>
      </c>
      <c r="M40" s="165">
        <f>IF($B40&lt;=3600000,$B40*INDEX(Parâmetros!$F$7:$M$26,ROUNDUP(($B40/180000),0),4)/$B40,$B40*INDEX(Parâmetros!$F$7:$M$26,20,4)/$B40)</f>
        <v>1.6000000000000001E-3</v>
      </c>
      <c r="N40" s="12">
        <f>IF($B40&lt;=3600000,$B40*INDEX(Parâmetros!$F$7:$M$26,ROUNDUP(($B40/180000),0),5)/$B40,$B40*INDEX(Parâmetros!$F$7:$M$26,20,5)/$B40)</f>
        <v>1.8499999999999999E-2</v>
      </c>
      <c r="O40" s="12">
        <f>IF($B40&lt;=3600000,$B40*INDEX(Parâmetros!$F$7:$M$26,ROUNDUP(($B40/180000),0),6)/$B40,$B40*INDEX(Parâmetros!$F$7:$M$26,20,6)/$B40)</f>
        <v>2.3999999999999998E-3</v>
      </c>
      <c r="P40" s="12">
        <f>IF($B40&lt;=3600000,$B40*INDEX(Parâmetros!$F$7:$M$26,ROUNDUP(($B40/180000),0),7)/$B40,$B40*INDEX(Parâmetros!$F$7:$M$26,20,7)/$B40)</f>
        <v>1.95E-2</v>
      </c>
      <c r="Q40" s="12">
        <f>Parâmetros!$C$14*13.33*(Parâmetros!$C$15+FGTS)/B40</f>
        <v>7.298915555555556E-3</v>
      </c>
      <c r="R40" s="12">
        <f>IF($B40&lt;=3600000,$B40*INDEX(Parâmetros!$F$7:$M$26,ROUNDUP(($B40/180000),0),8)/$B40,$B40*INDEX(Parâmetros!$F$7:$M$26,20,8)/$B40)</f>
        <v>3.5000000000000003E-2</v>
      </c>
      <c r="S40" s="23">
        <f t="shared" si="8"/>
        <v>8.4298915555555548E-2</v>
      </c>
      <c r="T40" s="12">
        <f t="shared" si="16"/>
        <v>0.206542912542828</v>
      </c>
      <c r="U40" s="64">
        <v>0</v>
      </c>
      <c r="V40" s="64">
        <v>0</v>
      </c>
      <c r="W40" s="64">
        <v>0</v>
      </c>
      <c r="X40" s="64">
        <f t="shared" si="17"/>
        <v>3.0746800266666673E-2</v>
      </c>
      <c r="Y40" s="64">
        <v>0</v>
      </c>
      <c r="Z40" s="81">
        <f t="shared" si="9"/>
        <v>0.23728971280949468</v>
      </c>
      <c r="AB40" s="153">
        <f>1-IF(B40&lt;=Parâmetros!$G$60,Parâmetros!$L$60,IF(B40&lt;=Parâmetros!$G$61,Parâmetros!$L$61,IF(B40&lt;=Parâmetros!$G$62,Parâmetros!$L$62,IF(B40&lt;=Parâmetros!$G$63,Parâmetros!$L$63,IF(B40&lt;=Parâmetros!$L$64,Parâmetros!$J$64,Parâmetros!$L$64)))))</f>
        <v>0.83431927793351579</v>
      </c>
    </row>
    <row r="41" spans="1:28" s="14" customFormat="1" x14ac:dyDescent="0.2">
      <c r="A41" s="1"/>
      <c r="B41" s="11">
        <f t="shared" si="13"/>
        <v>460000</v>
      </c>
      <c r="C41" s="12">
        <f t="shared" si="11"/>
        <v>4.8000000000000001E-2</v>
      </c>
      <c r="D41" s="12">
        <f t="shared" si="12"/>
        <v>2.8799999999999999E-2</v>
      </c>
      <c r="E41" s="12">
        <f t="shared" si="14"/>
        <v>6.4999999999999997E-3</v>
      </c>
      <c r="F41" s="12">
        <f t="shared" si="15"/>
        <v>0.03</v>
      </c>
      <c r="G41" s="12">
        <f>Parâmetros!$C$14*13.33*(Parâmetros!$C$15+FGTS+Sist_S_SAT)/Dados!B41</f>
        <v>7.9052695652173915E-3</v>
      </c>
      <c r="H41" s="13">
        <f>B41*Parâmetros!$C$13/Dados!B41</f>
        <v>0.05</v>
      </c>
      <c r="I41" s="23">
        <f t="shared" si="6"/>
        <v>0.17120526956521742</v>
      </c>
      <c r="J41" s="178">
        <f>VLOOKUP(B41,LP_FX[],8,TRUE)*Parâmetros!$M$124/B41</f>
        <v>3.7891762180032269E-2</v>
      </c>
      <c r="K41" s="12">
        <f>Parâmetros!$C$20*(2*VLOOKUP(B41,LP_FX[],8,TRUE)/(VLOOKUP(B41,LP_FX[],1,TRUE)+VLOOKUP(B41,LP_FX[],2,TRUE)))</f>
        <v>5.6277334772130247E-2</v>
      </c>
      <c r="L41" s="163">
        <f t="shared" si="7"/>
        <v>0.21957733477213026</v>
      </c>
      <c r="M41" s="165">
        <f>IF($B41&lt;=3600000,$B41*INDEX(Parâmetros!$F$7:$M$26,ROUNDUP(($B41/180000),0),4)/$B41,$B41*INDEX(Parâmetros!$F$7:$M$26,20,4)/$B41)</f>
        <v>1.6000000000000001E-3</v>
      </c>
      <c r="N41" s="12">
        <f>IF($B41&lt;=3600000,$B41*INDEX(Parâmetros!$F$7:$M$26,ROUNDUP(($B41/180000),0),5)/$B41,$B41*INDEX(Parâmetros!$F$7:$M$26,20,5)/$B41)</f>
        <v>1.8499999999999999E-2</v>
      </c>
      <c r="O41" s="12">
        <f>IF($B41&lt;=3600000,$B41*INDEX(Parâmetros!$F$7:$M$26,ROUNDUP(($B41/180000),0),6)/$B41,$B41*INDEX(Parâmetros!$F$7:$M$26,20,6)/$B41)</f>
        <v>2.3999999999999998E-3</v>
      </c>
      <c r="P41" s="12">
        <f>IF($B41&lt;=3600000,$B41*INDEX(Parâmetros!$F$7:$M$26,ROUNDUP(($B41/180000),0),7)/$B41,$B41*INDEX(Parâmetros!$F$7:$M$26,20,7)/$B41)</f>
        <v>1.95E-2</v>
      </c>
      <c r="Q41" s="12">
        <f>Parâmetros!$C$14*13.33*(Parâmetros!$C$15+FGTS)/B41</f>
        <v>7.1402434782608703E-3</v>
      </c>
      <c r="R41" s="12">
        <f>IF($B41&lt;=3600000,$B41*INDEX(Parâmetros!$F$7:$M$26,ROUNDUP(($B41/180000),0),8)/$B41,$B41*INDEX(Parâmetros!$F$7:$M$26,20,8)/$B41)</f>
        <v>3.5000000000000003E-2</v>
      </c>
      <c r="S41" s="23">
        <f t="shared" si="8"/>
        <v>8.4140243478260879E-2</v>
      </c>
      <c r="T41" s="12">
        <f t="shared" si="16"/>
        <v>0.20704062751867339</v>
      </c>
      <c r="U41" s="64">
        <v>0</v>
      </c>
      <c r="V41" s="64">
        <v>0</v>
      </c>
      <c r="W41" s="64">
        <v>0</v>
      </c>
      <c r="X41" s="64">
        <f t="shared" si="17"/>
        <v>3.0078391565217397E-2</v>
      </c>
      <c r="Y41" s="64">
        <v>0</v>
      </c>
      <c r="Z41" s="81">
        <f t="shared" si="9"/>
        <v>0.23711901908389077</v>
      </c>
      <c r="AB41" s="153">
        <f>1-IF(B41&lt;=Parâmetros!$G$60,Parâmetros!$L$60,IF(B41&lt;=Parâmetros!$G$61,Parâmetros!$L$61,IF(B41&lt;=Parâmetros!$G$62,Parâmetros!$L$62,IF(B41&lt;=Parâmetros!$G$63,Parâmetros!$L$63,IF(B41&lt;=Parâmetros!$L$64,Parâmetros!$J$64,Parâmetros!$L$64)))))</f>
        <v>0.83431927793351579</v>
      </c>
    </row>
    <row r="42" spans="1:28" s="14" customFormat="1" x14ac:dyDescent="0.2">
      <c r="A42" s="1"/>
      <c r="B42" s="11">
        <f t="shared" si="13"/>
        <v>470000</v>
      </c>
      <c r="C42" s="12">
        <f t="shared" si="11"/>
        <v>4.8000000000000001E-2</v>
      </c>
      <c r="D42" s="12">
        <f t="shared" si="12"/>
        <v>2.8799999999999999E-2</v>
      </c>
      <c r="E42" s="12">
        <f t="shared" si="14"/>
        <v>6.4999999999999997E-3</v>
      </c>
      <c r="F42" s="12">
        <f t="shared" si="15"/>
        <v>0.03</v>
      </c>
      <c r="G42" s="12">
        <f>Parâmetros!$C$14*13.33*(Parâmetros!$C$15+FGTS+Sist_S_SAT)/Dados!B42</f>
        <v>7.7370723404255326E-3</v>
      </c>
      <c r="H42" s="13">
        <f>B42*Parâmetros!$C$13/Dados!B42</f>
        <v>0.05</v>
      </c>
      <c r="I42" s="23">
        <f t="shared" si="6"/>
        <v>0.17103707234042553</v>
      </c>
      <c r="J42" s="178">
        <f>VLOOKUP(B42,LP_FX[],8,TRUE)*Parâmetros!$M$124/B42</f>
        <v>3.7085554474074141E-2</v>
      </c>
      <c r="K42" s="12">
        <f>Parâmetros!$C$20*(2*VLOOKUP(B42,LP_FX[],8,TRUE)/(VLOOKUP(B42,LP_FX[],1,TRUE)+VLOOKUP(B42,LP_FX[],2,TRUE)))</f>
        <v>5.6277334772130247E-2</v>
      </c>
      <c r="L42" s="163">
        <f t="shared" si="7"/>
        <v>0.21957733477213026</v>
      </c>
      <c r="M42" s="165">
        <f>IF($B42&lt;=3600000,$B42*INDEX(Parâmetros!$F$7:$M$26,ROUNDUP(($B42/180000),0),4)/$B42,$B42*INDEX(Parâmetros!$F$7:$M$26,20,4)/$B42)</f>
        <v>1.6000000000000001E-3</v>
      </c>
      <c r="N42" s="12">
        <f>IF($B42&lt;=3600000,$B42*INDEX(Parâmetros!$F$7:$M$26,ROUNDUP(($B42/180000),0),5)/$B42,$B42*INDEX(Parâmetros!$F$7:$M$26,20,5)/$B42)</f>
        <v>1.8499999999999999E-2</v>
      </c>
      <c r="O42" s="12">
        <f>IF($B42&lt;=3600000,$B42*INDEX(Parâmetros!$F$7:$M$26,ROUNDUP(($B42/180000),0),6)/$B42,$B42*INDEX(Parâmetros!$F$7:$M$26,20,6)/$B42)</f>
        <v>2.3999999999999998E-3</v>
      </c>
      <c r="P42" s="12">
        <f>IF($B42&lt;=3600000,$B42*INDEX(Parâmetros!$F$7:$M$26,ROUNDUP(($B42/180000),0),7)/$B42,$B42*INDEX(Parâmetros!$F$7:$M$26,20,7)/$B42)</f>
        <v>1.95E-2</v>
      </c>
      <c r="Q42" s="12">
        <f>Parâmetros!$C$14*13.33*(Parâmetros!$C$15+FGTS)/B42</f>
        <v>6.9883234042553196E-3</v>
      </c>
      <c r="R42" s="12">
        <f>IF($B42&lt;=3600000,$B42*INDEX(Parâmetros!$F$7:$M$26,ROUNDUP(($B42/180000),0),8)/$B42,$B42*INDEX(Parâmetros!$F$7:$M$26,20,8)/$B42)</f>
        <v>3.5000000000000003E-2</v>
      </c>
      <c r="S42" s="23">
        <f t="shared" si="8"/>
        <v>8.3988323404255327E-2</v>
      </c>
      <c r="T42" s="12">
        <f t="shared" si="16"/>
        <v>0.20751716313384452</v>
      </c>
      <c r="U42" s="64">
        <v>0</v>
      </c>
      <c r="V42" s="64">
        <v>0</v>
      </c>
      <c r="W42" s="64">
        <v>0</v>
      </c>
      <c r="X42" s="64">
        <f t="shared" si="17"/>
        <v>2.9438425787234046E-2</v>
      </c>
      <c r="Y42" s="64">
        <v>0</v>
      </c>
      <c r="Z42" s="81">
        <f t="shared" si="9"/>
        <v>0.23695558892107857</v>
      </c>
      <c r="AB42" s="153">
        <f>1-IF(B42&lt;=Parâmetros!$G$60,Parâmetros!$L$60,IF(B42&lt;=Parâmetros!$G$61,Parâmetros!$L$61,IF(B42&lt;=Parâmetros!$G$62,Parâmetros!$L$62,IF(B42&lt;=Parâmetros!$G$63,Parâmetros!$L$63,IF(B42&lt;=Parâmetros!$L$64,Parâmetros!$J$64,Parâmetros!$L$64)))))</f>
        <v>0.83431927793351579</v>
      </c>
    </row>
    <row r="43" spans="1:28" s="14" customFormat="1" x14ac:dyDescent="0.2">
      <c r="A43" s="1"/>
      <c r="B43" s="11">
        <f t="shared" si="13"/>
        <v>480000</v>
      </c>
      <c r="C43" s="12">
        <f t="shared" si="11"/>
        <v>4.8000000000000001E-2</v>
      </c>
      <c r="D43" s="12">
        <f t="shared" si="12"/>
        <v>2.8799999999999999E-2</v>
      </c>
      <c r="E43" s="12">
        <f t="shared" si="14"/>
        <v>6.4999999999999997E-3</v>
      </c>
      <c r="F43" s="12">
        <f t="shared" si="15"/>
        <v>0.03</v>
      </c>
      <c r="G43" s="12">
        <f>Parâmetros!$C$14*13.33*(Parâmetros!$C$15+FGTS+Sist_S_SAT)/Dados!B43</f>
        <v>7.5758833333333343E-3</v>
      </c>
      <c r="H43" s="13">
        <f>B43*Parâmetros!$C$13/Dados!B43</f>
        <v>0.05</v>
      </c>
      <c r="I43" s="23">
        <f t="shared" si="6"/>
        <v>0.17087588333333337</v>
      </c>
      <c r="J43" s="178">
        <f>VLOOKUP(B43,LP_FX[],8,TRUE)*Parâmetros!$M$124/B43</f>
        <v>3.6312938755864263E-2</v>
      </c>
      <c r="K43" s="12">
        <f>Parâmetros!$C$20*(2*VLOOKUP(B43,LP_FX[],8,TRUE)/(VLOOKUP(B43,LP_FX[],1,TRUE)+VLOOKUP(B43,LP_FX[],2,TRUE)))</f>
        <v>5.6277334772130247E-2</v>
      </c>
      <c r="L43" s="163">
        <f t="shared" si="7"/>
        <v>0.21957733477213026</v>
      </c>
      <c r="M43" s="165">
        <f>IF($B43&lt;=3600000,$B43*INDEX(Parâmetros!$F$7:$M$26,ROUNDUP(($B43/180000),0),4)/$B43,$B43*INDEX(Parâmetros!$F$7:$M$26,20,4)/$B43)</f>
        <v>1.6000000000000001E-3</v>
      </c>
      <c r="N43" s="12">
        <f>IF($B43&lt;=3600000,$B43*INDEX(Parâmetros!$F$7:$M$26,ROUNDUP(($B43/180000),0),5)/$B43,$B43*INDEX(Parâmetros!$F$7:$M$26,20,5)/$B43)</f>
        <v>1.8499999999999999E-2</v>
      </c>
      <c r="O43" s="12">
        <f>IF($B43&lt;=3600000,$B43*INDEX(Parâmetros!$F$7:$M$26,ROUNDUP(($B43/180000),0),6)/$B43,$B43*INDEX(Parâmetros!$F$7:$M$26,20,6)/$B43)</f>
        <v>2.3999999999999998E-3</v>
      </c>
      <c r="P43" s="12">
        <f>IF($B43&lt;=3600000,$B43*INDEX(Parâmetros!$F$7:$M$26,ROUNDUP(($B43/180000),0),7)/$B43,$B43*INDEX(Parâmetros!$F$7:$M$26,20,7)/$B43)</f>
        <v>1.95E-2</v>
      </c>
      <c r="Q43" s="12">
        <f>Parâmetros!$C$14*13.33*(Parâmetros!$C$15+FGTS)/B43</f>
        <v>6.8427333333333333E-3</v>
      </c>
      <c r="R43" s="12">
        <f>IF($B43&lt;=3600000,$B43*INDEX(Parâmetros!$F$7:$M$26,ROUNDUP(($B43/180000),0),8)/$B43,$B43*INDEX(Parâmetros!$F$7:$M$26,20,8)/$B43)</f>
        <v>3.5000000000000003E-2</v>
      </c>
      <c r="S43" s="23">
        <f t="shared" si="8"/>
        <v>8.3842733333333336E-2</v>
      </c>
      <c r="T43" s="12">
        <f t="shared" si="16"/>
        <v>0.20797384309838354</v>
      </c>
      <c r="U43" s="64">
        <v>0</v>
      </c>
      <c r="V43" s="64">
        <v>0</v>
      </c>
      <c r="W43" s="64">
        <v>0</v>
      </c>
      <c r="X43" s="64">
        <f t="shared" si="17"/>
        <v>2.8825125250000003E-2</v>
      </c>
      <c r="Y43" s="64">
        <v>0</v>
      </c>
      <c r="Z43" s="81">
        <f t="shared" si="9"/>
        <v>0.23679896834838354</v>
      </c>
      <c r="AB43" s="153">
        <f>1-IF(B43&lt;=Parâmetros!$G$60,Parâmetros!$L$60,IF(B43&lt;=Parâmetros!$G$61,Parâmetros!$L$61,IF(B43&lt;=Parâmetros!$G$62,Parâmetros!$L$62,IF(B43&lt;=Parâmetros!$G$63,Parâmetros!$L$63,IF(B43&lt;=Parâmetros!$L$64,Parâmetros!$J$64,Parâmetros!$L$64)))))</f>
        <v>0.83431927793351579</v>
      </c>
    </row>
    <row r="44" spans="1:28" s="14" customFormat="1" x14ac:dyDescent="0.2">
      <c r="A44" s="1"/>
      <c r="B44" s="11">
        <f t="shared" si="13"/>
        <v>490000</v>
      </c>
      <c r="C44" s="12">
        <f t="shared" si="11"/>
        <v>4.8000000000000001E-2</v>
      </c>
      <c r="D44" s="12">
        <f t="shared" si="12"/>
        <v>2.8799999999999999E-2</v>
      </c>
      <c r="E44" s="12">
        <f t="shared" si="14"/>
        <v>6.4999999999999997E-3</v>
      </c>
      <c r="F44" s="12">
        <f t="shared" si="15"/>
        <v>0.03</v>
      </c>
      <c r="G44" s="12">
        <f>Parâmetros!$C$14*13.33*(Parâmetros!$C$15+FGTS+Sist_S_SAT)/Dados!B44</f>
        <v>7.421273469387756E-3</v>
      </c>
      <c r="H44" s="13">
        <f>B44*Parâmetros!$C$13/Dados!B44</f>
        <v>0.05</v>
      </c>
      <c r="I44" s="23">
        <f t="shared" si="6"/>
        <v>0.17072127346938776</v>
      </c>
      <c r="J44" s="178">
        <f>VLOOKUP(B44,LP_FX[],8,TRUE)*Parâmetros!$M$124/B44</f>
        <v>3.5571858373091521E-2</v>
      </c>
      <c r="K44" s="12">
        <f>Parâmetros!$C$20*(2*VLOOKUP(B44,LP_FX[],8,TRUE)/(VLOOKUP(B44,LP_FX[],1,TRUE)+VLOOKUP(B44,LP_FX[],2,TRUE)))</f>
        <v>5.6277334772130247E-2</v>
      </c>
      <c r="L44" s="163">
        <f t="shared" si="7"/>
        <v>0.21957733477213026</v>
      </c>
      <c r="M44" s="165">
        <f>IF($B44&lt;=3600000,$B44*INDEX(Parâmetros!$F$7:$M$26,ROUNDUP(($B44/180000),0),4)/$B44,$B44*INDEX(Parâmetros!$F$7:$M$26,20,4)/$B44)</f>
        <v>1.6000000000000001E-3</v>
      </c>
      <c r="N44" s="12">
        <f>IF($B44&lt;=3600000,$B44*INDEX(Parâmetros!$F$7:$M$26,ROUNDUP(($B44/180000),0),5)/$B44,$B44*INDEX(Parâmetros!$F$7:$M$26,20,5)/$B44)</f>
        <v>1.8499999999999999E-2</v>
      </c>
      <c r="O44" s="12">
        <f>IF($B44&lt;=3600000,$B44*INDEX(Parâmetros!$F$7:$M$26,ROUNDUP(($B44/180000),0),6)/$B44,$B44*INDEX(Parâmetros!$F$7:$M$26,20,6)/$B44)</f>
        <v>2.3999999999999998E-3</v>
      </c>
      <c r="P44" s="12">
        <f>IF($B44&lt;=3600000,$B44*INDEX(Parâmetros!$F$7:$M$26,ROUNDUP(($B44/180000),0),7)/$B44,$B44*INDEX(Parâmetros!$F$7:$M$26,20,7)/$B44)</f>
        <v>1.95E-2</v>
      </c>
      <c r="Q44" s="12">
        <f>Parâmetros!$C$14*13.33*(Parâmetros!$C$15+FGTS)/B44</f>
        <v>6.7030857142857149E-3</v>
      </c>
      <c r="R44" s="12">
        <f>IF($B44&lt;=3600000,$B44*INDEX(Parâmetros!$F$7:$M$26,ROUNDUP(($B44/180000),0),8)/$B44,$B44*INDEX(Parâmetros!$F$7:$M$26,20,8)/$B44)</f>
        <v>3.5000000000000003E-2</v>
      </c>
      <c r="S44" s="23">
        <f t="shared" si="8"/>
        <v>8.370308571428571E-2</v>
      </c>
      <c r="T44" s="12">
        <f t="shared" si="16"/>
        <v>0.20841188306436992</v>
      </c>
      <c r="U44" s="64">
        <v>0</v>
      </c>
      <c r="V44" s="64">
        <v>0</v>
      </c>
      <c r="W44" s="64">
        <v>0</v>
      </c>
      <c r="X44" s="64">
        <f t="shared" si="17"/>
        <v>2.8236857387755106E-2</v>
      </c>
      <c r="Y44" s="64">
        <v>0</v>
      </c>
      <c r="Z44" s="81">
        <f t="shared" si="9"/>
        <v>0.23664874045212503</v>
      </c>
      <c r="AB44" s="153">
        <f>1-IF(B44&lt;=Parâmetros!$G$60,Parâmetros!$L$60,IF(B44&lt;=Parâmetros!$G$61,Parâmetros!$L$61,IF(B44&lt;=Parâmetros!$G$62,Parâmetros!$L$62,IF(B44&lt;=Parâmetros!$G$63,Parâmetros!$L$63,IF(B44&lt;=Parâmetros!$L$64,Parâmetros!$J$64,Parâmetros!$L$64)))))</f>
        <v>0.83431927793351579</v>
      </c>
    </row>
    <row r="45" spans="1:28" s="14" customFormat="1" x14ac:dyDescent="0.2">
      <c r="A45" s="1"/>
      <c r="B45" s="11">
        <f>B40+50000</f>
        <v>500000</v>
      </c>
      <c r="C45" s="12">
        <f t="shared" si="11"/>
        <v>4.8000000000000001E-2</v>
      </c>
      <c r="D45" s="12">
        <f t="shared" si="12"/>
        <v>2.8799999999999999E-2</v>
      </c>
      <c r="E45" s="12">
        <f t="shared" si="14"/>
        <v>6.4999999999999997E-3</v>
      </c>
      <c r="F45" s="12">
        <f t="shared" si="15"/>
        <v>0.03</v>
      </c>
      <c r="G45" s="12">
        <f>Parâmetros!$C$14*13.33*(Parâmetros!$C$15+FGTS+Sist_S_SAT)/Dados!B45</f>
        <v>7.272848000000001E-3</v>
      </c>
      <c r="H45" s="13">
        <f>B45*Parâmetros!$C$13/Dados!B45</f>
        <v>0.05</v>
      </c>
      <c r="I45" s="23">
        <f t="shared" si="6"/>
        <v>0.170572848</v>
      </c>
      <c r="J45" s="178">
        <f>VLOOKUP(B45,LP_FX[],8,TRUE)*Parâmetros!$M$124/B45</f>
        <v>3.4860421205629689E-2</v>
      </c>
      <c r="K45" s="12">
        <f>Parâmetros!$C$20*(2*VLOOKUP(B45,LP_FX[],8,TRUE)/(VLOOKUP(B45,LP_FX[],1,TRUE)+VLOOKUP(B45,LP_FX[],2,TRUE)))</f>
        <v>5.6277334772130247E-2</v>
      </c>
      <c r="L45" s="163">
        <f t="shared" si="7"/>
        <v>0.21957733477213026</v>
      </c>
      <c r="M45" s="165">
        <f>IF($B45&lt;=3600000,$B45*INDEX(Parâmetros!$F$7:$M$26,ROUNDUP(($B45/180000),0),4)/$B45,$B45*INDEX(Parâmetros!$F$7:$M$26,20,4)/$B45)</f>
        <v>1.6000000000000001E-3</v>
      </c>
      <c r="N45" s="12">
        <f>IF($B45&lt;=3600000,$B45*INDEX(Parâmetros!$F$7:$M$26,ROUNDUP(($B45/180000),0),5)/$B45,$B45*INDEX(Parâmetros!$F$7:$M$26,20,5)/$B45)</f>
        <v>1.8499999999999999E-2</v>
      </c>
      <c r="O45" s="12">
        <f>IF($B45&lt;=3600000,$B45*INDEX(Parâmetros!$F$7:$M$26,ROUNDUP(($B45/180000),0),6)/$B45,$B45*INDEX(Parâmetros!$F$7:$M$26,20,6)/$B45)</f>
        <v>2.3999999999999998E-3</v>
      </c>
      <c r="P45" s="12">
        <f>IF($B45&lt;=3600000,$B45*INDEX(Parâmetros!$F$7:$M$26,ROUNDUP(($B45/180000),0),7)/$B45,$B45*INDEX(Parâmetros!$F$7:$M$26,20,7)/$B45)</f>
        <v>1.95E-2</v>
      </c>
      <c r="Q45" s="12">
        <f>Parâmetros!$C$14*13.33*(Parâmetros!$C$15+FGTS)/B45</f>
        <v>6.5690240000000006E-3</v>
      </c>
      <c r="R45" s="12">
        <f>IF($B45&lt;=3600000,$B45*INDEX(Parâmetros!$F$7:$M$26,ROUNDUP(($B45/180000),0),8)/$B45,$B45*INDEX(Parâmetros!$F$7:$M$26,20,8)/$B45)</f>
        <v>3.5000000000000003E-2</v>
      </c>
      <c r="S45" s="23">
        <f t="shared" si="8"/>
        <v>8.3569023999999992E-2</v>
      </c>
      <c r="T45" s="12">
        <f t="shared" si="16"/>
        <v>0.20883240143171689</v>
      </c>
      <c r="U45" s="64">
        <v>0</v>
      </c>
      <c r="V45" s="64">
        <v>0</v>
      </c>
      <c r="W45" s="64">
        <v>0</v>
      </c>
      <c r="X45" s="64">
        <f t="shared" si="17"/>
        <v>2.7672120240000004E-2</v>
      </c>
      <c r="Y45" s="64">
        <v>0</v>
      </c>
      <c r="Z45" s="81">
        <f t="shared" si="9"/>
        <v>0.2365045216717169</v>
      </c>
      <c r="AB45" s="153">
        <f>1-IF(B45&lt;=Parâmetros!$G$60,Parâmetros!$L$60,IF(B45&lt;=Parâmetros!$G$61,Parâmetros!$L$61,IF(B45&lt;=Parâmetros!$G$62,Parâmetros!$L$62,IF(B45&lt;=Parâmetros!$G$63,Parâmetros!$L$63,IF(B45&lt;=Parâmetros!$L$64,Parâmetros!$J$64,Parâmetros!$L$64)))))</f>
        <v>0.83431927793351579</v>
      </c>
    </row>
    <row r="46" spans="1:28" s="14" customFormat="1" x14ac:dyDescent="0.2">
      <c r="A46" s="1"/>
      <c r="B46" s="11">
        <f t="shared" ref="B46:B75" si="18">B45+50000</f>
        <v>550000</v>
      </c>
      <c r="C46" s="12">
        <f t="shared" si="11"/>
        <v>4.8000000000000001E-2</v>
      </c>
      <c r="D46" s="12">
        <f t="shared" si="12"/>
        <v>2.8799999999999999E-2</v>
      </c>
      <c r="E46" s="12">
        <f t="shared" si="14"/>
        <v>6.4999999999999997E-3</v>
      </c>
      <c r="F46" s="12">
        <f t="shared" si="15"/>
        <v>0.03</v>
      </c>
      <c r="G46" s="12">
        <f>Parâmetros!$C$14*13.33*(Parâmetros!$C$15+FGTS+Sist_S_SAT)/Dados!B46</f>
        <v>6.6116800000000009E-3</v>
      </c>
      <c r="H46" s="13">
        <f>B46*Parâmetros!$C$13/Dados!B46</f>
        <v>0.05</v>
      </c>
      <c r="I46" s="23">
        <f t="shared" si="6"/>
        <v>0.16991168000000001</v>
      </c>
      <c r="J46" s="178">
        <f>VLOOKUP(B46,LP_FX[],8,TRUE)*Parâmetros!$M$124/B46</f>
        <v>4.5944433002922599E-2</v>
      </c>
      <c r="K46" s="12">
        <f>Parâmetros!$C$20*(2*VLOOKUP(B46,LP_FX[],8,TRUE)/(VLOOKUP(B46,LP_FX[],1,TRUE)+VLOOKUP(B46,LP_FX[],2,TRUE)))</f>
        <v>4.8952821136392578E-2</v>
      </c>
      <c r="L46" s="163">
        <f t="shared" si="7"/>
        <v>0.21225282113639257</v>
      </c>
      <c r="M46" s="165">
        <f>IF($B46&lt;=3600000,$B46*INDEX(Parâmetros!$F$7:$M$26,ROUNDUP(($B46/180000),0),4)/$B46,$B46*INDEX(Parâmetros!$F$7:$M$26,20,4)/$B46)</f>
        <v>5.1999999999999998E-3</v>
      </c>
      <c r="N46" s="12">
        <f>IF($B46&lt;=3600000,$B46*INDEX(Parâmetros!$F$7:$M$26,ROUNDUP(($B46/180000),0),5)/$B46,$B46*INDEX(Parâmetros!$F$7:$M$26,20,5)/$B46)</f>
        <v>1.8700000000000001E-2</v>
      </c>
      <c r="O46" s="12">
        <f>IF($B46&lt;=3600000,$B46*INDEX(Parâmetros!$F$7:$M$26,ROUNDUP(($B46/180000),0),6)/$B46,$B46*INDEX(Parâmetros!$F$7:$M$26,20,6)/$B46)</f>
        <v>2.7000000000000001E-3</v>
      </c>
      <c r="P46" s="12">
        <f>IF($B46&lt;=3600000,$B46*INDEX(Parâmetros!$F$7:$M$26,ROUNDUP(($B46/180000),0),7)/$B46,$B46*INDEX(Parâmetros!$F$7:$M$26,20,7)/$B46)</f>
        <v>1.9900000000000001E-2</v>
      </c>
      <c r="Q46" s="12">
        <f>Parâmetros!$C$14*13.33*(Parâmetros!$C$15+FGTS)/B46</f>
        <v>5.97184E-3</v>
      </c>
      <c r="R46" s="12">
        <f>IF($B46&lt;=3600000,$B46*INDEX(Parâmetros!$F$7:$M$26,ROUNDUP(($B46/180000),0),8)/$B46,$B46*INDEX(Parâmetros!$F$7:$M$26,20,8)/$B46)</f>
        <v>3.8399999999999997E-2</v>
      </c>
      <c r="S46" s="23">
        <f t="shared" si="8"/>
        <v>9.0871839999999995E-2</v>
      </c>
      <c r="T46" s="12">
        <f t="shared" si="16"/>
        <v>0.21391192712364104</v>
      </c>
      <c r="U46" s="64">
        <v>0</v>
      </c>
      <c r="V46" s="64">
        <v>0</v>
      </c>
      <c r="W46" s="64">
        <v>0</v>
      </c>
      <c r="X46" s="64">
        <f t="shared" si="17"/>
        <v>2.5156472945454551E-2</v>
      </c>
      <c r="Y46" s="64">
        <v>0</v>
      </c>
      <c r="Z46" s="81">
        <f t="shared" si="9"/>
        <v>0.2390684000690956</v>
      </c>
      <c r="AB46" s="153">
        <f>1-IF(B46&lt;=Parâmetros!$G$60,Parâmetros!$L$60,IF(B46&lt;=Parâmetros!$G$61,Parâmetros!$L$61,IF(B46&lt;=Parâmetros!$G$62,Parâmetros!$L$62,IF(B46&lt;=Parâmetros!$G$63,Parâmetros!$L$63,IF(B46&lt;=Parâmetros!$L$64,Parâmetros!$J$64,Parâmetros!$L$64)))))</f>
        <v>0.84597857797026488</v>
      </c>
    </row>
    <row r="47" spans="1:28" s="14" customFormat="1" x14ac:dyDescent="0.2">
      <c r="A47" s="1"/>
      <c r="B47" s="16">
        <f t="shared" si="18"/>
        <v>600000</v>
      </c>
      <c r="C47" s="17">
        <f t="shared" si="11"/>
        <v>4.8000000000000001E-2</v>
      </c>
      <c r="D47" s="17">
        <f t="shared" si="12"/>
        <v>2.8799999999999999E-2</v>
      </c>
      <c r="E47" s="17">
        <f t="shared" si="14"/>
        <v>6.4999999999999997E-3</v>
      </c>
      <c r="F47" s="17">
        <f t="shared" si="15"/>
        <v>0.03</v>
      </c>
      <c r="G47" s="17">
        <f>Parâmetros!$C$14*13.33*(Parâmetros!$C$15+FGTS+Sist_S_SAT)/Dados!B47</f>
        <v>6.0607066666666671E-3</v>
      </c>
      <c r="H47" s="18">
        <f>B47*Parâmetros!$C$13/Dados!B47</f>
        <v>0.05</v>
      </c>
      <c r="I47" s="24">
        <f t="shared" si="6"/>
        <v>0.16936070666666669</v>
      </c>
      <c r="J47" s="178">
        <f>VLOOKUP(B47,LP_FX[],8,TRUE)*Parâmetros!$M$124/B47</f>
        <v>4.2115730252679048E-2</v>
      </c>
      <c r="K47" s="12">
        <f>Parâmetros!$C$20*(2*VLOOKUP(B47,LP_FX[],8,TRUE)/(VLOOKUP(B47,LP_FX[],1,TRUE)+VLOOKUP(B47,LP_FX[],2,TRUE)))</f>
        <v>4.8952821136392578E-2</v>
      </c>
      <c r="L47" s="163">
        <f t="shared" si="7"/>
        <v>0.21225282113639257</v>
      </c>
      <c r="M47" s="166">
        <f>IF($B47&lt;=3600000,$B47*INDEX(Parâmetros!$F$7:$M$26,ROUNDUP(($B47/180000),0),4)/$B47,$B47*INDEX(Parâmetros!$F$7:$M$26,20,4)/$B47)</f>
        <v>5.1999999999999998E-3</v>
      </c>
      <c r="N47" s="17">
        <f>IF($B47&lt;=3600000,$B47*INDEX(Parâmetros!$F$7:$M$26,ROUNDUP(($B47/180000),0),5)/$B47,$B47*INDEX(Parâmetros!$F$7:$M$26,20,5)/$B47)</f>
        <v>1.8700000000000001E-2</v>
      </c>
      <c r="O47" s="17">
        <f>IF($B47&lt;=3600000,$B47*INDEX(Parâmetros!$F$7:$M$26,ROUNDUP(($B47/180000),0),6)/$B47,$B47*INDEX(Parâmetros!$F$7:$M$26,20,6)/$B47)</f>
        <v>2.7000000000000001E-3</v>
      </c>
      <c r="P47" s="17">
        <f>IF($B47&lt;=3600000,$B47*INDEX(Parâmetros!$F$7:$M$26,ROUNDUP(($B47/180000),0),7)/$B47,$B47*INDEX(Parâmetros!$F$7:$M$26,20,7)/$B47)</f>
        <v>1.9900000000000001E-2</v>
      </c>
      <c r="Q47" s="17">
        <f>Parâmetros!$C$14*13.33*(Parâmetros!$C$15+FGTS)/B47</f>
        <v>5.474186666666667E-3</v>
      </c>
      <c r="R47" s="17">
        <f>IF($B47&lt;=3600000,$B47*INDEX(Parâmetros!$F$7:$M$26,ROUNDUP(($B47/180000),0),8)/$B47,$B47*INDEX(Parâmetros!$F$7:$M$26,20,8)/$B47)</f>
        <v>3.8399999999999997E-2</v>
      </c>
      <c r="S47" s="24">
        <f t="shared" si="8"/>
        <v>9.0374186666666662E-2</v>
      </c>
      <c r="T47" s="17">
        <f t="shared" si="16"/>
        <v>0.2154729422751562</v>
      </c>
      <c r="U47" s="84">
        <v>0</v>
      </c>
      <c r="V47" s="84">
        <v>0</v>
      </c>
      <c r="W47" s="84">
        <v>0</v>
      </c>
      <c r="X47" s="84">
        <f t="shared" si="17"/>
        <v>2.3060100200000003E-2</v>
      </c>
      <c r="Y47" s="84">
        <v>0</v>
      </c>
      <c r="Z47" s="81">
        <f t="shared" si="9"/>
        <v>0.23853304247515622</v>
      </c>
      <c r="AB47" s="153">
        <f>1-IF(B47&lt;=Parâmetros!$G$60,Parâmetros!$L$60,IF(B47&lt;=Parâmetros!$G$61,Parâmetros!$L$61,IF(B47&lt;=Parâmetros!$G$62,Parâmetros!$L$62,IF(B47&lt;=Parâmetros!$G$63,Parâmetros!$L$63,IF(B47&lt;=Parâmetros!$L$64,Parâmetros!$J$64,Parâmetros!$L$64)))))</f>
        <v>0.84597857797026488</v>
      </c>
    </row>
    <row r="48" spans="1:28" s="14" customFormat="1" x14ac:dyDescent="0.2">
      <c r="A48" s="1"/>
      <c r="B48" s="11">
        <f t="shared" si="18"/>
        <v>650000</v>
      </c>
      <c r="C48" s="12">
        <f t="shared" si="11"/>
        <v>4.8000000000000001E-2</v>
      </c>
      <c r="D48" s="12">
        <f t="shared" si="12"/>
        <v>2.8799999999999999E-2</v>
      </c>
      <c r="E48" s="12">
        <f t="shared" si="14"/>
        <v>6.4999999999999997E-3</v>
      </c>
      <c r="F48" s="12">
        <f t="shared" si="15"/>
        <v>0.03</v>
      </c>
      <c r="G48" s="12">
        <f>Parâmetros!$C$14*13.33*(Parâmetros!$C$15+FGTS+Sist_S_SAT)/Dados!B48</f>
        <v>5.5944984615384618E-3</v>
      </c>
      <c r="H48" s="13">
        <f>B48*Parâmetros!$C$13/Dados!B48</f>
        <v>0.05</v>
      </c>
      <c r="I48" s="23">
        <f t="shared" si="6"/>
        <v>0.16889449846153848</v>
      </c>
      <c r="J48" s="178">
        <f>VLOOKUP(B48,LP_FX[],8,TRUE)*Parâmetros!$M$124/B48</f>
        <v>3.8876058694780662E-2</v>
      </c>
      <c r="K48" s="12">
        <f>Parâmetros!$C$20*(2*VLOOKUP(B48,LP_FX[],8,TRUE)/(VLOOKUP(B48,LP_FX[],1,TRUE)+VLOOKUP(B48,LP_FX[],2,TRUE)))</f>
        <v>4.8952821136392578E-2</v>
      </c>
      <c r="L48" s="163">
        <f t="shared" si="7"/>
        <v>0.21225282113639257</v>
      </c>
      <c r="M48" s="165">
        <f>IF($B48&lt;=3600000,$B48*INDEX(Parâmetros!$F$7:$M$26,ROUNDUP(($B48/180000),0),4)/$B48,$B48*INDEX(Parâmetros!$F$7:$M$26,20,4)/$B48)</f>
        <v>5.1999999999999998E-3</v>
      </c>
      <c r="N48" s="12">
        <f>IF($B48&lt;=3600000,$B48*INDEX(Parâmetros!$F$7:$M$26,ROUNDUP(($B48/180000),0),5)/$B48,$B48*INDEX(Parâmetros!$F$7:$M$26,20,5)/$B48)</f>
        <v>1.8700000000000001E-2</v>
      </c>
      <c r="O48" s="12">
        <f>IF($B48&lt;=3600000,$B48*INDEX(Parâmetros!$F$7:$M$26,ROUNDUP(($B48/180000),0),6)/$B48,$B48*INDEX(Parâmetros!$F$7:$M$26,20,6)/$B48)</f>
        <v>2.7000000000000001E-3</v>
      </c>
      <c r="P48" s="12">
        <f>IF($B48&lt;=3600000,$B48*INDEX(Parâmetros!$F$7:$M$26,ROUNDUP(($B48/180000),0),7)/$B48,$B48*INDEX(Parâmetros!$F$7:$M$26,20,7)/$B48)</f>
        <v>1.9900000000000001E-2</v>
      </c>
      <c r="Q48" s="12">
        <f>Parâmetros!$C$14*13.33*(Parâmetros!$C$15+FGTS)/B48</f>
        <v>5.0530953846153852E-3</v>
      </c>
      <c r="R48" s="12">
        <f>IF($B48&lt;=3600000,$B48*INDEX(Parâmetros!$F$7:$M$26,ROUNDUP(($B48/180000),0),8)/$B48,$B48*INDEX(Parâmetros!$F$7:$M$26,20,8)/$B48)</f>
        <v>3.8399999999999997E-2</v>
      </c>
      <c r="S48" s="23">
        <f t="shared" si="8"/>
        <v>8.9953095384615378E-2</v>
      </c>
      <c r="T48" s="12">
        <f t="shared" si="16"/>
        <v>0.21679380124951517</v>
      </c>
      <c r="U48" s="64">
        <v>0</v>
      </c>
      <c r="V48" s="64">
        <v>0</v>
      </c>
      <c r="W48" s="64">
        <v>0</v>
      </c>
      <c r="X48" s="64">
        <f t="shared" si="17"/>
        <v>2.1286246338461542E-2</v>
      </c>
      <c r="Y48" s="64">
        <v>0</v>
      </c>
      <c r="Z48" s="81">
        <f t="shared" si="9"/>
        <v>0.23808004758797671</v>
      </c>
      <c r="AB48" s="153">
        <f>1-IF(B48&lt;=Parâmetros!$G$60,Parâmetros!$L$60,IF(B48&lt;=Parâmetros!$G$61,Parâmetros!$L$61,IF(B48&lt;=Parâmetros!$G$62,Parâmetros!$L$62,IF(B48&lt;=Parâmetros!$G$63,Parâmetros!$L$63,IF(B48&lt;=Parâmetros!$L$64,Parâmetros!$J$64,Parâmetros!$L$64)))))</f>
        <v>0.84597857797026488</v>
      </c>
    </row>
    <row r="49" spans="1:28" s="14" customFormat="1" x14ac:dyDescent="0.2">
      <c r="A49" s="1"/>
      <c r="B49" s="11">
        <f t="shared" si="18"/>
        <v>700000</v>
      </c>
      <c r="C49" s="12">
        <f t="shared" si="11"/>
        <v>4.8000000000000001E-2</v>
      </c>
      <c r="D49" s="12">
        <f t="shared" si="12"/>
        <v>2.8799999999999999E-2</v>
      </c>
      <c r="E49" s="12">
        <f t="shared" si="14"/>
        <v>6.4999999999999997E-3</v>
      </c>
      <c r="F49" s="12">
        <f t="shared" si="15"/>
        <v>0.03</v>
      </c>
      <c r="G49" s="12">
        <f>Parâmetros!$C$14*13.33*(Parâmetros!$C$15+FGTS+Sist_S_SAT)/Dados!B49</f>
        <v>5.1948914285714293E-3</v>
      </c>
      <c r="H49" s="13">
        <f>B49*Parâmetros!$C$13/Dados!B49</f>
        <v>0.05</v>
      </c>
      <c r="I49" s="23">
        <f t="shared" si="6"/>
        <v>0.16849489142857144</v>
      </c>
      <c r="J49" s="178">
        <f>VLOOKUP(B49,LP_FX[],8,TRUE)*Parâmetros!$M$124/B49</f>
        <v>3.6099197359439186E-2</v>
      </c>
      <c r="K49" s="12">
        <f>Parâmetros!$C$20*(2*VLOOKUP(B49,LP_FX[],8,TRUE)/(VLOOKUP(B49,LP_FX[],1,TRUE)+VLOOKUP(B49,LP_FX[],2,TRUE)))</f>
        <v>4.8952821136392578E-2</v>
      </c>
      <c r="L49" s="163">
        <f t="shared" si="7"/>
        <v>0.21225282113639257</v>
      </c>
      <c r="M49" s="165">
        <f>IF($B49&lt;=3600000,$B49*INDEX(Parâmetros!$F$7:$M$26,ROUNDUP(($B49/180000),0),4)/$B49,$B49*INDEX(Parâmetros!$F$7:$M$26,20,4)/$B49)</f>
        <v>5.1999999999999998E-3</v>
      </c>
      <c r="N49" s="12">
        <f>IF($B49&lt;=3600000,$B49*INDEX(Parâmetros!$F$7:$M$26,ROUNDUP(($B49/180000),0),5)/$B49,$B49*INDEX(Parâmetros!$F$7:$M$26,20,5)/$B49)</f>
        <v>1.8700000000000001E-2</v>
      </c>
      <c r="O49" s="12">
        <f>IF($B49&lt;=3600000,$B49*INDEX(Parâmetros!$F$7:$M$26,ROUNDUP(($B49/180000),0),6)/$B49,$B49*INDEX(Parâmetros!$F$7:$M$26,20,6)/$B49)</f>
        <v>2.7000000000000001E-3</v>
      </c>
      <c r="P49" s="12">
        <f>IF($B49&lt;=3600000,$B49*INDEX(Parâmetros!$F$7:$M$26,ROUNDUP(($B49/180000),0),7)/$B49,$B49*INDEX(Parâmetros!$F$7:$M$26,20,7)/$B49)</f>
        <v>1.9900000000000001E-2</v>
      </c>
      <c r="Q49" s="12">
        <f>Parâmetros!$C$14*13.33*(Parâmetros!$C$15+FGTS)/B49</f>
        <v>4.6921599999999999E-3</v>
      </c>
      <c r="R49" s="12">
        <f>IF($B49&lt;=3600000,$B49*INDEX(Parâmetros!$F$7:$M$26,ROUNDUP(($B49/180000),0),8)/$B49,$B49*INDEX(Parâmetros!$F$7:$M$26,20,8)/$B49)</f>
        <v>3.8399999999999997E-2</v>
      </c>
      <c r="S49" s="23">
        <f t="shared" si="8"/>
        <v>8.9592160000000004E-2</v>
      </c>
      <c r="T49" s="12">
        <f t="shared" si="16"/>
        <v>0.21792596608467998</v>
      </c>
      <c r="U49" s="64">
        <v>0</v>
      </c>
      <c r="V49" s="64">
        <v>0</v>
      </c>
      <c r="W49" s="64">
        <v>0</v>
      </c>
      <c r="X49" s="64">
        <f t="shared" si="17"/>
        <v>1.9765800171428573E-2</v>
      </c>
      <c r="Y49" s="64">
        <v>0</v>
      </c>
      <c r="Z49" s="81">
        <f t="shared" si="9"/>
        <v>0.23769176625610855</v>
      </c>
      <c r="AB49" s="153">
        <f>1-IF(B49&lt;=Parâmetros!$G$60,Parâmetros!$L$60,IF(B49&lt;=Parâmetros!$G$61,Parâmetros!$L$61,IF(B49&lt;=Parâmetros!$G$62,Parâmetros!$L$62,IF(B49&lt;=Parâmetros!$G$63,Parâmetros!$L$63,IF(B49&lt;=Parâmetros!$L$64,Parâmetros!$J$64,Parâmetros!$L$64)))))</f>
        <v>0.84597857797026488</v>
      </c>
    </row>
    <row r="50" spans="1:28" s="14" customFormat="1" x14ac:dyDescent="0.2">
      <c r="A50" s="1"/>
      <c r="B50" s="11">
        <f t="shared" si="18"/>
        <v>750000</v>
      </c>
      <c r="C50" s="12">
        <f t="shared" si="11"/>
        <v>4.8000000000000001E-2</v>
      </c>
      <c r="D50" s="12">
        <f t="shared" si="12"/>
        <v>2.8799999999999999E-2</v>
      </c>
      <c r="E50" s="12">
        <f t="shared" si="14"/>
        <v>6.4999999999999997E-3</v>
      </c>
      <c r="F50" s="12">
        <f t="shared" si="15"/>
        <v>0.03</v>
      </c>
      <c r="G50" s="12">
        <f>Parâmetros!$C$14*13.33*(Parâmetros!$C$15+FGTS+Sist_S_SAT)/Dados!B50</f>
        <v>4.848565333333334E-3</v>
      </c>
      <c r="H50" s="13">
        <f>B50*Parâmetros!$C$13/Dados!B50</f>
        <v>0.05</v>
      </c>
      <c r="I50" s="23">
        <f t="shared" si="6"/>
        <v>0.16814856533333333</v>
      </c>
      <c r="J50" s="178">
        <f>VLOOKUP(B50,LP_FX[],8,TRUE)*Parâmetros!$M$124/B50</f>
        <v>3.3692584202143237E-2</v>
      </c>
      <c r="K50" s="12">
        <f>Parâmetros!$C$20*(2*VLOOKUP(B50,LP_FX[],8,TRUE)/(VLOOKUP(B50,LP_FX[],1,TRUE)+VLOOKUP(B50,LP_FX[],2,TRUE)))</f>
        <v>4.8952821136392578E-2</v>
      </c>
      <c r="L50" s="163">
        <f t="shared" si="7"/>
        <v>0.21225282113639257</v>
      </c>
      <c r="M50" s="165">
        <f>IF($B50&lt;=3600000,$B50*INDEX(Parâmetros!$F$7:$M$26,ROUNDUP(($B50/180000),0),4)/$B50,$B50*INDEX(Parâmetros!$F$7:$M$26,20,4)/$B50)</f>
        <v>8.8999999999999999E-3</v>
      </c>
      <c r="N50" s="12">
        <f>IF($B50&lt;=3600000,$B50*INDEX(Parâmetros!$F$7:$M$26,ROUNDUP(($B50/180000),0),5)/$B50,$B50*INDEX(Parâmetros!$F$7:$M$26,20,5)/$B50)</f>
        <v>1.89E-2</v>
      </c>
      <c r="O50" s="12">
        <f>IF($B50&lt;=3600000,$B50*INDEX(Parâmetros!$F$7:$M$26,ROUNDUP(($B50/180000),0),6)/$B50,$B50*INDEX(Parâmetros!$F$7:$M$26,20,6)/$B50)</f>
        <v>2.8999999999999998E-3</v>
      </c>
      <c r="P50" s="12">
        <f>IF($B50&lt;=3600000,$B50*INDEX(Parâmetros!$F$7:$M$26,ROUNDUP(($B50/180000),0),7)/$B50,$B50*INDEX(Parâmetros!$F$7:$M$26,20,7)/$B50)</f>
        <v>2.0299999999999999E-2</v>
      </c>
      <c r="Q50" s="12">
        <f>Parâmetros!$C$14*13.33*(Parâmetros!$C$15+FGTS)/B50</f>
        <v>4.3793493333333334E-3</v>
      </c>
      <c r="R50" s="12">
        <f>IF($B50&lt;=3600000,$B50*INDEX(Parâmetros!$F$7:$M$26,ROUNDUP(($B50/180000),0),8)/$B50,$B50*INDEX(Parâmetros!$F$7:$M$26,20,8)/$B50)</f>
        <v>3.8699999999999998E-2</v>
      </c>
      <c r="S50" s="23">
        <f t="shared" si="8"/>
        <v>9.4079349333333326E-2</v>
      </c>
      <c r="T50" s="12">
        <f t="shared" si="16"/>
        <v>0.21890717560848955</v>
      </c>
      <c r="U50" s="64">
        <v>0</v>
      </c>
      <c r="V50" s="64">
        <v>0</v>
      </c>
      <c r="W50" s="64">
        <v>0</v>
      </c>
      <c r="X50" s="64">
        <f t="shared" si="17"/>
        <v>1.8448080160000001E-2</v>
      </c>
      <c r="Y50" s="64">
        <v>0</v>
      </c>
      <c r="Z50" s="81">
        <f t="shared" si="9"/>
        <v>0.23735525576848954</v>
      </c>
      <c r="AB50" s="153">
        <f>1-IF(B50&lt;=Parâmetros!$G$60,Parâmetros!$L$60,IF(B50&lt;=Parâmetros!$G$61,Parâmetros!$L$61,IF(B50&lt;=Parâmetros!$G$62,Parâmetros!$L$62,IF(B50&lt;=Parâmetros!$G$63,Parâmetros!$L$63,IF(B50&lt;=Parâmetros!$L$64,Parâmetros!$J$64,Parâmetros!$L$64)))))</f>
        <v>0.84597857797026488</v>
      </c>
    </row>
    <row r="51" spans="1:28" s="14" customFormat="1" x14ac:dyDescent="0.2">
      <c r="A51" s="1"/>
      <c r="B51" s="11">
        <f t="shared" si="18"/>
        <v>800000</v>
      </c>
      <c r="C51" s="12">
        <f t="shared" si="11"/>
        <v>0.05</v>
      </c>
      <c r="D51" s="12">
        <f t="shared" si="12"/>
        <v>2.8799999999999999E-2</v>
      </c>
      <c r="E51" s="12">
        <f t="shared" si="14"/>
        <v>6.4999999999999997E-3</v>
      </c>
      <c r="F51" s="12">
        <f t="shared" si="15"/>
        <v>0.03</v>
      </c>
      <c r="G51" s="12">
        <f>Parâmetros!$C$14*13.33*(Parâmetros!$C$15+FGTS+Sist_S_SAT)/Dados!B51</f>
        <v>4.5455300000000008E-3</v>
      </c>
      <c r="H51" s="13">
        <f>B51*Parâmetros!$C$13/Dados!B51</f>
        <v>0.05</v>
      </c>
      <c r="I51" s="23">
        <f t="shared" si="6"/>
        <v>0.16984553000000002</v>
      </c>
      <c r="J51" s="178">
        <f>VLOOKUP(B51,LP_FX[],8,TRUE)*Parâmetros!$M$124/B51</f>
        <v>3.1586797689509283E-2</v>
      </c>
      <c r="K51" s="12">
        <f>Parâmetros!$C$20*(2*VLOOKUP(B51,LP_FX[],8,TRUE)/(VLOOKUP(B51,LP_FX[],1,TRUE)+VLOOKUP(B51,LP_FX[],2,TRUE)))</f>
        <v>4.8952821136392578E-2</v>
      </c>
      <c r="L51" s="163">
        <f t="shared" si="7"/>
        <v>0.21425282113639257</v>
      </c>
      <c r="M51" s="165">
        <f>IF($B51&lt;=3600000,$B51*INDEX(Parâmetros!$F$7:$M$26,ROUNDUP(($B51/180000),0),4)/$B51,$B51*INDEX(Parâmetros!$F$7:$M$26,20,4)/$B51)</f>
        <v>8.8999999999999999E-3</v>
      </c>
      <c r="N51" s="12">
        <f>IF($B51&lt;=3600000,$B51*INDEX(Parâmetros!$F$7:$M$26,ROUNDUP(($B51/180000),0),5)/$B51,$B51*INDEX(Parâmetros!$F$7:$M$26,20,5)/$B51)</f>
        <v>1.89E-2</v>
      </c>
      <c r="O51" s="12">
        <f>IF($B51&lt;=3600000,$B51*INDEX(Parâmetros!$F$7:$M$26,ROUNDUP(($B51/180000),0),6)/$B51,$B51*INDEX(Parâmetros!$F$7:$M$26,20,6)/$B51)</f>
        <v>2.8999999999999998E-3</v>
      </c>
      <c r="P51" s="12">
        <f>IF($B51&lt;=3600000,$B51*INDEX(Parâmetros!$F$7:$M$26,ROUNDUP(($B51/180000),0),7)/$B51,$B51*INDEX(Parâmetros!$F$7:$M$26,20,7)/$B51)</f>
        <v>2.0299999999999999E-2</v>
      </c>
      <c r="Q51" s="12">
        <f>Parâmetros!$C$14*13.33*(Parâmetros!$C$15+FGTS)/B51</f>
        <v>4.1056399999999998E-3</v>
      </c>
      <c r="R51" s="12">
        <f>IF($B51&lt;=3600000,$B51*INDEX(Parâmetros!$F$7:$M$26,ROUNDUP(($B51/180000),0),8)/$B51,$B51*INDEX(Parâmetros!$F$7:$M$26,20,8)/$B51)</f>
        <v>3.8699999999999998E-2</v>
      </c>
      <c r="S51" s="23">
        <f t="shared" si="8"/>
        <v>9.3805639999999996E-2</v>
      </c>
      <c r="T51" s="12">
        <f t="shared" si="16"/>
        <v>0.21976573394182283</v>
      </c>
      <c r="U51" s="64">
        <v>0</v>
      </c>
      <c r="V51" s="64">
        <v>0</v>
      </c>
      <c r="W51" s="64">
        <v>0</v>
      </c>
      <c r="X51" s="64">
        <f t="shared" si="17"/>
        <v>1.7295075150000002E-2</v>
      </c>
      <c r="Y51" s="64">
        <v>0</v>
      </c>
      <c r="Z51" s="81">
        <f t="shared" si="9"/>
        <v>0.23706080909182284</v>
      </c>
      <c r="AB51" s="153">
        <f>1-IF(B51&lt;=Parâmetros!$G$60,Parâmetros!$L$60,IF(B51&lt;=Parâmetros!$G$61,Parâmetros!$L$61,IF(B51&lt;=Parâmetros!$G$62,Parâmetros!$L$62,IF(B51&lt;=Parâmetros!$G$63,Parâmetros!$L$63,IF(B51&lt;=Parâmetros!$L$64,Parâmetros!$J$64,Parâmetros!$L$64)))))</f>
        <v>0.84597857797026488</v>
      </c>
    </row>
    <row r="52" spans="1:28" s="14" customFormat="1" x14ac:dyDescent="0.2">
      <c r="A52" s="1"/>
      <c r="B52" s="11">
        <f t="shared" si="18"/>
        <v>850000</v>
      </c>
      <c r="C52" s="12">
        <f t="shared" si="11"/>
        <v>5.1764705882352942E-2</v>
      </c>
      <c r="D52" s="12">
        <f t="shared" si="12"/>
        <v>2.8799999999999999E-2</v>
      </c>
      <c r="E52" s="12">
        <f t="shared" si="14"/>
        <v>6.4999999999999997E-3</v>
      </c>
      <c r="F52" s="12">
        <f t="shared" si="15"/>
        <v>0.03</v>
      </c>
      <c r="G52" s="12">
        <f>Parâmetros!$C$14*13.33*(Parâmetros!$C$15+FGTS+Sist_S_SAT)/Dados!B52</f>
        <v>4.2781458823529413E-3</v>
      </c>
      <c r="H52" s="13">
        <f>B52*Parâmetros!$C$13/Dados!B52</f>
        <v>0.05</v>
      </c>
      <c r="I52" s="23">
        <f t="shared" si="6"/>
        <v>0.17134285176470587</v>
      </c>
      <c r="J52" s="178">
        <f>VLOOKUP(B52,LP_FX[],8,TRUE)*Parâmetros!$M$124/B52</f>
        <v>2.9728750766596975E-2</v>
      </c>
      <c r="K52" s="12">
        <f>Parâmetros!$C$20*(2*VLOOKUP(B52,LP_FX[],8,TRUE)/(VLOOKUP(B52,LP_FX[],1,TRUE)+VLOOKUP(B52,LP_FX[],2,TRUE)))</f>
        <v>4.8952821136392578E-2</v>
      </c>
      <c r="L52" s="163">
        <f t="shared" si="7"/>
        <v>0.21601752701874552</v>
      </c>
      <c r="M52" s="165">
        <f>IF($B52&lt;=3600000,$B52*INDEX(Parâmetros!$F$7:$M$26,ROUNDUP(($B52/180000),0),4)/$B52,$B52*INDEX(Parâmetros!$F$7:$M$26,20,4)/$B52)</f>
        <v>8.8999999999999999E-3</v>
      </c>
      <c r="N52" s="12">
        <f>IF($B52&lt;=3600000,$B52*INDEX(Parâmetros!$F$7:$M$26,ROUNDUP(($B52/180000),0),5)/$B52,$B52*INDEX(Parâmetros!$F$7:$M$26,20,5)/$B52)</f>
        <v>1.89E-2</v>
      </c>
      <c r="O52" s="12">
        <f>IF($B52&lt;=3600000,$B52*INDEX(Parâmetros!$F$7:$M$26,ROUNDUP(($B52/180000),0),6)/$B52,$B52*INDEX(Parâmetros!$F$7:$M$26,20,6)/$B52)</f>
        <v>2.8999999999999998E-3</v>
      </c>
      <c r="P52" s="12">
        <f>IF($B52&lt;=3600000,$B52*INDEX(Parâmetros!$F$7:$M$26,ROUNDUP(($B52/180000),0),7)/$B52,$B52*INDEX(Parâmetros!$F$7:$M$26,20,7)/$B52)</f>
        <v>2.0299999999999999E-2</v>
      </c>
      <c r="Q52" s="12">
        <f>Parâmetros!$C$14*13.33*(Parâmetros!$C$15+FGTS)/B52</f>
        <v>3.8641317647058826E-3</v>
      </c>
      <c r="R52" s="12">
        <f>IF($B52&lt;=3600000,$B52*INDEX(Parâmetros!$F$7:$M$26,ROUNDUP(($B52/180000),0),8)/$B52,$B52*INDEX(Parâmetros!$F$7:$M$26,20,8)/$B52)</f>
        <v>3.8699999999999998E-2</v>
      </c>
      <c r="S52" s="23">
        <f t="shared" si="8"/>
        <v>9.3564131764705877E-2</v>
      </c>
      <c r="T52" s="12">
        <f t="shared" si="16"/>
        <v>0.22052328541241106</v>
      </c>
      <c r="U52" s="64">
        <v>0</v>
      </c>
      <c r="V52" s="64">
        <v>0</v>
      </c>
      <c r="W52" s="64">
        <v>0</v>
      </c>
      <c r="X52" s="64">
        <f t="shared" si="17"/>
        <v>1.6277717788235297E-2</v>
      </c>
      <c r="Y52" s="64">
        <v>0</v>
      </c>
      <c r="Z52" s="81">
        <f t="shared" si="9"/>
        <v>0.23680100320064637</v>
      </c>
      <c r="AB52" s="153">
        <f>1-IF(B52&lt;=Parâmetros!$G$60,Parâmetros!$L$60,IF(B52&lt;=Parâmetros!$G$61,Parâmetros!$L$61,IF(B52&lt;=Parâmetros!$G$62,Parâmetros!$L$62,IF(B52&lt;=Parâmetros!$G$63,Parâmetros!$L$63,IF(B52&lt;=Parâmetros!$L$64,Parâmetros!$J$64,Parâmetros!$L$64)))))</f>
        <v>0.84597857797026488</v>
      </c>
    </row>
    <row r="53" spans="1:28" s="14" customFormat="1" x14ac:dyDescent="0.2">
      <c r="A53" s="1"/>
      <c r="B53" s="11">
        <f t="shared" si="18"/>
        <v>900000</v>
      </c>
      <c r="C53" s="12">
        <f t="shared" si="11"/>
        <v>5.3333333333333337E-2</v>
      </c>
      <c r="D53" s="12">
        <f t="shared" si="12"/>
        <v>2.8799999999999999E-2</v>
      </c>
      <c r="E53" s="12">
        <f t="shared" si="14"/>
        <v>6.4999999999999997E-3</v>
      </c>
      <c r="F53" s="12">
        <f t="shared" si="15"/>
        <v>0.03</v>
      </c>
      <c r="G53" s="12">
        <f>Parâmetros!$C$14*13.33*(Parâmetros!$C$15+FGTS+Sist_S_SAT)/Dados!B53</f>
        <v>4.040471111111112E-3</v>
      </c>
      <c r="H53" s="13">
        <f>B53*Parâmetros!$C$13/Dados!B53</f>
        <v>0.05</v>
      </c>
      <c r="I53" s="23">
        <f t="shared" si="6"/>
        <v>0.17267380444444447</v>
      </c>
      <c r="J53" s="178">
        <f>VLOOKUP(B53,LP_FX[],8,TRUE)*Parâmetros!$M$124/B53</f>
        <v>2.807715350178603E-2</v>
      </c>
      <c r="K53" s="12">
        <f>Parâmetros!$C$20*(2*VLOOKUP(B53,LP_FX[],8,TRUE)/(VLOOKUP(B53,LP_FX[],1,TRUE)+VLOOKUP(B53,LP_FX[],2,TRUE)))</f>
        <v>4.8952821136392578E-2</v>
      </c>
      <c r="L53" s="163">
        <f t="shared" si="7"/>
        <v>0.21758615446972593</v>
      </c>
      <c r="M53" s="165">
        <f>IF($B53&lt;=3600000,$B53*INDEX(Parâmetros!$F$7:$M$26,ROUNDUP(($B53/180000),0),4)/$B53,$B53*INDEX(Parâmetros!$F$7:$M$26,20,4)/$B53)</f>
        <v>8.8999999999999999E-3</v>
      </c>
      <c r="N53" s="12">
        <f>IF($B53&lt;=3600000,$B53*INDEX(Parâmetros!$F$7:$M$26,ROUNDUP(($B53/180000),0),5)/$B53,$B53*INDEX(Parâmetros!$F$7:$M$26,20,5)/$B53)</f>
        <v>1.89E-2</v>
      </c>
      <c r="O53" s="12">
        <f>IF($B53&lt;=3600000,$B53*INDEX(Parâmetros!$F$7:$M$26,ROUNDUP(($B53/180000),0),6)/$B53,$B53*INDEX(Parâmetros!$F$7:$M$26,20,6)/$B53)</f>
        <v>2.8999999999999998E-3</v>
      </c>
      <c r="P53" s="12">
        <f>IF($B53&lt;=3600000,$B53*INDEX(Parâmetros!$F$7:$M$26,ROUNDUP(($B53/180000),0),7)/$B53,$B53*INDEX(Parâmetros!$F$7:$M$26,20,7)/$B53)</f>
        <v>2.0299999999999999E-2</v>
      </c>
      <c r="Q53" s="12">
        <f>Parâmetros!$C$14*13.33*(Parâmetros!$C$15+FGTS)/B53</f>
        <v>3.649457777777778E-3</v>
      </c>
      <c r="R53" s="12">
        <f>IF($B53&lt;=3600000,$B53*INDEX(Parâmetros!$F$7:$M$26,ROUNDUP(($B53/180000),0),8)/$B53,$B53*INDEX(Parâmetros!$F$7:$M$26,20,8)/$B53)</f>
        <v>3.8699999999999998E-2</v>
      </c>
      <c r="S53" s="23">
        <f t="shared" si="8"/>
        <v>9.334945777777777E-2</v>
      </c>
      <c r="T53" s="12">
        <f t="shared" si="16"/>
        <v>0.22119666449737843</v>
      </c>
      <c r="U53" s="64">
        <v>0</v>
      </c>
      <c r="V53" s="64">
        <v>0</v>
      </c>
      <c r="W53" s="64">
        <v>0</v>
      </c>
      <c r="X53" s="64">
        <f t="shared" si="17"/>
        <v>1.5373400133333336E-2</v>
      </c>
      <c r="Y53" s="64">
        <v>0</v>
      </c>
      <c r="Z53" s="81">
        <f t="shared" si="9"/>
        <v>0.23657006463071176</v>
      </c>
      <c r="AB53" s="153">
        <f>1-IF(B53&lt;=Parâmetros!$G$60,Parâmetros!$L$60,IF(B53&lt;=Parâmetros!$G$61,Parâmetros!$L$61,IF(B53&lt;=Parâmetros!$G$62,Parâmetros!$L$62,IF(B53&lt;=Parâmetros!$G$63,Parâmetros!$L$63,IF(B53&lt;=Parâmetros!$L$64,Parâmetros!$J$64,Parâmetros!$L$64)))))</f>
        <v>0.84597857797026488</v>
      </c>
    </row>
    <row r="54" spans="1:28" s="14" customFormat="1" x14ac:dyDescent="0.2">
      <c r="A54" s="1"/>
      <c r="B54" s="11">
        <f t="shared" si="18"/>
        <v>950000</v>
      </c>
      <c r="C54" s="12">
        <f t="shared" si="11"/>
        <v>5.473684210526316E-2</v>
      </c>
      <c r="D54" s="12">
        <f t="shared" si="12"/>
        <v>2.8799999999999999E-2</v>
      </c>
      <c r="E54" s="12">
        <f t="shared" si="14"/>
        <v>6.4999999999999997E-3</v>
      </c>
      <c r="F54" s="12">
        <f t="shared" si="15"/>
        <v>0.03</v>
      </c>
      <c r="G54" s="12">
        <f>Parâmetros!$C$14*13.33*(Parâmetros!$C$15+FGTS+Sist_S_SAT)/Dados!B54</f>
        <v>3.8278147368421057E-3</v>
      </c>
      <c r="H54" s="13">
        <f>B54*Parâmetros!$C$13/Dados!B54</f>
        <v>0.05</v>
      </c>
      <c r="I54" s="23">
        <f t="shared" si="6"/>
        <v>0.17386465684210528</v>
      </c>
      <c r="J54" s="178">
        <f>VLOOKUP(B54,LP_FX[],8,TRUE)*Parâmetros!$M$124/B54</f>
        <v>2.6599408580639399E-2</v>
      </c>
      <c r="K54" s="12">
        <f>Parâmetros!$C$20*(2*VLOOKUP(B54,LP_FX[],8,TRUE)/(VLOOKUP(B54,LP_FX[],1,TRUE)+VLOOKUP(B54,LP_FX[],2,TRUE)))</f>
        <v>4.8952821136392578E-2</v>
      </c>
      <c r="L54" s="163">
        <f t="shared" si="7"/>
        <v>0.21898966324165572</v>
      </c>
      <c r="M54" s="165">
        <f>IF($B54&lt;=3600000,$B54*INDEX(Parâmetros!$F$7:$M$26,ROUNDUP(($B54/180000),0),4)/$B54,$B54*INDEX(Parâmetros!$F$7:$M$26,20,4)/$B54)</f>
        <v>1.2500000000000001E-2</v>
      </c>
      <c r="N54" s="12">
        <f>IF($B54&lt;=3600000,$B54*INDEX(Parâmetros!$F$7:$M$26,ROUNDUP(($B54/180000),0),5)/$B54,$B54*INDEX(Parâmetros!$F$7:$M$26,20,5)/$B54)</f>
        <v>1.9099999999999999E-2</v>
      </c>
      <c r="O54" s="12">
        <f>IF($B54&lt;=3600000,$B54*INDEX(Parâmetros!$F$7:$M$26,ROUNDUP(($B54/180000),0),6)/$B54,$B54*INDEX(Parâmetros!$F$7:$M$26,20,6)/$B54)</f>
        <v>3.2000000000000002E-3</v>
      </c>
      <c r="P54" s="12">
        <f>IF($B54&lt;=3600000,$B54*INDEX(Parâmetros!$F$7:$M$26,ROUNDUP(($B54/180000),0),7)/$B54,$B54*INDEX(Parâmetros!$F$7:$M$26,20,7)/$B54)</f>
        <v>2.07E-2</v>
      </c>
      <c r="Q54" s="12">
        <f>Parâmetros!$C$14*13.33*(Parâmetros!$C$15+FGTS)/B54</f>
        <v>3.457381052631579E-3</v>
      </c>
      <c r="R54" s="12">
        <f>IF($B54&lt;=3600000,$B54*INDEX(Parâmetros!$F$7:$M$26,ROUNDUP(($B54/180000),0),8)/$B54,$B54*INDEX(Parâmetros!$F$7:$M$26,20,8)/$B54)</f>
        <v>4.2299999999999997E-2</v>
      </c>
      <c r="S54" s="23">
        <f t="shared" si="8"/>
        <v>0.10125738105263159</v>
      </c>
      <c r="T54" s="12">
        <f t="shared" si="16"/>
        <v>0.22179916157340179</v>
      </c>
      <c r="U54" s="64">
        <v>0</v>
      </c>
      <c r="V54" s="64">
        <v>0</v>
      </c>
      <c r="W54" s="64">
        <v>0</v>
      </c>
      <c r="X54" s="64">
        <f t="shared" si="17"/>
        <v>1.4564273810526317E-2</v>
      </c>
      <c r="Y54" s="64">
        <v>0</v>
      </c>
      <c r="Z54" s="81">
        <f t="shared" si="9"/>
        <v>0.23636343538392812</v>
      </c>
      <c r="AB54" s="153">
        <f>1-IF(B54&lt;=Parâmetros!$G$60,Parâmetros!$L$60,IF(B54&lt;=Parâmetros!$G$61,Parâmetros!$L$61,IF(B54&lt;=Parâmetros!$G$62,Parâmetros!$L$62,IF(B54&lt;=Parâmetros!$G$63,Parâmetros!$L$63,IF(B54&lt;=Parâmetros!$L$64,Parâmetros!$J$64,Parâmetros!$L$64)))))</f>
        <v>0.84597857797026488</v>
      </c>
    </row>
    <row r="55" spans="1:28" s="14" customFormat="1" x14ac:dyDescent="0.2">
      <c r="A55" s="1"/>
      <c r="B55" s="11">
        <f t="shared" si="18"/>
        <v>1000000</v>
      </c>
      <c r="C55" s="12">
        <f t="shared" si="11"/>
        <v>5.6000000000000001E-2</v>
      </c>
      <c r="D55" s="12">
        <f t="shared" si="12"/>
        <v>2.8799999999999999E-2</v>
      </c>
      <c r="E55" s="12">
        <f t="shared" si="14"/>
        <v>6.4999999999999997E-3</v>
      </c>
      <c r="F55" s="12">
        <f t="shared" si="15"/>
        <v>0.03</v>
      </c>
      <c r="G55" s="12">
        <f>Parâmetros!$C$14*13.33*(Parâmetros!$C$15+FGTS+Sist_S_SAT)/Dados!B55</f>
        <v>3.6364240000000005E-3</v>
      </c>
      <c r="H55" s="13">
        <f>B55*Parâmetros!$C$13/Dados!B55</f>
        <v>0.05</v>
      </c>
      <c r="I55" s="23">
        <f t="shared" si="6"/>
        <v>0.17493642400000001</v>
      </c>
      <c r="J55" s="178">
        <f>VLOOKUP(B55,LP_FX[],8,TRUE)*Parâmetros!$M$124/B55</f>
        <v>2.526943815160743E-2</v>
      </c>
      <c r="K55" s="12">
        <f>Parâmetros!$C$20*(2*VLOOKUP(B55,LP_FX[],8,TRUE)/(VLOOKUP(B55,LP_FX[],1,TRUE)+VLOOKUP(B55,LP_FX[],2,TRUE)))</f>
        <v>4.8952821136392578E-2</v>
      </c>
      <c r="L55" s="163">
        <f t="shared" si="7"/>
        <v>0.22025282113639258</v>
      </c>
      <c r="M55" s="165">
        <f>IF($B55&lt;=3600000,$B55*INDEX(Parâmetros!$F$7:$M$26,ROUNDUP(($B55/180000),0),4)/$B55,$B55*INDEX(Parâmetros!$F$7:$M$26,20,4)/$B55)</f>
        <v>1.2500000000000001E-2</v>
      </c>
      <c r="N55" s="12">
        <f>IF($B55&lt;=3600000,$B55*INDEX(Parâmetros!$F$7:$M$26,ROUNDUP(($B55/180000),0),5)/$B55,$B55*INDEX(Parâmetros!$F$7:$M$26,20,5)/$B55)</f>
        <v>1.9099999999999999E-2</v>
      </c>
      <c r="O55" s="12">
        <f>IF($B55&lt;=3600000,$B55*INDEX(Parâmetros!$F$7:$M$26,ROUNDUP(($B55/180000),0),6)/$B55,$B55*INDEX(Parâmetros!$F$7:$M$26,20,6)/$B55)</f>
        <v>3.2000000000000002E-3</v>
      </c>
      <c r="P55" s="12">
        <f>IF($B55&lt;=3600000,$B55*INDEX(Parâmetros!$F$7:$M$26,ROUNDUP(($B55/180000),0),7)/$B55,$B55*INDEX(Parâmetros!$F$7:$M$26,20,7)/$B55)</f>
        <v>2.07E-2</v>
      </c>
      <c r="Q55" s="12">
        <f>Parâmetros!$C$14*13.33*(Parâmetros!$C$15+FGTS)/B55</f>
        <v>3.2845120000000003E-3</v>
      </c>
      <c r="R55" s="12">
        <f>IF($B55&lt;=3600000,$B55*INDEX(Parâmetros!$F$7:$M$26,ROUNDUP(($B55/180000),0),8)/$B55,$B55*INDEX(Parâmetros!$F$7:$M$26,20,8)/$B55)</f>
        <v>4.2299999999999997E-2</v>
      </c>
      <c r="S55" s="23">
        <f t="shared" si="8"/>
        <v>0.10108451200000002</v>
      </c>
      <c r="T55" s="12">
        <f t="shared" si="16"/>
        <v>0.22234140894182283</v>
      </c>
      <c r="U55" s="64">
        <v>0</v>
      </c>
      <c r="V55" s="64">
        <v>0</v>
      </c>
      <c r="W55" s="64">
        <v>0</v>
      </c>
      <c r="X55" s="64">
        <f t="shared" si="17"/>
        <v>1.3836060120000002E-2</v>
      </c>
      <c r="Y55" s="64">
        <v>0</v>
      </c>
      <c r="Z55" s="81">
        <f t="shared" si="9"/>
        <v>0.23617746906182283</v>
      </c>
      <c r="AB55" s="153">
        <f>1-IF(B55&lt;=Parâmetros!$G$60,Parâmetros!$L$60,IF(B55&lt;=Parâmetros!$G$61,Parâmetros!$L$61,IF(B55&lt;=Parâmetros!$G$62,Parâmetros!$L$62,IF(B55&lt;=Parâmetros!$G$63,Parâmetros!$L$63,IF(B55&lt;=Parâmetros!$G$64,Parâmetros!$L$64,Parâmetros!$L$65)))))</f>
        <v>0.84597857797026488</v>
      </c>
    </row>
    <row r="56" spans="1:28" s="14" customFormat="1" x14ac:dyDescent="0.2">
      <c r="A56" s="1"/>
      <c r="B56" s="11">
        <f t="shared" si="18"/>
        <v>1050000</v>
      </c>
      <c r="C56" s="12">
        <f t="shared" si="11"/>
        <v>5.7142857142857141E-2</v>
      </c>
      <c r="D56" s="12">
        <f t="shared" si="12"/>
        <v>2.8799999999999999E-2</v>
      </c>
      <c r="E56" s="12">
        <f t="shared" si="14"/>
        <v>6.4999999999999997E-3</v>
      </c>
      <c r="F56" s="12">
        <f t="shared" si="15"/>
        <v>0.03</v>
      </c>
      <c r="G56" s="12">
        <f>Parâmetros!$C$14*13.33*(Parâmetros!$C$15+FGTS+Sist_S_SAT)/Dados!B56</f>
        <v>3.4632609523809529E-3</v>
      </c>
      <c r="H56" s="13">
        <f>B56*Parâmetros!$C$13/Dados!B56</f>
        <v>0.05</v>
      </c>
      <c r="I56" s="23">
        <f t="shared" si="6"/>
        <v>0.1759061180952381</v>
      </c>
      <c r="J56" s="178">
        <f>VLOOKUP(B56,LP_FX[],8,TRUE)*Parâmetros!$M$124/B56</f>
        <v>4.7055023107399424E-2</v>
      </c>
      <c r="K56" s="12">
        <f>Parâmetros!$C$20*(2*VLOOKUP(B56,LP_FX[],8,TRUE)/(VLOOKUP(B56,LP_FX[],1,TRUE)+VLOOKUP(B56,LP_FX[],2,TRUE)))</f>
        <v>4.7857216487833212E-2</v>
      </c>
      <c r="L56" s="163">
        <f t="shared" si="7"/>
        <v>0.22030007363069037</v>
      </c>
      <c r="M56" s="165">
        <f>IF($B56&lt;=3600000,$B56*INDEX(Parâmetros!$F$7:$M$26,ROUNDUP(($B56/180000),0),4)/$B56,$B56*INDEX(Parâmetros!$F$7:$M$26,20,4)/$B56)</f>
        <v>1.2500000000000001E-2</v>
      </c>
      <c r="N56" s="12">
        <f>IF($B56&lt;=3600000,$B56*INDEX(Parâmetros!$F$7:$M$26,ROUNDUP(($B56/180000),0),5)/$B56,$B56*INDEX(Parâmetros!$F$7:$M$26,20,5)/$B56)</f>
        <v>1.9099999999999999E-2</v>
      </c>
      <c r="O56" s="12">
        <f>IF($B56&lt;=3600000,$B56*INDEX(Parâmetros!$F$7:$M$26,ROUNDUP(($B56/180000),0),6)/$B56,$B56*INDEX(Parâmetros!$F$7:$M$26,20,6)/$B56)</f>
        <v>3.2000000000000002E-3</v>
      </c>
      <c r="P56" s="12">
        <f>IF($B56&lt;=3600000,$B56*INDEX(Parâmetros!$F$7:$M$26,ROUNDUP(($B56/180000),0),7)/$B56,$B56*INDEX(Parâmetros!$F$7:$M$26,20,7)/$B56)</f>
        <v>2.07E-2</v>
      </c>
      <c r="Q56" s="12">
        <f>Parâmetros!$C$14*13.33*(Parâmetros!$C$15+FGTS)/B56</f>
        <v>3.128106666666667E-3</v>
      </c>
      <c r="R56" s="12">
        <f>IF($B56&lt;=3600000,$B56*INDEX(Parâmetros!$F$7:$M$26,ROUNDUP(($B56/180000),0),8)/$B56,$B56*INDEX(Parâmetros!$F$7:$M$26,20,8)/$B56)</f>
        <v>4.2299999999999997E-2</v>
      </c>
      <c r="S56" s="23">
        <f t="shared" si="8"/>
        <v>0.10092810666666667</v>
      </c>
      <c r="T56" s="12">
        <f t="shared" si="16"/>
        <v>0.22603832121383366</v>
      </c>
      <c r="U56" s="64">
        <v>0</v>
      </c>
      <c r="V56" s="64">
        <v>0</v>
      </c>
      <c r="W56" s="64">
        <v>0</v>
      </c>
      <c r="X56" s="64">
        <f t="shared" si="17"/>
        <v>1.3177200114285716E-2</v>
      </c>
      <c r="Y56" s="64">
        <v>0</v>
      </c>
      <c r="Z56" s="81">
        <f t="shared" si="9"/>
        <v>0.23921552132811938</v>
      </c>
      <c r="AB56" s="153">
        <f>1-IF(B56&lt;=Parâmetros!$G$65,Parâmetros!$L$65,IF(B56&lt;=Parâmetros!$G$66,Parâmetros!$L$66,IF(B56&lt;=Parâmetros!$G$67,Parâmetros!$L$67,IF(B56&lt;=Parâmetros!$G$68,Parâmetros!$L$68,IF(B56&lt;=Parâmetros!$G$69,Parâmetros!$J$69,Parâmetros!$L$70)))))</f>
        <v>0.85763787800701408</v>
      </c>
    </row>
    <row r="57" spans="1:28" s="14" customFormat="1" x14ac:dyDescent="0.2">
      <c r="A57" s="1"/>
      <c r="B57" s="11">
        <f t="shared" si="18"/>
        <v>1100000</v>
      </c>
      <c r="C57" s="12">
        <f t="shared" si="11"/>
        <v>5.8181818181818182E-2</v>
      </c>
      <c r="D57" s="12">
        <f t="shared" si="12"/>
        <v>2.8799999999999999E-2</v>
      </c>
      <c r="E57" s="12">
        <f t="shared" si="14"/>
        <v>6.4999999999999997E-3</v>
      </c>
      <c r="F57" s="12">
        <f t="shared" si="15"/>
        <v>0.03</v>
      </c>
      <c r="G57" s="12">
        <f>Parâmetros!$C$14*13.33*(Parâmetros!$C$15+FGTS+Sist_S_SAT)/Dados!B57</f>
        <v>3.3058400000000004E-3</v>
      </c>
      <c r="H57" s="13">
        <f>B57*Parâmetros!$C$13/Dados!B57</f>
        <v>0.05</v>
      </c>
      <c r="I57" s="23">
        <f t="shared" si="6"/>
        <v>0.17678765818181819</v>
      </c>
      <c r="J57" s="178">
        <f>VLOOKUP(B57,LP_FX[],8,TRUE)*Parâmetros!$M$124/B57</f>
        <v>4.4916158420699452E-2</v>
      </c>
      <c r="K57" s="12">
        <f>Parâmetros!$C$20*(2*VLOOKUP(B57,LP_FX[],8,TRUE)/(VLOOKUP(B57,LP_FX[],1,TRUE)+VLOOKUP(B57,LP_FX[],2,TRUE)))</f>
        <v>4.7857216487833212E-2</v>
      </c>
      <c r="L57" s="163">
        <f t="shared" si="7"/>
        <v>0.22133903466965138</v>
      </c>
      <c r="M57" s="165">
        <f>IF($B57&lt;=3600000,$B57*INDEX(Parâmetros!$F$7:$M$26,ROUNDUP(($B57/180000),0),4)/$B57,$B57*INDEX(Parâmetros!$F$7:$M$26,20,4)/$B57)</f>
        <v>1.6199999999999999E-2</v>
      </c>
      <c r="N57" s="12">
        <f>IF($B57&lt;=3600000,$B57*INDEX(Parâmetros!$F$7:$M$26,ROUNDUP(($B57/180000),0),5)/$B57,$B57*INDEX(Parâmetros!$F$7:$M$26,20,5)/$B57)</f>
        <v>1.9300000000000001E-2</v>
      </c>
      <c r="O57" s="12">
        <f>IF($B57&lt;=3600000,$B57*INDEX(Parâmetros!$F$7:$M$26,ROUNDUP(($B57/180000),0),6)/$B57,$B57*INDEX(Parâmetros!$F$7:$M$26,20,6)/$B57)</f>
        <v>3.3999999999999998E-3</v>
      </c>
      <c r="P57" s="12">
        <f>IF($B57&lt;=3600000,$B57*INDEX(Parâmetros!$F$7:$M$26,ROUNDUP(($B57/180000),0),7)/$B57,$B57*INDEX(Parâmetros!$F$7:$M$26,20,7)/$B57)</f>
        <v>2.1100000000000001E-2</v>
      </c>
      <c r="Q57" s="12">
        <f>Parâmetros!$C$14*13.33*(Parâmetros!$C$15+FGTS)/B57</f>
        <v>2.98592E-3</v>
      </c>
      <c r="R57" s="12">
        <f>IF($B57&lt;=3600000,$B57*INDEX(Parâmetros!$F$7:$M$26,ROUNDUP(($B57/180000),0),8)/$B57,$B57*INDEX(Parâmetros!$F$7:$M$26,20,8)/$B57)</f>
        <v>4.2599999999999999E-2</v>
      </c>
      <c r="S57" s="23">
        <f t="shared" si="8"/>
        <v>0.10558592</v>
      </c>
      <c r="T57" s="12">
        <f t="shared" si="16"/>
        <v>0.22648432554283798</v>
      </c>
      <c r="U57" s="64">
        <v>0</v>
      </c>
      <c r="V57" s="64">
        <v>0</v>
      </c>
      <c r="W57" s="64">
        <v>0</v>
      </c>
      <c r="X57" s="64">
        <f t="shared" si="17"/>
        <v>1.2578236472727275E-2</v>
      </c>
      <c r="Y57" s="64">
        <v>0</v>
      </c>
      <c r="Z57" s="81">
        <f t="shared" si="9"/>
        <v>0.23906256201556525</v>
      </c>
      <c r="AB57" s="153">
        <f>1-IF(B57&lt;=Parâmetros!$G$65,Parâmetros!$L$65,IF(B57&lt;=Parâmetros!$G$66,Parâmetros!$L$66,IF(B57&lt;=Parâmetros!$G$67,Parâmetros!$L$67,IF(B57&lt;=Parâmetros!$G$68,Parâmetros!$L$68,IF(B57&lt;=Parâmetros!$G$69,Parâmetros!$J$69,Parâmetros!$L$70)))))</f>
        <v>0.85763787800701408</v>
      </c>
    </row>
    <row r="58" spans="1:28" s="14" customFormat="1" x14ac:dyDescent="0.2">
      <c r="A58" s="1"/>
      <c r="B58" s="11">
        <f t="shared" si="18"/>
        <v>1150000</v>
      </c>
      <c r="C58" s="12">
        <f t="shared" si="11"/>
        <v>5.9130434782608696E-2</v>
      </c>
      <c r="D58" s="12">
        <f t="shared" si="12"/>
        <v>2.8799999999999999E-2</v>
      </c>
      <c r="E58" s="12">
        <f t="shared" si="14"/>
        <v>6.4999999999999997E-3</v>
      </c>
      <c r="F58" s="12">
        <f t="shared" si="15"/>
        <v>0.03</v>
      </c>
      <c r="G58" s="12">
        <f>Parâmetros!$C$14*13.33*(Parâmetros!$C$15+FGTS+Sist_S_SAT)/Dados!B58</f>
        <v>3.162107826086957E-3</v>
      </c>
      <c r="H58" s="13">
        <f>B58*Parâmetros!$C$13/Dados!B58</f>
        <v>0.05</v>
      </c>
      <c r="I58" s="23">
        <f t="shared" si="6"/>
        <v>0.17759254260869567</v>
      </c>
      <c r="J58" s="178">
        <f>VLOOKUP(B58,LP_FX[],8,TRUE)*Parâmetros!$M$124/B58</f>
        <v>4.2963281967625562E-2</v>
      </c>
      <c r="K58" s="12">
        <f>Parâmetros!$C$20*(2*VLOOKUP(B58,LP_FX[],8,TRUE)/(VLOOKUP(B58,LP_FX[],1,TRUE)+VLOOKUP(B58,LP_FX[],2,TRUE)))</f>
        <v>4.7857216487833212E-2</v>
      </c>
      <c r="L58" s="163">
        <f t="shared" si="7"/>
        <v>0.22228765127044192</v>
      </c>
      <c r="M58" s="165">
        <f>IF($B58&lt;=3600000,$B58*INDEX(Parâmetros!$F$7:$M$26,ROUNDUP(($B58/180000),0),4)/$B58,$B58*INDEX(Parâmetros!$F$7:$M$26,20,4)/$B58)</f>
        <v>1.6199999999999999E-2</v>
      </c>
      <c r="N58" s="12">
        <f>IF($B58&lt;=3600000,$B58*INDEX(Parâmetros!$F$7:$M$26,ROUNDUP(($B58/180000),0),5)/$B58,$B58*INDEX(Parâmetros!$F$7:$M$26,20,5)/$B58)</f>
        <v>1.9300000000000001E-2</v>
      </c>
      <c r="O58" s="12">
        <f>IF($B58&lt;=3600000,$B58*INDEX(Parâmetros!$F$7:$M$26,ROUNDUP(($B58/180000),0),6)/$B58,$B58*INDEX(Parâmetros!$F$7:$M$26,20,6)/$B58)</f>
        <v>3.3999999999999998E-3</v>
      </c>
      <c r="P58" s="12">
        <f>IF($B58&lt;=3600000,$B58*INDEX(Parâmetros!$F$7:$M$26,ROUNDUP(($B58/180000),0),7)/$B58,$B58*INDEX(Parâmetros!$F$7:$M$26,20,7)/$B58)</f>
        <v>2.1100000000000001E-2</v>
      </c>
      <c r="Q58" s="12">
        <f>Parâmetros!$C$14*13.33*(Parâmetros!$C$15+FGTS)/B58</f>
        <v>2.856097391304348E-3</v>
      </c>
      <c r="R58" s="12">
        <f>IF($B58&lt;=3600000,$B58*INDEX(Parâmetros!$F$7:$M$26,ROUNDUP(($B58/180000),0),8)/$B58,$B58*INDEX(Parâmetros!$F$7:$M$26,20,8)/$B58)</f>
        <v>4.2599999999999999E-2</v>
      </c>
      <c r="S58" s="23">
        <f t="shared" si="8"/>
        <v>0.10545609739130435</v>
      </c>
      <c r="T58" s="12">
        <f t="shared" si="16"/>
        <v>0.22689154688671151</v>
      </c>
      <c r="U58" s="64">
        <v>0</v>
      </c>
      <c r="V58" s="64">
        <v>0</v>
      </c>
      <c r="W58" s="64">
        <v>0</v>
      </c>
      <c r="X58" s="64">
        <f t="shared" si="17"/>
        <v>1.2031356626086958E-2</v>
      </c>
      <c r="Y58" s="64">
        <v>0</v>
      </c>
      <c r="Z58" s="81">
        <f t="shared" si="9"/>
        <v>0.23892290351279846</v>
      </c>
      <c r="AB58" s="153">
        <f>1-IF(B58&lt;=Parâmetros!$G$65,Parâmetros!$L$65,IF(B58&lt;=Parâmetros!$G$66,Parâmetros!$L$66,IF(B58&lt;=Parâmetros!$G$67,Parâmetros!$L$67,IF(B58&lt;=Parâmetros!$G$68,Parâmetros!$L$68,IF(B58&lt;=Parâmetros!$G$69,Parâmetros!$J$69,Parâmetros!$L$70)))))</f>
        <v>0.85763787800701408</v>
      </c>
    </row>
    <row r="59" spans="1:28" s="14" customFormat="1" x14ac:dyDescent="0.2">
      <c r="A59" s="1"/>
      <c r="B59" s="16">
        <f t="shared" si="18"/>
        <v>1200000</v>
      </c>
      <c r="C59" s="17">
        <f t="shared" si="11"/>
        <v>0.06</v>
      </c>
      <c r="D59" s="17">
        <f t="shared" si="12"/>
        <v>2.8799999999999999E-2</v>
      </c>
      <c r="E59" s="17">
        <f t="shared" si="14"/>
        <v>6.4999999999999997E-3</v>
      </c>
      <c r="F59" s="17">
        <f t="shared" si="15"/>
        <v>0.03</v>
      </c>
      <c r="G59" s="17">
        <f>Parâmetros!$C$14*13.33*(Parâmetros!$C$15+FGTS+Sist_S_SAT)/Dados!B59</f>
        <v>3.0303533333333335E-3</v>
      </c>
      <c r="H59" s="18">
        <f>B59*Parâmetros!$C$13/Dados!B59</f>
        <v>0.05</v>
      </c>
      <c r="I59" s="24">
        <f t="shared" si="6"/>
        <v>0.17833035333333336</v>
      </c>
      <c r="J59" s="178">
        <f>VLOOKUP(B59,LP_FX[],8,TRUE)*Parâmetros!$M$124/B59</f>
        <v>4.1173145218974493E-2</v>
      </c>
      <c r="K59" s="12">
        <f>Parâmetros!$C$20*(2*VLOOKUP(B59,LP_FX[],8,TRUE)/(VLOOKUP(B59,LP_FX[],1,TRUE)+VLOOKUP(B59,LP_FX[],2,TRUE)))</f>
        <v>4.7857216487833212E-2</v>
      </c>
      <c r="L59" s="163">
        <f t="shared" si="7"/>
        <v>0.22315721648783321</v>
      </c>
      <c r="M59" s="166">
        <f>IF($B59&lt;=3600000,$B59*INDEX(Parâmetros!$F$7:$M$26,ROUNDUP(($B59/180000),0),4)/$B59,$B59*INDEX(Parâmetros!$F$7:$M$26,20,4)/$B59)</f>
        <v>1.6199999999999999E-2</v>
      </c>
      <c r="N59" s="17">
        <f>IF($B59&lt;=3600000,$B59*INDEX(Parâmetros!$F$7:$M$26,ROUNDUP(($B59/180000),0),5)/$B59,$B59*INDEX(Parâmetros!$F$7:$M$26,20,5)/$B59)</f>
        <v>1.9300000000000001E-2</v>
      </c>
      <c r="O59" s="17">
        <f>IF($B59&lt;=3600000,$B59*INDEX(Parâmetros!$F$7:$M$26,ROUNDUP(($B59/180000),0),6)/$B59,$B59*INDEX(Parâmetros!$F$7:$M$26,20,6)/$B59)</f>
        <v>3.3999999999999998E-3</v>
      </c>
      <c r="P59" s="17">
        <f>IF($B59&lt;=3600000,$B59*INDEX(Parâmetros!$F$7:$M$26,ROUNDUP(($B59/180000),0),7)/$B59,$B59*INDEX(Parâmetros!$F$7:$M$26,20,7)/$B59)</f>
        <v>2.1100000000000001E-2</v>
      </c>
      <c r="Q59" s="17">
        <f>Parâmetros!$C$14*13.33*(Parâmetros!$C$15+FGTS)/B59</f>
        <v>2.7370933333333335E-3</v>
      </c>
      <c r="R59" s="17">
        <f>IF($B59&lt;=3600000,$B59*INDEX(Parâmetros!$F$7:$M$26,ROUNDUP(($B59/180000),0),8)/$B59,$B59*INDEX(Parâmetros!$F$7:$M$26,20,8)/$B59)</f>
        <v>4.2599999999999999E-2</v>
      </c>
      <c r="S59" s="24">
        <f t="shared" si="8"/>
        <v>0.10533709333333334</v>
      </c>
      <c r="T59" s="17">
        <f t="shared" si="16"/>
        <v>0.22726483311859552</v>
      </c>
      <c r="U59" s="84">
        <v>0</v>
      </c>
      <c r="V59" s="84">
        <v>0</v>
      </c>
      <c r="W59" s="84">
        <v>0</v>
      </c>
      <c r="X59" s="84">
        <f t="shared" si="17"/>
        <v>1.1530050100000001E-2</v>
      </c>
      <c r="Y59" s="84">
        <v>0</v>
      </c>
      <c r="Z59" s="81">
        <f t="shared" si="9"/>
        <v>0.23879488321859552</v>
      </c>
      <c r="AB59" s="153">
        <f>1-IF(B59&lt;=Parâmetros!$G$65,Parâmetros!$L$65,IF(B59&lt;=Parâmetros!$G$66,Parâmetros!$L$66,IF(B59&lt;=Parâmetros!$G$67,Parâmetros!$L$67,IF(B59&lt;=Parâmetros!$G$68,Parâmetros!$L$68,IF(B59&lt;=Parâmetros!$G$69,Parâmetros!$J$69,Parâmetros!$L$70)))))</f>
        <v>0.85763787800701408</v>
      </c>
    </row>
    <row r="60" spans="1:28" s="14" customFormat="1" x14ac:dyDescent="0.2">
      <c r="A60" s="1"/>
      <c r="B60" s="11">
        <f>B59+50000</f>
        <v>1250000</v>
      </c>
      <c r="C60" s="12">
        <f t="shared" si="11"/>
        <v>6.08E-2</v>
      </c>
      <c r="D60" s="12">
        <f t="shared" si="12"/>
        <v>2.8799999999999999E-2</v>
      </c>
      <c r="E60" s="12">
        <f t="shared" si="14"/>
        <v>6.4999999999999997E-3</v>
      </c>
      <c r="F60" s="12">
        <f t="shared" si="15"/>
        <v>0.03</v>
      </c>
      <c r="G60" s="12">
        <f>Parâmetros!$C$14*13.33*(Parâmetros!$C$15+FGTS+Sist_S_SAT)/Dados!B60</f>
        <v>2.9091392000000003E-3</v>
      </c>
      <c r="H60" s="13">
        <f>B60*Parâmetros!$C$13/Dados!B60</f>
        <v>0.05</v>
      </c>
      <c r="I60" s="23">
        <f t="shared" si="6"/>
        <v>0.1790091392</v>
      </c>
      <c r="J60" s="178">
        <f>VLOOKUP(B60,LP_FX[],8,TRUE)*Parâmetros!$M$124/B60</f>
        <v>3.9526219410215516E-2</v>
      </c>
      <c r="K60" s="12">
        <f>Parâmetros!$C$20*(2*VLOOKUP(B60,LP_FX[],8,TRUE)/(VLOOKUP(B60,LP_FX[],1,TRUE)+VLOOKUP(B60,LP_FX[],2,TRUE)))</f>
        <v>4.7857216487833212E-2</v>
      </c>
      <c r="L60" s="163">
        <f t="shared" si="7"/>
        <v>0.22395721648783318</v>
      </c>
      <c r="M60" s="165">
        <f>IF($B60&lt;=3600000,$B60*INDEX(Parâmetros!$F$7:$M$26,ROUNDUP(($B60/180000),0),4)/$B60,$B60*INDEX(Parâmetros!$F$7:$M$26,20,4)/$B60)</f>
        <v>1.6199999999999999E-2</v>
      </c>
      <c r="N60" s="12">
        <f>IF($B60&lt;=3600000,$B60*INDEX(Parâmetros!$F$7:$M$26,ROUNDUP(($B60/180000),0),5)/$B60,$B60*INDEX(Parâmetros!$F$7:$M$26,20,5)/$B60)</f>
        <v>1.9300000000000001E-2</v>
      </c>
      <c r="O60" s="12">
        <f>IF($B60&lt;=3600000,$B60*INDEX(Parâmetros!$F$7:$M$26,ROUNDUP(($B60/180000),0),6)/$B60,$B60*INDEX(Parâmetros!$F$7:$M$26,20,6)/$B60)</f>
        <v>3.3999999999999998E-3</v>
      </c>
      <c r="P60" s="12">
        <f>IF($B60&lt;=3600000,$B60*INDEX(Parâmetros!$F$7:$M$26,ROUNDUP(($B60/180000),0),7)/$B60,$B60*INDEX(Parâmetros!$F$7:$M$26,20,7)/$B60)</f>
        <v>2.1100000000000001E-2</v>
      </c>
      <c r="Q60" s="12">
        <f>Parâmetros!$C$14*13.33*(Parâmetros!$C$15+FGTS)/B60</f>
        <v>2.6276096000000001E-3</v>
      </c>
      <c r="R60" s="12">
        <f>IF($B60&lt;=3600000,$B60*INDEX(Parâmetros!$F$7:$M$26,ROUNDUP(($B60/180000),0),8)/$B60,$B60*INDEX(Parâmetros!$F$7:$M$26,20,8)/$B60)</f>
        <v>4.2599999999999999E-2</v>
      </c>
      <c r="S60" s="23">
        <f t="shared" si="8"/>
        <v>0.10522760960000001</v>
      </c>
      <c r="T60" s="12">
        <f t="shared" si="16"/>
        <v>0.22760825645192889</v>
      </c>
      <c r="U60" s="64">
        <v>0</v>
      </c>
      <c r="V60" s="64">
        <v>0</v>
      </c>
      <c r="W60" s="64">
        <v>0</v>
      </c>
      <c r="X60" s="64">
        <f t="shared" si="17"/>
        <v>1.1068848096000002E-2</v>
      </c>
      <c r="Y60" s="64">
        <v>0</v>
      </c>
      <c r="Z60" s="81">
        <f t="shared" si="9"/>
        <v>0.2386771045479289</v>
      </c>
      <c r="AB60" s="153">
        <f>1-IF(B60&lt;=Parâmetros!$G$65,Parâmetros!$L$65,IF(B60&lt;=Parâmetros!$G$66,Parâmetros!$L$66,IF(B60&lt;=Parâmetros!$G$67,Parâmetros!$L$67,IF(B60&lt;=Parâmetros!$G$68,Parâmetros!$L$68,IF(B60&lt;=Parâmetros!$G$69,Parâmetros!$J$69,Parâmetros!$L$70)))))</f>
        <v>0.85763787800701408</v>
      </c>
    </row>
    <row r="61" spans="1:28" s="14" customFormat="1" x14ac:dyDescent="0.2">
      <c r="A61" s="1"/>
      <c r="B61" s="11">
        <f t="shared" si="18"/>
        <v>1300000</v>
      </c>
      <c r="C61" s="12">
        <f t="shared" ref="C61:C92" si="19">IF($B61&lt;=240000/BC_IR,($B61*(Al_IR)*BC_IR)/$B61,($B61*(Al_IR)*BC_IR+($B61-(240000/BC_IR))*BC_IR*Al_aIR)/$B61)</f>
        <v>6.1538461538461542E-2</v>
      </c>
      <c r="D61" s="12">
        <f t="shared" ref="D61:D92" si="20">$B61*(Al_CS)*BC_CS/$B61</f>
        <v>2.8799999999999999E-2</v>
      </c>
      <c r="E61" s="12">
        <f t="shared" si="14"/>
        <v>6.4999999999999997E-3</v>
      </c>
      <c r="F61" s="12">
        <f t="shared" si="15"/>
        <v>0.03</v>
      </c>
      <c r="G61" s="12">
        <f>Parâmetros!$C$14*13.33*(Parâmetros!$C$15+FGTS+Sist_S_SAT)/Dados!B61</f>
        <v>2.7972492307692309E-3</v>
      </c>
      <c r="H61" s="13">
        <f>B61*Parâmetros!$C$13/Dados!B61</f>
        <v>0.05</v>
      </c>
      <c r="I61" s="23">
        <f t="shared" si="6"/>
        <v>0.17963571076923079</v>
      </c>
      <c r="J61" s="178">
        <f>VLOOKUP(B61,LP_FX[],8,TRUE)*Parâmetros!$M$124/B61</f>
        <v>3.8005980202130307E-2</v>
      </c>
      <c r="K61" s="12">
        <f>Parâmetros!$C$20*(2*VLOOKUP(B61,LP_FX[],8,TRUE)/(VLOOKUP(B61,LP_FX[],1,TRUE)+VLOOKUP(B61,LP_FX[],2,TRUE)))</f>
        <v>4.7857216487833212E-2</v>
      </c>
      <c r="L61" s="163">
        <f t="shared" si="7"/>
        <v>0.22469567802629475</v>
      </c>
      <c r="M61" s="165">
        <f>IF($B61&lt;=3600000,$B61*INDEX(Parâmetros!$F$7:$M$26,ROUNDUP(($B61/180000),0),4)/$B61,$B61*INDEX(Parâmetros!$F$7:$M$26,20,4)/$B61)</f>
        <v>0.02</v>
      </c>
      <c r="N61" s="12">
        <f>IF($B61&lt;=3600000,$B61*INDEX(Parâmetros!$F$7:$M$26,ROUNDUP(($B61/180000),0),5)/$B61,$B61*INDEX(Parâmetros!$F$7:$M$26,20,5)/$B61)</f>
        <v>1.95E-2</v>
      </c>
      <c r="O61" s="12">
        <f>IF($B61&lt;=3600000,$B61*INDEX(Parâmetros!$F$7:$M$26,ROUNDUP(($B61/180000),0),6)/$B61,$B61*INDEX(Parâmetros!$F$7:$M$26,20,6)/$B61)</f>
        <v>3.5000000000000001E-3</v>
      </c>
      <c r="P61" s="12">
        <f>IF($B61&lt;=3600000,$B61*INDEX(Parâmetros!$F$7:$M$26,ROUNDUP(($B61/180000),0),7)/$B61,$B61*INDEX(Parâmetros!$F$7:$M$26,20,7)/$B61)</f>
        <v>2.1499999999999998E-2</v>
      </c>
      <c r="Q61" s="12">
        <f>Parâmetros!$C$14*13.33*(Parâmetros!$C$15+FGTS)/B61</f>
        <v>2.5265476923076926E-3</v>
      </c>
      <c r="R61" s="12">
        <f>IF($B61&lt;=3600000,$B61*INDEX(Parâmetros!$F$7:$M$26,ROUNDUP(($B61/180000),0),8)/$B61,$B61*INDEX(Parâmetros!$F$7:$M$26,20,8)/$B61)</f>
        <v>4.3099999999999999E-2</v>
      </c>
      <c r="S61" s="23">
        <f t="shared" si="8"/>
        <v>0.11012654769230769</v>
      </c>
      <c r="T61" s="12">
        <f t="shared" si="16"/>
        <v>0.22792526260577506</v>
      </c>
      <c r="U61" s="64">
        <v>0</v>
      </c>
      <c r="V61" s="64">
        <v>0</v>
      </c>
      <c r="W61" s="64">
        <v>0</v>
      </c>
      <c r="X61" s="64">
        <f t="shared" si="17"/>
        <v>1.0643123169230771E-2</v>
      </c>
      <c r="Y61" s="64">
        <v>0</v>
      </c>
      <c r="Z61" s="81">
        <f t="shared" si="9"/>
        <v>0.23856838577500583</v>
      </c>
      <c r="AB61" s="153">
        <f>1-IF(B61&lt;=Parâmetros!$G$65,Parâmetros!$L$65,IF(B61&lt;=Parâmetros!$G$66,Parâmetros!$L$66,IF(B61&lt;=Parâmetros!$G$67,Parâmetros!$L$67,IF(B61&lt;=Parâmetros!$G$68,Parâmetros!$L$68,IF(B61&lt;=Parâmetros!$G$69,Parâmetros!$J$69,Parâmetros!$L$70)))))</f>
        <v>0.85763787800701408</v>
      </c>
    </row>
    <row r="62" spans="1:28" s="14" customFormat="1" x14ac:dyDescent="0.2">
      <c r="A62" s="1"/>
      <c r="B62" s="11">
        <f t="shared" si="18"/>
        <v>1350000</v>
      </c>
      <c r="C62" s="12">
        <f t="shared" si="19"/>
        <v>6.222222222222222E-2</v>
      </c>
      <c r="D62" s="12">
        <f t="shared" si="20"/>
        <v>2.8799999999999999E-2</v>
      </c>
      <c r="E62" s="12">
        <f t="shared" si="14"/>
        <v>6.4999999999999997E-3</v>
      </c>
      <c r="F62" s="12">
        <f t="shared" si="15"/>
        <v>0.03</v>
      </c>
      <c r="G62" s="12">
        <f>Parâmetros!$C$14*13.33*(Parâmetros!$C$15+FGTS+Sist_S_SAT)/Dados!B62</f>
        <v>2.6936474074074077E-3</v>
      </c>
      <c r="H62" s="13">
        <f>B62*Parâmetros!$C$13/Dados!B62</f>
        <v>0.05</v>
      </c>
      <c r="I62" s="23">
        <f t="shared" si="6"/>
        <v>0.18021586962962965</v>
      </c>
      <c r="J62" s="178">
        <f>VLOOKUP(B62,LP_FX[],8,TRUE)*Parâmetros!$M$124/B62</f>
        <v>3.659835130575511E-2</v>
      </c>
      <c r="K62" s="12">
        <f>Parâmetros!$C$20*(2*VLOOKUP(B62,LP_FX[],8,TRUE)/(VLOOKUP(B62,LP_FX[],1,TRUE)+VLOOKUP(B62,LP_FX[],2,TRUE)))</f>
        <v>4.7857216487833212E-2</v>
      </c>
      <c r="L62" s="163">
        <f t="shared" si="7"/>
        <v>0.22537943871005545</v>
      </c>
      <c r="M62" s="165">
        <f>IF($B62&lt;=3600000,$B62*INDEX(Parâmetros!$F$7:$M$26,ROUNDUP(($B62/180000),0),4)/$B62,$B62*INDEX(Parâmetros!$F$7:$M$26,20,4)/$B62)</f>
        <v>0.02</v>
      </c>
      <c r="N62" s="12">
        <f>IF($B62&lt;=3600000,$B62*INDEX(Parâmetros!$F$7:$M$26,ROUNDUP(($B62/180000),0),5)/$B62,$B62*INDEX(Parâmetros!$F$7:$M$26,20,5)/$B62)</f>
        <v>1.95E-2</v>
      </c>
      <c r="O62" s="12">
        <f>IF($B62&lt;=3600000,$B62*INDEX(Parâmetros!$F$7:$M$26,ROUNDUP(($B62/180000),0),6)/$B62,$B62*INDEX(Parâmetros!$F$7:$M$26,20,6)/$B62)</f>
        <v>3.5000000000000001E-3</v>
      </c>
      <c r="P62" s="12">
        <f>IF($B62&lt;=3600000,$B62*INDEX(Parâmetros!$F$7:$M$26,ROUNDUP(($B62/180000),0),7)/$B62,$B62*INDEX(Parâmetros!$F$7:$M$26,20,7)/$B62)</f>
        <v>2.1499999999999998E-2</v>
      </c>
      <c r="Q62" s="12">
        <f>Parâmetros!$C$14*13.33*(Parâmetros!$C$15+FGTS)/B62</f>
        <v>2.432971851851852E-3</v>
      </c>
      <c r="R62" s="12">
        <f>IF($B62&lt;=3600000,$B62*INDEX(Parâmetros!$F$7:$M$26,ROUNDUP(($B62/180000),0),8)/$B62,$B62*INDEX(Parâmetros!$F$7:$M$26,20,8)/$B62)</f>
        <v>4.3099999999999999E-2</v>
      </c>
      <c r="S62" s="23">
        <f t="shared" si="8"/>
        <v>0.11003297185185185</v>
      </c>
      <c r="T62" s="12">
        <f t="shared" si="16"/>
        <v>0.22821878682229924</v>
      </c>
      <c r="U62" s="64">
        <v>0</v>
      </c>
      <c r="V62" s="64">
        <v>0</v>
      </c>
      <c r="W62" s="64">
        <v>0</v>
      </c>
      <c r="X62" s="64">
        <f t="shared" si="17"/>
        <v>1.0248933422222224E-2</v>
      </c>
      <c r="Y62" s="64">
        <v>0</v>
      </c>
      <c r="Z62" s="81">
        <f t="shared" si="9"/>
        <v>0.23846772024452145</v>
      </c>
      <c r="AB62" s="153">
        <f>1-IF(B62&lt;=Parâmetros!$G$65,Parâmetros!$L$65,IF(B62&lt;=Parâmetros!$G$66,Parâmetros!$L$66,IF(B62&lt;=Parâmetros!$G$67,Parâmetros!$L$67,IF(B62&lt;=Parâmetros!$G$68,Parâmetros!$L$68,IF(B62&lt;=Parâmetros!$G$69,Parâmetros!$J$69,Parâmetros!$L$70)))))</f>
        <v>0.85763787800701408</v>
      </c>
    </row>
    <row r="63" spans="1:28" s="14" customFormat="1" x14ac:dyDescent="0.2">
      <c r="A63" s="1"/>
      <c r="B63" s="11">
        <f t="shared" si="18"/>
        <v>1400000</v>
      </c>
      <c r="C63" s="12">
        <f t="shared" si="19"/>
        <v>6.2857142857142861E-2</v>
      </c>
      <c r="D63" s="12">
        <f t="shared" si="20"/>
        <v>2.8799999999999999E-2</v>
      </c>
      <c r="E63" s="12">
        <f t="shared" si="14"/>
        <v>6.4999999999999997E-3</v>
      </c>
      <c r="F63" s="12">
        <f t="shared" si="15"/>
        <v>0.03</v>
      </c>
      <c r="G63" s="12">
        <f>Parâmetros!$C$14*13.33*(Parâmetros!$C$15+FGTS+Sist_S_SAT)/Dados!B63</f>
        <v>2.5974457142857147E-3</v>
      </c>
      <c r="H63" s="13">
        <f>B63*Parâmetros!$C$13/Dados!B63</f>
        <v>0.05</v>
      </c>
      <c r="I63" s="23">
        <f t="shared" si="6"/>
        <v>0.18075458857142856</v>
      </c>
      <c r="J63" s="178">
        <f>VLOOKUP(B63,LP_FX[],8,TRUE)*Parâmetros!$M$124/B63</f>
        <v>3.5291267330549568E-2</v>
      </c>
      <c r="K63" s="12">
        <f>Parâmetros!$C$20*(2*VLOOKUP(B63,LP_FX[],8,TRUE)/(VLOOKUP(B63,LP_FX[],1,TRUE)+VLOOKUP(B63,LP_FX[],2,TRUE)))</f>
        <v>4.7857216487833212E-2</v>
      </c>
      <c r="L63" s="163">
        <f t="shared" si="7"/>
        <v>0.22601435934497605</v>
      </c>
      <c r="M63" s="165">
        <f>IF($B63&lt;=3600000,$B63*INDEX(Parâmetros!$F$7:$M$26,ROUNDUP(($B63/180000),0),4)/$B63,$B63*INDEX(Parâmetros!$F$7:$M$26,20,4)/$B63)</f>
        <v>0.02</v>
      </c>
      <c r="N63" s="12">
        <f>IF($B63&lt;=3600000,$B63*INDEX(Parâmetros!$F$7:$M$26,ROUNDUP(($B63/180000),0),5)/$B63,$B63*INDEX(Parâmetros!$F$7:$M$26,20,5)/$B63)</f>
        <v>1.95E-2</v>
      </c>
      <c r="O63" s="12">
        <f>IF($B63&lt;=3600000,$B63*INDEX(Parâmetros!$F$7:$M$26,ROUNDUP(($B63/180000),0),6)/$B63,$B63*INDEX(Parâmetros!$F$7:$M$26,20,6)/$B63)</f>
        <v>3.5000000000000001E-3</v>
      </c>
      <c r="P63" s="12">
        <f>IF($B63&lt;=3600000,$B63*INDEX(Parâmetros!$F$7:$M$26,ROUNDUP(($B63/180000),0),7)/$B63,$B63*INDEX(Parâmetros!$F$7:$M$26,20,7)/$B63)</f>
        <v>2.1499999999999998E-2</v>
      </c>
      <c r="Q63" s="12">
        <f>Parâmetros!$C$14*13.33*(Parâmetros!$C$15+FGTS)/B63</f>
        <v>2.34608E-3</v>
      </c>
      <c r="R63" s="12">
        <f>IF($B63&lt;=3600000,$B63*INDEX(Parâmetros!$F$7:$M$26,ROUNDUP(($B63/180000),0),8)/$B63,$B63*INDEX(Parâmetros!$F$7:$M$26,20,8)/$B63)</f>
        <v>4.3099999999999999E-2</v>
      </c>
      <c r="S63" s="23">
        <f t="shared" si="8"/>
        <v>0.10994608</v>
      </c>
      <c r="T63" s="12">
        <f t="shared" si="16"/>
        <v>0.22849134502335744</v>
      </c>
      <c r="U63" s="64">
        <v>0</v>
      </c>
      <c r="V63" s="64">
        <v>0</v>
      </c>
      <c r="W63" s="64">
        <v>0</v>
      </c>
      <c r="X63" s="64">
        <f t="shared" si="17"/>
        <v>9.8829000857142864E-3</v>
      </c>
      <c r="Y63" s="64">
        <v>0</v>
      </c>
      <c r="Z63" s="81">
        <f t="shared" si="9"/>
        <v>0.23837424510907174</v>
      </c>
      <c r="AB63" s="153">
        <f>1-IF(B63&lt;=Parâmetros!$G$65,Parâmetros!$L$65,IF(B63&lt;=Parâmetros!$G$66,Parâmetros!$L$66,IF(B63&lt;=Parâmetros!$G$67,Parâmetros!$L$67,IF(B63&lt;=Parâmetros!$G$68,Parâmetros!$L$68,IF(B63&lt;=Parâmetros!$G$69,Parâmetros!$J$69,Parâmetros!$L$70)))))</f>
        <v>0.85763787800701408</v>
      </c>
    </row>
    <row r="64" spans="1:28" s="14" customFormat="1" x14ac:dyDescent="0.2">
      <c r="A64" s="1"/>
      <c r="B64" s="11">
        <f t="shared" si="18"/>
        <v>1450000</v>
      </c>
      <c r="C64" s="12">
        <f t="shared" si="19"/>
        <v>6.344827586206897E-2</v>
      </c>
      <c r="D64" s="12">
        <f t="shared" si="20"/>
        <v>2.8799999999999999E-2</v>
      </c>
      <c r="E64" s="12">
        <f t="shared" si="14"/>
        <v>6.4999999999999997E-3</v>
      </c>
      <c r="F64" s="12">
        <f t="shared" si="15"/>
        <v>0.03</v>
      </c>
      <c r="G64" s="12">
        <f>Parâmetros!$C$14*13.33*(Parâmetros!$C$15+FGTS+Sist_S_SAT)/Dados!B64</f>
        <v>2.5078786206896553E-3</v>
      </c>
      <c r="H64" s="13">
        <f>B64*Parâmetros!$C$13/Dados!B64</f>
        <v>0.05</v>
      </c>
      <c r="I64" s="23">
        <f t="shared" si="6"/>
        <v>0.18125615448275861</v>
      </c>
      <c r="J64" s="178">
        <f>VLOOKUP(B64,LP_FX[],8,TRUE)*Parâmetros!$M$124/B64</f>
        <v>3.4074327077771999E-2</v>
      </c>
      <c r="K64" s="12">
        <f>Parâmetros!$C$20*(2*VLOOKUP(B64,LP_FX[],8,TRUE)/(VLOOKUP(B64,LP_FX[],1,TRUE)+VLOOKUP(B64,LP_FX[],2,TRUE)))</f>
        <v>4.7857216487833212E-2</v>
      </c>
      <c r="L64" s="163">
        <f t="shared" si="7"/>
        <v>0.22660549234990218</v>
      </c>
      <c r="M64" s="165">
        <f>IF($B64&lt;=3600000,$B64*INDEX(Parâmetros!$F$7:$M$26,ROUNDUP(($B64/180000),0),4)/$B64,$B64*INDEX(Parâmetros!$F$7:$M$26,20,4)/$B64)</f>
        <v>2.3699999999999999E-2</v>
      </c>
      <c r="N64" s="12">
        <f>IF($B64&lt;=3600000,$B64*INDEX(Parâmetros!$F$7:$M$26,ROUNDUP(($B64/180000),0),5)/$B64,$B64*INDEX(Parâmetros!$F$7:$M$26,20,5)/$B64)</f>
        <v>1.9699999999999999E-2</v>
      </c>
      <c r="O64" s="12">
        <f>IF($B64&lt;=3600000,$B64*INDEX(Parâmetros!$F$7:$M$26,ROUNDUP(($B64/180000),0),6)/$B64,$B64*INDEX(Parâmetros!$F$7:$M$26,20,6)/$B64)</f>
        <v>3.7000000000000002E-3</v>
      </c>
      <c r="P64" s="12">
        <f>IF($B64&lt;=3600000,$B64*INDEX(Parâmetros!$F$7:$M$26,ROUNDUP(($B64/180000),0),7)/$B64,$B64*INDEX(Parâmetros!$F$7:$M$26,20,7)/$B64)</f>
        <v>2.1899999999999999E-2</v>
      </c>
      <c r="Q64" s="12">
        <f>Parâmetros!$C$14*13.33*(Parâmetros!$C$15+FGTS)/B64</f>
        <v>2.2651806896551727E-3</v>
      </c>
      <c r="R64" s="12">
        <f>IF($B64&lt;=3600000,$B64*INDEX(Parâmetros!$F$7:$M$26,ROUNDUP(($B64/180000),0),8)/$B64,$B64*INDEX(Parâmetros!$F$7:$M$26,20,8)/$B64)</f>
        <v>4.6100000000000002E-2</v>
      </c>
      <c r="S64" s="23">
        <f t="shared" si="8"/>
        <v>0.11736518068965517</v>
      </c>
      <c r="T64" s="12">
        <f t="shared" si="16"/>
        <v>0.2287451061071013</v>
      </c>
      <c r="U64" s="64">
        <v>0</v>
      </c>
      <c r="V64" s="64">
        <v>0</v>
      </c>
      <c r="W64" s="64">
        <v>0</v>
      </c>
      <c r="X64" s="64">
        <f t="shared" si="17"/>
        <v>9.542110427586209E-3</v>
      </c>
      <c r="Y64" s="64">
        <v>0</v>
      </c>
      <c r="Z64" s="81">
        <f t="shared" si="9"/>
        <v>0.23828721653468751</v>
      </c>
      <c r="AB64" s="153">
        <f>1-IF(B64&lt;=Parâmetros!$G$65,Parâmetros!$L$65,IF(B64&lt;=Parâmetros!$G$66,Parâmetros!$L$66,IF(B64&lt;=Parâmetros!$G$67,Parâmetros!$L$67,IF(B64&lt;=Parâmetros!$G$68,Parâmetros!$L$68,IF(B64&lt;=Parâmetros!$G$69,Parâmetros!$J$69,Parâmetros!$L$70)))))</f>
        <v>0.85763787800701408</v>
      </c>
    </row>
    <row r="65" spans="1:28" s="14" customFormat="1" x14ac:dyDescent="0.2">
      <c r="A65" s="1"/>
      <c r="B65" s="11">
        <f t="shared" si="18"/>
        <v>1500000</v>
      </c>
      <c r="C65" s="12">
        <f t="shared" si="19"/>
        <v>6.4000000000000001E-2</v>
      </c>
      <c r="D65" s="12">
        <f t="shared" si="20"/>
        <v>2.8799999999999999E-2</v>
      </c>
      <c r="E65" s="12">
        <f t="shared" si="14"/>
        <v>6.4999999999999997E-3</v>
      </c>
      <c r="F65" s="12">
        <f t="shared" si="15"/>
        <v>0.03</v>
      </c>
      <c r="G65" s="12">
        <f>Parâmetros!$C$14*13.33*(Parâmetros!$C$15+FGTS+Sist_S_SAT)/Dados!B65</f>
        <v>2.424282666666667E-3</v>
      </c>
      <c r="H65" s="13">
        <f>B65*Parâmetros!$C$13/Dados!B65</f>
        <v>0.05</v>
      </c>
      <c r="I65" s="23">
        <f t="shared" si="6"/>
        <v>0.18172428266666668</v>
      </c>
      <c r="J65" s="178">
        <f>VLOOKUP(B65,LP_FX[],8,TRUE)*Parâmetros!$M$124/B65</f>
        <v>3.2938516175179594E-2</v>
      </c>
      <c r="K65" s="12">
        <f>Parâmetros!$C$20*(2*VLOOKUP(B65,LP_FX[],8,TRUE)/(VLOOKUP(B65,LP_FX[],1,TRUE)+VLOOKUP(B65,LP_FX[],2,TRUE)))</f>
        <v>4.7857216487833212E-2</v>
      </c>
      <c r="L65" s="163">
        <f t="shared" si="7"/>
        <v>0.22715721648783321</v>
      </c>
      <c r="M65" s="165">
        <f>IF($B65&lt;=3600000,$B65*INDEX(Parâmetros!$F$7:$M$26,ROUNDUP(($B65/180000),0),4)/$B65,$B65*INDEX(Parâmetros!$F$7:$M$26,20,4)/$B65)</f>
        <v>2.3699999999999999E-2</v>
      </c>
      <c r="N65" s="12">
        <f>IF($B65&lt;=3600000,$B65*INDEX(Parâmetros!$F$7:$M$26,ROUNDUP(($B65/180000),0),5)/$B65,$B65*INDEX(Parâmetros!$F$7:$M$26,20,5)/$B65)</f>
        <v>1.9699999999999999E-2</v>
      </c>
      <c r="O65" s="12">
        <f>IF($B65&lt;=3600000,$B65*INDEX(Parâmetros!$F$7:$M$26,ROUNDUP(($B65/180000),0),6)/$B65,$B65*INDEX(Parâmetros!$F$7:$M$26,20,6)/$B65)</f>
        <v>3.7000000000000002E-3</v>
      </c>
      <c r="P65" s="12">
        <f>IF($B65&lt;=3600000,$B65*INDEX(Parâmetros!$F$7:$M$26,ROUNDUP(($B65/180000),0),7)/$B65,$B65*INDEX(Parâmetros!$F$7:$M$26,20,7)/$B65)</f>
        <v>2.1899999999999999E-2</v>
      </c>
      <c r="Q65" s="12">
        <f>Parâmetros!$C$14*13.33*(Parâmetros!$C$15+FGTS)/B65</f>
        <v>2.1896746666666667E-3</v>
      </c>
      <c r="R65" s="12">
        <f>IF($B65&lt;=3600000,$B65*INDEX(Parâmetros!$F$7:$M$26,ROUNDUP(($B65/180000),0),8)/$B65,$B65*INDEX(Parâmetros!$F$7:$M$26,20,8)/$B65)</f>
        <v>4.6100000000000002E-2</v>
      </c>
      <c r="S65" s="23">
        <f t="shared" si="8"/>
        <v>0.11728967466666666</v>
      </c>
      <c r="T65" s="12">
        <f t="shared" si="16"/>
        <v>0.22898194978526223</v>
      </c>
      <c r="U65" s="64">
        <v>0</v>
      </c>
      <c r="V65" s="64">
        <v>0</v>
      </c>
      <c r="W65" s="64">
        <v>0</v>
      </c>
      <c r="X65" s="64">
        <f t="shared" si="17"/>
        <v>9.2240400800000007E-3</v>
      </c>
      <c r="Y65" s="64">
        <v>0</v>
      </c>
      <c r="Z65" s="81">
        <f t="shared" si="9"/>
        <v>0.23820598986526223</v>
      </c>
      <c r="AB65" s="153">
        <f>1-IF(B65&lt;=Parâmetros!$G$65,Parâmetros!$L$65,IF(B65&lt;=Parâmetros!$G$66,Parâmetros!$L$66,IF(B65&lt;=Parâmetros!$G$67,Parâmetros!$L$67,IF(B65&lt;=Parâmetros!$G$68,Parâmetros!$L$68,IF(B65&lt;=Parâmetros!$G$69,Parâmetros!$J$69,Parâmetros!$L$70)))))</f>
        <v>0.85763787800701408</v>
      </c>
    </row>
    <row r="66" spans="1:28" s="14" customFormat="1" x14ac:dyDescent="0.2">
      <c r="A66" s="1"/>
      <c r="B66" s="11">
        <f t="shared" si="18"/>
        <v>1550000</v>
      </c>
      <c r="C66" s="12">
        <f t="shared" si="19"/>
        <v>6.4516129032258063E-2</v>
      </c>
      <c r="D66" s="12">
        <f t="shared" si="20"/>
        <v>2.8799999999999999E-2</v>
      </c>
      <c r="E66" s="12">
        <f t="shared" si="14"/>
        <v>6.4999999999999997E-3</v>
      </c>
      <c r="F66" s="12">
        <f t="shared" si="15"/>
        <v>0.03</v>
      </c>
      <c r="G66" s="12">
        <f>Parâmetros!$C$14*13.33*(Parâmetros!$C$15+FGTS+Sist_S_SAT)/Dados!B66</f>
        <v>2.3460800000000004E-3</v>
      </c>
      <c r="H66" s="13">
        <f>B66*Parâmetros!$C$13/Dados!B66</f>
        <v>0.05</v>
      </c>
      <c r="I66" s="23">
        <f t="shared" si="6"/>
        <v>0.18216220903225805</v>
      </c>
      <c r="J66" s="178">
        <f>VLOOKUP(B66,LP_FX[],8,TRUE)*Parâmetros!$M$124/B66</f>
        <v>3.1875983395335095E-2</v>
      </c>
      <c r="K66" s="12">
        <f>Parâmetros!$C$20*(2*VLOOKUP(B66,LP_FX[],8,TRUE)/(VLOOKUP(B66,LP_FX[],1,TRUE)+VLOOKUP(B66,LP_FX[],2,TRUE)))</f>
        <v>4.7857216487833212E-2</v>
      </c>
      <c r="L66" s="163">
        <f t="shared" si="7"/>
        <v>0.22767334552009127</v>
      </c>
      <c r="M66" s="165">
        <f>IF($B66&lt;=3600000,$B66*INDEX(Parâmetros!$F$7:$M$26,ROUNDUP(($B66/180000),0),4)/$B66,$B66*INDEX(Parâmetros!$F$7:$M$26,20,4)/$B66)</f>
        <v>2.3699999999999999E-2</v>
      </c>
      <c r="N66" s="12">
        <f>IF($B66&lt;=3600000,$B66*INDEX(Parâmetros!$F$7:$M$26,ROUNDUP(($B66/180000),0),5)/$B66,$B66*INDEX(Parâmetros!$F$7:$M$26,20,5)/$B66)</f>
        <v>1.9699999999999999E-2</v>
      </c>
      <c r="O66" s="12">
        <f>IF($B66&lt;=3600000,$B66*INDEX(Parâmetros!$F$7:$M$26,ROUNDUP(($B66/180000),0),6)/$B66,$B66*INDEX(Parâmetros!$F$7:$M$26,20,6)/$B66)</f>
        <v>3.7000000000000002E-3</v>
      </c>
      <c r="P66" s="12">
        <f>IF($B66&lt;=3600000,$B66*INDEX(Parâmetros!$F$7:$M$26,ROUNDUP(($B66/180000),0),7)/$B66,$B66*INDEX(Parâmetros!$F$7:$M$26,20,7)/$B66)</f>
        <v>2.1899999999999999E-2</v>
      </c>
      <c r="Q66" s="12">
        <f>Parâmetros!$C$14*13.33*(Parâmetros!$C$15+FGTS)/B66</f>
        <v>2.11904E-3</v>
      </c>
      <c r="R66" s="12">
        <f>IF($B66&lt;=3600000,$B66*INDEX(Parâmetros!$F$7:$M$26,ROUNDUP(($B66/180000),0),8)/$B66,$B66*INDEX(Parâmetros!$F$7:$M$26,20,8)/$B66)</f>
        <v>4.6100000000000002E-2</v>
      </c>
      <c r="S66" s="23">
        <f t="shared" si="8"/>
        <v>0.11721904</v>
      </c>
      <c r="T66" s="12">
        <f t="shared" si="16"/>
        <v>0.22920351322612245</v>
      </c>
      <c r="U66" s="64">
        <v>0</v>
      </c>
      <c r="V66" s="64">
        <v>0</v>
      </c>
      <c r="W66" s="64">
        <v>0</v>
      </c>
      <c r="X66" s="64">
        <f t="shared" si="17"/>
        <v>8.9264904000000006E-3</v>
      </c>
      <c r="Y66" s="64">
        <v>0</v>
      </c>
      <c r="Z66" s="81">
        <f t="shared" si="9"/>
        <v>0.23813000362612247</v>
      </c>
      <c r="AB66" s="153">
        <f>1-IF(B66&lt;=Parâmetros!$G$65,Parâmetros!$L$65,IF(B66&lt;=Parâmetros!$G$66,Parâmetros!$L$66,IF(B66&lt;=Parâmetros!$G$67,Parâmetros!$L$67,IF(B66&lt;=Parâmetros!$G$68,Parâmetros!$L$68,IF(B66&lt;=Parâmetros!$G$69,Parâmetros!$J$69,Parâmetros!$L$70)))))</f>
        <v>0.85763787800701408</v>
      </c>
    </row>
    <row r="67" spans="1:28" s="14" customFormat="1" x14ac:dyDescent="0.2">
      <c r="A67" s="1"/>
      <c r="B67" s="11">
        <f t="shared" si="18"/>
        <v>1600000</v>
      </c>
      <c r="C67" s="12">
        <f t="shared" si="19"/>
        <v>6.5000000000000002E-2</v>
      </c>
      <c r="D67" s="12">
        <f t="shared" si="20"/>
        <v>2.8799999999999999E-2</v>
      </c>
      <c r="E67" s="12">
        <f t="shared" si="14"/>
        <v>6.4999999999999997E-3</v>
      </c>
      <c r="F67" s="12">
        <f t="shared" si="15"/>
        <v>0.03</v>
      </c>
      <c r="G67" s="12">
        <f>Parâmetros!$C$14*13.33*(Parâmetros!$C$15+FGTS+Sist_S_SAT)/Dados!B67</f>
        <v>2.2727650000000004E-3</v>
      </c>
      <c r="H67" s="13">
        <f>B67*Parâmetros!$C$13/Dados!B67</f>
        <v>0.05</v>
      </c>
      <c r="I67" s="23">
        <f t="shared" si="6"/>
        <v>0.18257276500000003</v>
      </c>
      <c r="J67" s="178">
        <f>VLOOKUP(B67,LP_FX[],8,TRUE)*Parâmetros!$M$124/B67</f>
        <v>3.0879858914230871E-2</v>
      </c>
      <c r="K67" s="12">
        <f>Parâmetros!$C$20*(2*VLOOKUP(B67,LP_FX[],8,TRUE)/(VLOOKUP(B67,LP_FX[],1,TRUE)+VLOOKUP(B67,LP_FX[],2,TRUE)))</f>
        <v>4.7857216487833212E-2</v>
      </c>
      <c r="L67" s="163">
        <f t="shared" si="7"/>
        <v>0.22815721648783321</v>
      </c>
      <c r="M67" s="165">
        <f>IF($B67&lt;=3600000,$B67*INDEX(Parâmetros!$F$7:$M$26,ROUNDUP(($B67/180000),0),4)/$B67,$B67*INDEX(Parâmetros!$F$7:$M$26,20,4)/$B67)</f>
        <v>2.3699999999999999E-2</v>
      </c>
      <c r="N67" s="12">
        <f>IF($B67&lt;=3600000,$B67*INDEX(Parâmetros!$F$7:$M$26,ROUNDUP(($B67/180000),0),5)/$B67,$B67*INDEX(Parâmetros!$F$7:$M$26,20,5)/$B67)</f>
        <v>1.9699999999999999E-2</v>
      </c>
      <c r="O67" s="12">
        <f>IF($B67&lt;=3600000,$B67*INDEX(Parâmetros!$F$7:$M$26,ROUNDUP(($B67/180000),0),6)/$B67,$B67*INDEX(Parâmetros!$F$7:$M$26,20,6)/$B67)</f>
        <v>3.7000000000000002E-3</v>
      </c>
      <c r="P67" s="12">
        <f>IF($B67&lt;=3600000,$B67*INDEX(Parâmetros!$F$7:$M$26,ROUNDUP(($B67/180000),0),7)/$B67,$B67*INDEX(Parâmetros!$F$7:$M$26,20,7)/$B67)</f>
        <v>2.1899999999999999E-2</v>
      </c>
      <c r="Q67" s="12">
        <f>Parâmetros!$C$14*13.33*(Parâmetros!$C$15+FGTS)/B67</f>
        <v>2.0528199999999999E-3</v>
      </c>
      <c r="R67" s="12">
        <f>IF($B67&lt;=3600000,$B67*INDEX(Parâmetros!$F$7:$M$26,ROUNDUP(($B67/180000),0),8)/$B67,$B67*INDEX(Parâmetros!$F$7:$M$26,20,8)/$B67)</f>
        <v>4.6100000000000002E-2</v>
      </c>
      <c r="S67" s="23">
        <f t="shared" si="8"/>
        <v>0.11715281999999999</v>
      </c>
      <c r="T67" s="12">
        <f t="shared" si="16"/>
        <v>0.22941122895192889</v>
      </c>
      <c r="U67" s="64">
        <v>0</v>
      </c>
      <c r="V67" s="64">
        <v>0</v>
      </c>
      <c r="W67" s="64">
        <v>0</v>
      </c>
      <c r="X67" s="64">
        <f t="shared" si="17"/>
        <v>8.647537575000001E-3</v>
      </c>
      <c r="Y67" s="64">
        <v>0</v>
      </c>
      <c r="Z67" s="81">
        <f t="shared" si="9"/>
        <v>0.23805876652692889</v>
      </c>
      <c r="AB67" s="153">
        <f>1-IF(B67&lt;=Parâmetros!$G$65,Parâmetros!$L$65,IF(B67&lt;=Parâmetros!$G$66,Parâmetros!$L$66,IF(B67&lt;=Parâmetros!$G$67,Parâmetros!$L$67,IF(B67&lt;=Parâmetros!$G$68,Parâmetros!$L$68,IF(B67&lt;=Parâmetros!$G$69,Parâmetros!$J$69,Parâmetros!$L$70)))))</f>
        <v>0.85763787800701408</v>
      </c>
    </row>
    <row r="68" spans="1:28" s="14" customFormat="1" x14ac:dyDescent="0.2">
      <c r="A68" s="1"/>
      <c r="B68" s="11">
        <f t="shared" si="18"/>
        <v>1650000</v>
      </c>
      <c r="C68" s="12">
        <f t="shared" si="19"/>
        <v>6.545454545454546E-2</v>
      </c>
      <c r="D68" s="12">
        <f t="shared" si="20"/>
        <v>2.8799999999999999E-2</v>
      </c>
      <c r="E68" s="12">
        <f t="shared" si="14"/>
        <v>6.4999999999999997E-3</v>
      </c>
      <c r="F68" s="12">
        <f t="shared" si="15"/>
        <v>0.03</v>
      </c>
      <c r="G68" s="12">
        <f>Parâmetros!$C$14*13.33*(Parâmetros!$C$15+FGTS+Sist_S_SAT)/Dados!B68</f>
        <v>2.2038933333333338E-3</v>
      </c>
      <c r="H68" s="13">
        <f>B68*Parâmetros!$C$13/Dados!B68</f>
        <v>0.05</v>
      </c>
      <c r="I68" s="23">
        <f t="shared" si="6"/>
        <v>0.18295843878787882</v>
      </c>
      <c r="J68" s="178">
        <f>VLOOKUP(B68,LP_FX[],8,TRUE)*Parâmetros!$M$124/B68</f>
        <v>2.9944105613799635E-2</v>
      </c>
      <c r="K68" s="12">
        <f>Parâmetros!$C$20*(2*VLOOKUP(B68,LP_FX[],8,TRUE)/(VLOOKUP(B68,LP_FX[],1,TRUE)+VLOOKUP(B68,LP_FX[],2,TRUE)))</f>
        <v>4.7857216487833212E-2</v>
      </c>
      <c r="L68" s="163">
        <f t="shared" si="7"/>
        <v>0.22861176194237864</v>
      </c>
      <c r="M68" s="165">
        <f>IF($B68&lt;=3600000,$B68*INDEX(Parâmetros!$F$7:$M$26,ROUNDUP(($B68/180000),0),4)/$B68,$B68*INDEX(Parâmetros!$F$7:$M$26,20,4)/$B68)</f>
        <v>2.7400000000000001E-2</v>
      </c>
      <c r="N68" s="12">
        <f>IF($B68&lt;=3600000,$B68*INDEX(Parâmetros!$F$7:$M$26,ROUNDUP(($B68/180000),0),5)/$B68,$B68*INDEX(Parâmetros!$F$7:$M$26,20,5)/$B68)</f>
        <v>0.02</v>
      </c>
      <c r="O68" s="12">
        <f>IF($B68&lt;=3600000,$B68*INDEX(Parâmetros!$F$7:$M$26,ROUNDUP(($B68/180000),0),6)/$B68,$B68*INDEX(Parâmetros!$F$7:$M$26,20,6)/$B68)</f>
        <v>3.8E-3</v>
      </c>
      <c r="P68" s="12">
        <f>IF($B68&lt;=3600000,$B68*INDEX(Parâmetros!$F$7:$M$26,ROUNDUP(($B68/180000),0),7)/$B68,$B68*INDEX(Parâmetros!$F$7:$M$26,20,7)/$B68)</f>
        <v>2.23E-2</v>
      </c>
      <c r="Q68" s="12">
        <f>Parâmetros!$C$14*13.33*(Parâmetros!$C$15+FGTS)/B68</f>
        <v>1.9906133333333336E-3</v>
      </c>
      <c r="R68" s="12">
        <f>IF($B68&lt;=3600000,$B68*INDEX(Parâmetros!$F$7:$M$26,ROUNDUP(($B68/180000),0),8)/$B68,$B68*INDEX(Parâmetros!$F$7:$M$26,20,8)/$B68)</f>
        <v>4.65E-2</v>
      </c>
      <c r="S68" s="23">
        <f t="shared" si="8"/>
        <v>0.12199061333333333</v>
      </c>
      <c r="T68" s="12">
        <f t="shared" si="16"/>
        <v>0.22960635584586825</v>
      </c>
      <c r="U68" s="64">
        <v>0</v>
      </c>
      <c r="V68" s="64">
        <v>0</v>
      </c>
      <c r="W68" s="64">
        <v>0</v>
      </c>
      <c r="X68" s="64">
        <f t="shared" si="17"/>
        <v>8.385490981818183E-3</v>
      </c>
      <c r="Y68" s="64">
        <v>0</v>
      </c>
      <c r="Z68" s="81">
        <f t="shared" si="9"/>
        <v>0.23799184682768643</v>
      </c>
      <c r="AB68" s="153">
        <f>1-IF(B68&lt;=Parâmetros!$G$65,Parâmetros!$L$65,IF(B68&lt;=Parâmetros!$G$66,Parâmetros!$L$66,IF(B68&lt;=Parâmetros!$G$67,Parâmetros!$L$67,IF(B68&lt;=Parâmetros!$G$68,Parâmetros!$L$68,IF(B68&lt;=Parâmetros!$G$69,Parâmetros!$J$69,Parâmetros!$L$70)))))</f>
        <v>0.85763787800701408</v>
      </c>
    </row>
    <row r="69" spans="1:28" s="14" customFormat="1" x14ac:dyDescent="0.2">
      <c r="A69" s="1"/>
      <c r="B69" s="11">
        <f t="shared" si="18"/>
        <v>1700000</v>
      </c>
      <c r="C69" s="12">
        <f t="shared" si="19"/>
        <v>6.5882352941176475E-2</v>
      </c>
      <c r="D69" s="12">
        <f t="shared" si="20"/>
        <v>2.8799999999999999E-2</v>
      </c>
      <c r="E69" s="12">
        <f t="shared" ref="E69:E100" si="21">B69*(Al_Pis)/B69</f>
        <v>6.4999999999999997E-3</v>
      </c>
      <c r="F69" s="12">
        <f t="shared" ref="F69:F100" si="22">B69*(Al_Cofins)/B69</f>
        <v>0.03</v>
      </c>
      <c r="G69" s="12">
        <f>Parâmetros!$C$14*13.33*(Parâmetros!$C$15+FGTS+Sist_S_SAT)/Dados!B69</f>
        <v>2.1390729411764706E-3</v>
      </c>
      <c r="H69" s="13">
        <f>B69*Parâmetros!$C$13/Dados!B69</f>
        <v>0.05</v>
      </c>
      <c r="I69" s="23">
        <f t="shared" si="6"/>
        <v>0.18332142588235295</v>
      </c>
      <c r="J69" s="178">
        <f>VLOOKUP(B69,LP_FX[],8,TRUE)*Parâmetros!$M$124/B69</f>
        <v>2.9063396625158468E-2</v>
      </c>
      <c r="K69" s="12">
        <f>Parâmetros!$C$20*(2*VLOOKUP(B69,LP_FX[],8,TRUE)/(VLOOKUP(B69,LP_FX[],1,TRUE)+VLOOKUP(B69,LP_FX[],2,TRUE)))</f>
        <v>4.7857216487833212E-2</v>
      </c>
      <c r="L69" s="163">
        <f t="shared" si="7"/>
        <v>0.22903956942900966</v>
      </c>
      <c r="M69" s="165">
        <f>IF($B69&lt;=3600000,$B69*INDEX(Parâmetros!$F$7:$M$26,ROUNDUP(($B69/180000),0),4)/$B69,$B69*INDEX(Parâmetros!$F$7:$M$26,20,4)/$B69)</f>
        <v>2.7400000000000001E-2</v>
      </c>
      <c r="N69" s="12">
        <f>IF($B69&lt;=3600000,$B69*INDEX(Parâmetros!$F$7:$M$26,ROUNDUP(($B69/180000),0),5)/$B69,$B69*INDEX(Parâmetros!$F$7:$M$26,20,5)/$B69)</f>
        <v>0.02</v>
      </c>
      <c r="O69" s="12">
        <f>IF($B69&lt;=3600000,$B69*INDEX(Parâmetros!$F$7:$M$26,ROUNDUP(($B69/180000),0),6)/$B69,$B69*INDEX(Parâmetros!$F$7:$M$26,20,6)/$B69)</f>
        <v>3.8E-3</v>
      </c>
      <c r="P69" s="12">
        <f>IF($B69&lt;=3600000,$B69*INDEX(Parâmetros!$F$7:$M$26,ROUNDUP(($B69/180000),0),7)/$B69,$B69*INDEX(Parâmetros!$F$7:$M$26,20,7)/$B69)</f>
        <v>2.23E-2</v>
      </c>
      <c r="Q69" s="12">
        <f>Parâmetros!$C$14*13.33*(Parâmetros!$C$15+FGTS)/B69</f>
        <v>1.9320658823529413E-3</v>
      </c>
      <c r="R69" s="12">
        <f>IF($B69&lt;=3600000,$B69*INDEX(Parâmetros!$F$7:$M$26,ROUNDUP(($B69/180000),0),8)/$B69,$B69*INDEX(Parâmetros!$F$7:$M$26,20,8)/$B69)</f>
        <v>4.65E-2</v>
      </c>
      <c r="S69" s="23">
        <f t="shared" si="8"/>
        <v>0.12193206588235293</v>
      </c>
      <c r="T69" s="12">
        <f t="shared" ref="T69:T100" si="23">IF(B69*AB69&lt;=22499.13,B69*0,IF(B69*AB69&lt;=33477.72,B69*0.075-1687.43,IF(B69*AB69&lt;=44476.74,B69*0.15-4198.26,IF(B69*AB69&lt;=55373.55,B69*0.225-7534.02,B69*AB69*0.275-10302.7))))/B69</f>
        <v>0.22979000468722299</v>
      </c>
      <c r="U69" s="64">
        <v>0</v>
      </c>
      <c r="V69" s="64">
        <v>0</v>
      </c>
      <c r="W69" s="64">
        <v>0</v>
      </c>
      <c r="X69" s="64">
        <f t="shared" ref="X69:X100" si="24">maior_sal_contrib*13.33*20%/B69</f>
        <v>8.1388588941176485E-3</v>
      </c>
      <c r="Y69" s="64">
        <v>0</v>
      </c>
      <c r="Z69" s="81">
        <f t="shared" si="9"/>
        <v>0.23792886358134063</v>
      </c>
      <c r="AB69" s="153">
        <f>1-IF(B69&lt;=Parâmetros!$G$65,Parâmetros!$L$65,IF(B69&lt;=Parâmetros!$G$66,Parâmetros!$L$66,IF(B69&lt;=Parâmetros!$G$67,Parâmetros!$L$67,IF(B69&lt;=Parâmetros!$G$68,Parâmetros!$L$68,IF(B69&lt;=Parâmetros!$G$69,Parâmetros!$J$69,Parâmetros!$L$70)))))</f>
        <v>0.85763787800701408</v>
      </c>
    </row>
    <row r="70" spans="1:28" s="14" customFormat="1" x14ac:dyDescent="0.2">
      <c r="A70" s="1"/>
      <c r="B70" s="11">
        <f t="shared" si="18"/>
        <v>1750000</v>
      </c>
      <c r="C70" s="12">
        <f t="shared" si="19"/>
        <v>6.6285714285714281E-2</v>
      </c>
      <c r="D70" s="12">
        <f t="shared" si="20"/>
        <v>2.8799999999999999E-2</v>
      </c>
      <c r="E70" s="12">
        <f t="shared" si="21"/>
        <v>6.4999999999999997E-3</v>
      </c>
      <c r="F70" s="12">
        <f t="shared" si="22"/>
        <v>0.03</v>
      </c>
      <c r="G70" s="12">
        <f>Parâmetros!$C$14*13.33*(Parâmetros!$C$15+FGTS+Sist_S_SAT)/Dados!B70</f>
        <v>2.0779565714285717E-3</v>
      </c>
      <c r="H70" s="13">
        <f>B70*Parâmetros!$C$13/Dados!B70</f>
        <v>0.05</v>
      </c>
      <c r="I70" s="23">
        <f t="shared" ref="I70:I133" si="25">SUM(C70:H70)</f>
        <v>0.18366367085714286</v>
      </c>
      <c r="J70" s="178">
        <f>VLOOKUP(B70,LP_FX[],8,TRUE)*Parâmetros!$M$124/B70</f>
        <v>2.8233013864439653E-2</v>
      </c>
      <c r="K70" s="12">
        <f>Parâmetros!$C$20*(2*VLOOKUP(B70,LP_FX[],8,TRUE)/(VLOOKUP(B70,LP_FX[],1,TRUE)+VLOOKUP(B70,LP_FX[],2,TRUE)))</f>
        <v>4.7857216487833212E-2</v>
      </c>
      <c r="L70" s="163">
        <f t="shared" ref="L70:L133" si="26">SUM(C70:F70,H70)+K70</f>
        <v>0.22944293077354749</v>
      </c>
      <c r="M70" s="165">
        <f>IF($B70&lt;=3600000,$B70*INDEX(Parâmetros!$F$7:$M$26,ROUNDUP(($B70/180000),0),4)/$B70,$B70*INDEX(Parâmetros!$F$7:$M$26,20,4)/$B70)</f>
        <v>2.7400000000000001E-2</v>
      </c>
      <c r="N70" s="12">
        <f>IF($B70&lt;=3600000,$B70*INDEX(Parâmetros!$F$7:$M$26,ROUNDUP(($B70/180000),0),5)/$B70,$B70*INDEX(Parâmetros!$F$7:$M$26,20,5)/$B70)</f>
        <v>0.02</v>
      </c>
      <c r="O70" s="12">
        <f>IF($B70&lt;=3600000,$B70*INDEX(Parâmetros!$F$7:$M$26,ROUNDUP(($B70/180000),0),6)/$B70,$B70*INDEX(Parâmetros!$F$7:$M$26,20,6)/$B70)</f>
        <v>3.8E-3</v>
      </c>
      <c r="P70" s="12">
        <f>IF($B70&lt;=3600000,$B70*INDEX(Parâmetros!$F$7:$M$26,ROUNDUP(($B70/180000),0),7)/$B70,$B70*INDEX(Parâmetros!$F$7:$M$26,20,7)/$B70)</f>
        <v>2.23E-2</v>
      </c>
      <c r="Q70" s="12">
        <f>Parâmetros!$C$14*13.33*(Parâmetros!$C$15+FGTS)/B70</f>
        <v>1.876864E-3</v>
      </c>
      <c r="R70" s="12">
        <f>IF($B70&lt;=3600000,$B70*INDEX(Parâmetros!$F$7:$M$26,ROUNDUP(($B70/180000),0),8)/$B70,$B70*INDEX(Parâmetros!$F$7:$M$26,20,8)/$B70)</f>
        <v>4.65E-2</v>
      </c>
      <c r="S70" s="23">
        <f t="shared" ref="S70:S133" si="27">SUM(M70:R70)</f>
        <v>0.121876864</v>
      </c>
      <c r="T70" s="12">
        <f t="shared" si="23"/>
        <v>0.22996315930907171</v>
      </c>
      <c r="U70" s="64">
        <v>0</v>
      </c>
      <c r="V70" s="64">
        <v>0</v>
      </c>
      <c r="W70" s="64">
        <v>0</v>
      </c>
      <c r="X70" s="64">
        <f t="shared" si="24"/>
        <v>7.9063200685714295E-3</v>
      </c>
      <c r="Y70" s="64">
        <v>0</v>
      </c>
      <c r="Z70" s="81">
        <f t="shared" ref="Z70:Z133" si="28">SUM(T70:Y70)</f>
        <v>0.23786947937764313</v>
      </c>
      <c r="AB70" s="153">
        <f>1-IF(B70&lt;=Parâmetros!$G$65,Parâmetros!$L$65,IF(B70&lt;=Parâmetros!$G$66,Parâmetros!$L$66,IF(B70&lt;=Parâmetros!$G$67,Parâmetros!$L$67,IF(B70&lt;=Parâmetros!$G$68,Parâmetros!$L$68,IF(B70&lt;=Parâmetros!$G$69,Parâmetros!$J$69,Parâmetros!$L$70)))))</f>
        <v>0.85763787800701408</v>
      </c>
    </row>
    <row r="71" spans="1:28" s="14" customFormat="1" x14ac:dyDescent="0.2">
      <c r="A71" s="1"/>
      <c r="B71" s="11">
        <f>B70+50000</f>
        <v>1800000</v>
      </c>
      <c r="C71" s="12">
        <f t="shared" si="19"/>
        <v>6.6666666666666666E-2</v>
      </c>
      <c r="D71" s="12">
        <f t="shared" si="20"/>
        <v>2.8799999999999999E-2</v>
      </c>
      <c r="E71" s="12">
        <f t="shared" si="21"/>
        <v>6.4999999999999997E-3</v>
      </c>
      <c r="F71" s="12">
        <f t="shared" si="22"/>
        <v>0.03</v>
      </c>
      <c r="G71" s="12">
        <f>Parâmetros!$C$14*13.33*(Parâmetros!$C$15+FGTS+Sist_S_SAT)/Dados!B71</f>
        <v>2.020235555555556E-3</v>
      </c>
      <c r="H71" s="13">
        <f>B71*Parâmetros!$C$13/Dados!B71</f>
        <v>0.05</v>
      </c>
      <c r="I71" s="23">
        <f t="shared" si="25"/>
        <v>0.18398690222222225</v>
      </c>
      <c r="J71" s="178">
        <f>VLOOKUP(B71,LP_FX[],8,TRUE)*Parâmetros!$M$124/B71</f>
        <v>2.7448763479316331E-2</v>
      </c>
      <c r="K71" s="12">
        <f>Parâmetros!$C$20*(2*VLOOKUP(B71,LP_FX[],8,TRUE)/(VLOOKUP(B71,LP_FX[],1,TRUE)+VLOOKUP(B71,LP_FX[],2,TRUE)))</f>
        <v>4.7857216487833212E-2</v>
      </c>
      <c r="L71" s="163">
        <f t="shared" si="26"/>
        <v>0.22982388315449986</v>
      </c>
      <c r="M71" s="165">
        <f>IF($B71&lt;=3600000,$B71*INDEX(Parâmetros!$F$7:$M$26,ROUNDUP(($B71/180000),0),4)/$B71,$B71*INDEX(Parâmetros!$F$7:$M$26,20,4)/$B71)</f>
        <v>2.7400000000000001E-2</v>
      </c>
      <c r="N71" s="12">
        <f>IF($B71&lt;=3600000,$B71*INDEX(Parâmetros!$F$7:$M$26,ROUNDUP(($B71/180000),0),5)/$B71,$B71*INDEX(Parâmetros!$F$7:$M$26,20,5)/$B71)</f>
        <v>0.02</v>
      </c>
      <c r="O71" s="12">
        <f>IF($B71&lt;=3600000,$B71*INDEX(Parâmetros!$F$7:$M$26,ROUNDUP(($B71/180000),0),6)/$B71,$B71*INDEX(Parâmetros!$F$7:$M$26,20,6)/$B71)</f>
        <v>3.8E-3</v>
      </c>
      <c r="P71" s="12">
        <f>IF($B71&lt;=3600000,$B71*INDEX(Parâmetros!$F$7:$M$26,ROUNDUP(($B71/180000),0),7)/$B71,$B71*INDEX(Parâmetros!$F$7:$M$26,20,7)/$B71)</f>
        <v>2.23E-2</v>
      </c>
      <c r="Q71" s="12">
        <f>Parâmetros!$C$14*13.33*(Parâmetros!$C$15+FGTS)/B71</f>
        <v>1.824728888888889E-3</v>
      </c>
      <c r="R71" s="12">
        <f>IF($B71&lt;=3600000,$B71*INDEX(Parâmetros!$F$7:$M$26,ROUNDUP(($B71/180000),0),8)/$B71,$B71*INDEX(Parâmetros!$F$7:$M$26,20,8)/$B71)</f>
        <v>4.65E-2</v>
      </c>
      <c r="S71" s="23">
        <f t="shared" si="27"/>
        <v>0.12182472888888889</v>
      </c>
      <c r="T71" s="12">
        <f t="shared" si="23"/>
        <v>0.23012669422970666</v>
      </c>
      <c r="U71" s="64">
        <v>0</v>
      </c>
      <c r="V71" s="64">
        <v>0</v>
      </c>
      <c r="W71" s="64">
        <v>0</v>
      </c>
      <c r="X71" s="64">
        <f t="shared" si="24"/>
        <v>7.6867000666666681E-3</v>
      </c>
      <c r="Y71" s="64">
        <v>0</v>
      </c>
      <c r="Z71" s="81">
        <f t="shared" si="28"/>
        <v>0.23781339429637333</v>
      </c>
      <c r="AB71" s="153">
        <f>1-IF(B71&lt;=Parâmetros!$G$65,Parâmetros!$L$65,IF(B71&lt;=Parâmetros!$G$66,Parâmetros!$L$66,IF(B71&lt;=Parâmetros!$G$67,Parâmetros!$L$67,IF(B71&lt;=Parâmetros!$G$68,Parâmetros!$L$68,IF(B71&lt;=Parâmetros!$G$69,Parâmetros!$J$69,Parâmetros!$L$70)))))</f>
        <v>0.85763787800701408</v>
      </c>
    </row>
    <row r="72" spans="1:28" s="14" customFormat="1" x14ac:dyDescent="0.2">
      <c r="A72" s="1"/>
      <c r="B72" s="11">
        <f t="shared" si="18"/>
        <v>1850000</v>
      </c>
      <c r="C72" s="12">
        <f t="shared" si="19"/>
        <v>6.7027027027027022E-2</v>
      </c>
      <c r="D72" s="12">
        <f t="shared" si="20"/>
        <v>2.8799999999999999E-2</v>
      </c>
      <c r="E72" s="12">
        <f t="shared" si="21"/>
        <v>6.4999999999999997E-3</v>
      </c>
      <c r="F72" s="12">
        <f t="shared" si="22"/>
        <v>0.03</v>
      </c>
      <c r="G72" s="12">
        <f>Parâmetros!$C$14*13.33*(Parâmetros!$C$15+FGTS+Sist_S_SAT)/Dados!B72</f>
        <v>1.9656345945945949E-3</v>
      </c>
      <c r="H72" s="13">
        <f>B72*Parâmetros!$C$13/Dados!B72</f>
        <v>0.05</v>
      </c>
      <c r="I72" s="23">
        <f t="shared" si="25"/>
        <v>0.18429266162162161</v>
      </c>
      <c r="J72" s="178">
        <f>VLOOKUP(B72,LP_FX[],8,TRUE)*Parâmetros!$M$124/B72</f>
        <v>2.6706905006902374E-2</v>
      </c>
      <c r="K72" s="12">
        <f>Parâmetros!$C$20*(2*VLOOKUP(B72,LP_FX[],8,TRUE)/(VLOOKUP(B72,LP_FX[],1,TRUE)+VLOOKUP(B72,LP_FX[],2,TRUE)))</f>
        <v>4.7857216487833212E-2</v>
      </c>
      <c r="L72" s="163">
        <f t="shared" si="26"/>
        <v>0.23018424351486022</v>
      </c>
      <c r="M72" s="165">
        <f>IF($B72&lt;=3600000,$B72*INDEX(Parâmetros!$F$7:$M$26,ROUNDUP(($B72/180000),0),4)/$B72,$B72*INDEX(Parâmetros!$F$7:$M$26,20,4)/$B72)</f>
        <v>3.1199999999999999E-2</v>
      </c>
      <c r="N72" s="12">
        <f>IF($B72&lt;=3600000,$B72*INDEX(Parâmetros!$F$7:$M$26,ROUNDUP(($B72/180000),0),5)/$B72,$B72*INDEX(Parâmetros!$F$7:$M$26,20,5)/$B72)</f>
        <v>2.01E-2</v>
      </c>
      <c r="O72" s="12">
        <f>IF($B72&lt;=3600000,$B72*INDEX(Parâmetros!$F$7:$M$26,ROUNDUP(($B72/180000),0),6)/$B72,$B72*INDEX(Parâmetros!$F$7:$M$26,20,6)/$B72)</f>
        <v>4.0000000000000001E-3</v>
      </c>
      <c r="P72" s="12">
        <f>IF($B72&lt;=3600000,$B72*INDEX(Parâmetros!$F$7:$M$26,ROUNDUP(($B72/180000),0),7)/$B72,$B72*INDEX(Parâmetros!$F$7:$M$26,20,7)/$B72)</f>
        <v>2.2700000000000001E-2</v>
      </c>
      <c r="Q72" s="12">
        <f>Parâmetros!$C$14*13.33*(Parâmetros!$C$15+FGTS)/B72</f>
        <v>1.7754118918918919E-3</v>
      </c>
      <c r="R72" s="12">
        <f>IF($B72&lt;=3600000,$B72*INDEX(Parâmetros!$F$7:$M$26,ROUNDUP(($B72/180000),0),8)/$B72,$B72*INDEX(Parâmetros!$F$7:$M$26,20,8)/$B72)</f>
        <v>0.05</v>
      </c>
      <c r="S72" s="23">
        <f t="shared" si="27"/>
        <v>0.1297754118918919</v>
      </c>
      <c r="T72" s="12">
        <f t="shared" si="23"/>
        <v>0.23028138942490187</v>
      </c>
      <c r="U72" s="64">
        <v>0</v>
      </c>
      <c r="V72" s="64">
        <v>0</v>
      </c>
      <c r="W72" s="64">
        <v>0</v>
      </c>
      <c r="X72" s="64">
        <f t="shared" si="24"/>
        <v>7.478951416216217E-3</v>
      </c>
      <c r="Y72" s="64">
        <v>0</v>
      </c>
      <c r="Z72" s="81">
        <f t="shared" si="28"/>
        <v>0.23776034084111808</v>
      </c>
      <c r="AB72" s="153">
        <f>1-IF(B72&lt;=Parâmetros!$G$65,Parâmetros!$L$65,IF(B72&lt;=Parâmetros!$G$66,Parâmetros!$L$66,IF(B72&lt;=Parâmetros!$G$67,Parâmetros!$L$67,IF(B72&lt;=Parâmetros!$G$68,Parâmetros!$L$68,IF(B72&lt;=Parâmetros!$G$69,Parâmetros!$J$69,Parâmetros!$L$70)))))</f>
        <v>0.85763787800701408</v>
      </c>
    </row>
    <row r="73" spans="1:28" s="14" customFormat="1" x14ac:dyDescent="0.2">
      <c r="A73" s="1"/>
      <c r="B73" s="11">
        <f t="shared" si="18"/>
        <v>1900000</v>
      </c>
      <c r="C73" s="12">
        <f t="shared" si="19"/>
        <v>6.7368421052631577E-2</v>
      </c>
      <c r="D73" s="12">
        <f t="shared" si="20"/>
        <v>2.8799999999999999E-2</v>
      </c>
      <c r="E73" s="12">
        <f t="shared" si="21"/>
        <v>6.4999999999999997E-3</v>
      </c>
      <c r="F73" s="12">
        <f t="shared" si="22"/>
        <v>0.03</v>
      </c>
      <c r="G73" s="12">
        <f>Parâmetros!$C$14*13.33*(Parâmetros!$C$15+FGTS+Sist_S_SAT)/Dados!B73</f>
        <v>1.9139073684210528E-3</v>
      </c>
      <c r="H73" s="13">
        <f>B73*Parâmetros!$C$13/Dados!B73</f>
        <v>0.05</v>
      </c>
      <c r="I73" s="23">
        <f t="shared" si="25"/>
        <v>0.18458232842105265</v>
      </c>
      <c r="J73" s="178">
        <f>VLOOKUP(B73,LP_FX[],8,TRUE)*Parâmetros!$M$124/B73</f>
        <v>2.600409171724705E-2</v>
      </c>
      <c r="K73" s="12">
        <f>Parâmetros!$C$20*(2*VLOOKUP(B73,LP_FX[],8,TRUE)/(VLOOKUP(B73,LP_FX[],1,TRUE)+VLOOKUP(B73,LP_FX[],2,TRUE)))</f>
        <v>4.7857216487833212E-2</v>
      </c>
      <c r="L73" s="163">
        <f t="shared" si="26"/>
        <v>0.23052563754046479</v>
      </c>
      <c r="M73" s="165">
        <f>IF($B73&lt;=3600000,$B73*INDEX(Parâmetros!$F$7:$M$26,ROUNDUP(($B73/180000),0),4)/$B73,$B73*INDEX(Parâmetros!$F$7:$M$26,20,4)/$B73)</f>
        <v>3.1199999999999999E-2</v>
      </c>
      <c r="N73" s="12">
        <f>IF($B73&lt;=3600000,$B73*INDEX(Parâmetros!$F$7:$M$26,ROUNDUP(($B73/180000),0),5)/$B73,$B73*INDEX(Parâmetros!$F$7:$M$26,20,5)/$B73)</f>
        <v>2.01E-2</v>
      </c>
      <c r="O73" s="12">
        <f>IF($B73&lt;=3600000,$B73*INDEX(Parâmetros!$F$7:$M$26,ROUNDUP(($B73/180000),0),6)/$B73,$B73*INDEX(Parâmetros!$F$7:$M$26,20,6)/$B73)</f>
        <v>4.0000000000000001E-3</v>
      </c>
      <c r="P73" s="12">
        <f>IF($B73&lt;=3600000,$B73*INDEX(Parâmetros!$F$7:$M$26,ROUNDUP(($B73/180000),0),7)/$B73,$B73*INDEX(Parâmetros!$F$7:$M$26,20,7)/$B73)</f>
        <v>2.2700000000000001E-2</v>
      </c>
      <c r="Q73" s="12">
        <f>Parâmetros!$C$14*13.33*(Parâmetros!$C$15+FGTS)/B73</f>
        <v>1.7286905263157895E-3</v>
      </c>
      <c r="R73" s="12">
        <f>IF($B73&lt;=3600000,$B73*INDEX(Parâmetros!$F$7:$M$26,ROUNDUP(($B73/180000),0),8)/$B73,$B73*INDEX(Parâmetros!$F$7:$M$26,20,8)/$B73)</f>
        <v>0.05</v>
      </c>
      <c r="S73" s="23">
        <f t="shared" si="27"/>
        <v>0.1297286905263158</v>
      </c>
      <c r="T73" s="12">
        <f t="shared" si="23"/>
        <v>0.23042794276771839</v>
      </c>
      <c r="U73" s="64">
        <v>0</v>
      </c>
      <c r="V73" s="64">
        <v>0</v>
      </c>
      <c r="W73" s="64">
        <v>0</v>
      </c>
      <c r="X73" s="64">
        <f t="shared" si="24"/>
        <v>7.2821369052631585E-3</v>
      </c>
      <c r="Y73" s="64">
        <v>0</v>
      </c>
      <c r="Z73" s="81">
        <f t="shared" si="28"/>
        <v>0.23771007967298155</v>
      </c>
      <c r="AB73" s="153">
        <f>1-IF(B73&lt;=Parâmetros!$G$65,Parâmetros!$L$65,IF(B73&lt;=Parâmetros!$G$66,Parâmetros!$L$66,IF(B73&lt;=Parâmetros!$G$67,Parâmetros!$L$67,IF(B73&lt;=Parâmetros!$G$68,Parâmetros!$L$68,IF(B73&lt;=Parâmetros!$G$69,Parâmetros!$J$69,Parâmetros!$L$70)))))</f>
        <v>0.85763787800701408</v>
      </c>
    </row>
    <row r="74" spans="1:28" s="14" customFormat="1" x14ac:dyDescent="0.2">
      <c r="A74" s="1"/>
      <c r="B74" s="11">
        <f t="shared" si="18"/>
        <v>1950000</v>
      </c>
      <c r="C74" s="12">
        <f t="shared" si="19"/>
        <v>6.7692307692307691E-2</v>
      </c>
      <c r="D74" s="12">
        <f t="shared" si="20"/>
        <v>2.8799999999999999E-2</v>
      </c>
      <c r="E74" s="12">
        <f t="shared" si="21"/>
        <v>6.4999999999999997E-3</v>
      </c>
      <c r="F74" s="12">
        <f t="shared" si="22"/>
        <v>0.03</v>
      </c>
      <c r="G74" s="12">
        <f>Parâmetros!$C$14*13.33*(Parâmetros!$C$15+FGTS+Sist_S_SAT)/Dados!B74</f>
        <v>1.8648328205128207E-3</v>
      </c>
      <c r="H74" s="13">
        <f>B74*Parâmetros!$C$13/Dados!B74</f>
        <v>0.05</v>
      </c>
      <c r="I74" s="23">
        <f t="shared" si="25"/>
        <v>0.18485714051282048</v>
      </c>
      <c r="J74" s="178">
        <f>VLOOKUP(B74,LP_FX[],8,TRUE)*Parâmetros!$M$124/B74</f>
        <v>2.5337320134753535E-2</v>
      </c>
      <c r="K74" s="12">
        <f>Parâmetros!$C$20*(2*VLOOKUP(B74,LP_FX[],8,TRUE)/(VLOOKUP(B74,LP_FX[],1,TRUE)+VLOOKUP(B74,LP_FX[],2,TRUE)))</f>
        <v>4.7857216487833212E-2</v>
      </c>
      <c r="L74" s="163">
        <f t="shared" si="26"/>
        <v>0.23084952418014087</v>
      </c>
      <c r="M74" s="165">
        <f>IF($B74&lt;=3600000,$B74*INDEX(Parâmetros!$F$7:$M$26,ROUNDUP(($B74/180000),0),4)/$B74,$B74*INDEX(Parâmetros!$F$7:$M$26,20,4)/$B74)</f>
        <v>3.1199999999999999E-2</v>
      </c>
      <c r="N74" s="12">
        <f>IF($B74&lt;=3600000,$B74*INDEX(Parâmetros!$F$7:$M$26,ROUNDUP(($B74/180000),0),5)/$B74,$B74*INDEX(Parâmetros!$F$7:$M$26,20,5)/$B74)</f>
        <v>2.01E-2</v>
      </c>
      <c r="O74" s="12">
        <f>IF($B74&lt;=3600000,$B74*INDEX(Parâmetros!$F$7:$M$26,ROUNDUP(($B74/180000),0),6)/$B74,$B74*INDEX(Parâmetros!$F$7:$M$26,20,6)/$B74)</f>
        <v>4.0000000000000001E-3</v>
      </c>
      <c r="P74" s="12">
        <f>IF($B74&lt;=3600000,$B74*INDEX(Parâmetros!$F$7:$M$26,ROUNDUP(($B74/180000),0),7)/$B74,$B74*INDEX(Parâmetros!$F$7:$M$26,20,7)/$B74)</f>
        <v>2.2700000000000001E-2</v>
      </c>
      <c r="Q74" s="12">
        <f>Parâmetros!$C$14*13.33*(Parâmetros!$C$15+FGTS)/B74</f>
        <v>1.6843651282051283E-3</v>
      </c>
      <c r="R74" s="12">
        <f>IF($B74&lt;=3600000,$B74*INDEX(Parâmetros!$F$7:$M$26,ROUNDUP(($B74/180000),0),8)/$B74,$B74*INDEX(Parâmetros!$F$7:$M$26,20,8)/$B74)</f>
        <v>0.05</v>
      </c>
      <c r="S74" s="23">
        <f t="shared" si="27"/>
        <v>0.12968436512820514</v>
      </c>
      <c r="T74" s="12">
        <f t="shared" si="23"/>
        <v>0.23056698055449298</v>
      </c>
      <c r="U74" s="64">
        <v>0</v>
      </c>
      <c r="V74" s="64">
        <v>0</v>
      </c>
      <c r="W74" s="64">
        <v>0</v>
      </c>
      <c r="X74" s="64">
        <f t="shared" si="24"/>
        <v>7.0954154461538473E-3</v>
      </c>
      <c r="Y74" s="64">
        <v>0</v>
      </c>
      <c r="Z74" s="81">
        <f t="shared" si="28"/>
        <v>0.23766239600064684</v>
      </c>
      <c r="AB74" s="153">
        <f>1-IF(B74&lt;=Parâmetros!$G$65,Parâmetros!$L$65,IF(B74&lt;=Parâmetros!$G$66,Parâmetros!$L$66,IF(B74&lt;=Parâmetros!$G$67,Parâmetros!$L$67,IF(B74&lt;=Parâmetros!$G$68,Parâmetros!$L$68,IF(B74&lt;=Parâmetros!$G$69,Parâmetros!$J$69,Parâmetros!$L$70)))))</f>
        <v>0.85763787800701408</v>
      </c>
    </row>
    <row r="75" spans="1:28" s="14" customFormat="1" x14ac:dyDescent="0.2">
      <c r="A75" s="1"/>
      <c r="B75" s="11">
        <f t="shared" si="18"/>
        <v>2000000</v>
      </c>
      <c r="C75" s="12">
        <f t="shared" si="19"/>
        <v>6.8000000000000005E-2</v>
      </c>
      <c r="D75" s="12">
        <f t="shared" si="20"/>
        <v>2.8799999999999999E-2</v>
      </c>
      <c r="E75" s="12">
        <f t="shared" si="21"/>
        <v>6.4999999999999997E-3</v>
      </c>
      <c r="F75" s="12">
        <f t="shared" si="22"/>
        <v>0.03</v>
      </c>
      <c r="G75" s="12">
        <f>Parâmetros!$C$14*13.33*(Parâmetros!$C$15+FGTS+Sist_S_SAT)/Dados!B75</f>
        <v>1.8182120000000003E-3</v>
      </c>
      <c r="H75" s="13">
        <f>B75*Parâmetros!$C$13/Dados!B75</f>
        <v>0.05</v>
      </c>
      <c r="I75" s="23">
        <f t="shared" si="25"/>
        <v>0.185118212</v>
      </c>
      <c r="J75" s="178">
        <f>VLOOKUP(B75,LP_FX[],8,TRUE)*Parâmetros!$M$124/B75</f>
        <v>2.4703887131384699E-2</v>
      </c>
      <c r="K75" s="12">
        <f>Parâmetros!$C$20*(2*VLOOKUP(B75,LP_FX[],8,TRUE)/(VLOOKUP(B75,LP_FX[],1,TRUE)+VLOOKUP(B75,LP_FX[],2,TRUE)))</f>
        <v>4.7857216487833212E-2</v>
      </c>
      <c r="L75" s="163">
        <f t="shared" si="26"/>
        <v>0.23115721648783322</v>
      </c>
      <c r="M75" s="165">
        <f>IF($B75&lt;=3600000,$B75*INDEX(Parâmetros!$F$7:$M$26,ROUNDUP(($B75/180000),0),4)/$B75,$B75*INDEX(Parâmetros!$F$7:$M$26,20,4)/$B75)</f>
        <v>3.49E-2</v>
      </c>
      <c r="N75" s="12">
        <f>IF($B75&lt;=3600000,$B75*INDEX(Parâmetros!$F$7:$M$26,ROUNDUP(($B75/180000),0),5)/$B75,$B75*INDEX(Parâmetros!$F$7:$M$26,20,5)/$B75)</f>
        <v>2.0299999999999999E-2</v>
      </c>
      <c r="O75" s="12">
        <f>IF($B75&lt;=3600000,$B75*INDEX(Parâmetros!$F$7:$M$26,ROUNDUP(($B75/180000),0),6)/$B75,$B75*INDEX(Parâmetros!$F$7:$M$26,20,6)/$B75)</f>
        <v>4.1999999999999997E-3</v>
      </c>
      <c r="P75" s="12">
        <f>IF($B75&lt;=3600000,$B75*INDEX(Parâmetros!$F$7:$M$26,ROUNDUP(($B75/180000),0),7)/$B75,$B75*INDEX(Parâmetros!$F$7:$M$26,20,7)/$B75)</f>
        <v>2.3099999999999999E-2</v>
      </c>
      <c r="Q75" s="12">
        <f>Parâmetros!$C$14*13.33*(Parâmetros!$C$15+FGTS)/B75</f>
        <v>1.6422560000000001E-3</v>
      </c>
      <c r="R75" s="12">
        <f>IF($B75&lt;=3600000,$B75*INDEX(Parâmetros!$F$7:$M$26,ROUNDUP(($B75/180000),0),8)/$B75,$B75*INDEX(Parâmetros!$F$7:$M$26,20,8)/$B75)</f>
        <v>0.05</v>
      </c>
      <c r="S75" s="23">
        <f t="shared" si="27"/>
        <v>0.13414225600000002</v>
      </c>
      <c r="T75" s="12">
        <f t="shared" si="23"/>
        <v>0.23069906645192886</v>
      </c>
      <c r="U75" s="64">
        <v>0</v>
      </c>
      <c r="V75" s="64">
        <v>0</v>
      </c>
      <c r="W75" s="64">
        <v>0</v>
      </c>
      <c r="X75" s="64">
        <f t="shared" si="24"/>
        <v>6.918030060000001E-3</v>
      </c>
      <c r="Y75" s="64">
        <v>0</v>
      </c>
      <c r="Z75" s="81">
        <f t="shared" si="28"/>
        <v>0.23761709651192886</v>
      </c>
      <c r="AB75" s="153">
        <f>1-IF(B75&lt;=Parâmetros!$G$65,Parâmetros!$L$65,IF(B75&lt;=Parâmetros!$G$66,Parâmetros!$L$66,IF(B75&lt;=Parâmetros!$G$67,Parâmetros!$L$67,IF(B75&lt;=Parâmetros!$G$68,Parâmetros!$L$68,IF(B75&lt;=Parâmetros!$G$69,Parâmetros!$J$69,Parâmetros!$L$70)))))</f>
        <v>0.85763787800701408</v>
      </c>
    </row>
    <row r="76" spans="1:28" s="14" customFormat="1" x14ac:dyDescent="0.2">
      <c r="A76" s="1"/>
      <c r="B76" s="11">
        <f>B75+100000</f>
        <v>2100000</v>
      </c>
      <c r="C76" s="12">
        <f t="shared" si="19"/>
        <v>6.8571428571428575E-2</v>
      </c>
      <c r="D76" s="12">
        <f t="shared" si="20"/>
        <v>2.8799999999999999E-2</v>
      </c>
      <c r="E76" s="12">
        <f t="shared" si="21"/>
        <v>6.4999999999999997E-3</v>
      </c>
      <c r="F76" s="12">
        <f t="shared" si="22"/>
        <v>0.03</v>
      </c>
      <c r="G76" s="12">
        <f>Parâmetros!$C$14*13.33*(Parâmetros!$C$15+FGTS+Sist_S_SAT)/Dados!B76</f>
        <v>1.7316304761904764E-3</v>
      </c>
      <c r="H76" s="13">
        <f>B76*Parâmetros!$C$13/Dados!B76</f>
        <v>0.05</v>
      </c>
      <c r="I76" s="23">
        <f t="shared" si="25"/>
        <v>0.18560305904761909</v>
      </c>
      <c r="J76" s="178">
        <f>VLOOKUP(B76,LP_FX[],8,TRUE)*Parâmetros!$M$124/B76</f>
        <v>3.7930726011073654E-2</v>
      </c>
      <c r="K76" s="12">
        <f>Parâmetros!$C$20*(2*VLOOKUP(B76,LP_FX[],8,TRUE)/(VLOOKUP(B76,LP_FX[],1,TRUE)+VLOOKUP(B76,LP_FX[],2,TRUE)))</f>
        <v>4.6292842263317049E-2</v>
      </c>
      <c r="L76" s="163">
        <f t="shared" si="26"/>
        <v>0.23016427083474561</v>
      </c>
      <c r="M76" s="165">
        <f>IF($B76&lt;=3600000,$B76*INDEX(Parâmetros!$F$7:$M$26,ROUNDUP(($B76/180000),0),4)/$B76,$B76*INDEX(Parâmetros!$F$7:$M$26,20,4)/$B76)</f>
        <v>3.49E-2</v>
      </c>
      <c r="N76" s="12">
        <f>IF($B76&lt;=3600000,$B76*INDEX(Parâmetros!$F$7:$M$26,ROUNDUP(($B76/180000),0),5)/$B76,$B76*INDEX(Parâmetros!$F$7:$M$26,20,5)/$B76)</f>
        <v>2.0299999999999999E-2</v>
      </c>
      <c r="O76" s="12">
        <f>IF($B76&lt;=3600000,$B76*INDEX(Parâmetros!$F$7:$M$26,ROUNDUP(($B76/180000),0),6)/$B76,$B76*INDEX(Parâmetros!$F$7:$M$26,20,6)/$B76)</f>
        <v>4.1999999999999997E-3</v>
      </c>
      <c r="P76" s="12">
        <f>IF($B76&lt;=3600000,$B76*INDEX(Parâmetros!$F$7:$M$26,ROUNDUP(($B76/180000),0),7)/$B76,$B76*INDEX(Parâmetros!$F$7:$M$26,20,7)/$B76)</f>
        <v>2.3099999999999999E-2</v>
      </c>
      <c r="Q76" s="12">
        <f>Parâmetros!$C$14*13.33*(Parâmetros!$C$15+FGTS)/B76</f>
        <v>1.5640533333333335E-3</v>
      </c>
      <c r="R76" s="12">
        <f>IF($B76&lt;=3600000,$B76*INDEX(Parâmetros!$F$7:$M$26,ROUNDUP(($B76/180000),0),8)/$B76,$B76*INDEX(Parâmetros!$F$7:$M$26,20,8)/$B76)</f>
        <v>0.05</v>
      </c>
      <c r="S76" s="23">
        <f t="shared" si="27"/>
        <v>0.13406405333333332</v>
      </c>
      <c r="T76" s="12">
        <f t="shared" si="23"/>
        <v>0.23415067634298731</v>
      </c>
      <c r="U76" s="64">
        <v>0</v>
      </c>
      <c r="V76" s="64">
        <v>0</v>
      </c>
      <c r="W76" s="64">
        <v>0</v>
      </c>
      <c r="X76" s="64">
        <f t="shared" si="24"/>
        <v>6.5886000571428582E-3</v>
      </c>
      <c r="Y76" s="64">
        <v>0</v>
      </c>
      <c r="Z76" s="81">
        <f t="shared" si="28"/>
        <v>0.24073927640013015</v>
      </c>
      <c r="AB76" s="153">
        <f>1-IF(B76&lt;=Parâmetros!$G$65,Parâmetros!$L$65,IF(B76&lt;=Parâmetros!$G$66,Parâmetros!$L$66,IF(B76&lt;=Parâmetros!$G$67,Parâmetros!$L$67,IF(B76&lt;=Parâmetros!$G$68,Parâmetros!$L$68,IF(B76&lt;=Parâmetros!$G$69,Parâmetros!$J$69,Parâmetros!$L$70)))))</f>
        <v>0.86929717804376327</v>
      </c>
    </row>
    <row r="77" spans="1:28" s="14" customFormat="1" x14ac:dyDescent="0.2">
      <c r="A77" s="1"/>
      <c r="B77" s="11">
        <f t="shared" ref="B77:B105" si="29">B76+100000</f>
        <v>2200000</v>
      </c>
      <c r="C77" s="12">
        <f t="shared" si="19"/>
        <v>6.9090909090909092E-2</v>
      </c>
      <c r="D77" s="12">
        <f t="shared" si="20"/>
        <v>2.8799999999999999E-2</v>
      </c>
      <c r="E77" s="12">
        <f t="shared" si="21"/>
        <v>6.4999999999999997E-3</v>
      </c>
      <c r="F77" s="12">
        <f t="shared" si="22"/>
        <v>0.03</v>
      </c>
      <c r="G77" s="12">
        <f>Parâmetros!$C$14*13.33*(Parâmetros!$C$15+FGTS+Sist_S_SAT)/Dados!B77</f>
        <v>1.6529200000000002E-3</v>
      </c>
      <c r="H77" s="13">
        <f>B77*Parâmetros!$C$13/Dados!B77</f>
        <v>0.05</v>
      </c>
      <c r="I77" s="23">
        <f t="shared" si="25"/>
        <v>0.18604382909090911</v>
      </c>
      <c r="J77" s="178">
        <f>VLOOKUP(B77,LP_FX[],8,TRUE)*Parâmetros!$M$124/B77</f>
        <v>3.6206602101479399E-2</v>
      </c>
      <c r="K77" s="12">
        <f>Parâmetros!$C$20*(2*VLOOKUP(B77,LP_FX[],8,TRUE)/(VLOOKUP(B77,LP_FX[],1,TRUE)+VLOOKUP(B77,LP_FX[],2,TRUE)))</f>
        <v>4.6292842263317049E-2</v>
      </c>
      <c r="L77" s="163">
        <f t="shared" si="26"/>
        <v>0.23068375135422614</v>
      </c>
      <c r="M77" s="165">
        <f>IF($B77&lt;=3600000,$B77*INDEX(Parâmetros!$F$7:$M$26,ROUNDUP(($B77/180000),0),4)/$B77,$B77*INDEX(Parâmetros!$F$7:$M$26,20,4)/$B77)</f>
        <v>3.8600000000000002E-2</v>
      </c>
      <c r="N77" s="12">
        <f>IF($B77&lt;=3600000,$B77*INDEX(Parâmetros!$F$7:$M$26,ROUNDUP(($B77/180000),0),5)/$B77,$B77*INDEX(Parâmetros!$F$7:$M$26,20,5)/$B77)</f>
        <v>2.0500000000000001E-2</v>
      </c>
      <c r="O77" s="12">
        <f>IF($B77&lt;=3600000,$B77*INDEX(Parâmetros!$F$7:$M$26,ROUNDUP(($B77/180000),0),6)/$B77,$B77*INDEX(Parâmetros!$F$7:$M$26,20,6)/$B77)</f>
        <v>4.4000000000000003E-3</v>
      </c>
      <c r="P77" s="12">
        <f>IF($B77&lt;=3600000,$B77*INDEX(Parâmetros!$F$7:$M$26,ROUNDUP(($B77/180000),0),7)/$B77,$B77*INDEX(Parâmetros!$F$7:$M$26,20,7)/$B77)</f>
        <v>2.35E-2</v>
      </c>
      <c r="Q77" s="12">
        <f>Parâmetros!$C$14*13.33*(Parâmetros!$C$15+FGTS)/B77</f>
        <v>1.49296E-3</v>
      </c>
      <c r="R77" s="12">
        <f>IF($B77&lt;=3600000,$B77*INDEX(Parâmetros!$F$7:$M$26,ROUNDUP(($B77/180000),0),8)/$B77,$B77*INDEX(Parâmetros!$F$7:$M$26,20,8)/$B77)</f>
        <v>0.05</v>
      </c>
      <c r="S77" s="23">
        <f t="shared" si="27"/>
        <v>0.13849296</v>
      </c>
      <c r="T77" s="12">
        <f t="shared" si="23"/>
        <v>0.23437367850748947</v>
      </c>
      <c r="U77" s="64">
        <v>0</v>
      </c>
      <c r="V77" s="64">
        <v>0</v>
      </c>
      <c r="W77" s="64">
        <v>0</v>
      </c>
      <c r="X77" s="64">
        <f t="shared" si="24"/>
        <v>6.2891182363636377E-3</v>
      </c>
      <c r="Y77" s="64">
        <v>0</v>
      </c>
      <c r="Z77" s="81">
        <f t="shared" si="28"/>
        <v>0.2406627967438531</v>
      </c>
      <c r="AB77" s="153">
        <f>1-IF(B77&lt;=Parâmetros!$G$65,Parâmetros!$L$65,IF(B77&lt;=Parâmetros!$G$66,Parâmetros!$L$66,IF(B77&lt;=Parâmetros!$G$67,Parâmetros!$L$67,IF(B77&lt;=Parâmetros!$G$68,Parâmetros!$L$68,IF(B77&lt;=Parâmetros!$G$69,Parâmetros!$J$69,Parâmetros!$L$70)))))</f>
        <v>0.86929717804376327</v>
      </c>
    </row>
    <row r="78" spans="1:28" s="14" customFormat="1" x14ac:dyDescent="0.2">
      <c r="A78" s="1"/>
      <c r="B78" s="11">
        <f t="shared" si="29"/>
        <v>2300000</v>
      </c>
      <c r="C78" s="12">
        <f t="shared" si="19"/>
        <v>6.9565217391304349E-2</v>
      </c>
      <c r="D78" s="12">
        <f t="shared" si="20"/>
        <v>2.8799999999999999E-2</v>
      </c>
      <c r="E78" s="12">
        <f t="shared" si="21"/>
        <v>6.4999999999999997E-3</v>
      </c>
      <c r="F78" s="12">
        <f t="shared" si="22"/>
        <v>0.03</v>
      </c>
      <c r="G78" s="12">
        <f>Parâmetros!$C$14*13.33*(Parâmetros!$C$15+FGTS+Sist_S_SAT)/Dados!B78</f>
        <v>1.5810539130434785E-3</v>
      </c>
      <c r="H78" s="13">
        <f>B78*Parâmetros!$C$13/Dados!B78</f>
        <v>0.05</v>
      </c>
      <c r="I78" s="23">
        <f t="shared" si="25"/>
        <v>0.18644627130434782</v>
      </c>
      <c r="J78" s="178">
        <f>VLOOKUP(B78,LP_FX[],8,TRUE)*Parâmetros!$M$124/B78</f>
        <v>3.4632402010110731E-2</v>
      </c>
      <c r="K78" s="12">
        <f>Parâmetros!$C$20*(2*VLOOKUP(B78,LP_FX[],8,TRUE)/(VLOOKUP(B78,LP_FX[],1,TRUE)+VLOOKUP(B78,LP_FX[],2,TRUE)))</f>
        <v>4.6292842263317049E-2</v>
      </c>
      <c r="L78" s="163">
        <f t="shared" si="26"/>
        <v>0.23115805965462138</v>
      </c>
      <c r="M78" s="165">
        <f>IF($B78&lt;=3600000,$B78*INDEX(Parâmetros!$F$7:$M$26,ROUNDUP(($B78/180000),0),4)/$B78,$B78*INDEX(Parâmetros!$F$7:$M$26,20,4)/$B78)</f>
        <v>3.8600000000000002E-2</v>
      </c>
      <c r="N78" s="12">
        <f>IF($B78&lt;=3600000,$B78*INDEX(Parâmetros!$F$7:$M$26,ROUNDUP(($B78/180000),0),5)/$B78,$B78*INDEX(Parâmetros!$F$7:$M$26,20,5)/$B78)</f>
        <v>2.0500000000000001E-2</v>
      </c>
      <c r="O78" s="12">
        <f>IF($B78&lt;=3600000,$B78*INDEX(Parâmetros!$F$7:$M$26,ROUNDUP(($B78/180000),0),6)/$B78,$B78*INDEX(Parâmetros!$F$7:$M$26,20,6)/$B78)</f>
        <v>4.4000000000000003E-3</v>
      </c>
      <c r="P78" s="12">
        <f>IF($B78&lt;=3600000,$B78*INDEX(Parâmetros!$F$7:$M$26,ROUNDUP(($B78/180000),0),7)/$B78,$B78*INDEX(Parâmetros!$F$7:$M$26,20,7)/$B78)</f>
        <v>2.35E-2</v>
      </c>
      <c r="Q78" s="12">
        <f>Parâmetros!$C$14*13.33*(Parâmetros!$C$15+FGTS)/B78</f>
        <v>1.428048695652174E-3</v>
      </c>
      <c r="R78" s="12">
        <f>IF($B78&lt;=3600000,$B78*INDEX(Parâmetros!$F$7:$M$26,ROUNDUP(($B78/180000),0),8)/$B78,$B78*INDEX(Parâmetros!$F$7:$M$26,20,8)/$B78)</f>
        <v>0.05</v>
      </c>
      <c r="S78" s="23">
        <f t="shared" si="27"/>
        <v>0.13842804869565217</v>
      </c>
      <c r="T78" s="12">
        <f t="shared" si="23"/>
        <v>0.23457728917942625</v>
      </c>
      <c r="U78" s="64">
        <v>0</v>
      </c>
      <c r="V78" s="64">
        <v>0</v>
      </c>
      <c r="W78" s="64">
        <v>0</v>
      </c>
      <c r="X78" s="64">
        <f t="shared" si="24"/>
        <v>6.0156783130434792E-3</v>
      </c>
      <c r="Y78" s="64">
        <v>0</v>
      </c>
      <c r="Z78" s="81">
        <f t="shared" si="28"/>
        <v>0.24059296749246972</v>
      </c>
      <c r="AB78" s="153">
        <f>1-IF(B78&lt;=Parâmetros!$G$65,Parâmetros!$L$65,IF(B78&lt;=Parâmetros!$G$66,Parâmetros!$L$66,IF(B78&lt;=Parâmetros!$G$67,Parâmetros!$L$67,IF(B78&lt;=Parâmetros!$G$68,Parâmetros!$L$68,IF(B78&lt;=Parâmetros!$G$69,Parâmetros!$J$69,Parâmetros!$L$70)))))</f>
        <v>0.86929717804376327</v>
      </c>
    </row>
    <row r="79" spans="1:28" s="14" customFormat="1" x14ac:dyDescent="0.2">
      <c r="A79" s="1"/>
      <c r="B79" s="16">
        <f t="shared" si="29"/>
        <v>2400000</v>
      </c>
      <c r="C79" s="17">
        <f t="shared" si="19"/>
        <v>7.0000000000000007E-2</v>
      </c>
      <c r="D79" s="17">
        <f t="shared" si="20"/>
        <v>2.8799999999999999E-2</v>
      </c>
      <c r="E79" s="17">
        <f t="shared" si="21"/>
        <v>6.4999999999999997E-3</v>
      </c>
      <c r="F79" s="17">
        <f t="shared" si="22"/>
        <v>0.03</v>
      </c>
      <c r="G79" s="17">
        <f>Parâmetros!$C$14*13.33*(Parâmetros!$C$15+FGTS+Sist_S_SAT)/Dados!B79</f>
        <v>1.5151766666666668E-3</v>
      </c>
      <c r="H79" s="18">
        <f>B79*Parâmetros!$C$13/Dados!B79</f>
        <v>0.05</v>
      </c>
      <c r="I79" s="24">
        <f t="shared" si="25"/>
        <v>0.18681517666666669</v>
      </c>
      <c r="J79" s="178">
        <f>VLOOKUP(B79,LP_FX[],8,TRUE)*Parâmetros!$M$124/B79</f>
        <v>3.3189385259689452E-2</v>
      </c>
      <c r="K79" s="12">
        <f>Parâmetros!$C$20*(2*VLOOKUP(B79,LP_FX[],8,TRUE)/(VLOOKUP(B79,LP_FX[],1,TRUE)+VLOOKUP(B79,LP_FX[],2,TRUE)))</f>
        <v>4.6292842263317049E-2</v>
      </c>
      <c r="L79" s="163">
        <f t="shared" si="26"/>
        <v>0.23159284226331706</v>
      </c>
      <c r="M79" s="166">
        <f>IF($B79&lt;=3600000,$B79*INDEX(Parâmetros!$F$7:$M$26,ROUNDUP(($B79/180000),0),4)/$B79,$B79*INDEX(Parâmetros!$F$7:$M$26,20,4)/$B79)</f>
        <v>4.2299999999999997E-2</v>
      </c>
      <c r="N79" s="17">
        <f>IF($B79&lt;=3600000,$B79*INDEX(Parâmetros!$F$7:$M$26,ROUNDUP(($B79/180000),0),5)/$B79,$B79*INDEX(Parâmetros!$F$7:$M$26,20,5)/$B79)</f>
        <v>2.07E-2</v>
      </c>
      <c r="O79" s="17">
        <f>IF($B79&lt;=3600000,$B79*INDEX(Parâmetros!$F$7:$M$26,ROUNDUP(($B79/180000),0),6)/$B79,$B79*INDEX(Parâmetros!$F$7:$M$26,20,6)/$B79)</f>
        <v>4.5999999999999999E-3</v>
      </c>
      <c r="P79" s="17">
        <f>IF($B79&lt;=3600000,$B79*INDEX(Parâmetros!$F$7:$M$26,ROUNDUP(($B79/180000),0),7)/$B79,$B79*INDEX(Parâmetros!$F$7:$M$26,20,7)/$B79)</f>
        <v>2.3900000000000001E-2</v>
      </c>
      <c r="Q79" s="17">
        <f>Parâmetros!$C$14*13.33*(Parâmetros!$C$15+FGTS)/B79</f>
        <v>1.3685466666666667E-3</v>
      </c>
      <c r="R79" s="17">
        <f>IF($B79&lt;=3600000,$B79*INDEX(Parâmetros!$F$7:$M$26,ROUNDUP(($B79/180000),0),8)/$B79,$B79*INDEX(Parâmetros!$F$7:$M$26,20,8)/$B79)</f>
        <v>0.05</v>
      </c>
      <c r="S79" s="24">
        <f t="shared" si="27"/>
        <v>0.14286854666666665</v>
      </c>
      <c r="T79" s="17">
        <f t="shared" si="23"/>
        <v>0.23476393229536829</v>
      </c>
      <c r="U79" s="84">
        <v>0</v>
      </c>
      <c r="V79" s="84">
        <v>0</v>
      </c>
      <c r="W79" s="84">
        <v>0</v>
      </c>
      <c r="X79" s="84">
        <f t="shared" si="24"/>
        <v>5.7650250500000007E-3</v>
      </c>
      <c r="Y79" s="84">
        <v>0</v>
      </c>
      <c r="Z79" s="81">
        <f t="shared" si="28"/>
        <v>0.2405289573453683</v>
      </c>
      <c r="AB79" s="153">
        <f>1-IF(B79&lt;=Parâmetros!$G$65,Parâmetros!$L$65,IF(B79&lt;=Parâmetros!$G$66,Parâmetros!$L$66,IF(B79&lt;=Parâmetros!$G$67,Parâmetros!$L$67,IF(B79&lt;=Parâmetros!$G$68,Parâmetros!$L$68,IF(B79&lt;=Parâmetros!$G$69,Parâmetros!$J$69,Parâmetros!$L$70)))))</f>
        <v>0.86929717804376327</v>
      </c>
    </row>
    <row r="80" spans="1:28" s="14" customFormat="1" x14ac:dyDescent="0.2">
      <c r="A80" s="1"/>
      <c r="B80" s="11">
        <f t="shared" si="29"/>
        <v>2500000</v>
      </c>
      <c r="C80" s="12">
        <f t="shared" si="19"/>
        <v>7.0400000000000004E-2</v>
      </c>
      <c r="D80" s="12">
        <f t="shared" si="20"/>
        <v>2.8799999999999999E-2</v>
      </c>
      <c r="E80" s="12">
        <f t="shared" si="21"/>
        <v>6.4999999999999997E-3</v>
      </c>
      <c r="F80" s="12">
        <f t="shared" si="22"/>
        <v>0.03</v>
      </c>
      <c r="G80" s="12">
        <f>Parâmetros!$C$14*13.33*(Parâmetros!$C$15+FGTS+Sist_S_SAT)/Dados!B80</f>
        <v>1.4545696000000002E-3</v>
      </c>
      <c r="H80" s="13">
        <f>B80*Parâmetros!$C$13/Dados!B80</f>
        <v>0.05</v>
      </c>
      <c r="I80" s="23">
        <f t="shared" si="25"/>
        <v>0.18715456960000004</v>
      </c>
      <c r="J80" s="178">
        <f>VLOOKUP(B80,LP_FX[],8,TRUE)*Parâmetros!$M$124/B80</f>
        <v>3.186180984930187E-2</v>
      </c>
      <c r="K80" s="12">
        <f>Parâmetros!$C$20*(2*VLOOKUP(B80,LP_FX[],8,TRUE)/(VLOOKUP(B80,LP_FX[],1,TRUE)+VLOOKUP(B80,LP_FX[],2,TRUE)))</f>
        <v>4.6292842263317049E-2</v>
      </c>
      <c r="L80" s="163">
        <f t="shared" si="26"/>
        <v>0.23199284226331707</v>
      </c>
      <c r="M80" s="165">
        <f>IF($B80&lt;=3600000,$B80*INDEX(Parâmetros!$F$7:$M$26,ROUNDUP(($B80/180000),0),4)/$B80,$B80*INDEX(Parâmetros!$F$7:$M$26,20,4)/$B80)</f>
        <v>4.2299999999999997E-2</v>
      </c>
      <c r="N80" s="12">
        <f>IF($B80&lt;=3600000,$B80*INDEX(Parâmetros!$F$7:$M$26,ROUNDUP(($B80/180000),0),5)/$B80,$B80*INDEX(Parâmetros!$F$7:$M$26,20,5)/$B80)</f>
        <v>2.07E-2</v>
      </c>
      <c r="O80" s="12">
        <f>IF($B80&lt;=3600000,$B80*INDEX(Parâmetros!$F$7:$M$26,ROUNDUP(($B80/180000),0),6)/$B80,$B80*INDEX(Parâmetros!$F$7:$M$26,20,6)/$B80)</f>
        <v>4.5999999999999999E-3</v>
      </c>
      <c r="P80" s="12">
        <f>IF($B80&lt;=3600000,$B80*INDEX(Parâmetros!$F$7:$M$26,ROUNDUP(($B80/180000),0),7)/$B80,$B80*INDEX(Parâmetros!$F$7:$M$26,20,7)/$B80)</f>
        <v>2.3900000000000001E-2</v>
      </c>
      <c r="Q80" s="12">
        <f>Parâmetros!$C$14*13.33*(Parâmetros!$C$15+FGTS)/B80</f>
        <v>1.3138048000000001E-3</v>
      </c>
      <c r="R80" s="12">
        <f>IF($B80&lt;=3600000,$B80*INDEX(Parâmetros!$F$7:$M$26,ROUNDUP(($B80/180000),0),8)/$B80,$B80*INDEX(Parâmetros!$F$7:$M$26,20,8)/$B80)</f>
        <v>0.05</v>
      </c>
      <c r="S80" s="23">
        <f t="shared" si="27"/>
        <v>0.1428138048</v>
      </c>
      <c r="T80" s="12">
        <f t="shared" si="23"/>
        <v>0.23493564396203495</v>
      </c>
      <c r="U80" s="64">
        <v>0</v>
      </c>
      <c r="V80" s="64">
        <v>0</v>
      </c>
      <c r="W80" s="64">
        <v>0</v>
      </c>
      <c r="X80" s="64">
        <f t="shared" si="24"/>
        <v>5.5344240480000011E-3</v>
      </c>
      <c r="Y80" s="64">
        <v>0</v>
      </c>
      <c r="Z80" s="81">
        <f t="shared" si="28"/>
        <v>0.24047006801003495</v>
      </c>
      <c r="AB80" s="153">
        <f>1-IF(B80&lt;=Parâmetros!$G$65,Parâmetros!$L$65,IF(B80&lt;=Parâmetros!$G$66,Parâmetros!$L$66,IF(B80&lt;=Parâmetros!$G$67,Parâmetros!$L$67,IF(B80&lt;=Parâmetros!$G$68,Parâmetros!$L$68,IF(B80&lt;=Parâmetros!$G$69,Parâmetros!$J$69,Parâmetros!$L$70)))))</f>
        <v>0.86929717804376327</v>
      </c>
    </row>
    <row r="81" spans="1:28" s="14" customFormat="1" x14ac:dyDescent="0.2">
      <c r="A81" s="1"/>
      <c r="B81" s="11">
        <f t="shared" si="29"/>
        <v>2600000</v>
      </c>
      <c r="C81" s="12">
        <f t="shared" si="19"/>
        <v>7.0769230769230765E-2</v>
      </c>
      <c r="D81" s="12">
        <f t="shared" si="20"/>
        <v>2.8799999999999999E-2</v>
      </c>
      <c r="E81" s="12">
        <f t="shared" si="21"/>
        <v>6.4999999999999997E-3</v>
      </c>
      <c r="F81" s="12">
        <f t="shared" si="22"/>
        <v>0.03</v>
      </c>
      <c r="G81" s="12">
        <f>Parâmetros!$C$14*13.33*(Parâmetros!$C$15+FGTS+Sist_S_SAT)/Dados!B81</f>
        <v>1.3986246153846154E-3</v>
      </c>
      <c r="H81" s="13">
        <f>B81*Parâmetros!$C$13/Dados!B81</f>
        <v>0.05</v>
      </c>
      <c r="I81" s="23">
        <f t="shared" si="25"/>
        <v>0.18746785538461541</v>
      </c>
      <c r="J81" s="178">
        <f>VLOOKUP(B81,LP_FX[],8,TRUE)*Parâmetros!$M$124/B81</f>
        <v>3.0636355624328721E-2</v>
      </c>
      <c r="K81" s="12">
        <f>Parâmetros!$C$20*(2*VLOOKUP(B81,LP_FX[],8,TRUE)/(VLOOKUP(B81,LP_FX[],1,TRUE)+VLOOKUP(B81,LP_FX[],2,TRUE)))</f>
        <v>4.6292842263317049E-2</v>
      </c>
      <c r="L81" s="163">
        <f t="shared" si="26"/>
        <v>0.2323620730325478</v>
      </c>
      <c r="M81" s="165">
        <f>IF($B81&lt;=3600000,$B81*INDEX(Parâmetros!$F$7:$M$26,ROUNDUP(($B81/180000),0),4)/$B81,$B81*INDEX(Parâmetros!$F$7:$M$26,20,4)/$B81)</f>
        <v>4.5999999999999999E-2</v>
      </c>
      <c r="N81" s="12">
        <f>IF($B81&lt;=3600000,$B81*INDEX(Parâmetros!$F$7:$M$26,ROUNDUP(($B81/180000),0),5)/$B81,$B81*INDEX(Parâmetros!$F$7:$M$26,20,5)/$B81)</f>
        <v>2.1000000000000001E-2</v>
      </c>
      <c r="O81" s="12">
        <f>IF($B81&lt;=3600000,$B81*INDEX(Parâmetros!$F$7:$M$26,ROUNDUP(($B81/180000),0),6)/$B81,$B81*INDEX(Parâmetros!$F$7:$M$26,20,6)/$B81)</f>
        <v>4.7000000000000002E-3</v>
      </c>
      <c r="P81" s="12">
        <f>IF($B81&lt;=3600000,$B81*INDEX(Parâmetros!$F$7:$M$26,ROUNDUP(($B81/180000),0),7)/$B81,$B81*INDEX(Parâmetros!$F$7:$M$26,20,7)/$B81)</f>
        <v>2.4299999999999999E-2</v>
      </c>
      <c r="Q81" s="12">
        <f>Parâmetros!$C$14*13.33*(Parâmetros!$C$15+FGTS)/B81</f>
        <v>1.2632738461538463E-3</v>
      </c>
      <c r="R81" s="12">
        <f>IF($B81&lt;=3600000,$B81*INDEX(Parâmetros!$F$7:$M$26,ROUNDUP(($B81/180000),0),8)/$B81,$B81*INDEX(Parâmetros!$F$7:$M$26,20,8)/$B81)</f>
        <v>0.05</v>
      </c>
      <c r="S81" s="23">
        <f t="shared" si="27"/>
        <v>0.14726327384615384</v>
      </c>
      <c r="T81" s="12">
        <f t="shared" si="23"/>
        <v>0.23509414703895798</v>
      </c>
      <c r="U81" s="64">
        <v>0</v>
      </c>
      <c r="V81" s="64">
        <v>0</v>
      </c>
      <c r="W81" s="64">
        <v>0</v>
      </c>
      <c r="X81" s="64">
        <f t="shared" si="24"/>
        <v>5.3215615846153854E-3</v>
      </c>
      <c r="Y81" s="64">
        <v>0</v>
      </c>
      <c r="Z81" s="81">
        <f t="shared" si="28"/>
        <v>0.24041570862357337</v>
      </c>
      <c r="AB81" s="153">
        <f>1-IF(B81&lt;=Parâmetros!$G$65,Parâmetros!$L$65,IF(B81&lt;=Parâmetros!$G$66,Parâmetros!$L$66,IF(B81&lt;=Parâmetros!$G$67,Parâmetros!$L$67,IF(B81&lt;=Parâmetros!$G$68,Parâmetros!$L$68,IF(B81&lt;=Parâmetros!$G$69,Parâmetros!$J$69,Parâmetros!$L$70)))))</f>
        <v>0.86929717804376327</v>
      </c>
    </row>
    <row r="82" spans="1:28" s="14" customFormat="1" x14ac:dyDescent="0.2">
      <c r="A82" s="1"/>
      <c r="B82" s="11">
        <f t="shared" si="29"/>
        <v>2700000</v>
      </c>
      <c r="C82" s="12">
        <f t="shared" si="19"/>
        <v>7.1111111111111111E-2</v>
      </c>
      <c r="D82" s="12">
        <f t="shared" si="20"/>
        <v>2.8799999999999999E-2</v>
      </c>
      <c r="E82" s="12">
        <f t="shared" si="21"/>
        <v>6.4999999999999997E-3</v>
      </c>
      <c r="F82" s="12">
        <f t="shared" si="22"/>
        <v>0.03</v>
      </c>
      <c r="G82" s="12">
        <f>Parâmetros!$C$14*13.33*(Parâmetros!$C$15+FGTS+Sist_S_SAT)/Dados!B82</f>
        <v>1.3468237037037038E-3</v>
      </c>
      <c r="H82" s="13">
        <f>B82*Parâmetros!$C$13/Dados!B82</f>
        <v>0.05</v>
      </c>
      <c r="I82" s="23">
        <f t="shared" si="25"/>
        <v>0.18775793481481484</v>
      </c>
      <c r="J82" s="178">
        <f>VLOOKUP(B82,LP_FX[],8,TRUE)*Parâmetros!$M$124/B82</f>
        <v>2.9501675786390621E-2</v>
      </c>
      <c r="K82" s="12">
        <f>Parâmetros!$C$20*(2*VLOOKUP(B82,LP_FX[],8,TRUE)/(VLOOKUP(B82,LP_FX[],1,TRUE)+VLOOKUP(B82,LP_FX[],2,TRUE)))</f>
        <v>4.6292842263317049E-2</v>
      </c>
      <c r="L82" s="163">
        <f t="shared" si="26"/>
        <v>0.23270395337442817</v>
      </c>
      <c r="M82" s="165">
        <f>IF($B82&lt;=3600000,$B82*INDEX(Parâmetros!$F$7:$M$26,ROUNDUP(($B82/180000),0),4)/$B82,$B82*INDEX(Parâmetros!$F$7:$M$26,20,4)/$B82)</f>
        <v>4.5999999999999999E-2</v>
      </c>
      <c r="N82" s="12">
        <f>IF($B82&lt;=3600000,$B82*INDEX(Parâmetros!$F$7:$M$26,ROUNDUP(($B82/180000),0),5)/$B82,$B82*INDEX(Parâmetros!$F$7:$M$26,20,5)/$B82)</f>
        <v>2.1000000000000001E-2</v>
      </c>
      <c r="O82" s="12">
        <f>IF($B82&lt;=3600000,$B82*INDEX(Parâmetros!$F$7:$M$26,ROUNDUP(($B82/180000),0),6)/$B82,$B82*INDEX(Parâmetros!$F$7:$M$26,20,6)/$B82)</f>
        <v>4.7000000000000002E-3</v>
      </c>
      <c r="P82" s="12">
        <f>IF($B82&lt;=3600000,$B82*INDEX(Parâmetros!$F$7:$M$26,ROUNDUP(($B82/180000),0),7)/$B82,$B82*INDEX(Parâmetros!$F$7:$M$26,20,7)/$B82)</f>
        <v>2.4299999999999999E-2</v>
      </c>
      <c r="Q82" s="12">
        <f>Parâmetros!$C$14*13.33*(Parâmetros!$C$15+FGTS)/B82</f>
        <v>1.216485925925926E-3</v>
      </c>
      <c r="R82" s="12">
        <f>IF($B82&lt;=3600000,$B82*INDEX(Parâmetros!$F$7:$M$26,ROUNDUP(($B82/180000),0),8)/$B82,$B82*INDEX(Parâmetros!$F$7:$M$26,20,8)/$B82)</f>
        <v>0.05</v>
      </c>
      <c r="S82" s="23">
        <f t="shared" si="27"/>
        <v>0.14721648592592593</v>
      </c>
      <c r="T82" s="12">
        <f t="shared" si="23"/>
        <v>0.23524090914722015</v>
      </c>
      <c r="U82" s="64">
        <v>0</v>
      </c>
      <c r="V82" s="64">
        <v>0</v>
      </c>
      <c r="W82" s="64">
        <v>0</v>
      </c>
      <c r="X82" s="64">
        <f t="shared" si="24"/>
        <v>5.1244667111111121E-3</v>
      </c>
      <c r="Y82" s="64">
        <v>0</v>
      </c>
      <c r="Z82" s="81">
        <f t="shared" si="28"/>
        <v>0.24036537585833126</v>
      </c>
      <c r="AB82" s="153">
        <f>1-IF(B82&lt;=Parâmetros!$G$65,Parâmetros!$L$65,IF(B82&lt;=Parâmetros!$G$66,Parâmetros!$L$66,IF(B82&lt;=Parâmetros!$G$67,Parâmetros!$L$67,IF(B82&lt;=Parâmetros!$G$68,Parâmetros!$L$68,IF(B82&lt;=Parâmetros!$G$69,Parâmetros!$J$69,Parâmetros!$L$70)))))</f>
        <v>0.86929717804376327</v>
      </c>
    </row>
    <row r="83" spans="1:28" s="14" customFormat="1" x14ac:dyDescent="0.2">
      <c r="A83" s="1"/>
      <c r="B83" s="11">
        <f t="shared" si="29"/>
        <v>2800000</v>
      </c>
      <c r="C83" s="12">
        <f t="shared" si="19"/>
        <v>7.1428571428571425E-2</v>
      </c>
      <c r="D83" s="12">
        <f t="shared" si="20"/>
        <v>2.8799999999999999E-2</v>
      </c>
      <c r="E83" s="12">
        <f t="shared" si="21"/>
        <v>6.4999999999999997E-3</v>
      </c>
      <c r="F83" s="12">
        <f t="shared" si="22"/>
        <v>0.03</v>
      </c>
      <c r="G83" s="12">
        <f>Parâmetros!$C$14*13.33*(Parâmetros!$C$15+FGTS+Sist_S_SAT)/Dados!B83</f>
        <v>1.2987228571428573E-3</v>
      </c>
      <c r="H83" s="13">
        <f>B83*Parâmetros!$C$13/Dados!B83</f>
        <v>0.05</v>
      </c>
      <c r="I83" s="23">
        <f t="shared" si="25"/>
        <v>0.1880272942857143</v>
      </c>
      <c r="J83" s="178">
        <f>VLOOKUP(B83,LP_FX[],8,TRUE)*Parâmetros!$M$124/B83</f>
        <v>2.844804450830524E-2</v>
      </c>
      <c r="K83" s="12">
        <f>Parâmetros!$C$20*(2*VLOOKUP(B83,LP_FX[],8,TRUE)/(VLOOKUP(B83,LP_FX[],1,TRUE)+VLOOKUP(B83,LP_FX[],2,TRUE)))</f>
        <v>4.6292842263317049E-2</v>
      </c>
      <c r="L83" s="163">
        <f t="shared" si="26"/>
        <v>0.23302141369188845</v>
      </c>
      <c r="M83" s="165">
        <f>IF($B83&lt;=3600000,$B83*INDEX(Parâmetros!$F$7:$M$26,ROUNDUP(($B83/180000),0),4)/$B83,$B83*INDEX(Parâmetros!$F$7:$M$26,20,4)/$B83)</f>
        <v>4.9000000000000002E-2</v>
      </c>
      <c r="N83" s="12">
        <f>IF($B83&lt;=3600000,$B83*INDEX(Parâmetros!$F$7:$M$26,ROUNDUP(($B83/180000),0),5)/$B83,$B83*INDEX(Parâmetros!$F$7:$M$26,20,5)/$B83)</f>
        <v>2.1899999999999999E-2</v>
      </c>
      <c r="O83" s="12">
        <f>IF($B83&lt;=3600000,$B83*INDEX(Parâmetros!$F$7:$M$26,ROUNDUP(($B83/180000),0),6)/$B83,$B83*INDEX(Parâmetros!$F$7:$M$26,20,6)/$B83)</f>
        <v>4.8999999999999998E-3</v>
      </c>
      <c r="P83" s="12">
        <f>IF($B83&lt;=3600000,$B83*INDEX(Parâmetros!$F$7:$M$26,ROUNDUP(($B83/180000),0),7)/$B83,$B83*INDEX(Parâmetros!$F$7:$M$26,20,7)/$B83)</f>
        <v>2.47E-2</v>
      </c>
      <c r="Q83" s="12">
        <f>Parâmetros!$C$14*13.33*(Parâmetros!$C$15+FGTS)/B83</f>
        <v>1.17304E-3</v>
      </c>
      <c r="R83" s="12">
        <f>IF($B83&lt;=3600000,$B83*INDEX(Parâmetros!$F$7:$M$26,ROUNDUP(($B83/180000),0),8)/$B83,$B83*INDEX(Parâmetros!$F$7:$M$26,20,8)/$B83)</f>
        <v>0.05</v>
      </c>
      <c r="S83" s="23">
        <f t="shared" si="27"/>
        <v>0.15167304000000001</v>
      </c>
      <c r="T83" s="12">
        <f t="shared" si="23"/>
        <v>0.23537718824774925</v>
      </c>
      <c r="U83" s="64">
        <v>0</v>
      </c>
      <c r="V83" s="64">
        <v>0</v>
      </c>
      <c r="W83" s="64">
        <v>0</v>
      </c>
      <c r="X83" s="64">
        <f t="shared" si="24"/>
        <v>4.9414500428571432E-3</v>
      </c>
      <c r="Y83" s="64">
        <v>0</v>
      </c>
      <c r="Z83" s="81">
        <f t="shared" si="28"/>
        <v>0.2403186382906064</v>
      </c>
      <c r="AB83" s="153">
        <f>1-IF(B83&lt;=Parâmetros!$G$65,Parâmetros!$L$65,IF(B83&lt;=Parâmetros!$G$66,Parâmetros!$L$66,IF(B83&lt;=Parâmetros!$G$67,Parâmetros!$L$67,IF(B83&lt;=Parâmetros!$G$68,Parâmetros!$L$68,IF(B83&lt;=Parâmetros!$G$69,Parâmetros!$J$69,Parâmetros!$L$70)))))</f>
        <v>0.86929717804376327</v>
      </c>
    </row>
    <row r="84" spans="1:28" s="14" customFormat="1" x14ac:dyDescent="0.2">
      <c r="A84" s="1"/>
      <c r="B84" s="11">
        <f t="shared" si="29"/>
        <v>2900000</v>
      </c>
      <c r="C84" s="12">
        <f t="shared" si="19"/>
        <v>7.1724137931034479E-2</v>
      </c>
      <c r="D84" s="12">
        <f t="shared" si="20"/>
        <v>2.8799999999999999E-2</v>
      </c>
      <c r="E84" s="12">
        <f t="shared" si="21"/>
        <v>6.4999999999999997E-3</v>
      </c>
      <c r="F84" s="12">
        <f t="shared" si="22"/>
        <v>0.03</v>
      </c>
      <c r="G84" s="12">
        <f>Parâmetros!$C$14*13.33*(Parâmetros!$C$15+FGTS+Sist_S_SAT)/Dados!B84</f>
        <v>1.2539393103448277E-3</v>
      </c>
      <c r="H84" s="13">
        <f>B84*Parâmetros!$C$13/Dados!B84</f>
        <v>0.05</v>
      </c>
      <c r="I84" s="23">
        <f t="shared" si="25"/>
        <v>0.18827807724137929</v>
      </c>
      <c r="J84" s="178">
        <f>VLOOKUP(B84,LP_FX[],8,TRUE)*Parâmetros!$M$124/B84</f>
        <v>2.7467077456294717E-2</v>
      </c>
      <c r="K84" s="12">
        <f>Parâmetros!$C$20*(2*VLOOKUP(B84,LP_FX[],8,TRUE)/(VLOOKUP(B84,LP_FX[],1,TRUE)+VLOOKUP(B84,LP_FX[],2,TRUE)))</f>
        <v>4.6292842263317049E-2</v>
      </c>
      <c r="L84" s="163">
        <f t="shared" si="26"/>
        <v>0.23331698019435154</v>
      </c>
      <c r="M84" s="165">
        <f>IF($B84&lt;=3600000,$B84*INDEX(Parâmetros!$F$7:$M$26,ROUNDUP(($B84/180000),0),4)/$B84,$B84*INDEX(Parâmetros!$F$7:$M$26,20,4)/$B84)</f>
        <v>5.21E-2</v>
      </c>
      <c r="N84" s="12">
        <f>IF($B84&lt;=3600000,$B84*INDEX(Parâmetros!$F$7:$M$26,ROUNDUP(($B84/180000),0),5)/$B84,$B84*INDEX(Parâmetros!$F$7:$M$26,20,5)/$B84)</f>
        <v>2.2700000000000001E-2</v>
      </c>
      <c r="O84" s="12">
        <f>IF($B84&lt;=3600000,$B84*INDEX(Parâmetros!$F$7:$M$26,ROUNDUP(($B84/180000),0),6)/$B84,$B84*INDEX(Parâmetros!$F$7:$M$26,20,6)/$B84)</f>
        <v>5.1000000000000004E-3</v>
      </c>
      <c r="P84" s="12">
        <f>IF($B84&lt;=3600000,$B84*INDEX(Parâmetros!$F$7:$M$26,ROUNDUP(($B84/180000),0),7)/$B84,$B84*INDEX(Parâmetros!$F$7:$M$26,20,7)/$B84)</f>
        <v>2.5100000000000001E-2</v>
      </c>
      <c r="Q84" s="12">
        <f>Parâmetros!$C$14*13.33*(Parâmetros!$C$15+FGTS)/B84</f>
        <v>1.1325903448275863E-3</v>
      </c>
      <c r="R84" s="12">
        <f>IF($B84&lt;=3600000,$B84*INDEX(Parâmetros!$F$7:$M$26,ROUNDUP(($B84/180000),0),8)/$B84,$B84*INDEX(Parâmetros!$F$7:$M$26,20,8)/$B84)</f>
        <v>0.05</v>
      </c>
      <c r="S84" s="23">
        <f t="shared" si="27"/>
        <v>0.15613259034482757</v>
      </c>
      <c r="T84" s="12">
        <f t="shared" si="23"/>
        <v>0.23550406878962113</v>
      </c>
      <c r="U84" s="64">
        <v>0</v>
      </c>
      <c r="V84" s="64">
        <v>0</v>
      </c>
      <c r="W84" s="64">
        <v>0</v>
      </c>
      <c r="X84" s="64">
        <f t="shared" si="24"/>
        <v>4.7710552137931045E-3</v>
      </c>
      <c r="Y84" s="64">
        <v>0</v>
      </c>
      <c r="Z84" s="81">
        <f t="shared" si="28"/>
        <v>0.24027512400341422</v>
      </c>
      <c r="AB84" s="153">
        <f>1-IF(B84&lt;=Parâmetros!$G$65,Parâmetros!$L$65,IF(B84&lt;=Parâmetros!$G$66,Parâmetros!$L$66,IF(B84&lt;=Parâmetros!$G$67,Parâmetros!$L$67,IF(B84&lt;=Parâmetros!$G$68,Parâmetros!$L$68,IF(B84&lt;=Parâmetros!$G$69,Parâmetros!$J$69,Parâmetros!$L$70)))))</f>
        <v>0.86929717804376327</v>
      </c>
    </row>
    <row r="85" spans="1:28" s="14" customFormat="1" x14ac:dyDescent="0.2">
      <c r="A85" s="1"/>
      <c r="B85" s="11">
        <f t="shared" si="29"/>
        <v>3000000</v>
      </c>
      <c r="C85" s="12">
        <f t="shared" si="19"/>
        <v>7.1999999999999995E-2</v>
      </c>
      <c r="D85" s="12">
        <f t="shared" si="20"/>
        <v>2.8799999999999999E-2</v>
      </c>
      <c r="E85" s="12">
        <f t="shared" si="21"/>
        <v>6.4999999999999997E-3</v>
      </c>
      <c r="F85" s="12">
        <f t="shared" si="22"/>
        <v>0.03</v>
      </c>
      <c r="G85" s="12">
        <f>Parâmetros!$C$14*13.33*(Parâmetros!$C$15+FGTS+Sist_S_SAT)/Dados!B85</f>
        <v>1.2121413333333335E-3</v>
      </c>
      <c r="H85" s="13">
        <f>B85*Parâmetros!$C$13/Dados!B85</f>
        <v>0.05</v>
      </c>
      <c r="I85" s="23">
        <f t="shared" si="25"/>
        <v>0.18851214133333333</v>
      </c>
      <c r="J85" s="178">
        <f>VLOOKUP(B85,LP_FX[],8,TRUE)*Parâmetros!$M$124/B85</f>
        <v>2.655150820775156E-2</v>
      </c>
      <c r="K85" s="12">
        <f>Parâmetros!$C$20*(2*VLOOKUP(B85,LP_FX[],8,TRUE)/(VLOOKUP(B85,LP_FX[],1,TRUE)+VLOOKUP(B85,LP_FX[],2,TRUE)))</f>
        <v>4.6292842263317049E-2</v>
      </c>
      <c r="L85" s="163">
        <f t="shared" si="26"/>
        <v>0.23359284226331706</v>
      </c>
      <c r="M85" s="165">
        <f>IF($B85&lt;=3600000,$B85*INDEX(Parâmetros!$F$7:$M$26,ROUNDUP(($B85/180000),0),4)/$B85,$B85*INDEX(Parâmetros!$F$7:$M$26,20,4)/$B85)</f>
        <v>5.21E-2</v>
      </c>
      <c r="N85" s="12">
        <f>IF($B85&lt;=3600000,$B85*INDEX(Parâmetros!$F$7:$M$26,ROUNDUP(($B85/180000),0),5)/$B85,$B85*INDEX(Parâmetros!$F$7:$M$26,20,5)/$B85)</f>
        <v>2.2700000000000001E-2</v>
      </c>
      <c r="O85" s="12">
        <f>IF($B85&lt;=3600000,$B85*INDEX(Parâmetros!$F$7:$M$26,ROUNDUP(($B85/180000),0),6)/$B85,$B85*INDEX(Parâmetros!$F$7:$M$26,20,6)/$B85)</f>
        <v>5.1000000000000004E-3</v>
      </c>
      <c r="P85" s="12">
        <f>IF($B85&lt;=3600000,$B85*INDEX(Parâmetros!$F$7:$M$26,ROUNDUP(($B85/180000),0),7)/$B85,$B85*INDEX(Parâmetros!$F$7:$M$26,20,7)/$B85)</f>
        <v>2.5100000000000001E-2</v>
      </c>
      <c r="Q85" s="12">
        <f>Parâmetros!$C$14*13.33*(Parâmetros!$C$15+FGTS)/B85</f>
        <v>1.0948373333333334E-3</v>
      </c>
      <c r="R85" s="12">
        <f>IF($B85&lt;=3600000,$B85*INDEX(Parâmetros!$F$7:$M$26,ROUNDUP(($B85/180000),0),8)/$B85,$B85*INDEX(Parâmetros!$F$7:$M$26,20,8)/$B85)</f>
        <v>0.05</v>
      </c>
      <c r="S85" s="23">
        <f t="shared" si="27"/>
        <v>0.15609483733333335</v>
      </c>
      <c r="T85" s="12">
        <f t="shared" si="23"/>
        <v>0.23562249062870161</v>
      </c>
      <c r="U85" s="64">
        <v>0</v>
      </c>
      <c r="V85" s="64">
        <v>0</v>
      </c>
      <c r="W85" s="64">
        <v>0</v>
      </c>
      <c r="X85" s="64">
        <f t="shared" si="24"/>
        <v>4.6120200400000004E-3</v>
      </c>
      <c r="Y85" s="64">
        <v>0</v>
      </c>
      <c r="Z85" s="81">
        <f t="shared" si="28"/>
        <v>0.24023451066870161</v>
      </c>
      <c r="AB85" s="153">
        <f>1-IF(B85&lt;=Parâmetros!$G$65,Parâmetros!$L$65,IF(B85&lt;=Parâmetros!$G$66,Parâmetros!$L$66,IF(B85&lt;=Parâmetros!$G$67,Parâmetros!$L$67,IF(B85&lt;=Parâmetros!$G$68,Parâmetros!$L$68,IF(B85&lt;=Parâmetros!$G$69,Parâmetros!$J$69,Parâmetros!$L$70)))))</f>
        <v>0.86929717804376327</v>
      </c>
    </row>
    <row r="86" spans="1:28" s="14" customFormat="1" x14ac:dyDescent="0.2">
      <c r="A86" s="1"/>
      <c r="B86" s="11">
        <f t="shared" si="29"/>
        <v>3100000</v>
      </c>
      <c r="C86" s="12">
        <f t="shared" si="19"/>
        <v>7.2258064516129039E-2</v>
      </c>
      <c r="D86" s="12">
        <f t="shared" si="20"/>
        <v>2.8799999999999999E-2</v>
      </c>
      <c r="E86" s="12">
        <f t="shared" si="21"/>
        <v>6.4999999999999997E-3</v>
      </c>
      <c r="F86" s="12">
        <f t="shared" si="22"/>
        <v>0.03</v>
      </c>
      <c r="G86" s="12">
        <f>Parâmetros!$C$14*13.33*(Parâmetros!$C$15+FGTS+Sist_S_SAT)/Dados!B86</f>
        <v>1.1730400000000002E-3</v>
      </c>
      <c r="H86" s="13">
        <f>B86*Parâmetros!$C$13/Dados!B86</f>
        <v>0.05</v>
      </c>
      <c r="I86" s="23">
        <f t="shared" si="25"/>
        <v>0.18873110451612901</v>
      </c>
      <c r="J86" s="178">
        <f>VLOOKUP(B86,LP_FX[],8,TRUE)*Parâmetros!$M$124/B86</f>
        <v>3.5285340853109873E-2</v>
      </c>
      <c r="K86" s="12">
        <f>Parâmetros!$C$20*(2*VLOOKUP(B86,LP_FX[],8,TRUE)/(VLOOKUP(B86,LP_FX[],1,TRUE)+VLOOKUP(B86,LP_FX[],2,TRUE)))</f>
        <v>4.540789520779058E-2</v>
      </c>
      <c r="L86" s="163">
        <f t="shared" si="26"/>
        <v>0.23296595972391965</v>
      </c>
      <c r="M86" s="165">
        <f>IF($B86&lt;=3600000,$B86*INDEX(Parâmetros!$F$7:$M$26,ROUNDUP(($B86/180000),0),4)/$B86,$B86*INDEX(Parâmetros!$F$7:$M$26,20,4)/$B86)</f>
        <v>5.5100000000000003E-2</v>
      </c>
      <c r="N86" s="12">
        <f>IF($B86&lt;=3600000,$B86*INDEX(Parâmetros!$F$7:$M$26,ROUNDUP(($B86/180000),0),5)/$B86,$B86*INDEX(Parâmetros!$F$7:$M$26,20,5)/$B86)</f>
        <v>2.3599999999999999E-2</v>
      </c>
      <c r="O86" s="12">
        <f>IF($B86&lt;=3600000,$B86*INDEX(Parâmetros!$F$7:$M$26,ROUNDUP(($B86/180000),0),6)/$B86,$B86*INDEX(Parâmetros!$F$7:$M$26,20,6)/$B86)</f>
        <v>5.3E-3</v>
      </c>
      <c r="P86" s="12">
        <f>IF($B86&lt;=3600000,$B86*INDEX(Parâmetros!$F$7:$M$26,ROUNDUP(($B86/180000),0),7)/$B86,$B86*INDEX(Parâmetros!$F$7:$M$26,20,7)/$B86)</f>
        <v>2.5499999999999998E-2</v>
      </c>
      <c r="Q86" s="12">
        <f>Parâmetros!$C$14*13.33*(Parâmetros!$C$15+FGTS)/B86</f>
        <v>1.05952E-3</v>
      </c>
      <c r="R86" s="12">
        <f>IF($B86&lt;=3600000,$B86*INDEX(Parâmetros!$F$7:$M$26,ROUNDUP(($B86/180000),0),8)/$B86,$B86*INDEX(Parâmetros!$F$7:$M$26,20,8)/$B86)</f>
        <v>0.05</v>
      </c>
      <c r="S86" s="23">
        <f t="shared" si="27"/>
        <v>0.16055952000000001</v>
      </c>
      <c r="T86" s="12">
        <f t="shared" si="23"/>
        <v>0.23893957985923769</v>
      </c>
      <c r="U86" s="64">
        <v>0</v>
      </c>
      <c r="V86" s="64">
        <v>0</v>
      </c>
      <c r="W86" s="64">
        <v>0</v>
      </c>
      <c r="X86" s="64">
        <f t="shared" si="24"/>
        <v>4.4632452000000003E-3</v>
      </c>
      <c r="Y86" s="64">
        <v>0</v>
      </c>
      <c r="Z86" s="81">
        <f t="shared" si="28"/>
        <v>0.24340282505923769</v>
      </c>
      <c r="AB86" s="153">
        <f>1-IF(B86&lt;=Parâmetros!$G$65,Parâmetros!$L$65,IF(B86&lt;=Parâmetros!$G$66,Parâmetros!$L$66,IF(B86&lt;=Parâmetros!$G$67,Parâmetros!$L$67,IF(B86&lt;=Parâmetros!$G$68,Parâmetros!$L$68,IF(B86&lt;=Parâmetros!$G$69,Parâmetros!$J$69,Parâmetros!$L$70)))))</f>
        <v>0.88095647808051236</v>
      </c>
    </row>
    <row r="87" spans="1:28" s="14" customFormat="1" x14ac:dyDescent="0.2">
      <c r="A87" s="1"/>
      <c r="B87" s="11">
        <f t="shared" si="29"/>
        <v>3200000</v>
      </c>
      <c r="C87" s="12">
        <f t="shared" si="19"/>
        <v>7.2499999999999995E-2</v>
      </c>
      <c r="D87" s="12">
        <f t="shared" si="20"/>
        <v>2.8799999999999999E-2</v>
      </c>
      <c r="E87" s="12">
        <f t="shared" si="21"/>
        <v>6.4999999999999997E-3</v>
      </c>
      <c r="F87" s="12">
        <f t="shared" si="22"/>
        <v>0.03</v>
      </c>
      <c r="G87" s="12">
        <f>Parâmetros!$C$14*13.33*(Parâmetros!$C$15+FGTS+Sist_S_SAT)/Dados!B87</f>
        <v>1.1363825000000002E-3</v>
      </c>
      <c r="H87" s="13">
        <f>B87*Parâmetros!$C$13/Dados!B87</f>
        <v>0.05</v>
      </c>
      <c r="I87" s="23">
        <f t="shared" si="25"/>
        <v>0.1889363825</v>
      </c>
      <c r="J87" s="178">
        <f>VLOOKUP(B87,LP_FX[],8,TRUE)*Parâmetros!$M$124/B87</f>
        <v>3.4182673951450186E-2</v>
      </c>
      <c r="K87" s="12">
        <f>Parâmetros!$C$20*(2*VLOOKUP(B87,LP_FX[],8,TRUE)/(VLOOKUP(B87,LP_FX[],1,TRUE)+VLOOKUP(B87,LP_FX[],2,TRUE)))</f>
        <v>4.540789520779058E-2</v>
      </c>
      <c r="L87" s="163">
        <f t="shared" si="26"/>
        <v>0.23320789520779062</v>
      </c>
      <c r="M87" s="165">
        <f>IF($B87&lt;=3600000,$B87*INDEX(Parâmetros!$F$7:$M$26,ROUNDUP(($B87/180000),0),4)/$B87,$B87*INDEX(Parâmetros!$F$7:$M$26,20,4)/$B87)</f>
        <v>5.5100000000000003E-2</v>
      </c>
      <c r="N87" s="12">
        <f>IF($B87&lt;=3600000,$B87*INDEX(Parâmetros!$F$7:$M$26,ROUNDUP(($B87/180000),0),5)/$B87,$B87*INDEX(Parâmetros!$F$7:$M$26,20,5)/$B87)</f>
        <v>2.3599999999999999E-2</v>
      </c>
      <c r="O87" s="12">
        <f>IF($B87&lt;=3600000,$B87*INDEX(Parâmetros!$F$7:$M$26,ROUNDUP(($B87/180000),0),6)/$B87,$B87*INDEX(Parâmetros!$F$7:$M$26,20,6)/$B87)</f>
        <v>5.3E-3</v>
      </c>
      <c r="P87" s="12">
        <f>IF($B87&lt;=3600000,$B87*INDEX(Parâmetros!$F$7:$M$26,ROUNDUP(($B87/180000),0),7)/$B87,$B87*INDEX(Parâmetros!$F$7:$M$26,20,7)/$B87)</f>
        <v>2.5499999999999998E-2</v>
      </c>
      <c r="Q87" s="12">
        <f>Parâmetros!$C$14*13.33*(Parâmetros!$C$15+FGTS)/B87</f>
        <v>1.02641E-3</v>
      </c>
      <c r="R87" s="12">
        <f>IF($B87&lt;=3600000,$B87*INDEX(Parâmetros!$F$7:$M$26,ROUNDUP(($B87/180000),0),8)/$B87,$B87*INDEX(Parâmetros!$F$7:$M$26,20,8)/$B87)</f>
        <v>0.05</v>
      </c>
      <c r="S87" s="23">
        <f t="shared" si="27"/>
        <v>0.16052641000000001</v>
      </c>
      <c r="T87" s="12">
        <f t="shared" si="23"/>
        <v>0.23904343772214093</v>
      </c>
      <c r="U87" s="64">
        <v>0</v>
      </c>
      <c r="V87" s="64">
        <v>0</v>
      </c>
      <c r="W87" s="64">
        <v>0</v>
      </c>
      <c r="X87" s="64">
        <f t="shared" si="24"/>
        <v>4.3237687875000005E-3</v>
      </c>
      <c r="Y87" s="64">
        <v>0</v>
      </c>
      <c r="Z87" s="81">
        <f t="shared" si="28"/>
        <v>0.24336720650964092</v>
      </c>
      <c r="AB87" s="153">
        <f>1-IF(B87&lt;=Parâmetros!$G$65,Parâmetros!$L$65,IF(B87&lt;=Parâmetros!$G$66,Parâmetros!$L$66,IF(B87&lt;=Parâmetros!$G$67,Parâmetros!$L$67,IF(B87&lt;=Parâmetros!$G$68,Parâmetros!$L$68,IF(B87&lt;=Parâmetros!$G$69,Parâmetros!$J$69,Parâmetros!$L$70)))))</f>
        <v>0.88095647808051236</v>
      </c>
    </row>
    <row r="88" spans="1:28" s="14" customFormat="1" x14ac:dyDescent="0.2">
      <c r="A88" s="1"/>
      <c r="B88" s="11">
        <f t="shared" si="29"/>
        <v>3300000</v>
      </c>
      <c r="C88" s="12">
        <f t="shared" si="19"/>
        <v>7.2727272727272724E-2</v>
      </c>
      <c r="D88" s="12">
        <f t="shared" si="20"/>
        <v>2.8799999999999999E-2</v>
      </c>
      <c r="E88" s="12">
        <f t="shared" si="21"/>
        <v>6.4999999999999997E-3</v>
      </c>
      <c r="F88" s="12">
        <f t="shared" si="22"/>
        <v>0.03</v>
      </c>
      <c r="G88" s="12">
        <f>Parâmetros!$C$14*13.33*(Parâmetros!$C$15+FGTS+Sist_S_SAT)/Dados!B88</f>
        <v>1.1019466666666669E-3</v>
      </c>
      <c r="H88" s="13">
        <f>B88*Parâmetros!$C$13/Dados!B88</f>
        <v>0.05</v>
      </c>
      <c r="I88" s="23">
        <f t="shared" si="25"/>
        <v>0.1891292193939394</v>
      </c>
      <c r="J88" s="178">
        <f>VLOOKUP(B88,LP_FX[],8,TRUE)*Parâmetros!$M$124/B88</f>
        <v>3.314683534686079E-2</v>
      </c>
      <c r="K88" s="12">
        <f>Parâmetros!$C$20*(2*VLOOKUP(B88,LP_FX[],8,TRUE)/(VLOOKUP(B88,LP_FX[],1,TRUE)+VLOOKUP(B88,LP_FX[],2,TRUE)))</f>
        <v>4.540789520779058E-2</v>
      </c>
      <c r="L88" s="163">
        <f t="shared" si="26"/>
        <v>0.2334351679350633</v>
      </c>
      <c r="M88" s="165">
        <f>IF($B88&lt;=3600000,$B88*INDEX(Parâmetros!$F$7:$M$26,ROUNDUP(($B88/180000),0),4)/$B88,$B88*INDEX(Parâmetros!$F$7:$M$26,20,4)/$B88)</f>
        <v>5.8099999999999999E-2</v>
      </c>
      <c r="N88" s="12">
        <f>IF($B88&lt;=3600000,$B88*INDEX(Parâmetros!$F$7:$M$26,ROUNDUP(($B88/180000),0),5)/$B88,$B88*INDEX(Parâmetros!$F$7:$M$26,20,5)/$B88)</f>
        <v>2.4500000000000001E-2</v>
      </c>
      <c r="O88" s="12">
        <f>IF($B88&lt;=3600000,$B88*INDEX(Parâmetros!$F$7:$M$26,ROUNDUP(($B88/180000),0),6)/$B88,$B88*INDEX(Parâmetros!$F$7:$M$26,20,6)/$B88)</f>
        <v>5.4999999999999997E-3</v>
      </c>
      <c r="P88" s="12">
        <f>IF($B88&lt;=3600000,$B88*INDEX(Parâmetros!$F$7:$M$26,ROUNDUP(($B88/180000),0),7)/$B88,$B88*INDEX(Parâmetros!$F$7:$M$26,20,7)/$B88)</f>
        <v>2.5899999999999999E-2</v>
      </c>
      <c r="Q88" s="12">
        <f>Parâmetros!$C$14*13.33*(Parâmetros!$C$15+FGTS)/B88</f>
        <v>9.953066666666668E-4</v>
      </c>
      <c r="R88" s="12">
        <f>IF($B88&lt;=3600000,$B88*INDEX(Parâmetros!$F$7:$M$26,ROUNDUP(($B88/180000),0),8)/$B88,$B88*INDEX(Parâmetros!$F$7:$M$26,20,8)/$B88)</f>
        <v>0.05</v>
      </c>
      <c r="S88" s="23">
        <f t="shared" si="27"/>
        <v>0.16499530666666667</v>
      </c>
      <c r="T88" s="12">
        <f t="shared" si="23"/>
        <v>0.23914100116911061</v>
      </c>
      <c r="U88" s="64">
        <v>0</v>
      </c>
      <c r="V88" s="64">
        <v>0</v>
      </c>
      <c r="W88" s="64">
        <v>0</v>
      </c>
      <c r="X88" s="64">
        <f t="shared" si="24"/>
        <v>4.1927454909090915E-3</v>
      </c>
      <c r="Y88" s="64">
        <v>0</v>
      </c>
      <c r="Z88" s="81">
        <f t="shared" si="28"/>
        <v>0.2433337466600197</v>
      </c>
      <c r="AB88" s="153">
        <f>1-IF(B88&lt;=Parâmetros!$G$65,Parâmetros!$L$65,IF(B88&lt;=Parâmetros!$G$66,Parâmetros!$L$66,IF(B88&lt;=Parâmetros!$G$67,Parâmetros!$L$67,IF(B88&lt;=Parâmetros!$G$68,Parâmetros!$L$68,IF(B88&lt;=Parâmetros!$G$69,Parâmetros!$J$69,Parâmetros!$L$70)))))</f>
        <v>0.88095647808051236</v>
      </c>
    </row>
    <row r="89" spans="1:28" s="14" customFormat="1" x14ac:dyDescent="0.2">
      <c r="A89" s="1"/>
      <c r="B89" s="11">
        <f>B88+100000</f>
        <v>3400000</v>
      </c>
      <c r="C89" s="12">
        <f t="shared" si="19"/>
        <v>7.2941176470588232E-2</v>
      </c>
      <c r="D89" s="12">
        <f t="shared" si="20"/>
        <v>2.8799999999999999E-2</v>
      </c>
      <c r="E89" s="12">
        <f t="shared" si="21"/>
        <v>6.4999999999999997E-3</v>
      </c>
      <c r="F89" s="12">
        <f t="shared" si="22"/>
        <v>0.03</v>
      </c>
      <c r="G89" s="12">
        <f>Parâmetros!$C$14*13.33*(Parâmetros!$C$15+FGTS+Sist_S_SAT)/Dados!B89</f>
        <v>1.0695364705882353E-3</v>
      </c>
      <c r="H89" s="13">
        <f>B89*Parâmetros!$C$13/Dados!B89</f>
        <v>0.05</v>
      </c>
      <c r="I89" s="23">
        <f t="shared" si="25"/>
        <v>0.18931071294117646</v>
      </c>
      <c r="J89" s="178">
        <f>VLOOKUP(B89,LP_FX[],8,TRUE)*Parâmetros!$M$124/B89</f>
        <v>3.2171928424894296E-2</v>
      </c>
      <c r="K89" s="12">
        <f>Parâmetros!$C$20*(2*VLOOKUP(B89,LP_FX[],8,TRUE)/(VLOOKUP(B89,LP_FX[],1,TRUE)+VLOOKUP(B89,LP_FX[],2,TRUE)))</f>
        <v>4.540789520779058E-2</v>
      </c>
      <c r="L89" s="163">
        <f t="shared" si="26"/>
        <v>0.23364907167837884</v>
      </c>
      <c r="M89" s="165">
        <f>IF($B89&lt;=3600000,$B89*INDEX(Parâmetros!$F$7:$M$26,ROUNDUP(($B89/180000),0),4)/$B89,$B89*INDEX(Parâmetros!$F$7:$M$26,20,4)/$B89)</f>
        <v>5.8099999999999999E-2</v>
      </c>
      <c r="N89" s="12">
        <f>IF($B89&lt;=3600000,$B89*INDEX(Parâmetros!$F$7:$M$26,ROUNDUP(($B89/180000),0),5)/$B89,$B89*INDEX(Parâmetros!$F$7:$M$26,20,5)/$B89)</f>
        <v>2.4500000000000001E-2</v>
      </c>
      <c r="O89" s="12">
        <f>IF($B89&lt;=3600000,$B89*INDEX(Parâmetros!$F$7:$M$26,ROUNDUP(($B89/180000),0),6)/$B89,$B89*INDEX(Parâmetros!$F$7:$M$26,20,6)/$B89)</f>
        <v>5.4999999999999997E-3</v>
      </c>
      <c r="P89" s="12">
        <f>IF($B89&lt;=3600000,$B89*INDEX(Parâmetros!$F$7:$M$26,ROUNDUP(($B89/180000),0),7)/$B89,$B89*INDEX(Parâmetros!$F$7:$M$26,20,7)/$B89)</f>
        <v>2.5899999999999999E-2</v>
      </c>
      <c r="Q89" s="12">
        <f>Parâmetros!$C$14*13.33*(Parâmetros!$C$15+FGTS)/B89</f>
        <v>9.6603294117647066E-4</v>
      </c>
      <c r="R89" s="12">
        <f>IF($B89&lt;=3600000,$B89*INDEX(Parâmetros!$F$7:$M$26,ROUNDUP(($B89/180000),0),8)/$B89,$B89*INDEX(Parâmetros!$F$7:$M$26,20,8)/$B89)</f>
        <v>0.05</v>
      </c>
      <c r="S89" s="23">
        <f t="shared" si="27"/>
        <v>0.16496603294117651</v>
      </c>
      <c r="T89" s="12">
        <f t="shared" si="23"/>
        <v>0.23923282558978798</v>
      </c>
      <c r="U89" s="64">
        <v>0</v>
      </c>
      <c r="V89" s="64">
        <v>0</v>
      </c>
      <c r="W89" s="64">
        <v>0</v>
      </c>
      <c r="X89" s="64">
        <f t="shared" si="24"/>
        <v>4.0694294470588243E-3</v>
      </c>
      <c r="Y89" s="64">
        <v>0</v>
      </c>
      <c r="Z89" s="81">
        <f t="shared" si="28"/>
        <v>0.2433022550368468</v>
      </c>
      <c r="AB89" s="153">
        <f>1-IF(B89&lt;=Parâmetros!$G$65,Parâmetros!$L$65,IF(B89&lt;=Parâmetros!$G$66,Parâmetros!$L$66,IF(B89&lt;=Parâmetros!$G$67,Parâmetros!$L$67,IF(B89&lt;=Parâmetros!$G$68,Parâmetros!$L$68,IF(B89&lt;=Parâmetros!$G$69,Parâmetros!$J$69,Parâmetros!$L$70)))))</f>
        <v>0.88095647808051236</v>
      </c>
    </row>
    <row r="90" spans="1:28" s="14" customFormat="1" x14ac:dyDescent="0.2">
      <c r="A90" s="1"/>
      <c r="B90" s="11">
        <f t="shared" si="29"/>
        <v>3500000</v>
      </c>
      <c r="C90" s="12">
        <f t="shared" si="19"/>
        <v>7.3142857142857148E-2</v>
      </c>
      <c r="D90" s="12">
        <f t="shared" si="20"/>
        <v>2.8799999999999999E-2</v>
      </c>
      <c r="E90" s="12">
        <f t="shared" si="21"/>
        <v>6.4999999999999997E-3</v>
      </c>
      <c r="F90" s="12">
        <f t="shared" si="22"/>
        <v>0.03</v>
      </c>
      <c r="G90" s="12">
        <f>Parâmetros!$C$14*13.33*(Parâmetros!$C$15+FGTS+Sist_S_SAT)/Dados!B90</f>
        <v>1.0389782857142859E-3</v>
      </c>
      <c r="H90" s="13">
        <f>B90*Parâmetros!$C$13/Dados!B90</f>
        <v>0.05</v>
      </c>
      <c r="I90" s="23">
        <f t="shared" si="25"/>
        <v>0.18948183542857144</v>
      </c>
      <c r="J90" s="178">
        <f>VLOOKUP(B90,LP_FX[],8,TRUE)*Parâmetros!$M$124/B90</f>
        <v>3.1252730469897315E-2</v>
      </c>
      <c r="K90" s="12">
        <f>Parâmetros!$C$20*(2*VLOOKUP(B90,LP_FX[],8,TRUE)/(VLOOKUP(B90,LP_FX[],1,TRUE)+VLOOKUP(B90,LP_FX[],2,TRUE)))</f>
        <v>4.540789520779058E-2</v>
      </c>
      <c r="L90" s="163">
        <f t="shared" si="26"/>
        <v>0.23385075235064773</v>
      </c>
      <c r="M90" s="165">
        <f>IF($B90&lt;=3600000,$B90*INDEX(Parâmetros!$F$7:$M$26,ROUNDUP(($B90/180000),0),4)/$B90,$B90*INDEX(Parâmetros!$F$7:$M$26,20,4)/$B90)</f>
        <v>6.1199999999999997E-2</v>
      </c>
      <c r="N90" s="12">
        <f>IF($B90&lt;=3600000,$B90*INDEX(Parâmetros!$F$7:$M$26,ROUNDUP(($B90/180000),0),5)/$B90,$B90*INDEX(Parâmetros!$F$7:$M$26,20,5)/$B90)</f>
        <v>2.53E-2</v>
      </c>
      <c r="O90" s="12">
        <f>IF($B90&lt;=3600000,$B90*INDEX(Parâmetros!$F$7:$M$26,ROUNDUP(($B90/180000),0),6)/$B90,$B90*INDEX(Parâmetros!$F$7:$M$26,20,6)/$B90)</f>
        <v>5.7000000000000002E-3</v>
      </c>
      <c r="P90" s="12">
        <f>IF($B90&lt;=3600000,$B90*INDEX(Parâmetros!$F$7:$M$26,ROUNDUP(($B90/180000),0),7)/$B90,$B90*INDEX(Parâmetros!$F$7:$M$26,20,7)/$B90)</f>
        <v>2.63E-2</v>
      </c>
      <c r="Q90" s="12">
        <f>Parâmetros!$C$14*13.33*(Parâmetros!$C$15+FGTS)/B90</f>
        <v>9.38432E-4</v>
      </c>
      <c r="R90" s="12">
        <f>IF($B90&lt;=3600000,$B90*INDEX(Parâmetros!$F$7:$M$26,ROUNDUP(($B90/180000),0),8)/$B90,$B90*INDEX(Parâmetros!$F$7:$M$26,20,8)/$B90)</f>
        <v>0.05</v>
      </c>
      <c r="S90" s="23">
        <f t="shared" si="27"/>
        <v>0.169438432</v>
      </c>
      <c r="T90" s="12">
        <f t="shared" si="23"/>
        <v>0.23931940290071235</v>
      </c>
      <c r="U90" s="64">
        <v>0</v>
      </c>
      <c r="V90" s="64">
        <v>0</v>
      </c>
      <c r="W90" s="64">
        <v>0</v>
      </c>
      <c r="X90" s="64">
        <f t="shared" si="24"/>
        <v>3.9531600342857147E-3</v>
      </c>
      <c r="Y90" s="64">
        <v>0</v>
      </c>
      <c r="Z90" s="81">
        <f t="shared" si="28"/>
        <v>0.24327256293499808</v>
      </c>
      <c r="AB90" s="153">
        <f>1-IF(B90&lt;=Parâmetros!$G$65,Parâmetros!$L$65,IF(B90&lt;=Parâmetros!$G$66,Parâmetros!$L$66,IF(B90&lt;=Parâmetros!$G$67,Parâmetros!$L$67,IF(B90&lt;=Parâmetros!$G$68,Parâmetros!$L$68,IF(B90&lt;=Parâmetros!$G$69,Parâmetros!$J$69,Parâmetros!$L$70)))))</f>
        <v>0.88095647808051236</v>
      </c>
    </row>
    <row r="91" spans="1:28" s="14" customFormat="1" x14ac:dyDescent="0.2">
      <c r="A91" s="1"/>
      <c r="B91" s="11">
        <f t="shared" si="29"/>
        <v>3600000</v>
      </c>
      <c r="C91" s="12">
        <f t="shared" si="19"/>
        <v>7.3333333333333334E-2</v>
      </c>
      <c r="D91" s="12">
        <f t="shared" si="20"/>
        <v>2.8799999999999999E-2</v>
      </c>
      <c r="E91" s="12">
        <f t="shared" si="21"/>
        <v>6.4999999999999997E-3</v>
      </c>
      <c r="F91" s="12">
        <f t="shared" si="22"/>
        <v>0.03</v>
      </c>
      <c r="G91" s="12">
        <f>Parâmetros!$C$14*13.33*(Parâmetros!$C$15+FGTS+Sist_S_SAT)/Dados!B91</f>
        <v>1.010117777777778E-3</v>
      </c>
      <c r="H91" s="13">
        <f>B91*Parâmetros!$C$13/Dados!B91</f>
        <v>0.05</v>
      </c>
      <c r="I91" s="23">
        <f t="shared" si="25"/>
        <v>0.18964345111111114</v>
      </c>
      <c r="J91" s="178">
        <f>VLOOKUP(B91,LP_FX[],8,TRUE)*Parâmetros!$M$124/B91</f>
        <v>3.0384599067955723E-2</v>
      </c>
      <c r="K91" s="12">
        <f>Parâmetros!$C$20*(2*VLOOKUP(B91,LP_FX[],8,TRUE)/(VLOOKUP(B91,LP_FX[],1,TRUE)+VLOOKUP(B91,LP_FX[],2,TRUE)))</f>
        <v>4.540789520779058E-2</v>
      </c>
      <c r="L91" s="163">
        <f t="shared" si="26"/>
        <v>0.23404122854112391</v>
      </c>
      <c r="M91" s="165">
        <f>IF($B91&lt;=3600000,$B91*INDEX(Parâmetros!$F$7:$M$26,ROUNDUP(($B91/180000),0),4)/$B91,$B91*INDEX(Parâmetros!$F$7:$M$26,20,4)/$B91)</f>
        <v>6.1199999999999997E-2</v>
      </c>
      <c r="N91" s="12">
        <f>IF($B91&lt;=3600000,$B91*INDEX(Parâmetros!$F$7:$M$26,ROUNDUP(($B91/180000),0),5)/$B91,$B91*INDEX(Parâmetros!$F$7:$M$26,20,5)/$B91)</f>
        <v>2.53E-2</v>
      </c>
      <c r="O91" s="12">
        <f>IF($B91&lt;=3600000,$B91*INDEX(Parâmetros!$F$7:$M$26,ROUNDUP(($B91/180000),0),6)/$B91,$B91*INDEX(Parâmetros!$F$7:$M$26,20,6)/$B91)</f>
        <v>5.7000000000000002E-3</v>
      </c>
      <c r="P91" s="12">
        <f>IF($B91&lt;=3600000,$B91*INDEX(Parâmetros!$F$7:$M$26,ROUNDUP(($B91/180000),0),7)/$B91,$B91*INDEX(Parâmetros!$F$7:$M$26,20,7)/$B91)</f>
        <v>2.63E-2</v>
      </c>
      <c r="Q91" s="12">
        <f>Parâmetros!$C$14*13.33*(Parâmetros!$C$15+FGTS)/B91</f>
        <v>9.123644444444445E-4</v>
      </c>
      <c r="R91" s="12">
        <f>IF($B91&lt;=3600000,$B91*INDEX(Parâmetros!$F$7:$M$26,ROUNDUP(($B91/180000),0),8)/$B91,$B91*INDEX(Parâmetros!$F$7:$M$26,20,8)/$B91)</f>
        <v>0.05</v>
      </c>
      <c r="S91" s="23">
        <f t="shared" si="27"/>
        <v>0.16941236444444444</v>
      </c>
      <c r="T91" s="12">
        <f t="shared" si="23"/>
        <v>0.23940117036102984</v>
      </c>
      <c r="U91" s="64">
        <v>0</v>
      </c>
      <c r="V91" s="64">
        <v>0</v>
      </c>
      <c r="W91" s="64">
        <v>0</v>
      </c>
      <c r="X91" s="64">
        <f t="shared" si="24"/>
        <v>3.8433500333333341E-3</v>
      </c>
      <c r="Y91" s="64">
        <v>0</v>
      </c>
      <c r="Z91" s="81">
        <f t="shared" si="28"/>
        <v>0.24324452039436317</v>
      </c>
      <c r="AB91" s="153">
        <f>1-IF(B91&lt;=Parâmetros!$G$65,Parâmetros!$L$65,IF(B91&lt;=Parâmetros!$G$66,Parâmetros!$L$66,IF(B91&lt;=Parâmetros!$G$67,Parâmetros!$L$67,IF(B91&lt;=Parâmetros!$G$68,Parâmetros!$L$68,IF(B91&lt;=Parâmetros!$G$69,Parâmetros!$J$69,Parâmetros!$L$70)))))</f>
        <v>0.88095647808051236</v>
      </c>
    </row>
    <row r="92" spans="1:28" s="14" customFormat="1" x14ac:dyDescent="0.2">
      <c r="A92" s="1"/>
      <c r="B92" s="11">
        <f t="shared" si="29"/>
        <v>3700000</v>
      </c>
      <c r="C92" s="12">
        <f t="shared" si="19"/>
        <v>7.3513513513513512E-2</v>
      </c>
      <c r="D92" s="12">
        <f t="shared" si="20"/>
        <v>2.8799999999999999E-2</v>
      </c>
      <c r="E92" s="12">
        <f t="shared" si="21"/>
        <v>6.4999999999999997E-3</v>
      </c>
      <c r="F92" s="12">
        <f t="shared" si="22"/>
        <v>0.03</v>
      </c>
      <c r="G92" s="12">
        <f>Parâmetros!$C$14*13.33*(Parâmetros!$C$15+FGTS+Sist_S_SAT)/Dados!B92</f>
        <v>9.8281729729729744E-4</v>
      </c>
      <c r="H92" s="13">
        <f>B92*Parâmetros!$C$13/Dados!B92</f>
        <v>0.05</v>
      </c>
      <c r="I92" s="23">
        <f t="shared" si="25"/>
        <v>0.18979633081081082</v>
      </c>
      <c r="J92" s="178">
        <f>VLOOKUP(B92,LP_FX[],8,TRUE)*Parâmetros!$M$124/B92</f>
        <v>2.9563393687740702E-2</v>
      </c>
      <c r="K92" s="12">
        <f>Parâmetros!$C$20*(2*VLOOKUP(B92,LP_FX[],8,TRUE)/(VLOOKUP(B92,LP_FX[],1,TRUE)+VLOOKUP(B92,LP_FX[],2,TRUE)))</f>
        <v>4.540789520779058E-2</v>
      </c>
      <c r="L92" s="163">
        <f t="shared" si="26"/>
        <v>0.23422140872130409</v>
      </c>
      <c r="M92" s="165">
        <f>IF($B92&lt;=3600000,$B92*INDEX(Parâmetros!$F$7:$M$26,ROUNDUP(($B92/180000),0),4)/$B92,$B92*INDEX(Parâmetros!$F$7:$M$26,20,4)/$B92)</f>
        <v>6.1199999999999997E-2</v>
      </c>
      <c r="N92" s="12">
        <f>IF($B92&lt;=3600000,$B92*INDEX(Parâmetros!$F$7:$M$26,ROUNDUP(($B92/180000),0),5)/$B92,$B92*INDEX(Parâmetros!$F$7:$M$26,20,5)/$B92)</f>
        <v>2.53E-2</v>
      </c>
      <c r="O92" s="12">
        <f>IF($B92&lt;=3600000,$B92*INDEX(Parâmetros!$F$7:$M$26,ROUNDUP(($B92/180000),0),6)/$B92,$B92*INDEX(Parâmetros!$F$7:$M$26,20,6)/$B92)</f>
        <v>5.7000000000000002E-3</v>
      </c>
      <c r="P92" s="12">
        <f>IF($B92&lt;=3600000,$B92*INDEX(Parâmetros!$F$7:$M$26,ROUNDUP(($B92/180000),0),7)/$B92,$B92*INDEX(Parâmetros!$F$7:$M$26,20,7)/$B92)</f>
        <v>2.63E-2</v>
      </c>
      <c r="Q92" s="12">
        <f>Parâmetros!$C$14*13.33*(Parâmetros!$C$15+FGTS)/B92</f>
        <v>8.8770594594594595E-4</v>
      </c>
      <c r="R92" s="12">
        <f>IF($B92&lt;=3600000,$B92*INDEX(Parâmetros!$F$7:$M$26,ROUNDUP(($B92/180000),0),8)/$B92,$B92*INDEX(Parâmetros!$F$7:$M$26,20,8)/$B92)</f>
        <v>0.05</v>
      </c>
      <c r="S92" s="23">
        <f t="shared" si="27"/>
        <v>0.16938770594594593</v>
      </c>
      <c r="T92" s="12">
        <f t="shared" si="23"/>
        <v>0.23947851795862743</v>
      </c>
      <c r="U92" s="64">
        <v>0</v>
      </c>
      <c r="V92" s="64">
        <v>0</v>
      </c>
      <c r="W92" s="64">
        <v>0</v>
      </c>
      <c r="X92" s="64">
        <f t="shared" si="24"/>
        <v>3.7394757081081085E-3</v>
      </c>
      <c r="Y92" s="64">
        <v>0</v>
      </c>
      <c r="Z92" s="81">
        <f t="shared" si="28"/>
        <v>0.24321799366673555</v>
      </c>
      <c r="AB92" s="153">
        <f>1-IF(B92&lt;=Parâmetros!$G$65,Parâmetros!$L$65,IF(B92&lt;=Parâmetros!$G$66,Parâmetros!$L$66,IF(B92&lt;=Parâmetros!$G$67,Parâmetros!$L$67,IF(B92&lt;=Parâmetros!$G$68,Parâmetros!$L$68,IF(B92&lt;=Parâmetros!$G$69,Parâmetros!$J$69,Parâmetros!$L$70)))))</f>
        <v>0.88095647808051236</v>
      </c>
    </row>
    <row r="93" spans="1:28" s="14" customFormat="1" x14ac:dyDescent="0.2">
      <c r="A93" s="1"/>
      <c r="B93" s="11">
        <f t="shared" si="29"/>
        <v>3800000</v>
      </c>
      <c r="C93" s="12">
        <f t="shared" ref="C93:C124" si="30">IF($B93&lt;=240000/BC_IR,($B93*(Al_IR)*BC_IR)/$B93,($B93*(Al_IR)*BC_IR+($B93-(240000/BC_IR))*BC_IR*Al_aIR)/$B93)</f>
        <v>7.3684210526315783E-2</v>
      </c>
      <c r="D93" s="12">
        <f t="shared" ref="D93:D124" si="31">$B93*(Al_CS)*BC_CS/$B93</f>
        <v>2.8799999999999999E-2</v>
      </c>
      <c r="E93" s="12">
        <f t="shared" si="21"/>
        <v>6.4999999999999997E-3</v>
      </c>
      <c r="F93" s="12">
        <f t="shared" si="22"/>
        <v>0.03</v>
      </c>
      <c r="G93" s="12">
        <f>Parâmetros!$C$14*13.33*(Parâmetros!$C$15+FGTS+Sist_S_SAT)/Dados!B93</f>
        <v>9.5695368421052642E-4</v>
      </c>
      <c r="H93" s="13">
        <f>B93*Parâmetros!$C$13/Dados!B93</f>
        <v>0.05</v>
      </c>
      <c r="I93" s="23">
        <f t="shared" si="25"/>
        <v>0.18994116421052631</v>
      </c>
      <c r="J93" s="178">
        <f>VLOOKUP(B93,LP_FX[],8,TRUE)*Parâmetros!$M$124/B93</f>
        <v>2.8785409643326473E-2</v>
      </c>
      <c r="K93" s="12">
        <f>Parâmetros!$C$20*(2*VLOOKUP(B93,LP_FX[],8,TRUE)/(VLOOKUP(B93,LP_FX[],1,TRUE)+VLOOKUP(B93,LP_FX[],2,TRUE)))</f>
        <v>4.540789520779058E-2</v>
      </c>
      <c r="L93" s="163">
        <f t="shared" si="26"/>
        <v>0.2343921057341064</v>
      </c>
      <c r="M93" s="165">
        <f>IF($B93&lt;=3600000,$B93*INDEX(Parâmetros!$F$7:$M$26,ROUNDUP(($B93/180000),0),4)/$B93,$B93*INDEX(Parâmetros!$F$7:$M$26,20,4)/$B93)</f>
        <v>6.1199999999999997E-2</v>
      </c>
      <c r="N93" s="12">
        <f>IF($B93&lt;=3600000,$B93*INDEX(Parâmetros!$F$7:$M$26,ROUNDUP(($B93/180000),0),5)/$B93,$B93*INDEX(Parâmetros!$F$7:$M$26,20,5)/$B93)</f>
        <v>2.53E-2</v>
      </c>
      <c r="O93" s="12">
        <f>IF($B93&lt;=3600000,$B93*INDEX(Parâmetros!$F$7:$M$26,ROUNDUP(($B93/180000),0),6)/$B93,$B93*INDEX(Parâmetros!$F$7:$M$26,20,6)/$B93)</f>
        <v>5.7000000000000002E-3</v>
      </c>
      <c r="P93" s="12">
        <f>IF($B93&lt;=3600000,$B93*INDEX(Parâmetros!$F$7:$M$26,ROUNDUP(($B93/180000),0),7)/$B93,$B93*INDEX(Parâmetros!$F$7:$M$26,20,7)/$B93)</f>
        <v>2.63E-2</v>
      </c>
      <c r="Q93" s="12">
        <f>Parâmetros!$C$14*13.33*(Parâmetros!$C$15+FGTS)/B93</f>
        <v>8.6434526315789476E-4</v>
      </c>
      <c r="R93" s="12">
        <f>IF($B93&lt;=3600000,$B93*INDEX(Parâmetros!$F$7:$M$26,ROUNDUP(($B93/180000),0),8)/$B93,$B93*INDEX(Parâmetros!$F$7:$M$26,20,8)/$B93)</f>
        <v>0.05</v>
      </c>
      <c r="S93" s="23">
        <f t="shared" si="27"/>
        <v>0.16936434526315791</v>
      </c>
      <c r="T93" s="12">
        <f t="shared" si="23"/>
        <v>0.2395517946300357</v>
      </c>
      <c r="U93" s="64">
        <v>0</v>
      </c>
      <c r="V93" s="64">
        <v>0</v>
      </c>
      <c r="W93" s="64">
        <v>0</v>
      </c>
      <c r="X93" s="64">
        <f t="shared" si="24"/>
        <v>3.6410684526315793E-3</v>
      </c>
      <c r="Y93" s="64">
        <v>0</v>
      </c>
      <c r="Z93" s="81">
        <f t="shared" si="28"/>
        <v>0.24319286308266727</v>
      </c>
      <c r="AB93" s="153">
        <f>1-IF(B93&lt;=Parâmetros!$G$65,Parâmetros!$L$65,IF(B93&lt;=Parâmetros!$G$66,Parâmetros!$L$66,IF(B93&lt;=Parâmetros!$G$67,Parâmetros!$L$67,IF(B93&lt;=Parâmetros!$G$68,Parâmetros!$L$68,IF(B93&lt;=Parâmetros!$G$69,Parâmetros!$J$69,Parâmetros!$L$70)))))</f>
        <v>0.88095647808051236</v>
      </c>
    </row>
    <row r="94" spans="1:28" s="14" customFormat="1" x14ac:dyDescent="0.2">
      <c r="A94" s="1"/>
      <c r="B94" s="11">
        <f t="shared" si="29"/>
        <v>3900000</v>
      </c>
      <c r="C94" s="12">
        <f t="shared" si="30"/>
        <v>7.3846153846153853E-2</v>
      </c>
      <c r="D94" s="12">
        <f t="shared" si="31"/>
        <v>2.8799999999999999E-2</v>
      </c>
      <c r="E94" s="12">
        <f t="shared" si="21"/>
        <v>6.4999999999999997E-3</v>
      </c>
      <c r="F94" s="12">
        <f t="shared" si="22"/>
        <v>0.03</v>
      </c>
      <c r="G94" s="12">
        <f>Parâmetros!$C$14*13.33*(Parâmetros!$C$15+FGTS+Sist_S_SAT)/Dados!B94</f>
        <v>9.3241641025641037E-4</v>
      </c>
      <c r="H94" s="13">
        <f>B94*Parâmetros!$C$13/Dados!B94</f>
        <v>0.05</v>
      </c>
      <c r="I94" s="23">
        <f t="shared" si="25"/>
        <v>0.19007857025641028</v>
      </c>
      <c r="J94" s="178">
        <f>VLOOKUP(B94,LP_FX[],8,TRUE)*Parâmetros!$M$124/B94</f>
        <v>2.8047322216574515E-2</v>
      </c>
      <c r="K94" s="12">
        <f>Parâmetros!$C$20*(2*VLOOKUP(B94,LP_FX[],8,TRUE)/(VLOOKUP(B94,LP_FX[],1,TRUE)+VLOOKUP(B94,LP_FX[],2,TRUE)))</f>
        <v>4.540789520779058E-2</v>
      </c>
      <c r="L94" s="163">
        <f t="shared" si="26"/>
        <v>0.23455404905394445</v>
      </c>
      <c r="M94" s="165">
        <f>IF($B94&lt;=3600000,$B94*INDEX(Parâmetros!$F$7:$M$26,ROUNDUP(($B94/180000),0),4)/$B94,$B94*INDEX(Parâmetros!$F$7:$M$26,20,4)/$B94)</f>
        <v>6.1199999999999997E-2</v>
      </c>
      <c r="N94" s="12">
        <f>IF($B94&lt;=3600000,$B94*INDEX(Parâmetros!$F$7:$M$26,ROUNDUP(($B94/180000),0),5)/$B94,$B94*INDEX(Parâmetros!$F$7:$M$26,20,5)/$B94)</f>
        <v>2.53E-2</v>
      </c>
      <c r="O94" s="12">
        <f>IF($B94&lt;=3600000,$B94*INDEX(Parâmetros!$F$7:$M$26,ROUNDUP(($B94/180000),0),6)/$B94,$B94*INDEX(Parâmetros!$F$7:$M$26,20,6)/$B94)</f>
        <v>5.7000000000000002E-3</v>
      </c>
      <c r="P94" s="12">
        <f>IF($B94&lt;=3600000,$B94*INDEX(Parâmetros!$F$7:$M$26,ROUNDUP(($B94/180000),0),7)/$B94,$B94*INDEX(Parâmetros!$F$7:$M$26,20,7)/$B94)</f>
        <v>2.63E-2</v>
      </c>
      <c r="Q94" s="12">
        <f>Parâmetros!$C$14*13.33*(Parâmetros!$C$15+FGTS)/B94</f>
        <v>8.4218256410256416E-4</v>
      </c>
      <c r="R94" s="12">
        <f>IF($B94&lt;=3600000,$B94*INDEX(Parâmetros!$F$7:$M$26,ROUNDUP(($B94/180000),0),8)/$B94,$B94*INDEX(Parâmetros!$F$7:$M$26,20,8)/$B94)</f>
        <v>0.05</v>
      </c>
      <c r="S94" s="23">
        <f t="shared" si="27"/>
        <v>0.16934218256410255</v>
      </c>
      <c r="T94" s="12">
        <f t="shared" si="23"/>
        <v>0.23962131352342297</v>
      </c>
      <c r="U94" s="64">
        <v>0</v>
      </c>
      <c r="V94" s="64">
        <v>0</v>
      </c>
      <c r="W94" s="64">
        <v>0</v>
      </c>
      <c r="X94" s="64">
        <f t="shared" si="24"/>
        <v>3.5477077230769236E-3</v>
      </c>
      <c r="Y94" s="64">
        <v>0</v>
      </c>
      <c r="Z94" s="81">
        <f t="shared" si="28"/>
        <v>0.24316902124649989</v>
      </c>
      <c r="AB94" s="153">
        <f>1-IF(B94&lt;=Parâmetros!$G$65,Parâmetros!$L$65,IF(B94&lt;=Parâmetros!$G$66,Parâmetros!$L$66,IF(B94&lt;=Parâmetros!$G$67,Parâmetros!$L$67,IF(B94&lt;=Parâmetros!$G$68,Parâmetros!$L$68,IF(B94&lt;=Parâmetros!$G$69,Parâmetros!$J$69,Parâmetros!$L$70)))))</f>
        <v>0.88095647808051236</v>
      </c>
    </row>
    <row r="95" spans="1:28" s="14" customFormat="1" x14ac:dyDescent="0.2">
      <c r="A95" s="1"/>
      <c r="B95" s="11">
        <f>B94+100000</f>
        <v>4000000</v>
      </c>
      <c r="C95" s="12">
        <f t="shared" si="30"/>
        <v>7.3999999999999996E-2</v>
      </c>
      <c r="D95" s="12">
        <f t="shared" si="31"/>
        <v>2.8799999999999999E-2</v>
      </c>
      <c r="E95" s="12">
        <f t="shared" si="21"/>
        <v>6.4999999999999997E-3</v>
      </c>
      <c r="F95" s="12">
        <f t="shared" si="22"/>
        <v>0.03</v>
      </c>
      <c r="G95" s="12">
        <f>Parâmetros!$C$14*13.33*(Parâmetros!$C$15+FGTS+Sist_S_SAT)/Dados!B95</f>
        <v>9.0910600000000013E-4</v>
      </c>
      <c r="H95" s="13">
        <f>B95*Parâmetros!$C$13/Dados!B95</f>
        <v>0.05</v>
      </c>
      <c r="I95" s="23">
        <f t="shared" si="25"/>
        <v>0.19020910600000002</v>
      </c>
      <c r="J95" s="178">
        <f>VLOOKUP(B95,LP_FX[],8,TRUE)*Parâmetros!$M$124/B95</f>
        <v>2.734613916116015E-2</v>
      </c>
      <c r="K95" s="12">
        <f>Parâmetros!$C$20*(2*VLOOKUP(B95,LP_FX[],8,TRUE)/(VLOOKUP(B95,LP_FX[],1,TRUE)+VLOOKUP(B95,LP_FX[],2,TRUE)))</f>
        <v>4.540789520779058E-2</v>
      </c>
      <c r="L95" s="163">
        <f t="shared" si="26"/>
        <v>0.23470789520779062</v>
      </c>
      <c r="M95" s="165">
        <f>IF($B95&lt;=3600000,$B95*INDEX(Parâmetros!$F$7:$M$26,ROUNDUP(($B95/180000),0),4)/$B95,$B95*INDEX(Parâmetros!$F$7:$M$26,20,4)/$B95)</f>
        <v>6.1199999999999997E-2</v>
      </c>
      <c r="N95" s="12">
        <f>IF($B95&lt;=3600000,$B95*INDEX(Parâmetros!$F$7:$M$26,ROUNDUP(($B95/180000),0),5)/$B95,$B95*INDEX(Parâmetros!$F$7:$M$26,20,5)/$B95)</f>
        <v>2.53E-2</v>
      </c>
      <c r="O95" s="12">
        <f>IF($B95&lt;=3600000,$B95*INDEX(Parâmetros!$F$7:$M$26,ROUNDUP(($B95/180000),0),6)/$B95,$B95*INDEX(Parâmetros!$F$7:$M$26,20,6)/$B95)</f>
        <v>5.7000000000000002E-3</v>
      </c>
      <c r="P95" s="12">
        <f>IF($B95&lt;=3600000,$B95*INDEX(Parâmetros!$F$7:$M$26,ROUNDUP(($B95/180000),0),7)/$B95,$B95*INDEX(Parâmetros!$F$7:$M$26,20,7)/$B95)</f>
        <v>2.63E-2</v>
      </c>
      <c r="Q95" s="12">
        <f>Parâmetros!$C$14*13.33*(Parâmetros!$C$15+FGTS)/B95</f>
        <v>8.2112800000000007E-4</v>
      </c>
      <c r="R95" s="12">
        <f>IF($B95&lt;=3600000,$B95*INDEX(Parâmetros!$F$7:$M$26,ROUNDUP(($B95/180000),0),8)/$B95,$B95*INDEX(Parâmetros!$F$7:$M$26,20,8)/$B95)</f>
        <v>0.05</v>
      </c>
      <c r="S95" s="23">
        <f t="shared" si="27"/>
        <v>0.16932112799999999</v>
      </c>
      <c r="T95" s="12">
        <f t="shared" si="23"/>
        <v>0.23968735647214093</v>
      </c>
      <c r="U95" s="64">
        <v>0</v>
      </c>
      <c r="V95" s="64">
        <v>0</v>
      </c>
      <c r="W95" s="64">
        <v>0</v>
      </c>
      <c r="X95" s="64">
        <f t="shared" si="24"/>
        <v>3.4590150300000005E-3</v>
      </c>
      <c r="Y95" s="64">
        <v>0</v>
      </c>
      <c r="Z95" s="81">
        <f t="shared" si="28"/>
        <v>0.24314637150214094</v>
      </c>
      <c r="AB95" s="153">
        <f>1-IF(B95&lt;=Parâmetros!$G$65,Parâmetros!$L$65,IF(B95&lt;=Parâmetros!$G$66,Parâmetros!$L$66,IF(B95&lt;=Parâmetros!$G$67,Parâmetros!$L$67,IF(B95&lt;=Parâmetros!$G$68,Parâmetros!$L$68,IF(B95&lt;=Parâmetros!$G$69,Parâmetros!$J$69,Parâmetros!$L$70)))))</f>
        <v>0.88095647808051236</v>
      </c>
    </row>
    <row r="96" spans="1:28" s="14" customFormat="1" x14ac:dyDescent="0.2">
      <c r="A96" s="1"/>
      <c r="B96" s="11">
        <f t="shared" si="29"/>
        <v>4100000</v>
      </c>
      <c r="C96" s="12">
        <f t="shared" si="30"/>
        <v>7.4146341463414631E-2</v>
      </c>
      <c r="D96" s="12">
        <f t="shared" si="31"/>
        <v>2.8799999999999999E-2</v>
      </c>
      <c r="E96" s="12">
        <f t="shared" si="21"/>
        <v>6.4999999999999997E-3</v>
      </c>
      <c r="F96" s="12">
        <f t="shared" si="22"/>
        <v>0.03</v>
      </c>
      <c r="G96" s="12">
        <f>Parâmetros!$C$14*13.33*(Parâmetros!$C$15+FGTS+Sist_S_SAT)/Dados!B96</f>
        <v>8.8693268292682934E-4</v>
      </c>
      <c r="H96" s="13">
        <f>B96*Parâmetros!$C$13/Dados!B96</f>
        <v>0.05</v>
      </c>
      <c r="I96" s="23">
        <f t="shared" si="25"/>
        <v>0.19033327414634149</v>
      </c>
      <c r="J96" s="178">
        <f>VLOOKUP(B96,LP_FX[],8,TRUE)*Parâmetros!$M$124/B96</f>
        <v>3.7031408243368868E-2</v>
      </c>
      <c r="K96" s="12">
        <f>Parâmetros!$C$20*(2*VLOOKUP(B96,LP_FX[],8,TRUE)/(VLOOKUP(B96,LP_FX[],1,TRUE)+VLOOKUP(B96,LP_FX[],2,TRUE)))</f>
        <v>4.9021317132719192E-2</v>
      </c>
      <c r="L96" s="163">
        <f t="shared" si="26"/>
        <v>0.23846765859613384</v>
      </c>
      <c r="M96" s="165">
        <f>IF($B96&lt;=3600000,$B96*INDEX(Parâmetros!$F$7:$M$26,ROUNDUP(($B96/180000),0),4)/$B96,$B96*INDEX(Parâmetros!$F$7:$M$26,20,4)/$B96)</f>
        <v>6.1199999999999997E-2</v>
      </c>
      <c r="N96" s="12">
        <f>IF($B96&lt;=3600000,$B96*INDEX(Parâmetros!$F$7:$M$26,ROUNDUP(($B96/180000),0),5)/$B96,$B96*INDEX(Parâmetros!$F$7:$M$26,20,5)/$B96)</f>
        <v>2.53E-2</v>
      </c>
      <c r="O96" s="12">
        <f>IF($B96&lt;=3600000,$B96*INDEX(Parâmetros!$F$7:$M$26,ROUNDUP(($B96/180000),0),6)/$B96,$B96*INDEX(Parâmetros!$F$7:$M$26,20,6)/$B96)</f>
        <v>5.7000000000000002E-3</v>
      </c>
      <c r="P96" s="12">
        <f>IF($B96&lt;=3600000,$B96*INDEX(Parâmetros!$F$7:$M$26,ROUNDUP(($B96/180000),0),7)/$B96,$B96*INDEX(Parâmetros!$F$7:$M$26,20,7)/$B96)</f>
        <v>2.63E-2</v>
      </c>
      <c r="Q96" s="12">
        <f>Parâmetros!$C$14*13.33*(Parâmetros!$C$15+FGTS)/B96</f>
        <v>8.011004878048781E-4</v>
      </c>
      <c r="R96" s="12">
        <f>IF($B96&lt;=3600000,$B96*INDEX(Parâmetros!$F$7:$M$26,ROUNDUP(($B96/180000),0),8)/$B96,$B96*INDEX(Parâmetros!$F$7:$M$26,20,8)/$B96)</f>
        <v>0.05</v>
      </c>
      <c r="S96" s="23">
        <f t="shared" si="27"/>
        <v>0.16930110048780489</v>
      </c>
      <c r="T96" s="12">
        <f t="shared" si="23"/>
        <v>0.24295648532371036</v>
      </c>
      <c r="U96" s="64">
        <v>0</v>
      </c>
      <c r="V96" s="64">
        <v>0</v>
      </c>
      <c r="W96" s="64">
        <v>0</v>
      </c>
      <c r="X96" s="64">
        <f t="shared" si="24"/>
        <v>3.3746488097560982E-3</v>
      </c>
      <c r="Y96" s="64">
        <v>0</v>
      </c>
      <c r="Z96" s="81">
        <f t="shared" si="28"/>
        <v>0.24633113413346647</v>
      </c>
      <c r="AB96" s="153">
        <f>1-IF(B96&lt;=Parâmetros!$G$65,Parâmetros!$L$65,IF(B96&lt;=Parâmetros!$G$66,Parâmetros!$L$66,IF(B96&lt;=Parâmetros!$G$67,Parâmetros!$L$67,IF(B96&lt;=Parâmetros!$G$68,Parâmetros!$L$68,IF(B96&lt;=Parâmetros!$G$69,Parâmetros!$J$69,Parâmetros!$L$70)))))</f>
        <v>0.89261577811726156</v>
      </c>
    </row>
    <row r="97" spans="1:28" s="14" customFormat="1" x14ac:dyDescent="0.2">
      <c r="A97" s="1"/>
      <c r="B97" s="11">
        <f t="shared" si="29"/>
        <v>4200000</v>
      </c>
      <c r="C97" s="12">
        <f t="shared" si="30"/>
        <v>7.4285714285714288E-2</v>
      </c>
      <c r="D97" s="12">
        <f t="shared" si="31"/>
        <v>2.8799999999999999E-2</v>
      </c>
      <c r="E97" s="12">
        <f t="shared" si="21"/>
        <v>6.4999999999999997E-3</v>
      </c>
      <c r="F97" s="12">
        <f t="shared" si="22"/>
        <v>0.03</v>
      </c>
      <c r="G97" s="12">
        <f>Parâmetros!$C$14*13.33*(Parâmetros!$C$15+FGTS+Sist_S_SAT)/Dados!B97</f>
        <v>8.6581523809523822E-4</v>
      </c>
      <c r="H97" s="13">
        <f>B97*Parâmetros!$C$13/Dados!B97</f>
        <v>0.05</v>
      </c>
      <c r="I97" s="23">
        <f t="shared" si="25"/>
        <v>0.1904515295238095</v>
      </c>
      <c r="J97" s="178">
        <f>VLOOKUP(B97,LP_FX[],8,TRUE)*Parâmetros!$M$124/B97</f>
        <v>3.6149708047098175E-2</v>
      </c>
      <c r="K97" s="12">
        <f>Parâmetros!$C$20*(2*VLOOKUP(B97,LP_FX[],8,TRUE)/(VLOOKUP(B97,LP_FX[],1,TRUE)+VLOOKUP(B97,LP_FX[],2,TRUE)))</f>
        <v>4.9021317132719192E-2</v>
      </c>
      <c r="L97" s="163">
        <f t="shared" si="26"/>
        <v>0.23860703141843348</v>
      </c>
      <c r="M97" s="165">
        <f>IF($B97&lt;=3600000,$B97*INDEX(Parâmetros!$F$7:$M$26,ROUNDUP(($B97/180000),0),4)/$B97,$B97*INDEX(Parâmetros!$F$7:$M$26,20,4)/$B97)</f>
        <v>6.1199999999999997E-2</v>
      </c>
      <c r="N97" s="12">
        <f>IF($B97&lt;=3600000,$B97*INDEX(Parâmetros!$F$7:$M$26,ROUNDUP(($B97/180000),0),5)/$B97,$B97*INDEX(Parâmetros!$F$7:$M$26,20,5)/$B97)</f>
        <v>2.53E-2</v>
      </c>
      <c r="O97" s="12">
        <f>IF($B97&lt;=3600000,$B97*INDEX(Parâmetros!$F$7:$M$26,ROUNDUP(($B97/180000),0),6)/$B97,$B97*INDEX(Parâmetros!$F$7:$M$26,20,6)/$B97)</f>
        <v>5.7000000000000002E-3</v>
      </c>
      <c r="P97" s="12">
        <f>IF($B97&lt;=3600000,$B97*INDEX(Parâmetros!$F$7:$M$26,ROUNDUP(($B97/180000),0),7)/$B97,$B97*INDEX(Parâmetros!$F$7:$M$26,20,7)/$B97)</f>
        <v>2.63E-2</v>
      </c>
      <c r="Q97" s="12">
        <f>Parâmetros!$C$14*13.33*(Parâmetros!$C$15+FGTS)/B97</f>
        <v>7.8202666666666676E-4</v>
      </c>
      <c r="R97" s="12">
        <f>IF($B97&lt;=3600000,$B97*INDEX(Parâmetros!$F$7:$M$26,ROUNDUP(($B97/180000),0),8)/$B97,$B97*INDEX(Parâmetros!$F$7:$M$26,20,8)/$B97)</f>
        <v>0.05</v>
      </c>
      <c r="S97" s="23">
        <f t="shared" si="27"/>
        <v>0.16928202666666667</v>
      </c>
      <c r="T97" s="12">
        <f t="shared" si="23"/>
        <v>0.24301631517272315</v>
      </c>
      <c r="U97" s="64">
        <v>0</v>
      </c>
      <c r="V97" s="64">
        <v>0</v>
      </c>
      <c r="W97" s="64">
        <v>0</v>
      </c>
      <c r="X97" s="64">
        <f t="shared" si="24"/>
        <v>3.2943000285714291E-3</v>
      </c>
      <c r="Y97" s="64">
        <v>0</v>
      </c>
      <c r="Z97" s="81">
        <f t="shared" si="28"/>
        <v>0.24631061520129457</v>
      </c>
      <c r="AB97" s="153">
        <f>1-IF(B97&lt;=Parâmetros!$G$65,Parâmetros!$L$65,IF(B97&lt;=Parâmetros!$G$66,Parâmetros!$L$66,IF(B97&lt;=Parâmetros!$G$67,Parâmetros!$L$67,IF(B97&lt;=Parâmetros!$G$68,Parâmetros!$L$68,IF(B97&lt;=Parâmetros!$G$69,Parâmetros!$J$69,Parâmetros!$L$70)))))</f>
        <v>0.89261577811726156</v>
      </c>
    </row>
    <row r="98" spans="1:28" s="14" customFormat="1" x14ac:dyDescent="0.2">
      <c r="A98" s="1"/>
      <c r="B98" s="11">
        <f t="shared" si="29"/>
        <v>4300000</v>
      </c>
      <c r="C98" s="12">
        <f t="shared" si="30"/>
        <v>7.441860465116279E-2</v>
      </c>
      <c r="D98" s="12">
        <f t="shared" si="31"/>
        <v>2.8799999999999999E-2</v>
      </c>
      <c r="E98" s="12">
        <f t="shared" si="21"/>
        <v>6.4999999999999997E-3</v>
      </c>
      <c r="F98" s="12">
        <f t="shared" si="22"/>
        <v>0.03</v>
      </c>
      <c r="G98" s="12">
        <f>Parâmetros!$C$14*13.33*(Parâmetros!$C$15+FGTS+Sist_S_SAT)/Dados!B98</f>
        <v>8.4568000000000013E-4</v>
      </c>
      <c r="H98" s="13">
        <f>B98*Parâmetros!$C$13/Dados!B98</f>
        <v>0.05</v>
      </c>
      <c r="I98" s="23">
        <f t="shared" si="25"/>
        <v>0.19056428465116276</v>
      </c>
      <c r="J98" s="178">
        <f>VLOOKUP(B98,LP_FX[],8,TRUE)*Parâmetros!$M$124/B98</f>
        <v>3.5309017162281943E-2</v>
      </c>
      <c r="K98" s="12">
        <f>Parâmetros!$C$20*(2*VLOOKUP(B98,LP_FX[],8,TRUE)/(VLOOKUP(B98,LP_FX[],1,TRUE)+VLOOKUP(B98,LP_FX[],2,TRUE)))</f>
        <v>4.9021317132719192E-2</v>
      </c>
      <c r="L98" s="163">
        <f t="shared" si="26"/>
        <v>0.23873992178388198</v>
      </c>
      <c r="M98" s="165">
        <f>IF($B98&lt;=3600000,$B98*INDEX(Parâmetros!$F$7:$M$26,ROUNDUP(($B98/180000),0),4)/$B98,$B98*INDEX(Parâmetros!$F$7:$M$26,20,4)/$B98)</f>
        <v>6.1199999999999997E-2</v>
      </c>
      <c r="N98" s="12">
        <f>IF($B98&lt;=3600000,$B98*INDEX(Parâmetros!$F$7:$M$26,ROUNDUP(($B98/180000),0),5)/$B98,$B98*INDEX(Parâmetros!$F$7:$M$26,20,5)/$B98)</f>
        <v>2.53E-2</v>
      </c>
      <c r="O98" s="12">
        <f>IF($B98&lt;=3600000,$B98*INDEX(Parâmetros!$F$7:$M$26,ROUNDUP(($B98/180000),0),6)/$B98,$B98*INDEX(Parâmetros!$F$7:$M$26,20,6)/$B98)</f>
        <v>5.7000000000000002E-3</v>
      </c>
      <c r="P98" s="12">
        <f>IF($B98&lt;=3600000,$B98*INDEX(Parâmetros!$F$7:$M$26,ROUNDUP(($B98/180000),0),7)/$B98,$B98*INDEX(Parâmetros!$F$7:$M$26,20,7)/$B98)</f>
        <v>2.63E-2</v>
      </c>
      <c r="Q98" s="12">
        <f>Parâmetros!$C$14*13.33*(Parâmetros!$C$15+FGTS)/B98</f>
        <v>7.6384000000000001E-4</v>
      </c>
      <c r="R98" s="12">
        <f>IF($B98&lt;=3600000,$B98*INDEX(Parâmetros!$F$7:$M$26,ROUNDUP(($B98/180000),0),8)/$B98,$B98*INDEX(Parâmetros!$F$7:$M$26,20,8)/$B98)</f>
        <v>0.05</v>
      </c>
      <c r="S98" s="23">
        <f t="shared" si="27"/>
        <v>0.16926384</v>
      </c>
      <c r="T98" s="12">
        <f t="shared" si="23"/>
        <v>0.24307336223806092</v>
      </c>
      <c r="U98" s="64">
        <v>0</v>
      </c>
      <c r="V98" s="64">
        <v>0</v>
      </c>
      <c r="W98" s="64">
        <v>0</v>
      </c>
      <c r="X98" s="64">
        <f t="shared" si="24"/>
        <v>3.2176884000000004E-3</v>
      </c>
      <c r="Y98" s="64">
        <v>0</v>
      </c>
      <c r="Z98" s="81">
        <f t="shared" si="28"/>
        <v>0.24629105063806092</v>
      </c>
      <c r="AB98" s="153">
        <f>1-IF(B98&lt;=Parâmetros!$G$65,Parâmetros!$L$65,IF(B98&lt;=Parâmetros!$G$66,Parâmetros!$L$66,IF(B98&lt;=Parâmetros!$G$67,Parâmetros!$L$67,IF(B98&lt;=Parâmetros!$G$68,Parâmetros!$L$68,IF(B98&lt;=Parâmetros!$G$69,Parâmetros!$J$69,Parâmetros!$L$70)))))</f>
        <v>0.89261577811726156</v>
      </c>
    </row>
    <row r="99" spans="1:28" s="14" customFormat="1" x14ac:dyDescent="0.2">
      <c r="A99" s="1"/>
      <c r="B99" s="11">
        <f t="shared" si="29"/>
        <v>4400000</v>
      </c>
      <c r="C99" s="12">
        <f t="shared" si="30"/>
        <v>7.454545454545454E-2</v>
      </c>
      <c r="D99" s="12">
        <f t="shared" si="31"/>
        <v>2.8799999999999999E-2</v>
      </c>
      <c r="E99" s="12">
        <f t="shared" si="21"/>
        <v>6.4999999999999997E-3</v>
      </c>
      <c r="F99" s="12">
        <f t="shared" si="22"/>
        <v>0.03</v>
      </c>
      <c r="G99" s="12">
        <f>Parâmetros!$C$14*13.33*(Parâmetros!$C$15+FGTS+Sist_S_SAT)/Dados!B99</f>
        <v>8.2646000000000011E-4</v>
      </c>
      <c r="H99" s="13">
        <f>B99*Parâmetros!$C$13/Dados!B99</f>
        <v>0.05</v>
      </c>
      <c r="I99" s="23">
        <f t="shared" si="25"/>
        <v>0.19067191454545457</v>
      </c>
      <c r="J99" s="178">
        <f>VLOOKUP(B99,LP_FX[],8,TRUE)*Parâmetros!$M$124/B99</f>
        <v>3.4506539499502803E-2</v>
      </c>
      <c r="K99" s="12">
        <f>Parâmetros!$C$20*(2*VLOOKUP(B99,LP_FX[],8,TRUE)/(VLOOKUP(B99,LP_FX[],1,TRUE)+VLOOKUP(B99,LP_FX[],2,TRUE)))</f>
        <v>4.9021317132719192E-2</v>
      </c>
      <c r="L99" s="163">
        <f t="shared" si="26"/>
        <v>0.23886677167817372</v>
      </c>
      <c r="M99" s="165">
        <f>IF($B99&lt;=3600000,$B99*INDEX(Parâmetros!$F$7:$M$26,ROUNDUP(($B99/180000),0),4)/$B99,$B99*INDEX(Parâmetros!$F$7:$M$26,20,4)/$B99)</f>
        <v>6.1199999999999997E-2</v>
      </c>
      <c r="N99" s="12">
        <f>IF($B99&lt;=3600000,$B99*INDEX(Parâmetros!$F$7:$M$26,ROUNDUP(($B99/180000),0),5)/$B99,$B99*INDEX(Parâmetros!$F$7:$M$26,20,5)/$B99)</f>
        <v>2.53E-2</v>
      </c>
      <c r="O99" s="12">
        <f>IF($B99&lt;=3600000,$B99*INDEX(Parâmetros!$F$7:$M$26,ROUNDUP(($B99/180000),0),6)/$B99,$B99*INDEX(Parâmetros!$F$7:$M$26,20,6)/$B99)</f>
        <v>5.7000000000000002E-3</v>
      </c>
      <c r="P99" s="12">
        <f>IF($B99&lt;=3600000,$B99*INDEX(Parâmetros!$F$7:$M$26,ROUNDUP(($B99/180000),0),7)/$B99,$B99*INDEX(Parâmetros!$F$7:$M$26,20,7)/$B99)</f>
        <v>2.63E-2</v>
      </c>
      <c r="Q99" s="12">
        <f>Parâmetros!$C$14*13.33*(Parâmetros!$C$15+FGTS)/B99</f>
        <v>7.4648E-4</v>
      </c>
      <c r="R99" s="12">
        <f>IF($B99&lt;=3600000,$B99*INDEX(Parâmetros!$F$7:$M$26,ROUNDUP(($B99/180000),0),8)/$B99,$B99*INDEX(Parâmetros!$F$7:$M$26,20,8)/$B99)</f>
        <v>0.05</v>
      </c>
      <c r="S99" s="23">
        <f t="shared" si="27"/>
        <v>0.16924647999999998</v>
      </c>
      <c r="T99" s="12">
        <f t="shared" si="23"/>
        <v>0.24312781625497426</v>
      </c>
      <c r="U99" s="64">
        <v>0</v>
      </c>
      <c r="V99" s="64">
        <v>0</v>
      </c>
      <c r="W99" s="64">
        <v>0</v>
      </c>
      <c r="X99" s="64">
        <f t="shared" si="24"/>
        <v>3.1445591181818188E-3</v>
      </c>
      <c r="Y99" s="64">
        <v>0</v>
      </c>
      <c r="Z99" s="81">
        <f t="shared" si="28"/>
        <v>0.24627237537315608</v>
      </c>
      <c r="AB99" s="153">
        <f>1-IF(B99&lt;=Parâmetros!$G$65,Parâmetros!$L$65,IF(B99&lt;=Parâmetros!$G$66,Parâmetros!$L$66,IF(B99&lt;=Parâmetros!$G$67,Parâmetros!$L$67,IF(B99&lt;=Parâmetros!$G$68,Parâmetros!$L$68,IF(B99&lt;=Parâmetros!$G$69,Parâmetros!$J$69,Parâmetros!$L$70)))))</f>
        <v>0.89261577811726156</v>
      </c>
    </row>
    <row r="100" spans="1:28" s="14" customFormat="1" x14ac:dyDescent="0.2">
      <c r="A100" s="1"/>
      <c r="B100" s="11">
        <f>B99+100000</f>
        <v>4500000</v>
      </c>
      <c r="C100" s="12">
        <f t="shared" si="30"/>
        <v>7.4666666666666673E-2</v>
      </c>
      <c r="D100" s="12">
        <f t="shared" si="31"/>
        <v>2.8799999999999999E-2</v>
      </c>
      <c r="E100" s="12">
        <f t="shared" si="21"/>
        <v>6.4999999999999997E-3</v>
      </c>
      <c r="F100" s="12">
        <f t="shared" si="22"/>
        <v>0.03</v>
      </c>
      <c r="G100" s="12">
        <f>Parâmetros!$C$14*13.33*(Parâmetros!$C$15+FGTS+Sist_S_SAT)/Dados!B100</f>
        <v>8.0809422222222237E-4</v>
      </c>
      <c r="H100" s="13">
        <f>B100*Parâmetros!$C$13/Dados!B100</f>
        <v>0.05</v>
      </c>
      <c r="I100" s="23">
        <f t="shared" si="25"/>
        <v>0.19077476088888889</v>
      </c>
      <c r="J100" s="178">
        <f>VLOOKUP(B100,LP_FX[],8,TRUE)*Parâmetros!$M$124/B100</f>
        <v>3.3739727510624963E-2</v>
      </c>
      <c r="K100" s="12">
        <f>Parâmetros!$C$20*(2*VLOOKUP(B100,LP_FX[],8,TRUE)/(VLOOKUP(B100,LP_FX[],1,TRUE)+VLOOKUP(B100,LP_FX[],2,TRUE)))</f>
        <v>4.9021317132719192E-2</v>
      </c>
      <c r="L100" s="163">
        <f t="shared" si="26"/>
        <v>0.23898798379938585</v>
      </c>
      <c r="M100" s="165">
        <f>IF($B100&lt;=3600000,$B100*INDEX(Parâmetros!$F$7:$M$26,ROUNDUP(($B100/180000),0),4)/$B100,$B100*INDEX(Parâmetros!$F$7:$M$26,20,4)/$B100)</f>
        <v>6.1199999999999997E-2</v>
      </c>
      <c r="N100" s="12">
        <f>IF($B100&lt;=3600000,$B100*INDEX(Parâmetros!$F$7:$M$26,ROUNDUP(($B100/180000),0),5)/$B100,$B100*INDEX(Parâmetros!$F$7:$M$26,20,5)/$B100)</f>
        <v>2.53E-2</v>
      </c>
      <c r="O100" s="12">
        <f>IF($B100&lt;=3600000,$B100*INDEX(Parâmetros!$F$7:$M$26,ROUNDUP(($B100/180000),0),6)/$B100,$B100*INDEX(Parâmetros!$F$7:$M$26,20,6)/$B100)</f>
        <v>5.7000000000000002E-3</v>
      </c>
      <c r="P100" s="12">
        <f>IF($B100&lt;=3600000,$B100*INDEX(Parâmetros!$F$7:$M$26,ROUNDUP(($B100/180000),0),7)/$B100,$B100*INDEX(Parâmetros!$F$7:$M$26,20,7)/$B100)</f>
        <v>2.63E-2</v>
      </c>
      <c r="Q100" s="12">
        <f>Parâmetros!$C$14*13.33*(Parâmetros!$C$15+FGTS)/B100</f>
        <v>7.2989155555555564E-4</v>
      </c>
      <c r="R100" s="12">
        <f>IF($B100&lt;=3600000,$B100*INDEX(Parâmetros!$F$7:$M$26,ROUNDUP(($B100/180000),0),8)/$B100,$B100*INDEX(Parâmetros!$F$7:$M$26,20,8)/$B100)</f>
        <v>0.05</v>
      </c>
      <c r="S100" s="23">
        <f t="shared" si="27"/>
        <v>0.16922989155555557</v>
      </c>
      <c r="T100" s="12">
        <f t="shared" si="23"/>
        <v>0.24317985009335805</v>
      </c>
      <c r="U100" s="64">
        <v>0</v>
      </c>
      <c r="V100" s="64">
        <v>0</v>
      </c>
      <c r="W100" s="64">
        <v>0</v>
      </c>
      <c r="X100" s="64">
        <f t="shared" si="24"/>
        <v>3.0746800266666669E-3</v>
      </c>
      <c r="Y100" s="64">
        <v>0</v>
      </c>
      <c r="Z100" s="81">
        <f t="shared" si="28"/>
        <v>0.24625453012002471</v>
      </c>
      <c r="AB100" s="153">
        <f>1-IF(B100&lt;=Parâmetros!$G$65,Parâmetros!$L$65,IF(B100&lt;=Parâmetros!$G$66,Parâmetros!$L$66,IF(B100&lt;=Parâmetros!$G$67,Parâmetros!$L$67,IF(B100&lt;=Parâmetros!$G$68,Parâmetros!$L$68,IF(B100&lt;=Parâmetros!$G$69,Parâmetros!$J$69,Parâmetros!$L$70)))))</f>
        <v>0.89261577811726156</v>
      </c>
    </row>
    <row r="101" spans="1:28" s="14" customFormat="1" x14ac:dyDescent="0.2">
      <c r="A101" s="1"/>
      <c r="B101" s="11">
        <f t="shared" si="29"/>
        <v>4600000</v>
      </c>
      <c r="C101" s="12">
        <f t="shared" si="30"/>
        <v>7.4782608695652175E-2</v>
      </c>
      <c r="D101" s="12">
        <f t="shared" si="31"/>
        <v>2.8799999999999999E-2</v>
      </c>
      <c r="E101" s="12">
        <f t="shared" ref="E101:E132" si="32">B101*(Al_Pis)/B101</f>
        <v>6.4999999999999997E-3</v>
      </c>
      <c r="F101" s="12">
        <f t="shared" ref="F101:F132" si="33">B101*(Al_Cofins)/B101</f>
        <v>0.03</v>
      </c>
      <c r="G101" s="12">
        <f>Parâmetros!$C$14*13.33*(Parâmetros!$C$15+FGTS+Sist_S_SAT)/Dados!B101</f>
        <v>7.9052695652173926E-4</v>
      </c>
      <c r="H101" s="13">
        <f>B101*Parâmetros!$C$13/Dados!B101</f>
        <v>0.05</v>
      </c>
      <c r="I101" s="23">
        <f t="shared" si="25"/>
        <v>0.1908731356521739</v>
      </c>
      <c r="J101" s="178">
        <f>VLOOKUP(B101,LP_FX[],8,TRUE)*Parâmetros!$M$124/B101</f>
        <v>3.3006255173437464E-2</v>
      </c>
      <c r="K101" s="12">
        <f>Parâmetros!$C$20*(2*VLOOKUP(B101,LP_FX[],8,TRUE)/(VLOOKUP(B101,LP_FX[],1,TRUE)+VLOOKUP(B101,LP_FX[],2,TRUE)))</f>
        <v>4.9021317132719192E-2</v>
      </c>
      <c r="L101" s="163">
        <f t="shared" si="26"/>
        <v>0.23910392582837137</v>
      </c>
      <c r="M101" s="165">
        <f>IF($B101&lt;=3600000,$B101*INDEX(Parâmetros!$F$7:$M$26,ROUNDUP(($B101/180000),0),4)/$B101,$B101*INDEX(Parâmetros!$F$7:$M$26,20,4)/$B101)</f>
        <v>6.1199999999999997E-2</v>
      </c>
      <c r="N101" s="12">
        <f>IF($B101&lt;=3600000,$B101*INDEX(Parâmetros!$F$7:$M$26,ROUNDUP(($B101/180000),0),5)/$B101,$B101*INDEX(Parâmetros!$F$7:$M$26,20,5)/$B101)</f>
        <v>2.53E-2</v>
      </c>
      <c r="O101" s="12">
        <f>IF($B101&lt;=3600000,$B101*INDEX(Parâmetros!$F$7:$M$26,ROUNDUP(($B101/180000),0),6)/$B101,$B101*INDEX(Parâmetros!$F$7:$M$26,20,6)/$B101)</f>
        <v>5.7000000000000002E-3</v>
      </c>
      <c r="P101" s="12">
        <f>IF($B101&lt;=3600000,$B101*INDEX(Parâmetros!$F$7:$M$26,ROUNDUP(($B101/180000),0),7)/$B101,$B101*INDEX(Parâmetros!$F$7:$M$26,20,7)/$B101)</f>
        <v>2.63E-2</v>
      </c>
      <c r="Q101" s="12">
        <f>Parâmetros!$C$14*13.33*(Parâmetros!$C$15+FGTS)/B101</f>
        <v>7.14024347826087E-4</v>
      </c>
      <c r="R101" s="12">
        <f>IF($B101&lt;=3600000,$B101*INDEX(Parâmetros!$F$7:$M$26,ROUNDUP(($B101/180000),0),8)/$B101,$B101*INDEX(Parâmetros!$F$7:$M$26,20,8)/$B101)</f>
        <v>0.05</v>
      </c>
      <c r="S101" s="23">
        <f t="shared" si="27"/>
        <v>0.16921402434782606</v>
      </c>
      <c r="T101" s="12">
        <f t="shared" ref="T101:T132" si="34">IF(B101*AB101&lt;=22499.13,B101*0,IF(B101*AB101&lt;=33477.72,B101*0.075-1687.43,IF(B101*AB101&lt;=44476.74,B101*0.15-4198.26,IF(B101*AB101&lt;=55373.55,B101*0.225-7534.02,B101*AB101*0.275-10302.7))))/B101</f>
        <v>0.24322962159094258</v>
      </c>
      <c r="U101" s="64">
        <v>0</v>
      </c>
      <c r="V101" s="64">
        <v>0</v>
      </c>
      <c r="W101" s="64">
        <v>0</v>
      </c>
      <c r="X101" s="64">
        <f t="shared" ref="X101:X132" si="35">maior_sal_contrib*13.33*20%/B101</f>
        <v>3.0078391565217396E-3</v>
      </c>
      <c r="Y101" s="64">
        <v>0</v>
      </c>
      <c r="Z101" s="81">
        <f t="shared" si="28"/>
        <v>0.24623746074746433</v>
      </c>
      <c r="AB101" s="153">
        <f>1-IF(B101&lt;=Parâmetros!$G$65,Parâmetros!$L$65,IF(B101&lt;=Parâmetros!$G$66,Parâmetros!$L$66,IF(B101&lt;=Parâmetros!$G$67,Parâmetros!$L$67,IF(B101&lt;=Parâmetros!$G$68,Parâmetros!$L$68,IF(B101&lt;=Parâmetros!$G$69,Parâmetros!$J$69,Parâmetros!$L$70)))))</f>
        <v>0.89261577811726156</v>
      </c>
    </row>
    <row r="102" spans="1:28" s="14" customFormat="1" x14ac:dyDescent="0.2">
      <c r="A102" s="1"/>
      <c r="B102" s="11">
        <f t="shared" si="29"/>
        <v>4700000</v>
      </c>
      <c r="C102" s="12">
        <f t="shared" si="30"/>
        <v>7.4893617021276601E-2</v>
      </c>
      <c r="D102" s="12">
        <f t="shared" si="31"/>
        <v>2.8799999999999999E-2</v>
      </c>
      <c r="E102" s="12">
        <f t="shared" si="32"/>
        <v>6.4999999999999997E-3</v>
      </c>
      <c r="F102" s="12">
        <f t="shared" si="33"/>
        <v>0.03</v>
      </c>
      <c r="G102" s="12">
        <f>Parâmetros!$C$14*13.33*(Parâmetros!$C$15+FGTS+Sist_S_SAT)/Dados!B102</f>
        <v>7.7370723404255324E-4</v>
      </c>
      <c r="H102" s="13">
        <f>B102*Parâmetros!$C$13/Dados!B102</f>
        <v>0.05</v>
      </c>
      <c r="I102" s="23">
        <f t="shared" si="25"/>
        <v>0.19096732425531915</v>
      </c>
      <c r="J102" s="178">
        <f>VLOOKUP(B102,LP_FX[],8,TRUE)*Parâmetros!$M$124/B102</f>
        <v>3.2303994425066457E-2</v>
      </c>
      <c r="K102" s="12">
        <f>Parâmetros!$C$20*(2*VLOOKUP(B102,LP_FX[],8,TRUE)/(VLOOKUP(B102,LP_FX[],1,TRUE)+VLOOKUP(B102,LP_FX[],2,TRUE)))</f>
        <v>4.9021317132719192E-2</v>
      </c>
      <c r="L102" s="163">
        <f t="shared" si="26"/>
        <v>0.23921493415399581</v>
      </c>
      <c r="M102" s="165">
        <f>IF($B102&lt;=3600000,$B102*INDEX(Parâmetros!$F$7:$M$26,ROUNDUP(($B102/180000),0),4)/$B102,$B102*INDEX(Parâmetros!$F$7:$M$26,20,4)/$B102)</f>
        <v>6.1199999999999997E-2</v>
      </c>
      <c r="N102" s="12">
        <f>IF($B102&lt;=3600000,$B102*INDEX(Parâmetros!$F$7:$M$26,ROUNDUP(($B102/180000),0),5)/$B102,$B102*INDEX(Parâmetros!$F$7:$M$26,20,5)/$B102)</f>
        <v>2.53E-2</v>
      </c>
      <c r="O102" s="12">
        <f>IF($B102&lt;=3600000,$B102*INDEX(Parâmetros!$F$7:$M$26,ROUNDUP(($B102/180000),0),6)/$B102,$B102*INDEX(Parâmetros!$F$7:$M$26,20,6)/$B102)</f>
        <v>5.7000000000000002E-3</v>
      </c>
      <c r="P102" s="12">
        <f>IF($B102&lt;=3600000,$B102*INDEX(Parâmetros!$F$7:$M$26,ROUNDUP(($B102/180000),0),7)/$B102,$B102*INDEX(Parâmetros!$F$7:$M$26,20,7)/$B102)</f>
        <v>2.63E-2</v>
      </c>
      <c r="Q102" s="12">
        <f>Parâmetros!$C$14*13.33*(Parâmetros!$C$15+FGTS)/B102</f>
        <v>6.9883234042553198E-4</v>
      </c>
      <c r="R102" s="12">
        <f>IF($B102&lt;=3600000,$B102*INDEX(Parâmetros!$F$7:$M$26,ROUNDUP(($B102/180000),0),8)/$B102,$B102*INDEX(Parâmetros!$F$7:$M$26,20,8)/$B102)</f>
        <v>0.05</v>
      </c>
      <c r="S102" s="23">
        <f t="shared" si="27"/>
        <v>0.16919883234042554</v>
      </c>
      <c r="T102" s="12">
        <f t="shared" si="34"/>
        <v>0.2432772751524597</v>
      </c>
      <c r="U102" s="64">
        <v>0</v>
      </c>
      <c r="V102" s="64">
        <v>0</v>
      </c>
      <c r="W102" s="64">
        <v>0</v>
      </c>
      <c r="X102" s="64">
        <f t="shared" si="35"/>
        <v>2.9438425787234046E-3</v>
      </c>
      <c r="Y102" s="64">
        <v>0</v>
      </c>
      <c r="Z102" s="81">
        <f t="shared" si="28"/>
        <v>0.2462211177311831</v>
      </c>
      <c r="AB102" s="153">
        <f>1-IF(B102&lt;=Parâmetros!$G$65,Parâmetros!$L$65,IF(B102&lt;=Parâmetros!$G$66,Parâmetros!$L$66,IF(B102&lt;=Parâmetros!$G$67,Parâmetros!$L$67,IF(B102&lt;=Parâmetros!$G$68,Parâmetros!$L$68,IF(B102&lt;=Parâmetros!$G$69,Parâmetros!$J$69,Parâmetros!$L$70)))))</f>
        <v>0.89261577811726156</v>
      </c>
    </row>
    <row r="103" spans="1:28" s="14" customFormat="1" x14ac:dyDescent="0.2">
      <c r="A103" s="1"/>
      <c r="B103" s="16">
        <f t="shared" si="29"/>
        <v>4800000</v>
      </c>
      <c r="C103" s="17">
        <f t="shared" si="30"/>
        <v>7.4999999999999997E-2</v>
      </c>
      <c r="D103" s="17">
        <f t="shared" si="31"/>
        <v>2.8799999999999999E-2</v>
      </c>
      <c r="E103" s="17">
        <f t="shared" si="32"/>
        <v>6.4999999999999997E-3</v>
      </c>
      <c r="F103" s="17">
        <f t="shared" si="33"/>
        <v>0.03</v>
      </c>
      <c r="G103" s="17">
        <f>Parâmetros!$C$14*13.33*(Parâmetros!$C$15+FGTS+Sist_S_SAT)/Dados!B103</f>
        <v>7.5758833333333339E-4</v>
      </c>
      <c r="H103" s="18">
        <f>B103*Parâmetros!$C$13/Dados!B103</f>
        <v>0.05</v>
      </c>
      <c r="I103" s="24">
        <f t="shared" si="25"/>
        <v>0.19105758833333336</v>
      </c>
      <c r="J103" s="178">
        <f>VLOOKUP(B103,LP_FX[],8,TRUE)*Parâmetros!$M$124/B103</f>
        <v>3.1630994541210905E-2</v>
      </c>
      <c r="K103" s="12">
        <f>Parâmetros!$C$20*(2*VLOOKUP(B103,LP_FX[],8,TRUE)/(VLOOKUP(B103,LP_FX[],1,TRUE)+VLOOKUP(B103,LP_FX[],2,TRUE)))</f>
        <v>4.9021317132719192E-2</v>
      </c>
      <c r="L103" s="163">
        <f t="shared" si="26"/>
        <v>0.2393213171327192</v>
      </c>
      <c r="M103" s="166">
        <f>IF($B103&lt;=3600000,$B103*INDEX(Parâmetros!$F$7:$M$26,ROUNDUP(($B103/180000),0),4)/$B103,$B103*INDEX(Parâmetros!$F$7:$M$26,20,4)/$B103)</f>
        <v>6.1199999999999997E-2</v>
      </c>
      <c r="N103" s="17">
        <f>IF($B103&lt;=3600000,$B103*INDEX(Parâmetros!$F$7:$M$26,ROUNDUP(($B103/180000),0),5)/$B103,$B103*INDEX(Parâmetros!$F$7:$M$26,20,5)/$B103)</f>
        <v>2.53E-2</v>
      </c>
      <c r="O103" s="17">
        <f>IF($B103&lt;=3600000,$B103*INDEX(Parâmetros!$F$7:$M$26,ROUNDUP(($B103/180000),0),6)/$B103,$B103*INDEX(Parâmetros!$F$7:$M$26,20,6)/$B103)</f>
        <v>5.7000000000000002E-3</v>
      </c>
      <c r="P103" s="17">
        <f>IF($B103&lt;=3600000,$B103*INDEX(Parâmetros!$F$7:$M$26,ROUNDUP(($B103/180000),0),7)/$B103,$B103*INDEX(Parâmetros!$F$7:$M$26,20,7)/$B103)</f>
        <v>2.63E-2</v>
      </c>
      <c r="Q103" s="17">
        <f>Parâmetros!$C$14*13.33*(Parâmetros!$C$15+FGTS)/B103</f>
        <v>6.8427333333333337E-4</v>
      </c>
      <c r="R103" s="17">
        <f>IF($B103&lt;=3600000,$B103*INDEX(Parâmetros!$F$7:$M$26,ROUNDUP(($B103/180000),0),8)/$B103,$B103*INDEX(Parâmetros!$F$7:$M$26,20,8)/$B103)</f>
        <v>0.05</v>
      </c>
      <c r="S103" s="24">
        <f t="shared" si="27"/>
        <v>0.16918427333333333</v>
      </c>
      <c r="T103" s="17">
        <f t="shared" si="34"/>
        <v>0.24332294314891362</v>
      </c>
      <c r="U103" s="84">
        <v>0</v>
      </c>
      <c r="V103" s="84">
        <v>0</v>
      </c>
      <c r="W103" s="84">
        <v>0</v>
      </c>
      <c r="X103" s="84">
        <f t="shared" si="35"/>
        <v>2.8825125250000003E-3</v>
      </c>
      <c r="Y103" s="84">
        <v>0</v>
      </c>
      <c r="Z103" s="81">
        <f t="shared" si="28"/>
        <v>0.24620545567391361</v>
      </c>
      <c r="AB103" s="153">
        <f>1-IF(B103&lt;=Parâmetros!$G$65,Parâmetros!$L$65,IF(B103&lt;=Parâmetros!$G$66,Parâmetros!$L$66,IF(B103&lt;=Parâmetros!$G$67,Parâmetros!$L$67,IF(B103&lt;=Parâmetros!$G$68,Parâmetros!$L$68,IF(B103&lt;=Parâmetros!$G$69,Parâmetros!$J$69,Parâmetros!$L$70)))))</f>
        <v>0.89261577811726156</v>
      </c>
    </row>
    <row r="104" spans="1:28" s="14" customFormat="1" x14ac:dyDescent="0.2">
      <c r="A104" s="1"/>
      <c r="B104" s="11">
        <f>B103+100000</f>
        <v>4900000</v>
      </c>
      <c r="C104" s="12">
        <f t="shared" si="30"/>
        <v>7.5102040816326529E-2</v>
      </c>
      <c r="D104" s="12">
        <f t="shared" si="31"/>
        <v>2.8799999999999999E-2</v>
      </c>
      <c r="E104" s="12">
        <f t="shared" si="32"/>
        <v>6.4999999999999997E-3</v>
      </c>
      <c r="F104" s="12">
        <f t="shared" si="33"/>
        <v>0.03</v>
      </c>
      <c r="G104" s="12">
        <f>Parâmetros!$C$14*13.33*(Parâmetros!$C$15+FGTS+Sist_S_SAT)/Dados!B104</f>
        <v>7.4212734693877565E-4</v>
      </c>
      <c r="H104" s="13">
        <f>B104*Parâmetros!$C$13/Dados!B104</f>
        <v>0.05</v>
      </c>
      <c r="I104" s="23">
        <f t="shared" si="25"/>
        <v>0.19114416816326529</v>
      </c>
      <c r="J104" s="178">
        <f>VLOOKUP(B104,LP_FX[],8,TRUE)*Parâmetros!$M$124/B104</f>
        <v>3.0985464040369868E-2</v>
      </c>
      <c r="K104" s="12">
        <f>Parâmetros!$C$20*(2*VLOOKUP(B104,LP_FX[],8,TRUE)/(VLOOKUP(B104,LP_FX[],1,TRUE)+VLOOKUP(B104,LP_FX[],2,TRUE)))</f>
        <v>4.9021317132719192E-2</v>
      </c>
      <c r="L104" s="163">
        <f t="shared" si="26"/>
        <v>0.23942335794904573</v>
      </c>
      <c r="M104" s="165">
        <f>IF($B104&lt;=3600000,$B104*INDEX(Parâmetros!$F$7:$M$26,ROUNDUP(($B104/180000),0),4)/$B104,$B104*INDEX(Parâmetros!$F$7:$M$26,20,4)/$B104)</f>
        <v>6.1199999999999997E-2</v>
      </c>
      <c r="N104" s="12">
        <f>IF($B104&lt;=3600000,$B104*INDEX(Parâmetros!$F$7:$M$26,ROUNDUP(($B104/180000),0),5)/$B104,$B104*INDEX(Parâmetros!$F$7:$M$26,20,5)/$B104)</f>
        <v>2.53E-2</v>
      </c>
      <c r="O104" s="12">
        <f>IF($B104&lt;=3600000,$B104*INDEX(Parâmetros!$F$7:$M$26,ROUNDUP(($B104/180000),0),6)/$B104,$B104*INDEX(Parâmetros!$F$7:$M$26,20,6)/$B104)</f>
        <v>5.7000000000000002E-3</v>
      </c>
      <c r="P104" s="12">
        <f>IF($B104&lt;=3600000,$B104*INDEX(Parâmetros!$F$7:$M$26,ROUNDUP(($B104/180000),0),7)/$B104,$B104*INDEX(Parâmetros!$F$7:$M$26,20,7)/$B104)</f>
        <v>2.63E-2</v>
      </c>
      <c r="Q104" s="12">
        <f>Parâmetros!$C$14*13.33*(Parâmetros!$C$15+FGTS)/B104</f>
        <v>6.7030857142857145E-4</v>
      </c>
      <c r="R104" s="12">
        <f>IF($B104&lt;=3600000,$B104*INDEX(Parâmetros!$F$7:$M$26,ROUNDUP(($B104/180000),0),8)/$B104,$B104*INDEX(Parâmetros!$F$7:$M$26,20,8)/$B104)</f>
        <v>0.05</v>
      </c>
      <c r="S104" s="23">
        <f t="shared" si="27"/>
        <v>0.16917030857142856</v>
      </c>
      <c r="T104" s="12">
        <f t="shared" si="34"/>
        <v>0.24336674714551226</v>
      </c>
      <c r="U104" s="64">
        <v>0</v>
      </c>
      <c r="V104" s="64">
        <v>0</v>
      </c>
      <c r="W104" s="64">
        <v>0</v>
      </c>
      <c r="X104" s="64">
        <f t="shared" si="35"/>
        <v>2.8236857387755106E-3</v>
      </c>
      <c r="Y104" s="64">
        <v>0</v>
      </c>
      <c r="Z104" s="81">
        <f t="shared" si="28"/>
        <v>0.24619043288428777</v>
      </c>
      <c r="AB104" s="153">
        <f>1-IF(B104&lt;=Parâmetros!$G$65,Parâmetros!$L$65,IF(B104&lt;=Parâmetros!$G$66,Parâmetros!$L$66,IF(B104&lt;=Parâmetros!$G$67,Parâmetros!$L$67,IF(B104&lt;=Parâmetros!$G$68,Parâmetros!$L$68,IF(B104&lt;=Parâmetros!$G$69,Parâmetros!$J$69,Parâmetros!$L$70)))))</f>
        <v>0.89261577811726156</v>
      </c>
    </row>
    <row r="105" spans="1:28" s="14" customFormat="1" x14ac:dyDescent="0.2">
      <c r="A105" s="1"/>
      <c r="B105" s="11">
        <f t="shared" si="29"/>
        <v>5000000</v>
      </c>
      <c r="C105" s="12">
        <f t="shared" si="30"/>
        <v>7.5200000000000003E-2</v>
      </c>
      <c r="D105" s="12">
        <f t="shared" si="31"/>
        <v>2.8799999999999999E-2</v>
      </c>
      <c r="E105" s="12">
        <f t="shared" si="32"/>
        <v>6.4999999999999997E-3</v>
      </c>
      <c r="F105" s="12">
        <f t="shared" si="33"/>
        <v>0.03</v>
      </c>
      <c r="G105" s="12">
        <f>Parâmetros!$C$14*13.33*(Parâmetros!$C$15+FGTS+Sist_S_SAT)/Dados!B105</f>
        <v>7.2728480000000008E-4</v>
      </c>
      <c r="H105" s="13">
        <f>B105*Parâmetros!$C$13/Dados!B105</f>
        <v>0.05</v>
      </c>
      <c r="I105" s="23">
        <f t="shared" si="25"/>
        <v>0.19122728480000001</v>
      </c>
      <c r="J105" s="178">
        <f>VLOOKUP(B105,LP_FX[],8,TRUE)*Parâmetros!$M$124/B105</f>
        <v>3.036575475956247E-2</v>
      </c>
      <c r="K105" s="12">
        <f>Parâmetros!$C$20*(2*VLOOKUP(B105,LP_FX[],8,TRUE)/(VLOOKUP(B105,LP_FX[],1,TRUE)+VLOOKUP(B105,LP_FX[],2,TRUE)))</f>
        <v>4.9021317132719192E-2</v>
      </c>
      <c r="L105" s="163">
        <f t="shared" si="26"/>
        <v>0.23952131713271918</v>
      </c>
      <c r="M105" s="165">
        <f>IF($B105&lt;=3600000,$B105*INDEX(Parâmetros!$F$7:$M$26,ROUNDUP(($B105/180000),0),4)/$B105,$B105*INDEX(Parâmetros!$F$7:$M$26,20,4)/$B105)</f>
        <v>6.1199999999999997E-2</v>
      </c>
      <c r="N105" s="12">
        <f>IF($B105&lt;=3600000,$B105*INDEX(Parâmetros!$F$7:$M$26,ROUNDUP(($B105/180000),0),5)/$B105,$B105*INDEX(Parâmetros!$F$7:$M$26,20,5)/$B105)</f>
        <v>2.53E-2</v>
      </c>
      <c r="O105" s="12">
        <f>IF($B105&lt;=3600000,$B105*INDEX(Parâmetros!$F$7:$M$26,ROUNDUP(($B105/180000),0),6)/$B105,$B105*INDEX(Parâmetros!$F$7:$M$26,20,6)/$B105)</f>
        <v>5.7000000000000002E-3</v>
      </c>
      <c r="P105" s="12">
        <f>IF($B105&lt;=3600000,$B105*INDEX(Parâmetros!$F$7:$M$26,ROUNDUP(($B105/180000),0),7)/$B105,$B105*INDEX(Parâmetros!$F$7:$M$26,20,7)/$B105)</f>
        <v>2.63E-2</v>
      </c>
      <c r="Q105" s="12">
        <f>Parâmetros!$C$14*13.33*(Parâmetros!$C$15+FGTS)/B105</f>
        <v>6.5690240000000003E-4</v>
      </c>
      <c r="R105" s="12">
        <f>IF($B105&lt;=3600000,$B105*INDEX(Parâmetros!$F$7:$M$26,ROUNDUP(($B105/180000),0),8)/$B105,$B105*INDEX(Parâmetros!$F$7:$M$26,20,8)/$B105)</f>
        <v>0.05</v>
      </c>
      <c r="S105" s="23">
        <f t="shared" si="27"/>
        <v>0.1691569024</v>
      </c>
      <c r="T105" s="12">
        <f t="shared" si="34"/>
        <v>0.24340879898224696</v>
      </c>
      <c r="U105" s="64">
        <v>0</v>
      </c>
      <c r="V105" s="64">
        <v>0</v>
      </c>
      <c r="W105" s="64">
        <v>0</v>
      </c>
      <c r="X105" s="64">
        <f t="shared" si="35"/>
        <v>2.7672120240000006E-3</v>
      </c>
      <c r="Y105" s="64">
        <v>0</v>
      </c>
      <c r="Z105" s="81">
        <f t="shared" si="28"/>
        <v>0.24617601100624695</v>
      </c>
      <c r="AB105" s="153">
        <f>1-IF(B105&lt;=Parâmetros!$G$65,Parâmetros!$L$65,IF(B105&lt;=Parâmetros!$G$66,Parâmetros!$L$66,IF(B105&lt;=Parâmetros!$G$67,Parâmetros!$L$67,IF(B105&lt;=Parâmetros!$G$68,Parâmetros!$L$68,IF(B105&lt;=Parâmetros!$G$69,Parâmetros!$J$69,Parâmetros!$L$70)))))</f>
        <v>0.89261577811726156</v>
      </c>
    </row>
    <row r="106" spans="1:28" s="14" customFormat="1" x14ac:dyDescent="0.2">
      <c r="A106" s="1"/>
      <c r="B106" s="11">
        <f>B105+500000</f>
        <v>5500000</v>
      </c>
      <c r="C106" s="12">
        <f t="shared" si="30"/>
        <v>7.563636363636364E-2</v>
      </c>
      <c r="D106" s="12">
        <f t="shared" si="31"/>
        <v>2.8799999999999999E-2</v>
      </c>
      <c r="E106" s="12">
        <f t="shared" si="32"/>
        <v>6.4999999999999997E-3</v>
      </c>
      <c r="F106" s="12">
        <f t="shared" si="33"/>
        <v>0.03</v>
      </c>
      <c r="G106" s="12">
        <f>Parâmetros!$C$14*13.33*(Parâmetros!$C$15+FGTS+Sist_S_SAT)/Dados!B106</f>
        <v>6.6116800000000006E-4</v>
      </c>
      <c r="H106" s="13">
        <f>B106*Parâmetros!$C$13/Dados!B106</f>
        <v>0.05</v>
      </c>
      <c r="I106" s="23">
        <f t="shared" si="25"/>
        <v>0.19159753163636362</v>
      </c>
      <c r="J106" s="178">
        <f>VLOOKUP(B106,LP_FX[],8,TRUE)*Parâmetros!$M$124/B106</f>
        <v>3.911576965298396E-2</v>
      </c>
      <c r="K106" s="12">
        <f>Parâmetros!$C$20*(2*VLOOKUP(B106,LP_FX[],8,TRUE)/(VLOOKUP(B106,LP_FX[],1,TRUE)+VLOOKUP(B106,LP_FX[],2,TRUE)))</f>
        <v>4.1677025088154095E-2</v>
      </c>
      <c r="L106" s="163">
        <f t="shared" si="26"/>
        <v>0.23261338872451773</v>
      </c>
      <c r="M106" s="165">
        <f>IF($B106&lt;=3600000,$B106*INDEX(Parâmetros!$F$7:$M$26,ROUNDUP(($B106/180000),0),4)/$B106,$B106*INDEX(Parâmetros!$F$7:$M$26,20,4)/$B106)</f>
        <v>6.1199999999999997E-2</v>
      </c>
      <c r="N106" s="12">
        <f>IF($B106&lt;=3600000,$B106*INDEX(Parâmetros!$F$7:$M$26,ROUNDUP(($B106/180000),0),5)/$B106,$B106*INDEX(Parâmetros!$F$7:$M$26,20,5)/$B106)</f>
        <v>2.53E-2</v>
      </c>
      <c r="O106" s="12">
        <f>IF($B106&lt;=3600000,$B106*INDEX(Parâmetros!$F$7:$M$26,ROUNDUP(($B106/180000),0),6)/$B106,$B106*INDEX(Parâmetros!$F$7:$M$26,20,6)/$B106)</f>
        <v>5.7000000000000002E-3</v>
      </c>
      <c r="P106" s="12">
        <f>IF($B106&lt;=3600000,$B106*INDEX(Parâmetros!$F$7:$M$26,ROUNDUP(($B106/180000),0),7)/$B106,$B106*INDEX(Parâmetros!$F$7:$M$26,20,7)/$B106)</f>
        <v>2.63E-2</v>
      </c>
      <c r="Q106" s="12">
        <f>Parâmetros!$C$14*13.33*(Parâmetros!$C$15+FGTS)/B106</f>
        <v>5.9718400000000006E-4</v>
      </c>
      <c r="R106" s="12">
        <f>IF($B106&lt;=3600000,$B106*INDEX(Parâmetros!$F$7:$M$26,ROUNDUP(($B106/180000),0),8)/$B106,$B106*INDEX(Parâmetros!$F$7:$M$26,20,8)/$B106)</f>
        <v>0.05</v>
      </c>
      <c r="S106" s="23">
        <f t="shared" si="27"/>
        <v>0.16909718400000001</v>
      </c>
      <c r="T106" s="12">
        <f t="shared" si="34"/>
        <v>0.24680242831053478</v>
      </c>
      <c r="U106" s="64">
        <v>0</v>
      </c>
      <c r="V106" s="64">
        <v>0</v>
      </c>
      <c r="W106" s="64">
        <v>0</v>
      </c>
      <c r="X106" s="64">
        <f t="shared" si="35"/>
        <v>2.5156472945454551E-3</v>
      </c>
      <c r="Y106" s="64">
        <v>0</v>
      </c>
      <c r="Z106" s="81">
        <f t="shared" si="28"/>
        <v>0.24931807560508024</v>
      </c>
      <c r="AB106" s="153">
        <f>1-IF(B106&lt;=Parâmetros!$G$69,Parâmetros!$L$69,IF(B106&lt;=Parâmetros!$G$70,Parâmetros!$L$70,IF(B106&lt;=Parâmetros!$G$71,Parâmetros!$L$71,IF(B106&lt;=Parâmetros!$G$72,Parâmetros!$L$72,IF(B106&lt;=Parâmetros!$G$73,Parâmetros!$J$73,Parâmetros!$L$74)))))</f>
        <v>0.90427507815401076</v>
      </c>
    </row>
    <row r="107" spans="1:28" s="14" customFormat="1" x14ac:dyDescent="0.2">
      <c r="A107" s="1"/>
      <c r="B107" s="11">
        <f t="shared" ref="B107:B147" si="36">B106+500000</f>
        <v>6000000</v>
      </c>
      <c r="C107" s="12">
        <f t="shared" si="30"/>
        <v>7.5999999999999998E-2</v>
      </c>
      <c r="D107" s="12">
        <f t="shared" si="31"/>
        <v>2.8799999999999999E-2</v>
      </c>
      <c r="E107" s="12">
        <f t="shared" si="32"/>
        <v>6.4999999999999997E-3</v>
      </c>
      <c r="F107" s="12">
        <f t="shared" si="33"/>
        <v>0.03</v>
      </c>
      <c r="G107" s="12">
        <f>Parâmetros!$C$14*13.33*(Parâmetros!$C$15+FGTS+Sist_S_SAT)/Dados!B107</f>
        <v>6.0607066666666675E-4</v>
      </c>
      <c r="H107" s="13">
        <f>B107*Parâmetros!$C$13/Dados!B107</f>
        <v>0.05</v>
      </c>
      <c r="I107" s="23">
        <f t="shared" si="25"/>
        <v>0.19190607066666671</v>
      </c>
      <c r="J107" s="178">
        <f>VLOOKUP(B107,LP_FX[],8,TRUE)*Parâmetros!$M$124/B107</f>
        <v>3.5856122181901963E-2</v>
      </c>
      <c r="K107" s="12">
        <f>Parâmetros!$C$20*(2*VLOOKUP(B107,LP_FX[],8,TRUE)/(VLOOKUP(B107,LP_FX[],1,TRUE)+VLOOKUP(B107,LP_FX[],2,TRUE)))</f>
        <v>4.1677025088154095E-2</v>
      </c>
      <c r="L107" s="163">
        <f t="shared" si="26"/>
        <v>0.23297702508815413</v>
      </c>
      <c r="M107" s="165">
        <f>IF($B107&lt;=3600000,$B107*INDEX(Parâmetros!$F$7:$M$26,ROUNDUP(($B107/180000),0),4)/$B107,$B107*INDEX(Parâmetros!$F$7:$M$26,20,4)/$B107)</f>
        <v>6.1199999999999997E-2</v>
      </c>
      <c r="N107" s="12">
        <f>IF($B107&lt;=3600000,$B107*INDEX(Parâmetros!$F$7:$M$26,ROUNDUP(($B107/180000),0),5)/$B107,$B107*INDEX(Parâmetros!$F$7:$M$26,20,5)/$B107)</f>
        <v>2.53E-2</v>
      </c>
      <c r="O107" s="12">
        <f>IF($B107&lt;=3600000,$B107*INDEX(Parâmetros!$F$7:$M$26,ROUNDUP(($B107/180000),0),6)/$B107,$B107*INDEX(Parâmetros!$F$7:$M$26,20,6)/$B107)</f>
        <v>5.7000000000000002E-3</v>
      </c>
      <c r="P107" s="12">
        <f>IF($B107&lt;=3600000,$B107*INDEX(Parâmetros!$F$7:$M$26,ROUNDUP(($B107/180000),0),7)/$B107,$B107*INDEX(Parâmetros!$F$7:$M$26,20,7)/$B107)</f>
        <v>2.63E-2</v>
      </c>
      <c r="Q107" s="12">
        <f>Parâmetros!$C$14*13.33*(Parâmetros!$C$15+FGTS)/B107</f>
        <v>5.4741866666666668E-4</v>
      </c>
      <c r="R107" s="12">
        <f>IF($B107&lt;=3600000,$B107*INDEX(Parâmetros!$F$7:$M$26,ROUNDUP(($B107/180000),0),8)/$B107,$B107*INDEX(Parâmetros!$F$7:$M$26,20,8)/$B107)</f>
        <v>0.05</v>
      </c>
      <c r="S107" s="23">
        <f t="shared" si="27"/>
        <v>0.16904741866666667</v>
      </c>
      <c r="T107" s="12">
        <f t="shared" si="34"/>
        <v>0.24695852982568633</v>
      </c>
      <c r="U107" s="64">
        <v>0</v>
      </c>
      <c r="V107" s="64">
        <v>0</v>
      </c>
      <c r="W107" s="64">
        <v>0</v>
      </c>
      <c r="X107" s="64">
        <f t="shared" si="35"/>
        <v>2.3060100200000002E-3</v>
      </c>
      <c r="Y107" s="64">
        <v>0</v>
      </c>
      <c r="Z107" s="81">
        <f t="shared" si="28"/>
        <v>0.24926453984568633</v>
      </c>
      <c r="AB107" s="153">
        <f>1-IF(B107&lt;=Parâmetros!$G$69,Parâmetros!$L$69,IF(B107&lt;=Parâmetros!$G$70,Parâmetros!$L$70,IF(B107&lt;=Parâmetros!$G$71,Parâmetros!$L$71,IF(B107&lt;=Parâmetros!$G$72,Parâmetros!$L$72,IF(B107&lt;=Parâmetros!$G$73,Parâmetros!$J$73,Parâmetros!$L$74)))))</f>
        <v>0.90427507815401076</v>
      </c>
    </row>
    <row r="108" spans="1:28" s="14" customFormat="1" x14ac:dyDescent="0.2">
      <c r="A108" s="1"/>
      <c r="B108" s="11">
        <f t="shared" si="36"/>
        <v>6500000</v>
      </c>
      <c r="C108" s="12">
        <f t="shared" si="30"/>
        <v>7.6307692307692312E-2</v>
      </c>
      <c r="D108" s="12">
        <f t="shared" si="31"/>
        <v>2.8799999999999999E-2</v>
      </c>
      <c r="E108" s="12">
        <f t="shared" si="32"/>
        <v>6.4999999999999997E-3</v>
      </c>
      <c r="F108" s="12">
        <f t="shared" si="33"/>
        <v>0.03</v>
      </c>
      <c r="G108" s="12">
        <f>Parâmetros!$C$14*13.33*(Parâmetros!$C$15+FGTS+Sist_S_SAT)/Dados!B108</f>
        <v>5.5944984615384627E-4</v>
      </c>
      <c r="H108" s="13">
        <f>B108*Parâmetros!$C$13/Dados!B108</f>
        <v>0.05</v>
      </c>
      <c r="I108" s="23">
        <f t="shared" si="25"/>
        <v>0.19216714215384617</v>
      </c>
      <c r="J108" s="178">
        <f>VLOOKUP(B108,LP_FX[],8,TRUE)*Parâmetros!$M$124/B108</f>
        <v>3.3097958937140272E-2</v>
      </c>
      <c r="K108" s="12">
        <f>Parâmetros!$C$20*(2*VLOOKUP(B108,LP_FX[],8,TRUE)/(VLOOKUP(B108,LP_FX[],1,TRUE)+VLOOKUP(B108,LP_FX[],2,TRUE)))</f>
        <v>4.1677025088154095E-2</v>
      </c>
      <c r="L108" s="163">
        <f t="shared" si="26"/>
        <v>0.23328471739584641</v>
      </c>
      <c r="M108" s="165">
        <f>IF($B108&lt;=3600000,$B108*INDEX(Parâmetros!$F$7:$M$26,ROUNDUP(($B108/180000),0),4)/$B108,$B108*INDEX(Parâmetros!$F$7:$M$26,20,4)/$B108)</f>
        <v>6.1199999999999997E-2</v>
      </c>
      <c r="N108" s="12">
        <f>IF($B108&lt;=3600000,$B108*INDEX(Parâmetros!$F$7:$M$26,ROUNDUP(($B108/180000),0),5)/$B108,$B108*INDEX(Parâmetros!$F$7:$M$26,20,5)/$B108)</f>
        <v>2.53E-2</v>
      </c>
      <c r="O108" s="12">
        <f>IF($B108&lt;=3600000,$B108*INDEX(Parâmetros!$F$7:$M$26,ROUNDUP(($B108/180000),0),6)/$B108,$B108*INDEX(Parâmetros!$F$7:$M$26,20,6)/$B108)</f>
        <v>5.7000000000000002E-3</v>
      </c>
      <c r="P108" s="12">
        <f>IF($B108&lt;=3600000,$B108*INDEX(Parâmetros!$F$7:$M$26,ROUNDUP(($B108/180000),0),7)/$B108,$B108*INDEX(Parâmetros!$F$7:$M$26,20,7)/$B108)</f>
        <v>2.63E-2</v>
      </c>
      <c r="Q108" s="12">
        <f>Parâmetros!$C$14*13.33*(Parâmetros!$C$15+FGTS)/B108</f>
        <v>5.053095384615385E-4</v>
      </c>
      <c r="R108" s="12">
        <f>IF($B108&lt;=3600000,$B108*INDEX(Parâmetros!$F$7:$M$26,ROUNDUP(($B108/180000),0),8)/$B108,$B108*INDEX(Parâmetros!$F$7:$M$26,20,8)/$B108)</f>
        <v>0.05</v>
      </c>
      <c r="S108" s="23">
        <f t="shared" si="27"/>
        <v>0.16900530953846155</v>
      </c>
      <c r="T108" s="12">
        <f t="shared" si="34"/>
        <v>0.24709061572312219</v>
      </c>
      <c r="U108" s="64">
        <v>0</v>
      </c>
      <c r="V108" s="64">
        <v>0</v>
      </c>
      <c r="W108" s="64">
        <v>0</v>
      </c>
      <c r="X108" s="64">
        <f t="shared" si="35"/>
        <v>2.1286246338461544E-3</v>
      </c>
      <c r="Y108" s="64">
        <v>0</v>
      </c>
      <c r="Z108" s="81">
        <f t="shared" si="28"/>
        <v>0.24921924035696835</v>
      </c>
      <c r="AB108" s="153">
        <f>1-IF(B108&lt;=Parâmetros!$G$69,Parâmetros!$L$69,IF(B108&lt;=Parâmetros!$G$70,Parâmetros!$L$70,IF(B108&lt;=Parâmetros!$G$71,Parâmetros!$L$71,IF(B108&lt;=Parâmetros!$G$72,Parâmetros!$L$72,IF(B108&lt;=Parâmetros!$G$73,Parâmetros!$J$73,Parâmetros!$L$74)))))</f>
        <v>0.90427507815401076</v>
      </c>
    </row>
    <row r="109" spans="1:28" s="14" customFormat="1" x14ac:dyDescent="0.2">
      <c r="A109" s="1"/>
      <c r="B109" s="11">
        <f t="shared" si="36"/>
        <v>7000000</v>
      </c>
      <c r="C109" s="12">
        <f t="shared" si="30"/>
        <v>7.6571428571428568E-2</v>
      </c>
      <c r="D109" s="12">
        <f t="shared" si="31"/>
        <v>2.8799999999999999E-2</v>
      </c>
      <c r="E109" s="12">
        <f t="shared" si="32"/>
        <v>6.4999999999999997E-3</v>
      </c>
      <c r="F109" s="12">
        <f t="shared" si="33"/>
        <v>0.03</v>
      </c>
      <c r="G109" s="12">
        <f>Parâmetros!$C$14*13.33*(Parâmetros!$C$15+FGTS+Sist_S_SAT)/Dados!B109</f>
        <v>5.1948914285714293E-4</v>
      </c>
      <c r="H109" s="13">
        <f>B109*Parâmetros!$C$13/Dados!B109</f>
        <v>0.05</v>
      </c>
      <c r="I109" s="23">
        <f t="shared" si="25"/>
        <v>0.19239091771428574</v>
      </c>
      <c r="J109" s="178">
        <f>VLOOKUP(B109,LP_FX[],8,TRUE)*Parâmetros!$M$124/B109</f>
        <v>3.0733819013058824E-2</v>
      </c>
      <c r="K109" s="12">
        <f>Parâmetros!$C$20*(2*VLOOKUP(B109,LP_FX[],8,TRUE)/(VLOOKUP(B109,LP_FX[],1,TRUE)+VLOOKUP(B109,LP_FX[],2,TRUE)))</f>
        <v>4.1677025088154095E-2</v>
      </c>
      <c r="L109" s="163">
        <f t="shared" si="26"/>
        <v>0.23354845365958268</v>
      </c>
      <c r="M109" s="165">
        <f>IF($B109&lt;=3600000,$B109*INDEX(Parâmetros!$F$7:$M$26,ROUNDUP(($B109/180000),0),4)/$B109,$B109*INDEX(Parâmetros!$F$7:$M$26,20,4)/$B109)</f>
        <v>6.1199999999999997E-2</v>
      </c>
      <c r="N109" s="12">
        <f>IF($B109&lt;=3600000,$B109*INDEX(Parâmetros!$F$7:$M$26,ROUNDUP(($B109/180000),0),5)/$B109,$B109*INDEX(Parâmetros!$F$7:$M$26,20,5)/$B109)</f>
        <v>2.53E-2</v>
      </c>
      <c r="O109" s="12">
        <f>IF($B109&lt;=3600000,$B109*INDEX(Parâmetros!$F$7:$M$26,ROUNDUP(($B109/180000),0),6)/$B109,$B109*INDEX(Parâmetros!$F$7:$M$26,20,6)/$B109)</f>
        <v>5.7000000000000002E-3</v>
      </c>
      <c r="P109" s="12">
        <f>IF($B109&lt;=3600000,$B109*INDEX(Parâmetros!$F$7:$M$26,ROUNDUP(($B109/180000),0),7)/$B109,$B109*INDEX(Parâmetros!$F$7:$M$26,20,7)/$B109)</f>
        <v>2.63E-2</v>
      </c>
      <c r="Q109" s="12">
        <f>Parâmetros!$C$14*13.33*(Parâmetros!$C$15+FGTS)/B109</f>
        <v>4.69216E-4</v>
      </c>
      <c r="R109" s="12">
        <f>IF($B109&lt;=3600000,$B109*INDEX(Parâmetros!$F$7:$M$26,ROUNDUP(($B109/180000),0),8)/$B109,$B109*INDEX(Parâmetros!$F$7:$M$26,20,8)/$B109)</f>
        <v>0.05</v>
      </c>
      <c r="S109" s="23">
        <f t="shared" si="27"/>
        <v>0.16896921599999998</v>
      </c>
      <c r="T109" s="12">
        <f t="shared" si="34"/>
        <v>0.24720383220663869</v>
      </c>
      <c r="U109" s="64">
        <v>0</v>
      </c>
      <c r="V109" s="64">
        <v>0</v>
      </c>
      <c r="W109" s="64">
        <v>0</v>
      </c>
      <c r="X109" s="64">
        <f t="shared" si="35"/>
        <v>1.9765800171428574E-3</v>
      </c>
      <c r="Y109" s="64">
        <v>0</v>
      </c>
      <c r="Z109" s="81">
        <f t="shared" si="28"/>
        <v>0.24918041222378154</v>
      </c>
      <c r="AB109" s="153">
        <f>1-IF(B109&lt;=Parâmetros!$G$69,Parâmetros!$L$69,IF(B109&lt;=Parâmetros!$G$70,Parâmetros!$L$70,IF(B109&lt;=Parâmetros!$G$71,Parâmetros!$L$71,IF(B109&lt;=Parâmetros!$G$72,Parâmetros!$L$72,IF(B109&lt;=Parâmetros!$G$73,Parâmetros!$J$73,Parâmetros!$L$74)))))</f>
        <v>0.90427507815401076</v>
      </c>
    </row>
    <row r="110" spans="1:28" s="14" customFormat="1" x14ac:dyDescent="0.2">
      <c r="A110" s="1"/>
      <c r="B110" s="11">
        <f t="shared" si="36"/>
        <v>7500000</v>
      </c>
      <c r="C110" s="12">
        <f t="shared" si="30"/>
        <v>7.6799999999999993E-2</v>
      </c>
      <c r="D110" s="12">
        <f t="shared" si="31"/>
        <v>2.8799999999999999E-2</v>
      </c>
      <c r="E110" s="12">
        <f t="shared" si="32"/>
        <v>6.4999999999999997E-3</v>
      </c>
      <c r="F110" s="12">
        <f t="shared" si="33"/>
        <v>0.03</v>
      </c>
      <c r="G110" s="12">
        <f>Parâmetros!$C$14*13.33*(Parâmetros!$C$15+FGTS+Sist_S_SAT)/Dados!B110</f>
        <v>4.8485653333333337E-4</v>
      </c>
      <c r="H110" s="13">
        <f>B110*Parâmetros!$C$13/Dados!B110</f>
        <v>0.05</v>
      </c>
      <c r="I110" s="23">
        <f t="shared" si="25"/>
        <v>0.19258485653333335</v>
      </c>
      <c r="J110" s="178">
        <f>VLOOKUP(B110,LP_FX[],8,TRUE)*Parâmetros!$M$124/B110</f>
        <v>2.8684897745521569E-2</v>
      </c>
      <c r="K110" s="12">
        <f>Parâmetros!$C$20*(2*VLOOKUP(B110,LP_FX[],8,TRUE)/(VLOOKUP(B110,LP_FX[],1,TRUE)+VLOOKUP(B110,LP_FX[],2,TRUE)))</f>
        <v>4.1677025088154095E-2</v>
      </c>
      <c r="L110" s="163">
        <f t="shared" si="26"/>
        <v>0.23377702508815409</v>
      </c>
      <c r="M110" s="165">
        <f>IF($B110&lt;=3600000,$B110*INDEX(Parâmetros!$F$7:$M$26,ROUNDUP(($B110/180000),0),4)/$B110,$B110*INDEX(Parâmetros!$F$7:$M$26,20,4)/$B110)</f>
        <v>6.1199999999999997E-2</v>
      </c>
      <c r="N110" s="12">
        <f>IF($B110&lt;=3600000,$B110*INDEX(Parâmetros!$F$7:$M$26,ROUNDUP(($B110/180000),0),5)/$B110,$B110*INDEX(Parâmetros!$F$7:$M$26,20,5)/$B110)</f>
        <v>2.53E-2</v>
      </c>
      <c r="O110" s="12">
        <f>IF($B110&lt;=3600000,$B110*INDEX(Parâmetros!$F$7:$M$26,ROUNDUP(($B110/180000),0),6)/$B110,$B110*INDEX(Parâmetros!$F$7:$M$26,20,6)/$B110)</f>
        <v>5.7000000000000002E-3</v>
      </c>
      <c r="P110" s="12">
        <f>IF($B110&lt;=3600000,$B110*INDEX(Parâmetros!$F$7:$M$26,ROUNDUP(($B110/180000),0),7)/$B110,$B110*INDEX(Parâmetros!$F$7:$M$26,20,7)/$B110)</f>
        <v>2.63E-2</v>
      </c>
      <c r="Q110" s="12">
        <f>Parâmetros!$C$14*13.33*(Parâmetros!$C$15+FGTS)/B110</f>
        <v>4.3793493333333337E-4</v>
      </c>
      <c r="R110" s="12">
        <f>IF($B110&lt;=3600000,$B110*INDEX(Parâmetros!$F$7:$M$26,ROUNDUP(($B110/180000),0),8)/$B110,$B110*INDEX(Parâmetros!$F$7:$M$26,20,8)/$B110)</f>
        <v>0.05</v>
      </c>
      <c r="S110" s="23">
        <f t="shared" si="27"/>
        <v>0.16893793493333331</v>
      </c>
      <c r="T110" s="12">
        <f t="shared" si="34"/>
        <v>0.24730195315901962</v>
      </c>
      <c r="U110" s="64">
        <v>0</v>
      </c>
      <c r="V110" s="64">
        <v>0</v>
      </c>
      <c r="W110" s="64">
        <v>0</v>
      </c>
      <c r="X110" s="64">
        <f t="shared" si="35"/>
        <v>1.8448080160000002E-3</v>
      </c>
      <c r="Y110" s="64">
        <v>0</v>
      </c>
      <c r="Z110" s="81">
        <f t="shared" si="28"/>
        <v>0.24914676117501963</v>
      </c>
      <c r="AB110" s="153">
        <f>1-IF(B110&lt;=Parâmetros!$G$69,Parâmetros!$L$69,IF(B110&lt;=Parâmetros!$G$70,Parâmetros!$L$70,IF(B110&lt;=Parâmetros!$G$71,Parâmetros!$L$71,IF(B110&lt;=Parâmetros!$G$72,Parâmetros!$L$72,IF(B110&lt;=Parâmetros!$G$73,Parâmetros!$J$73,Parâmetros!$L$74)))))</f>
        <v>0.90427507815401076</v>
      </c>
    </row>
    <row r="111" spans="1:28" s="14" customFormat="1" x14ac:dyDescent="0.2">
      <c r="A111" s="1"/>
      <c r="B111" s="11">
        <f t="shared" si="36"/>
        <v>8000000</v>
      </c>
      <c r="C111" s="12">
        <f t="shared" si="30"/>
        <v>7.6999999999999999E-2</v>
      </c>
      <c r="D111" s="12">
        <f t="shared" si="31"/>
        <v>2.8799999999999999E-2</v>
      </c>
      <c r="E111" s="12">
        <f t="shared" si="32"/>
        <v>6.4999999999999997E-3</v>
      </c>
      <c r="F111" s="12">
        <f t="shared" si="33"/>
        <v>0.03</v>
      </c>
      <c r="G111" s="12">
        <f>Parâmetros!$C$14*13.33*(Parâmetros!$C$15+FGTS+Sist_S_SAT)/Dados!B111</f>
        <v>4.5455300000000006E-4</v>
      </c>
      <c r="H111" s="13">
        <f>B111*Parâmetros!$C$13/Dados!B111</f>
        <v>0.05</v>
      </c>
      <c r="I111" s="23">
        <f t="shared" si="25"/>
        <v>0.192754553</v>
      </c>
      <c r="J111" s="178">
        <f>VLOOKUP(B111,LP_FX[],8,TRUE)*Parâmetros!$M$124/B111</f>
        <v>2.689209163642647E-2</v>
      </c>
      <c r="K111" s="12">
        <f>Parâmetros!$C$20*(2*VLOOKUP(B111,LP_FX[],8,TRUE)/(VLOOKUP(B111,LP_FX[],1,TRUE)+VLOOKUP(B111,LP_FX[],2,TRUE)))</f>
        <v>4.1677025088154095E-2</v>
      </c>
      <c r="L111" s="163">
        <f t="shared" si="26"/>
        <v>0.23397702508815413</v>
      </c>
      <c r="M111" s="165">
        <f>IF($B111&lt;=3600000,$B111*INDEX(Parâmetros!$F$7:$M$26,ROUNDUP(($B111/180000),0),4)/$B111,$B111*INDEX(Parâmetros!$F$7:$M$26,20,4)/$B111)</f>
        <v>6.1199999999999997E-2</v>
      </c>
      <c r="N111" s="12">
        <f>IF($B111&lt;=3600000,$B111*INDEX(Parâmetros!$F$7:$M$26,ROUNDUP(($B111/180000),0),5)/$B111,$B111*INDEX(Parâmetros!$F$7:$M$26,20,5)/$B111)</f>
        <v>2.53E-2</v>
      </c>
      <c r="O111" s="12">
        <f>IF($B111&lt;=3600000,$B111*INDEX(Parâmetros!$F$7:$M$26,ROUNDUP(($B111/180000),0),6)/$B111,$B111*INDEX(Parâmetros!$F$7:$M$26,20,6)/$B111)</f>
        <v>5.7000000000000002E-3</v>
      </c>
      <c r="P111" s="12">
        <f>IF($B111&lt;=3600000,$B111*INDEX(Parâmetros!$F$7:$M$26,ROUNDUP(($B111/180000),0),7)/$B111,$B111*INDEX(Parâmetros!$F$7:$M$26,20,7)/$B111)</f>
        <v>2.63E-2</v>
      </c>
      <c r="Q111" s="12">
        <f>Parâmetros!$C$14*13.33*(Parâmetros!$C$15+FGTS)/B111</f>
        <v>4.1056400000000004E-4</v>
      </c>
      <c r="R111" s="12">
        <f>IF($B111&lt;=3600000,$B111*INDEX(Parâmetros!$F$7:$M$26,ROUNDUP(($B111/180000),0),8)/$B111,$B111*INDEX(Parâmetros!$F$7:$M$26,20,8)/$B111)</f>
        <v>0.05</v>
      </c>
      <c r="S111" s="23">
        <f t="shared" si="27"/>
        <v>0.16891056399999999</v>
      </c>
      <c r="T111" s="12">
        <f t="shared" si="34"/>
        <v>0.24738780899235302</v>
      </c>
      <c r="U111" s="64">
        <v>0</v>
      </c>
      <c r="V111" s="64">
        <v>0</v>
      </c>
      <c r="W111" s="64">
        <v>0</v>
      </c>
      <c r="X111" s="64">
        <f t="shared" si="35"/>
        <v>1.7295075150000002E-3</v>
      </c>
      <c r="Y111" s="64">
        <v>0</v>
      </c>
      <c r="Z111" s="81">
        <f t="shared" si="28"/>
        <v>0.24911731650735303</v>
      </c>
      <c r="AB111" s="153">
        <f>1-IF(B111&lt;=Parâmetros!$G$69,Parâmetros!$L$69,IF(B111&lt;=Parâmetros!$G$70,Parâmetros!$L$70,IF(B111&lt;=Parâmetros!$G$71,Parâmetros!$L$71,IF(B111&lt;=Parâmetros!$G$72,Parâmetros!$L$72,IF(B111&lt;=Parâmetros!$G$73,Parâmetros!$J$73,Parâmetros!$L$74)))))</f>
        <v>0.90427507815401076</v>
      </c>
    </row>
    <row r="112" spans="1:28" s="14" customFormat="1" x14ac:dyDescent="0.2">
      <c r="A112" s="1"/>
      <c r="B112" s="11">
        <f t="shared" si="36"/>
        <v>8500000</v>
      </c>
      <c r="C112" s="12">
        <f t="shared" si="30"/>
        <v>7.7176470588235291E-2</v>
      </c>
      <c r="D112" s="12">
        <f t="shared" si="31"/>
        <v>2.8799999999999999E-2</v>
      </c>
      <c r="E112" s="12">
        <f t="shared" si="32"/>
        <v>6.4999999999999997E-3</v>
      </c>
      <c r="F112" s="12">
        <f t="shared" si="33"/>
        <v>0.03</v>
      </c>
      <c r="G112" s="12">
        <f>Parâmetros!$C$14*13.33*(Parâmetros!$C$15+FGTS+Sist_S_SAT)/Dados!B112</f>
        <v>4.2781458823529418E-4</v>
      </c>
      <c r="H112" s="13">
        <f>B112*Parâmetros!$C$13/Dados!B112</f>
        <v>0.05</v>
      </c>
      <c r="I112" s="23">
        <f t="shared" si="25"/>
        <v>0.19290428517647057</v>
      </c>
      <c r="J112" s="178">
        <f>VLOOKUP(B112,LP_FX[],8,TRUE)*Parâmetros!$M$124/B112</f>
        <v>2.5310203893107265E-2</v>
      </c>
      <c r="K112" s="12">
        <f>Parâmetros!$C$20*(2*VLOOKUP(B112,LP_FX[],8,TRUE)/(VLOOKUP(B112,LP_FX[],1,TRUE)+VLOOKUP(B112,LP_FX[],2,TRUE)))</f>
        <v>4.1677025088154095E-2</v>
      </c>
      <c r="L112" s="163">
        <f t="shared" si="26"/>
        <v>0.23415349567638941</v>
      </c>
      <c r="M112" s="165">
        <f>IF($B112&lt;=3600000,$B112*INDEX(Parâmetros!$F$7:$M$26,ROUNDUP(($B112/180000),0),4)/$B112,$B112*INDEX(Parâmetros!$F$7:$M$26,20,4)/$B112)</f>
        <v>6.1199999999999997E-2</v>
      </c>
      <c r="N112" s="12">
        <f>IF($B112&lt;=3600000,$B112*INDEX(Parâmetros!$F$7:$M$26,ROUNDUP(($B112/180000),0),5)/$B112,$B112*INDEX(Parâmetros!$F$7:$M$26,20,5)/$B112)</f>
        <v>2.53E-2</v>
      </c>
      <c r="O112" s="12">
        <f>IF($B112&lt;=3600000,$B112*INDEX(Parâmetros!$F$7:$M$26,ROUNDUP(($B112/180000),0),6)/$B112,$B112*INDEX(Parâmetros!$F$7:$M$26,20,6)/$B112)</f>
        <v>5.7000000000000002E-3</v>
      </c>
      <c r="P112" s="12">
        <f>IF($B112&lt;=3600000,$B112*INDEX(Parâmetros!$F$7:$M$26,ROUNDUP(($B112/180000),0),7)/$B112,$B112*INDEX(Parâmetros!$F$7:$M$26,20,7)/$B112)</f>
        <v>2.63E-2</v>
      </c>
      <c r="Q112" s="12">
        <f>Parâmetros!$C$14*13.33*(Parâmetros!$C$15+FGTS)/B112</f>
        <v>3.8641317647058825E-4</v>
      </c>
      <c r="R112" s="12">
        <f>IF($B112&lt;=3600000,$B112*INDEX(Parâmetros!$F$7:$M$26,ROUNDUP(($B112/180000),0),8)/$B112,$B112*INDEX(Parâmetros!$F$7:$M$26,20,8)/$B112)</f>
        <v>0.05</v>
      </c>
      <c r="S112" s="23">
        <f t="shared" si="27"/>
        <v>0.16888641317647057</v>
      </c>
      <c r="T112" s="12">
        <f t="shared" si="34"/>
        <v>0.24746356413941178</v>
      </c>
      <c r="U112" s="64">
        <v>0</v>
      </c>
      <c r="V112" s="64">
        <v>0</v>
      </c>
      <c r="W112" s="64">
        <v>0</v>
      </c>
      <c r="X112" s="64">
        <f t="shared" si="35"/>
        <v>1.6277717788235296E-3</v>
      </c>
      <c r="Y112" s="64">
        <v>0</v>
      </c>
      <c r="Z112" s="81">
        <f t="shared" si="28"/>
        <v>0.24909133591823532</v>
      </c>
      <c r="AB112" s="153">
        <f>1-IF(B112&lt;=Parâmetros!$G$69,Parâmetros!$L$69,IF(B112&lt;=Parâmetros!$G$70,Parâmetros!$L$70,IF(B112&lt;=Parâmetros!$G$71,Parâmetros!$L$71,IF(B112&lt;=Parâmetros!$G$72,Parâmetros!$L$72,IF(B112&lt;=Parâmetros!$G$73,Parâmetros!$J$73,Parâmetros!$L$74)))))</f>
        <v>0.90427507815401076</v>
      </c>
    </row>
    <row r="113" spans="1:28" s="14" customFormat="1" x14ac:dyDescent="0.2">
      <c r="A113" s="1"/>
      <c r="B113" s="11">
        <f t="shared" si="36"/>
        <v>9000000</v>
      </c>
      <c r="C113" s="12">
        <f t="shared" si="30"/>
        <v>7.7333333333333337E-2</v>
      </c>
      <c r="D113" s="12">
        <f t="shared" si="31"/>
        <v>2.8799999999999999E-2</v>
      </c>
      <c r="E113" s="12">
        <f t="shared" si="32"/>
        <v>6.4999999999999997E-3</v>
      </c>
      <c r="F113" s="12">
        <f t="shared" si="33"/>
        <v>0.03</v>
      </c>
      <c r="G113" s="12">
        <f>Parâmetros!$C$14*13.33*(Parâmetros!$C$15+FGTS+Sist_S_SAT)/Dados!B113</f>
        <v>4.0404711111111119E-4</v>
      </c>
      <c r="H113" s="13">
        <f>B113*Parâmetros!$C$13/Dados!B113</f>
        <v>0.05</v>
      </c>
      <c r="I113" s="23">
        <f t="shared" si="25"/>
        <v>0.19303738044444446</v>
      </c>
      <c r="J113" s="178">
        <f>VLOOKUP(B113,LP_FX[],8,TRUE)*Parâmetros!$M$124/B113</f>
        <v>2.3904081454601309E-2</v>
      </c>
      <c r="K113" s="12">
        <f>Parâmetros!$C$20*(2*VLOOKUP(B113,LP_FX[],8,TRUE)/(VLOOKUP(B113,LP_FX[],1,TRUE)+VLOOKUP(B113,LP_FX[],2,TRUE)))</f>
        <v>4.1677025088154095E-2</v>
      </c>
      <c r="L113" s="163">
        <f t="shared" si="26"/>
        <v>0.23431035842148742</v>
      </c>
      <c r="M113" s="165">
        <f>IF($B113&lt;=3600000,$B113*INDEX(Parâmetros!$F$7:$M$26,ROUNDUP(($B113/180000),0),4)/$B113,$B113*INDEX(Parâmetros!$F$7:$M$26,20,4)/$B113)</f>
        <v>6.1199999999999997E-2</v>
      </c>
      <c r="N113" s="12">
        <f>IF($B113&lt;=3600000,$B113*INDEX(Parâmetros!$F$7:$M$26,ROUNDUP(($B113/180000),0),5)/$B113,$B113*INDEX(Parâmetros!$F$7:$M$26,20,5)/$B113)</f>
        <v>2.53E-2</v>
      </c>
      <c r="O113" s="12">
        <f>IF($B113&lt;=3600000,$B113*INDEX(Parâmetros!$F$7:$M$26,ROUNDUP(($B113/180000),0),6)/$B113,$B113*INDEX(Parâmetros!$F$7:$M$26,20,6)/$B113)</f>
        <v>5.7000000000000002E-3</v>
      </c>
      <c r="P113" s="12">
        <f>IF($B113&lt;=3600000,$B113*INDEX(Parâmetros!$F$7:$M$26,ROUNDUP(($B113/180000),0),7)/$B113,$B113*INDEX(Parâmetros!$F$7:$M$26,20,7)/$B113)</f>
        <v>2.63E-2</v>
      </c>
      <c r="Q113" s="12">
        <f>Parâmetros!$C$14*13.33*(Parâmetros!$C$15+FGTS)/B113</f>
        <v>3.6494577777777782E-4</v>
      </c>
      <c r="R113" s="12">
        <f>IF($B113&lt;=3600000,$B113*INDEX(Parâmetros!$F$7:$M$26,ROUNDUP(($B113/180000),0),8)/$B113,$B113*INDEX(Parâmetros!$F$7:$M$26,20,8)/$B113)</f>
        <v>0.05</v>
      </c>
      <c r="S113" s="23">
        <f t="shared" si="27"/>
        <v>0.16886494577777778</v>
      </c>
      <c r="T113" s="12">
        <f t="shared" si="34"/>
        <v>0.24753090204790851</v>
      </c>
      <c r="U113" s="64">
        <v>0</v>
      </c>
      <c r="V113" s="64">
        <v>0</v>
      </c>
      <c r="W113" s="64">
        <v>0</v>
      </c>
      <c r="X113" s="64">
        <f t="shared" si="35"/>
        <v>1.5373400133333335E-3</v>
      </c>
      <c r="Y113" s="64">
        <v>0</v>
      </c>
      <c r="Z113" s="81">
        <f t="shared" si="28"/>
        <v>0.24906824206124184</v>
      </c>
      <c r="AB113" s="153">
        <f>1-IF(B113&lt;=Parâmetros!$G$69,Parâmetros!$L$69,IF(B113&lt;=Parâmetros!$G$70,Parâmetros!$L$70,IF(B113&lt;=Parâmetros!$G$71,Parâmetros!$L$71,IF(B113&lt;=Parâmetros!$G$72,Parâmetros!$L$72,IF(B113&lt;=Parâmetros!$G$73,Parâmetros!$J$73,Parâmetros!$L$74)))))</f>
        <v>0.90427507815401076</v>
      </c>
    </row>
    <row r="114" spans="1:28" s="14" customFormat="1" x14ac:dyDescent="0.2">
      <c r="A114" s="1"/>
      <c r="B114" s="11">
        <f t="shared" si="36"/>
        <v>9500000</v>
      </c>
      <c r="C114" s="12">
        <f t="shared" si="30"/>
        <v>7.747368421052632E-2</v>
      </c>
      <c r="D114" s="12">
        <f t="shared" si="31"/>
        <v>2.8799999999999999E-2</v>
      </c>
      <c r="E114" s="12">
        <f t="shared" si="32"/>
        <v>6.4999999999999997E-3</v>
      </c>
      <c r="F114" s="12">
        <f t="shared" si="33"/>
        <v>0.03</v>
      </c>
      <c r="G114" s="12">
        <f>Parâmetros!$C$14*13.33*(Parâmetros!$C$15+FGTS+Sist_S_SAT)/Dados!B114</f>
        <v>3.8278147368421057E-4</v>
      </c>
      <c r="H114" s="13">
        <f>B114*Parâmetros!$C$13/Dados!B114</f>
        <v>0.05</v>
      </c>
      <c r="I114" s="23">
        <f t="shared" si="25"/>
        <v>0.19315646568421052</v>
      </c>
      <c r="J114" s="178">
        <f>VLOOKUP(B114,LP_FX[],8,TRUE)*Parâmetros!$M$124/B114</f>
        <v>2.2645971904359134E-2</v>
      </c>
      <c r="K114" s="12">
        <f>Parâmetros!$C$20*(2*VLOOKUP(B114,LP_FX[],8,TRUE)/(VLOOKUP(B114,LP_FX[],1,TRUE)+VLOOKUP(B114,LP_FX[],2,TRUE)))</f>
        <v>4.1677025088154095E-2</v>
      </c>
      <c r="L114" s="163">
        <f t="shared" si="26"/>
        <v>0.23445070929868042</v>
      </c>
      <c r="M114" s="165">
        <f>IF($B114&lt;=3600000,$B114*INDEX(Parâmetros!$F$7:$M$26,ROUNDUP(($B114/180000),0),4)/$B114,$B114*INDEX(Parâmetros!$F$7:$M$26,20,4)/$B114)</f>
        <v>6.1199999999999997E-2</v>
      </c>
      <c r="N114" s="12">
        <f>IF($B114&lt;=3600000,$B114*INDEX(Parâmetros!$F$7:$M$26,ROUNDUP(($B114/180000),0),5)/$B114,$B114*INDEX(Parâmetros!$F$7:$M$26,20,5)/$B114)</f>
        <v>2.53E-2</v>
      </c>
      <c r="O114" s="12">
        <f>IF($B114&lt;=3600000,$B114*INDEX(Parâmetros!$F$7:$M$26,ROUNDUP(($B114/180000),0),6)/$B114,$B114*INDEX(Parâmetros!$F$7:$M$26,20,6)/$B114)</f>
        <v>5.7000000000000002E-3</v>
      </c>
      <c r="P114" s="12">
        <f>IF($B114&lt;=3600000,$B114*INDEX(Parâmetros!$F$7:$M$26,ROUNDUP(($B114/180000),0),7)/$B114,$B114*INDEX(Parâmetros!$F$7:$M$26,20,7)/$B114)</f>
        <v>2.63E-2</v>
      </c>
      <c r="Q114" s="12">
        <f>Parâmetros!$C$14*13.33*(Parâmetros!$C$15+FGTS)/B114</f>
        <v>3.4573810526315789E-4</v>
      </c>
      <c r="R114" s="12">
        <f>IF($B114&lt;=3600000,$B114*INDEX(Parâmetros!$F$7:$M$26,ROUNDUP(($B114/180000),0),8)/$B114,$B114*INDEX(Parâmetros!$F$7:$M$26,20,8)/$B114)</f>
        <v>0.05</v>
      </c>
      <c r="S114" s="23">
        <f t="shared" si="27"/>
        <v>0.16884573810526315</v>
      </c>
      <c r="T114" s="12">
        <f t="shared" si="34"/>
        <v>0.24759115175551089</v>
      </c>
      <c r="U114" s="64">
        <v>0</v>
      </c>
      <c r="V114" s="64">
        <v>0</v>
      </c>
      <c r="W114" s="64">
        <v>0</v>
      </c>
      <c r="X114" s="64">
        <f t="shared" si="35"/>
        <v>1.4564273810526319E-3</v>
      </c>
      <c r="Y114" s="64">
        <v>0</v>
      </c>
      <c r="Z114" s="81">
        <f t="shared" si="28"/>
        <v>0.24904757913656353</v>
      </c>
      <c r="AB114" s="153">
        <f>1-IF(B114&lt;=Parâmetros!$G$69,Parâmetros!$L$69,IF(B114&lt;=Parâmetros!$G$70,Parâmetros!$L$70,IF(B114&lt;=Parâmetros!$G$71,Parâmetros!$L$71,IF(B114&lt;=Parâmetros!$G$72,Parâmetros!$L$72,IF(B114&lt;=Parâmetros!$G$73,Parâmetros!$J$73,Parâmetros!$L$74)))))</f>
        <v>0.90427507815401076</v>
      </c>
    </row>
    <row r="115" spans="1:28" s="14" customFormat="1" x14ac:dyDescent="0.2">
      <c r="A115" s="1"/>
      <c r="B115" s="11">
        <f t="shared" si="36"/>
        <v>10000000</v>
      </c>
      <c r="C115" s="12">
        <f t="shared" si="30"/>
        <v>7.7600000000000002E-2</v>
      </c>
      <c r="D115" s="12">
        <f t="shared" si="31"/>
        <v>2.8799999999999999E-2</v>
      </c>
      <c r="E115" s="12">
        <f t="shared" si="32"/>
        <v>6.4999999999999997E-3</v>
      </c>
      <c r="F115" s="12">
        <f t="shared" si="33"/>
        <v>0.03</v>
      </c>
      <c r="G115" s="12">
        <f>Parâmetros!$C$14*13.33*(Parâmetros!$C$15+FGTS+Sist_S_SAT)/Dados!B115</f>
        <v>3.6364240000000004E-4</v>
      </c>
      <c r="H115" s="13">
        <f>B115*Parâmetros!$C$13/Dados!B115</f>
        <v>0.05</v>
      </c>
      <c r="I115" s="23">
        <f t="shared" si="25"/>
        <v>0.19326364239999999</v>
      </c>
      <c r="J115" s="178">
        <f>VLOOKUP(B115,LP_FX[],8,TRUE)*Parâmetros!$M$124/B115</f>
        <v>2.1513673309141175E-2</v>
      </c>
      <c r="K115" s="12">
        <f>Parâmetros!$C$20*(2*VLOOKUP(B115,LP_FX[],8,TRUE)/(VLOOKUP(B115,LP_FX[],1,TRUE)+VLOOKUP(B115,LP_FX[],2,TRUE)))</f>
        <v>4.1677025088154095E-2</v>
      </c>
      <c r="L115" s="163">
        <f t="shared" si="26"/>
        <v>0.23457702508815412</v>
      </c>
      <c r="M115" s="165">
        <f>IF($B115&lt;=3600000,$B115*INDEX(Parâmetros!$F$7:$M$26,ROUNDUP(($B115/180000),0),4)/$B115,$B115*INDEX(Parâmetros!$F$7:$M$26,20,4)/$B115)</f>
        <v>6.1199999999999997E-2</v>
      </c>
      <c r="N115" s="12">
        <f>IF($B115&lt;=3600000,$B115*INDEX(Parâmetros!$F$7:$M$26,ROUNDUP(($B115/180000),0),5)/$B115,$B115*INDEX(Parâmetros!$F$7:$M$26,20,5)/$B115)</f>
        <v>2.53E-2</v>
      </c>
      <c r="O115" s="12">
        <f>IF($B115&lt;=3600000,$B115*INDEX(Parâmetros!$F$7:$M$26,ROUNDUP(($B115/180000),0),6)/$B115,$B115*INDEX(Parâmetros!$F$7:$M$26,20,6)/$B115)</f>
        <v>5.7000000000000002E-3</v>
      </c>
      <c r="P115" s="12">
        <f>IF($B115&lt;=3600000,$B115*INDEX(Parâmetros!$F$7:$M$26,ROUNDUP(($B115/180000),0),7)/$B115,$B115*INDEX(Parâmetros!$F$7:$M$26,20,7)/$B115)</f>
        <v>2.63E-2</v>
      </c>
      <c r="Q115" s="12">
        <f>Parâmetros!$C$14*13.33*(Parâmetros!$C$15+FGTS)/B115</f>
        <v>3.2845120000000002E-4</v>
      </c>
      <c r="R115" s="12">
        <f>IF($B115&lt;=3600000,$B115*INDEX(Parâmetros!$F$7:$M$26,ROUNDUP(($B115/180000),0),8)/$B115,$B115*INDEX(Parâmetros!$F$7:$M$26,20,8)/$B115)</f>
        <v>0.05</v>
      </c>
      <c r="S115" s="23">
        <f t="shared" si="27"/>
        <v>0.16882845120000001</v>
      </c>
      <c r="T115" s="12">
        <f t="shared" si="34"/>
        <v>0.24764537649235294</v>
      </c>
      <c r="U115" s="64">
        <v>0</v>
      </c>
      <c r="V115" s="64">
        <v>0</v>
      </c>
      <c r="W115" s="64">
        <v>0</v>
      </c>
      <c r="X115" s="64">
        <f t="shared" si="35"/>
        <v>1.3836060120000003E-3</v>
      </c>
      <c r="Y115" s="64">
        <v>0</v>
      </c>
      <c r="Z115" s="81">
        <f t="shared" si="28"/>
        <v>0.24902898250435293</v>
      </c>
      <c r="AB115" s="153">
        <f>1-IF(B115&lt;=Parâmetros!$G$69,Parâmetros!$L$69,IF(B115&lt;=Parâmetros!$G$70,Parâmetros!$L$70,IF(B115&lt;=Parâmetros!$G$71,Parâmetros!$L$71,IF(B115&lt;=Parâmetros!$G$72,Parâmetros!$L$72,IF(B115&lt;=Parâmetros!$G$73,Parâmetros!$J$73,Parâmetros!$L$74)))))</f>
        <v>0.90427507815401076</v>
      </c>
    </row>
    <row r="116" spans="1:28" s="14" customFormat="1" x14ac:dyDescent="0.2">
      <c r="A116" s="1"/>
      <c r="B116" s="11">
        <f t="shared" si="36"/>
        <v>10500000</v>
      </c>
      <c r="C116" s="12">
        <f t="shared" si="30"/>
        <v>7.7714285714285708E-2</v>
      </c>
      <c r="D116" s="12">
        <f t="shared" si="31"/>
        <v>2.8799999999999999E-2</v>
      </c>
      <c r="E116" s="12">
        <f t="shared" si="32"/>
        <v>6.4999999999999997E-3</v>
      </c>
      <c r="F116" s="12">
        <f t="shared" si="33"/>
        <v>0.03</v>
      </c>
      <c r="G116" s="12">
        <f>Parâmetros!$C$14*13.33*(Parâmetros!$C$15+FGTS+Sist_S_SAT)/Dados!B116</f>
        <v>3.4632609523809529E-4</v>
      </c>
      <c r="H116" s="13">
        <f>B116*Parâmetros!$C$13/Dados!B116</f>
        <v>0.05</v>
      </c>
      <c r="I116" s="23">
        <f t="shared" si="25"/>
        <v>0.1933606118095238</v>
      </c>
      <c r="J116" s="178">
        <f>VLOOKUP(B116,LP_FX[],8,TRUE)*Parâmetros!$M$124/B116</f>
        <v>3.792575485129053E-2</v>
      </c>
      <c r="K116" s="12">
        <f>Parâmetros!$C$20*(2*VLOOKUP(B116,LP_FX[],8,TRUE)/(VLOOKUP(B116,LP_FX[],1,TRUE)+VLOOKUP(B116,LP_FX[],2,TRUE)))</f>
        <v>3.8572312708998586E-2</v>
      </c>
      <c r="L116" s="163">
        <f t="shared" si="26"/>
        <v>0.23158659842328427</v>
      </c>
      <c r="M116" s="165">
        <f>IF($B116&lt;=3600000,$B116*INDEX(Parâmetros!$F$7:$M$26,ROUNDUP(($B116/180000),0),4)/$B116,$B116*INDEX(Parâmetros!$F$7:$M$26,20,4)/$B116)</f>
        <v>6.1199999999999997E-2</v>
      </c>
      <c r="N116" s="12">
        <f>IF($B116&lt;=3600000,$B116*INDEX(Parâmetros!$F$7:$M$26,ROUNDUP(($B116/180000),0),5)/$B116,$B116*INDEX(Parâmetros!$F$7:$M$26,20,5)/$B116)</f>
        <v>2.53E-2</v>
      </c>
      <c r="O116" s="12">
        <f>IF($B116&lt;=3600000,$B116*INDEX(Parâmetros!$F$7:$M$26,ROUNDUP(($B116/180000),0),6)/$B116,$B116*INDEX(Parâmetros!$F$7:$M$26,20,6)/$B116)</f>
        <v>5.7000000000000002E-3</v>
      </c>
      <c r="P116" s="12">
        <f>IF($B116&lt;=3600000,$B116*INDEX(Parâmetros!$F$7:$M$26,ROUNDUP(($B116/180000),0),7)/$B116,$B116*INDEX(Parâmetros!$F$7:$M$26,20,7)/$B116)</f>
        <v>2.63E-2</v>
      </c>
      <c r="Q116" s="12">
        <f>Parâmetros!$C$14*13.33*(Parâmetros!$C$15+FGTS)/B116</f>
        <v>3.128106666666667E-4</v>
      </c>
      <c r="R116" s="12">
        <f>IF($B116&lt;=3600000,$B116*INDEX(Parâmetros!$F$7:$M$26,ROUNDUP(($B116/180000),0),8)/$B116,$B116*INDEX(Parâmetros!$F$7:$M$26,20,8)/$B116)</f>
        <v>0.05</v>
      </c>
      <c r="S116" s="23">
        <f t="shared" si="27"/>
        <v>0.16881281066666665</v>
      </c>
      <c r="T116" s="12">
        <f t="shared" si="34"/>
        <v>0.25090074447864946</v>
      </c>
      <c r="U116" s="64">
        <v>0</v>
      </c>
      <c r="V116" s="64">
        <v>0</v>
      </c>
      <c r="W116" s="64">
        <v>0</v>
      </c>
      <c r="X116" s="64">
        <f t="shared" si="35"/>
        <v>1.3177200114285715E-3</v>
      </c>
      <c r="Y116" s="64">
        <v>0</v>
      </c>
      <c r="Z116" s="81">
        <f t="shared" si="28"/>
        <v>0.25221846449007801</v>
      </c>
      <c r="AB116" s="153">
        <f>1-IF(B116&lt;=Parâmetros!$G$70,Parâmetros!$L$70,IF(B116&lt;=Parâmetros!$G$71,Parâmetros!$L$71,IF(B116&lt;=Parâmetros!$G$72,Parâmetros!$L$72,IF(B116&lt;=Parâmetros!$G$73,Parâmetros!$L$73,IF(B116&lt;=Parâmetros!$G$74,Parâmetros!$J$74,Parâmetros!$L$75)))))</f>
        <v>0.91593437819075996</v>
      </c>
    </row>
    <row r="117" spans="1:28" s="14" customFormat="1" x14ac:dyDescent="0.2">
      <c r="A117" s="1"/>
      <c r="B117" s="11">
        <f t="shared" si="36"/>
        <v>11000000</v>
      </c>
      <c r="C117" s="12">
        <f t="shared" si="30"/>
        <v>7.7818181818181814E-2</v>
      </c>
      <c r="D117" s="12">
        <f t="shared" si="31"/>
        <v>2.8799999999999999E-2</v>
      </c>
      <c r="E117" s="12">
        <f t="shared" si="32"/>
        <v>6.4999999999999997E-3</v>
      </c>
      <c r="F117" s="12">
        <f t="shared" si="33"/>
        <v>0.03</v>
      </c>
      <c r="G117" s="12">
        <f>Parâmetros!$C$14*13.33*(Parâmetros!$C$15+FGTS+Sist_S_SAT)/Dados!B117</f>
        <v>3.3058400000000003E-4</v>
      </c>
      <c r="H117" s="13">
        <f>B117*Parâmetros!$C$13/Dados!B117</f>
        <v>0.05</v>
      </c>
      <c r="I117" s="23">
        <f t="shared" si="25"/>
        <v>0.19344876581818182</v>
      </c>
      <c r="J117" s="178">
        <f>VLOOKUP(B117,LP_FX[],8,TRUE)*Parâmetros!$M$124/B117</f>
        <v>3.6201856903504595E-2</v>
      </c>
      <c r="K117" s="12">
        <f>Parâmetros!$C$20*(2*VLOOKUP(B117,LP_FX[],8,TRUE)/(VLOOKUP(B117,LP_FX[],1,TRUE)+VLOOKUP(B117,LP_FX[],2,TRUE)))</f>
        <v>3.8572312708998586E-2</v>
      </c>
      <c r="L117" s="163">
        <f t="shared" si="26"/>
        <v>0.23169049452718038</v>
      </c>
      <c r="M117" s="165">
        <f>IF($B117&lt;=3600000,$B117*INDEX(Parâmetros!$F$7:$M$26,ROUNDUP(($B117/180000),0),4)/$B117,$B117*INDEX(Parâmetros!$F$7:$M$26,20,4)/$B117)</f>
        <v>6.1199999999999997E-2</v>
      </c>
      <c r="N117" s="12">
        <f>IF($B117&lt;=3600000,$B117*INDEX(Parâmetros!$F$7:$M$26,ROUNDUP(($B117/180000),0),5)/$B117,$B117*INDEX(Parâmetros!$F$7:$M$26,20,5)/$B117)</f>
        <v>2.53E-2</v>
      </c>
      <c r="O117" s="12">
        <f>IF($B117&lt;=3600000,$B117*INDEX(Parâmetros!$F$7:$M$26,ROUNDUP(($B117/180000),0),6)/$B117,$B117*INDEX(Parâmetros!$F$7:$M$26,20,6)/$B117)</f>
        <v>5.7000000000000002E-3</v>
      </c>
      <c r="P117" s="12">
        <f>IF($B117&lt;=3600000,$B117*INDEX(Parâmetros!$F$7:$M$26,ROUNDUP(($B117/180000),0),7)/$B117,$B117*INDEX(Parâmetros!$F$7:$M$26,20,7)/$B117)</f>
        <v>2.63E-2</v>
      </c>
      <c r="Q117" s="12">
        <f>Parâmetros!$C$14*13.33*(Parâmetros!$C$15+FGTS)/B117</f>
        <v>2.9859200000000003E-4</v>
      </c>
      <c r="R117" s="12">
        <f>IF($B117&lt;=3600000,$B117*INDEX(Parâmetros!$F$7:$M$26,ROUNDUP(($B117/180000),0),8)/$B117,$B117*INDEX(Parâmetros!$F$7:$M$26,20,8)/$B117)</f>
        <v>0.05</v>
      </c>
      <c r="S117" s="23">
        <f t="shared" si="27"/>
        <v>0.168798592</v>
      </c>
      <c r="T117" s="12">
        <f t="shared" si="34"/>
        <v>0.25094534491154985</v>
      </c>
      <c r="U117" s="64">
        <v>0</v>
      </c>
      <c r="V117" s="64">
        <v>0</v>
      </c>
      <c r="W117" s="64">
        <v>0</v>
      </c>
      <c r="X117" s="64">
        <f t="shared" si="35"/>
        <v>1.2578236472727275E-3</v>
      </c>
      <c r="Y117" s="64">
        <v>0</v>
      </c>
      <c r="Z117" s="81">
        <f t="shared" si="28"/>
        <v>0.25220316855882258</v>
      </c>
      <c r="AB117" s="153">
        <f>1-IF(B117&lt;=Parâmetros!$G$70,Parâmetros!$L$70,IF(B117&lt;=Parâmetros!$G$71,Parâmetros!$L$71,IF(B117&lt;=Parâmetros!$G$72,Parâmetros!$L$72,IF(B117&lt;=Parâmetros!$G$73,Parâmetros!$L$73,IF(B117&lt;=Parâmetros!$G$74,Parâmetros!$J$74,Parâmetros!$L$75)))))</f>
        <v>0.91593437819075996</v>
      </c>
    </row>
    <row r="118" spans="1:28" s="14" customFormat="1" x14ac:dyDescent="0.2">
      <c r="A118" s="1"/>
      <c r="B118" s="11">
        <f t="shared" si="36"/>
        <v>11500000</v>
      </c>
      <c r="C118" s="12">
        <f t="shared" si="30"/>
        <v>7.7913043478260863E-2</v>
      </c>
      <c r="D118" s="12">
        <f t="shared" si="31"/>
        <v>2.8799999999999999E-2</v>
      </c>
      <c r="E118" s="12">
        <f t="shared" si="32"/>
        <v>6.4999999999999997E-3</v>
      </c>
      <c r="F118" s="12">
        <f t="shared" si="33"/>
        <v>0.03</v>
      </c>
      <c r="G118" s="12">
        <f>Parâmetros!$C$14*13.33*(Parâmetros!$C$15+FGTS+Sist_S_SAT)/Dados!B118</f>
        <v>3.1621078260869571E-4</v>
      </c>
      <c r="H118" s="13">
        <f>B118*Parâmetros!$C$13/Dados!B118</f>
        <v>0.05</v>
      </c>
      <c r="I118" s="23">
        <f t="shared" si="25"/>
        <v>0.19352925426086953</v>
      </c>
      <c r="J118" s="178">
        <f>VLOOKUP(B118,LP_FX[],8,TRUE)*Parâmetros!$M$124/B118</f>
        <v>3.4627863125091356E-2</v>
      </c>
      <c r="K118" s="12">
        <f>Parâmetros!$C$20*(2*VLOOKUP(B118,LP_FX[],8,TRUE)/(VLOOKUP(B118,LP_FX[],1,TRUE)+VLOOKUP(B118,LP_FX[],2,TRUE)))</f>
        <v>3.8572312708998586E-2</v>
      </c>
      <c r="L118" s="163">
        <f t="shared" si="26"/>
        <v>0.23178535618725943</v>
      </c>
      <c r="M118" s="165">
        <f>IF($B118&lt;=3600000,$B118*INDEX(Parâmetros!$F$7:$M$26,ROUNDUP(($B118/180000),0),4)/$B118,$B118*INDEX(Parâmetros!$F$7:$M$26,20,4)/$B118)</f>
        <v>6.1199999999999997E-2</v>
      </c>
      <c r="N118" s="12">
        <f>IF($B118&lt;=3600000,$B118*INDEX(Parâmetros!$F$7:$M$26,ROUNDUP(($B118/180000),0),5)/$B118,$B118*INDEX(Parâmetros!$F$7:$M$26,20,5)/$B118)</f>
        <v>2.53E-2</v>
      </c>
      <c r="O118" s="12">
        <f>IF($B118&lt;=3600000,$B118*INDEX(Parâmetros!$F$7:$M$26,ROUNDUP(($B118/180000),0),6)/$B118,$B118*INDEX(Parâmetros!$F$7:$M$26,20,6)/$B118)</f>
        <v>5.7000000000000002E-3</v>
      </c>
      <c r="P118" s="12">
        <f>IF($B118&lt;=3600000,$B118*INDEX(Parâmetros!$F$7:$M$26,ROUNDUP(($B118/180000),0),7)/$B118,$B118*INDEX(Parâmetros!$F$7:$M$26,20,7)/$B118)</f>
        <v>2.63E-2</v>
      </c>
      <c r="Q118" s="12">
        <f>Parâmetros!$C$14*13.33*(Parâmetros!$C$15+FGTS)/B118</f>
        <v>2.8560973913043479E-4</v>
      </c>
      <c r="R118" s="12">
        <f>IF($B118&lt;=3600000,$B118*INDEX(Parâmetros!$F$7:$M$26,ROUNDUP(($B118/180000),0),8)/$B118,$B118*INDEX(Parâmetros!$F$7:$M$26,20,8)/$B118)</f>
        <v>0.05</v>
      </c>
      <c r="S118" s="23">
        <f t="shared" si="27"/>
        <v>0.16878560973913043</v>
      </c>
      <c r="T118" s="12">
        <f t="shared" si="34"/>
        <v>0.25098606704593723</v>
      </c>
      <c r="U118" s="64">
        <v>0</v>
      </c>
      <c r="V118" s="64">
        <v>0</v>
      </c>
      <c r="W118" s="64">
        <v>0</v>
      </c>
      <c r="X118" s="64">
        <f t="shared" si="35"/>
        <v>1.2031356626086959E-3</v>
      </c>
      <c r="Y118" s="64">
        <v>0</v>
      </c>
      <c r="Z118" s="81">
        <f t="shared" si="28"/>
        <v>0.25218920270854595</v>
      </c>
      <c r="AB118" s="153">
        <f>1-IF(B118&lt;=Parâmetros!$G$70,Parâmetros!$L$70,IF(B118&lt;=Parâmetros!$G$71,Parâmetros!$L$71,IF(B118&lt;=Parâmetros!$G$72,Parâmetros!$L$72,IF(B118&lt;=Parâmetros!$G$73,Parâmetros!$L$73,IF(B118&lt;=Parâmetros!$G$74,Parâmetros!$J$74,Parâmetros!$L$75)))))</f>
        <v>0.91593437819075996</v>
      </c>
    </row>
    <row r="119" spans="1:28" s="14" customFormat="1" x14ac:dyDescent="0.2">
      <c r="A119" s="1"/>
      <c r="B119" s="11">
        <f t="shared" si="36"/>
        <v>12000000</v>
      </c>
      <c r="C119" s="12">
        <f t="shared" si="30"/>
        <v>7.8E-2</v>
      </c>
      <c r="D119" s="12">
        <f t="shared" si="31"/>
        <v>2.8799999999999999E-2</v>
      </c>
      <c r="E119" s="12">
        <f t="shared" si="32"/>
        <v>6.4999999999999997E-3</v>
      </c>
      <c r="F119" s="12">
        <f t="shared" si="33"/>
        <v>0.03</v>
      </c>
      <c r="G119" s="12">
        <f>Parâmetros!$C$14*13.33*(Parâmetros!$C$15+FGTS+Sist_S_SAT)/Dados!B119</f>
        <v>3.0303533333333338E-4</v>
      </c>
      <c r="H119" s="13">
        <f>B119*Parâmetros!$C$13/Dados!B119</f>
        <v>0.05</v>
      </c>
      <c r="I119" s="23">
        <f t="shared" si="25"/>
        <v>0.19360303533333334</v>
      </c>
      <c r="J119" s="178">
        <f>VLOOKUP(B119,LP_FX[],8,TRUE)*Parâmetros!$M$124/B119</f>
        <v>3.3185035494879216E-2</v>
      </c>
      <c r="K119" s="12">
        <f>Parâmetros!$C$20*(2*VLOOKUP(B119,LP_FX[],8,TRUE)/(VLOOKUP(B119,LP_FX[],1,TRUE)+VLOOKUP(B119,LP_FX[],2,TRUE)))</f>
        <v>3.8572312708998586E-2</v>
      </c>
      <c r="L119" s="163">
        <f t="shared" si="26"/>
        <v>0.23187231270899861</v>
      </c>
      <c r="M119" s="165">
        <f>IF($B119&lt;=3600000,$B119*INDEX(Parâmetros!$F$7:$M$26,ROUNDUP(($B119/180000),0),4)/$B119,$B119*INDEX(Parâmetros!$F$7:$M$26,20,4)/$B119)</f>
        <v>6.1199999999999997E-2</v>
      </c>
      <c r="N119" s="12">
        <f>IF($B119&lt;=3600000,$B119*INDEX(Parâmetros!$F$7:$M$26,ROUNDUP(($B119/180000),0),5)/$B119,$B119*INDEX(Parâmetros!$F$7:$M$26,20,5)/$B119)</f>
        <v>2.53E-2</v>
      </c>
      <c r="O119" s="12">
        <f>IF($B119&lt;=3600000,$B119*INDEX(Parâmetros!$F$7:$M$26,ROUNDUP(($B119/180000),0),6)/$B119,$B119*INDEX(Parâmetros!$F$7:$M$26,20,6)/$B119)</f>
        <v>5.7000000000000002E-3</v>
      </c>
      <c r="P119" s="12">
        <f>IF($B119&lt;=3600000,$B119*INDEX(Parâmetros!$F$7:$M$26,ROUNDUP(($B119/180000),0),7)/$B119,$B119*INDEX(Parâmetros!$F$7:$M$26,20,7)/$B119)</f>
        <v>2.63E-2</v>
      </c>
      <c r="Q119" s="12">
        <f>Parâmetros!$C$14*13.33*(Parâmetros!$C$15+FGTS)/B119</f>
        <v>2.7370933333333334E-4</v>
      </c>
      <c r="R119" s="12">
        <f>IF($B119&lt;=3600000,$B119*INDEX(Parâmetros!$F$7:$M$26,ROUNDUP(($B119/180000),0),8)/$B119,$B119*INDEX(Parâmetros!$F$7:$M$26,20,8)/$B119)</f>
        <v>0.05</v>
      </c>
      <c r="S119" s="23">
        <f t="shared" si="27"/>
        <v>0.16877370933333333</v>
      </c>
      <c r="T119" s="12">
        <f t="shared" si="34"/>
        <v>0.25102339566912563</v>
      </c>
      <c r="U119" s="64">
        <v>0</v>
      </c>
      <c r="V119" s="64">
        <v>0</v>
      </c>
      <c r="W119" s="64">
        <v>0</v>
      </c>
      <c r="X119" s="64">
        <f t="shared" si="35"/>
        <v>1.1530050100000001E-3</v>
      </c>
      <c r="Y119" s="64">
        <v>0</v>
      </c>
      <c r="Z119" s="81">
        <f t="shared" si="28"/>
        <v>0.25217640067912561</v>
      </c>
      <c r="AB119" s="153">
        <f>1-IF(B119&lt;=Parâmetros!$G$70,Parâmetros!$L$70,IF(B119&lt;=Parâmetros!$G$71,Parâmetros!$L$71,IF(B119&lt;=Parâmetros!$G$72,Parâmetros!$L$72,IF(B119&lt;=Parâmetros!$G$73,Parâmetros!$L$73,IF(B119&lt;=Parâmetros!$G$74,Parâmetros!$J$74,Parâmetros!$L$75)))))</f>
        <v>0.91593437819075996</v>
      </c>
    </row>
    <row r="120" spans="1:28" s="14" customFormat="1" x14ac:dyDescent="0.2">
      <c r="A120" s="1"/>
      <c r="B120" s="11">
        <f t="shared" si="36"/>
        <v>12500000</v>
      </c>
      <c r="C120" s="12">
        <f t="shared" si="30"/>
        <v>7.8079999999999997E-2</v>
      </c>
      <c r="D120" s="12">
        <f t="shared" si="31"/>
        <v>2.8799999999999999E-2</v>
      </c>
      <c r="E120" s="12">
        <f t="shared" si="32"/>
        <v>6.4999999999999997E-3</v>
      </c>
      <c r="F120" s="12">
        <f t="shared" si="33"/>
        <v>0.03</v>
      </c>
      <c r="G120" s="12">
        <f>Parâmetros!$C$14*13.33*(Parâmetros!$C$15+FGTS+Sist_S_SAT)/Dados!B120</f>
        <v>2.9091392000000002E-4</v>
      </c>
      <c r="H120" s="13">
        <f>B120*Parâmetros!$C$13/Dados!B120</f>
        <v>0.05</v>
      </c>
      <c r="I120" s="23">
        <f t="shared" si="25"/>
        <v>0.19367091392000002</v>
      </c>
      <c r="J120" s="178">
        <f>VLOOKUP(B120,LP_FX[],8,TRUE)*Parâmetros!$M$124/B120</f>
        <v>3.1857634075084046E-2</v>
      </c>
      <c r="K120" s="12">
        <f>Parâmetros!$C$20*(2*VLOOKUP(B120,LP_FX[],8,TRUE)/(VLOOKUP(B120,LP_FX[],1,TRUE)+VLOOKUP(B120,LP_FX[],2,TRUE)))</f>
        <v>3.8572312708998586E-2</v>
      </c>
      <c r="L120" s="163">
        <f t="shared" si="26"/>
        <v>0.23195231270899858</v>
      </c>
      <c r="M120" s="165">
        <f>IF($B120&lt;=3600000,$B120*INDEX(Parâmetros!$F$7:$M$26,ROUNDUP(($B120/180000),0),4)/$B120,$B120*INDEX(Parâmetros!$F$7:$M$26,20,4)/$B120)</f>
        <v>6.1199999999999997E-2</v>
      </c>
      <c r="N120" s="12">
        <f>IF($B120&lt;=3600000,$B120*INDEX(Parâmetros!$F$7:$M$26,ROUNDUP(($B120/180000),0),5)/$B120,$B120*INDEX(Parâmetros!$F$7:$M$26,20,5)/$B120)</f>
        <v>2.53E-2</v>
      </c>
      <c r="O120" s="12">
        <f>IF($B120&lt;=3600000,$B120*INDEX(Parâmetros!$F$7:$M$26,ROUNDUP(($B120/180000),0),6)/$B120,$B120*INDEX(Parâmetros!$F$7:$M$26,20,6)/$B120)</f>
        <v>5.7000000000000002E-3</v>
      </c>
      <c r="P120" s="12">
        <f>IF($B120&lt;=3600000,$B120*INDEX(Parâmetros!$F$7:$M$26,ROUNDUP(($B120/180000),0),7)/$B120,$B120*INDEX(Parâmetros!$F$7:$M$26,20,7)/$B120)</f>
        <v>2.63E-2</v>
      </c>
      <c r="Q120" s="12">
        <f>Parâmetros!$C$14*13.33*(Parâmetros!$C$15+FGTS)/B120</f>
        <v>2.6276096000000002E-4</v>
      </c>
      <c r="R120" s="12">
        <f>IF($B120&lt;=3600000,$B120*INDEX(Parâmetros!$F$7:$M$26,ROUNDUP(($B120/180000),0),8)/$B120,$B120*INDEX(Parâmetros!$F$7:$M$26,20,8)/$B120)</f>
        <v>0.05</v>
      </c>
      <c r="S120" s="23">
        <f t="shared" si="27"/>
        <v>0.16876276095999998</v>
      </c>
      <c r="T120" s="12">
        <f t="shared" si="34"/>
        <v>0.25105773800245901</v>
      </c>
      <c r="U120" s="64">
        <v>0</v>
      </c>
      <c r="V120" s="64">
        <v>0</v>
      </c>
      <c r="W120" s="64">
        <v>0</v>
      </c>
      <c r="X120" s="64">
        <f t="shared" si="35"/>
        <v>1.1068848096000001E-3</v>
      </c>
      <c r="Y120" s="64">
        <v>0</v>
      </c>
      <c r="Z120" s="81">
        <f t="shared" si="28"/>
        <v>0.25216462281205898</v>
      </c>
      <c r="AB120" s="153">
        <f>1-IF(B120&lt;=Parâmetros!$G$70,Parâmetros!$L$70,IF(B120&lt;=Parâmetros!$G$71,Parâmetros!$L$71,IF(B120&lt;=Parâmetros!$G$72,Parâmetros!$L$72,IF(B120&lt;=Parâmetros!$G$73,Parâmetros!$L$73,IF(B120&lt;=Parâmetros!$G$74,Parâmetros!$J$74,Parâmetros!$L$75)))))</f>
        <v>0.91593437819075996</v>
      </c>
    </row>
    <row r="121" spans="1:28" s="14" customFormat="1" x14ac:dyDescent="0.2">
      <c r="A121" s="1"/>
      <c r="B121" s="11">
        <f t="shared" si="36"/>
        <v>13000000</v>
      </c>
      <c r="C121" s="12">
        <f t="shared" si="30"/>
        <v>7.8153846153846157E-2</v>
      </c>
      <c r="D121" s="12">
        <f t="shared" si="31"/>
        <v>2.8799999999999999E-2</v>
      </c>
      <c r="E121" s="12">
        <f t="shared" si="32"/>
        <v>6.4999999999999997E-3</v>
      </c>
      <c r="F121" s="12">
        <f t="shared" si="33"/>
        <v>0.03</v>
      </c>
      <c r="G121" s="12">
        <f>Parâmetros!$C$14*13.33*(Parâmetros!$C$15+FGTS+Sist_S_SAT)/Dados!B121</f>
        <v>2.7972492307692313E-4</v>
      </c>
      <c r="H121" s="13">
        <f>B121*Parâmetros!$C$13/Dados!B121</f>
        <v>0.05</v>
      </c>
      <c r="I121" s="23">
        <f t="shared" si="25"/>
        <v>0.19373357107692307</v>
      </c>
      <c r="J121" s="178">
        <f>VLOOKUP(B121,LP_FX[],8,TRUE)*Parâmetros!$M$124/B121</f>
        <v>3.0632340456811583E-2</v>
      </c>
      <c r="K121" s="12">
        <f>Parâmetros!$C$20*(2*VLOOKUP(B121,LP_FX[],8,TRUE)/(VLOOKUP(B121,LP_FX[],1,TRUE)+VLOOKUP(B121,LP_FX[],2,TRUE)))</f>
        <v>3.8572312708998586E-2</v>
      </c>
      <c r="L121" s="163">
        <f t="shared" si="26"/>
        <v>0.23202615886284472</v>
      </c>
      <c r="M121" s="165">
        <f>IF($B121&lt;=3600000,$B121*INDEX(Parâmetros!$F$7:$M$26,ROUNDUP(($B121/180000),0),4)/$B121,$B121*INDEX(Parâmetros!$F$7:$M$26,20,4)/$B121)</f>
        <v>6.1199999999999997E-2</v>
      </c>
      <c r="N121" s="12">
        <f>IF($B121&lt;=3600000,$B121*INDEX(Parâmetros!$F$7:$M$26,ROUNDUP(($B121/180000),0),5)/$B121,$B121*INDEX(Parâmetros!$F$7:$M$26,20,5)/$B121)</f>
        <v>2.53E-2</v>
      </c>
      <c r="O121" s="12">
        <f>IF($B121&lt;=3600000,$B121*INDEX(Parâmetros!$F$7:$M$26,ROUNDUP(($B121/180000),0),6)/$B121,$B121*INDEX(Parâmetros!$F$7:$M$26,20,6)/$B121)</f>
        <v>5.7000000000000002E-3</v>
      </c>
      <c r="P121" s="12">
        <f>IF($B121&lt;=3600000,$B121*INDEX(Parâmetros!$F$7:$M$26,ROUNDUP(($B121/180000),0),7)/$B121,$B121*INDEX(Parâmetros!$F$7:$M$26,20,7)/$B121)</f>
        <v>2.63E-2</v>
      </c>
      <c r="Q121" s="12">
        <f>Parâmetros!$C$14*13.33*(Parâmetros!$C$15+FGTS)/B121</f>
        <v>2.5265476923076925E-4</v>
      </c>
      <c r="R121" s="12">
        <f>IF($B121&lt;=3600000,$B121*INDEX(Parâmetros!$F$7:$M$26,ROUNDUP(($B121/180000),0),8)/$B121,$B121*INDEX(Parâmetros!$F$7:$M$26,20,8)/$B121)</f>
        <v>0.05</v>
      </c>
      <c r="S121" s="23">
        <f t="shared" si="27"/>
        <v>0.16875265476923076</v>
      </c>
      <c r="T121" s="12">
        <f t="shared" si="34"/>
        <v>0.25108943861784361</v>
      </c>
      <c r="U121" s="64">
        <v>0</v>
      </c>
      <c r="V121" s="64">
        <v>0</v>
      </c>
      <c r="W121" s="64">
        <v>0</v>
      </c>
      <c r="X121" s="64">
        <f t="shared" si="35"/>
        <v>1.0643123169230772E-3</v>
      </c>
      <c r="Y121" s="64">
        <v>0</v>
      </c>
      <c r="Z121" s="81">
        <f t="shared" si="28"/>
        <v>0.25215375093476666</v>
      </c>
      <c r="AB121" s="153">
        <f>1-IF(B121&lt;=Parâmetros!$G$70,Parâmetros!$L$70,IF(B121&lt;=Parâmetros!$G$71,Parâmetros!$L$71,IF(B121&lt;=Parâmetros!$G$72,Parâmetros!$L$72,IF(B121&lt;=Parâmetros!$G$73,Parâmetros!$L$73,IF(B121&lt;=Parâmetros!$G$74,Parâmetros!$J$74,Parâmetros!$L$75)))))</f>
        <v>0.91593437819075996</v>
      </c>
    </row>
    <row r="122" spans="1:28" s="14" customFormat="1" x14ac:dyDescent="0.2">
      <c r="A122" s="1"/>
      <c r="B122" s="11">
        <f t="shared" si="36"/>
        <v>13500000</v>
      </c>
      <c r="C122" s="12">
        <f t="shared" si="30"/>
        <v>7.8222222222222221E-2</v>
      </c>
      <c r="D122" s="12">
        <f t="shared" si="31"/>
        <v>2.8799999999999999E-2</v>
      </c>
      <c r="E122" s="12">
        <f t="shared" si="32"/>
        <v>6.4999999999999997E-3</v>
      </c>
      <c r="F122" s="12">
        <f t="shared" si="33"/>
        <v>0.03</v>
      </c>
      <c r="G122" s="12">
        <f>Parâmetros!$C$14*13.33*(Parâmetros!$C$15+FGTS+Sist_S_SAT)/Dados!B122</f>
        <v>2.6936474074074079E-4</v>
      </c>
      <c r="H122" s="13">
        <f>B122*Parâmetros!$C$13/Dados!B122</f>
        <v>0.05</v>
      </c>
      <c r="I122" s="23">
        <f t="shared" si="25"/>
        <v>0.19379158696296295</v>
      </c>
      <c r="J122" s="178">
        <f>VLOOKUP(B122,LP_FX[],8,TRUE)*Parâmetros!$M$124/B122</f>
        <v>2.9497809328781523E-2</v>
      </c>
      <c r="K122" s="12">
        <f>Parâmetros!$C$20*(2*VLOOKUP(B122,LP_FX[],8,TRUE)/(VLOOKUP(B122,LP_FX[],1,TRUE)+VLOOKUP(B122,LP_FX[],2,TRUE)))</f>
        <v>3.8572312708998586E-2</v>
      </c>
      <c r="L122" s="163">
        <f t="shared" si="26"/>
        <v>0.23209453493122079</v>
      </c>
      <c r="M122" s="165">
        <f>IF($B122&lt;=3600000,$B122*INDEX(Parâmetros!$F$7:$M$26,ROUNDUP(($B122/180000),0),4)/$B122,$B122*INDEX(Parâmetros!$F$7:$M$26,20,4)/$B122)</f>
        <v>6.1199999999999997E-2</v>
      </c>
      <c r="N122" s="12">
        <f>IF($B122&lt;=3600000,$B122*INDEX(Parâmetros!$F$7:$M$26,ROUNDUP(($B122/180000),0),5)/$B122,$B122*INDEX(Parâmetros!$F$7:$M$26,20,5)/$B122)</f>
        <v>2.53E-2</v>
      </c>
      <c r="O122" s="12">
        <f>IF($B122&lt;=3600000,$B122*INDEX(Parâmetros!$F$7:$M$26,ROUNDUP(($B122/180000),0),6)/$B122,$B122*INDEX(Parâmetros!$F$7:$M$26,20,6)/$B122)</f>
        <v>5.7000000000000002E-3</v>
      </c>
      <c r="P122" s="12">
        <f>IF($B122&lt;=3600000,$B122*INDEX(Parâmetros!$F$7:$M$26,ROUNDUP(($B122/180000),0),7)/$B122,$B122*INDEX(Parâmetros!$F$7:$M$26,20,7)/$B122)</f>
        <v>2.63E-2</v>
      </c>
      <c r="Q122" s="12">
        <f>Parâmetros!$C$14*13.33*(Parâmetros!$C$15+FGTS)/B122</f>
        <v>2.4329718518518521E-4</v>
      </c>
      <c r="R122" s="12">
        <f>IF($B122&lt;=3600000,$B122*INDEX(Parâmetros!$F$7:$M$26,ROUNDUP(($B122/180000),0),8)/$B122,$B122*INDEX(Parâmetros!$F$7:$M$26,20,8)/$B122)</f>
        <v>0.05</v>
      </c>
      <c r="S122" s="23">
        <f t="shared" si="27"/>
        <v>0.16874329718518519</v>
      </c>
      <c r="T122" s="12">
        <f t="shared" si="34"/>
        <v>0.25111879103949603</v>
      </c>
      <c r="U122" s="64">
        <v>0</v>
      </c>
      <c r="V122" s="64">
        <v>0</v>
      </c>
      <c r="W122" s="64">
        <v>0</v>
      </c>
      <c r="X122" s="64">
        <f t="shared" si="35"/>
        <v>1.0248933422222224E-3</v>
      </c>
      <c r="Y122" s="64">
        <v>0</v>
      </c>
      <c r="Z122" s="81">
        <f t="shared" si="28"/>
        <v>0.25214368438171825</v>
      </c>
      <c r="AB122" s="153">
        <f>1-IF(B122&lt;=Parâmetros!$G$70,Parâmetros!$L$70,IF(B122&lt;=Parâmetros!$G$71,Parâmetros!$L$71,IF(B122&lt;=Parâmetros!$G$72,Parâmetros!$L$72,IF(B122&lt;=Parâmetros!$G$73,Parâmetros!$L$73,IF(B122&lt;=Parâmetros!$G$74,Parâmetros!$J$74,Parâmetros!$L$75)))))</f>
        <v>0.91593437819075996</v>
      </c>
    </row>
    <row r="123" spans="1:28" s="14" customFormat="1" x14ac:dyDescent="0.2">
      <c r="A123" s="1"/>
      <c r="B123" s="11">
        <f t="shared" si="36"/>
        <v>14000000</v>
      </c>
      <c r="C123" s="12">
        <f t="shared" si="30"/>
        <v>7.8285714285714292E-2</v>
      </c>
      <c r="D123" s="12">
        <f t="shared" si="31"/>
        <v>2.8799999999999999E-2</v>
      </c>
      <c r="E123" s="12">
        <f t="shared" si="32"/>
        <v>6.4999999999999997E-3</v>
      </c>
      <c r="F123" s="12">
        <f t="shared" si="33"/>
        <v>0.03</v>
      </c>
      <c r="G123" s="12">
        <f>Parâmetros!$C$14*13.33*(Parâmetros!$C$15+FGTS+Sist_S_SAT)/Dados!B123</f>
        <v>2.5974457142857147E-4</v>
      </c>
      <c r="H123" s="13">
        <f>B123*Parâmetros!$C$13/Dados!B123</f>
        <v>0.05</v>
      </c>
      <c r="I123" s="23">
        <f t="shared" si="25"/>
        <v>0.19384545885714288</v>
      </c>
      <c r="J123" s="178">
        <f>VLOOKUP(B123,LP_FX[],8,TRUE)*Parâmetros!$M$124/B123</f>
        <v>2.8444316138467898E-2</v>
      </c>
      <c r="K123" s="12">
        <f>Parâmetros!$C$20*(2*VLOOKUP(B123,LP_FX[],8,TRUE)/(VLOOKUP(B123,LP_FX[],1,TRUE)+VLOOKUP(B123,LP_FX[],2,TRUE)))</f>
        <v>3.8572312708998586E-2</v>
      </c>
      <c r="L123" s="163">
        <f t="shared" si="26"/>
        <v>0.23215802699471288</v>
      </c>
      <c r="M123" s="165">
        <f>IF($B123&lt;=3600000,$B123*INDEX(Parâmetros!$F$7:$M$26,ROUNDUP(($B123/180000),0),4)/$B123,$B123*INDEX(Parâmetros!$F$7:$M$26,20,4)/$B123)</f>
        <v>6.1199999999999997E-2</v>
      </c>
      <c r="N123" s="12">
        <f>IF($B123&lt;=3600000,$B123*INDEX(Parâmetros!$F$7:$M$26,ROUNDUP(($B123/180000),0),5)/$B123,$B123*INDEX(Parâmetros!$F$7:$M$26,20,5)/$B123)</f>
        <v>2.53E-2</v>
      </c>
      <c r="O123" s="12">
        <f>IF($B123&lt;=3600000,$B123*INDEX(Parâmetros!$F$7:$M$26,ROUNDUP(($B123/180000),0),6)/$B123,$B123*INDEX(Parâmetros!$F$7:$M$26,20,6)/$B123)</f>
        <v>5.7000000000000002E-3</v>
      </c>
      <c r="P123" s="12">
        <f>IF($B123&lt;=3600000,$B123*INDEX(Parâmetros!$F$7:$M$26,ROUNDUP(($B123/180000),0),7)/$B123,$B123*INDEX(Parâmetros!$F$7:$M$26,20,7)/$B123)</f>
        <v>2.63E-2</v>
      </c>
      <c r="Q123" s="12">
        <f>Parâmetros!$C$14*13.33*(Parâmetros!$C$15+FGTS)/B123</f>
        <v>2.34608E-4</v>
      </c>
      <c r="R123" s="12">
        <f>IF($B123&lt;=3600000,$B123*INDEX(Parâmetros!$F$7:$M$26,ROUNDUP(($B123/180000),0),8)/$B123,$B123*INDEX(Parâmetros!$F$7:$M$26,20,8)/$B123)</f>
        <v>0.05</v>
      </c>
      <c r="S123" s="23">
        <f t="shared" si="27"/>
        <v>0.16873460800000001</v>
      </c>
      <c r="T123" s="12">
        <f t="shared" si="34"/>
        <v>0.25114604685960185</v>
      </c>
      <c r="U123" s="64">
        <v>0</v>
      </c>
      <c r="V123" s="64">
        <v>0</v>
      </c>
      <c r="W123" s="64">
        <v>0</v>
      </c>
      <c r="X123" s="64">
        <f t="shared" si="35"/>
        <v>9.8829000857142868E-4</v>
      </c>
      <c r="Y123" s="64">
        <v>0</v>
      </c>
      <c r="Z123" s="81">
        <f t="shared" si="28"/>
        <v>0.25213433686817327</v>
      </c>
      <c r="AB123" s="153">
        <f>1-IF(B123&lt;=Parâmetros!$G$70,Parâmetros!$L$70,IF(B123&lt;=Parâmetros!$G$71,Parâmetros!$L$71,IF(B123&lt;=Parâmetros!$G$72,Parâmetros!$L$72,IF(B123&lt;=Parâmetros!$G$73,Parâmetros!$L$73,IF(B123&lt;=Parâmetros!$G$74,Parâmetros!$J$74,Parâmetros!$L$75)))))</f>
        <v>0.91593437819075996</v>
      </c>
    </row>
    <row r="124" spans="1:28" s="14" customFormat="1" x14ac:dyDescent="0.2">
      <c r="A124" s="1"/>
      <c r="B124" s="11">
        <f t="shared" si="36"/>
        <v>14500000</v>
      </c>
      <c r="C124" s="12">
        <f t="shared" si="30"/>
        <v>7.8344827586206894E-2</v>
      </c>
      <c r="D124" s="12">
        <f t="shared" si="31"/>
        <v>2.8799999999999999E-2</v>
      </c>
      <c r="E124" s="12">
        <f t="shared" si="32"/>
        <v>6.4999999999999997E-3</v>
      </c>
      <c r="F124" s="12">
        <f t="shared" si="33"/>
        <v>0.03</v>
      </c>
      <c r="G124" s="12">
        <f>Parâmetros!$C$14*13.33*(Parâmetros!$C$15+FGTS+Sist_S_SAT)/Dados!B124</f>
        <v>2.5078786206896557E-4</v>
      </c>
      <c r="H124" s="13">
        <f>B124*Parâmetros!$C$13/Dados!B124</f>
        <v>0.05</v>
      </c>
      <c r="I124" s="23">
        <f t="shared" si="25"/>
        <v>0.19389561544827588</v>
      </c>
      <c r="J124" s="178">
        <f>VLOOKUP(B124,LP_FX[],8,TRUE)*Parâmetros!$M$124/B124</f>
        <v>2.7463477650934522E-2</v>
      </c>
      <c r="K124" s="12">
        <f>Parâmetros!$C$20*(2*VLOOKUP(B124,LP_FX[],8,TRUE)/(VLOOKUP(B124,LP_FX[],1,TRUE)+VLOOKUP(B124,LP_FX[],2,TRUE)))</f>
        <v>3.8572312708998586E-2</v>
      </c>
      <c r="L124" s="163">
        <f t="shared" si="26"/>
        <v>0.23221714029520546</v>
      </c>
      <c r="M124" s="165">
        <f>IF($B124&lt;=3600000,$B124*INDEX(Parâmetros!$F$7:$M$26,ROUNDUP(($B124/180000),0),4)/$B124,$B124*INDEX(Parâmetros!$F$7:$M$26,20,4)/$B124)</f>
        <v>6.1199999999999997E-2</v>
      </c>
      <c r="N124" s="12">
        <f>IF($B124&lt;=3600000,$B124*INDEX(Parâmetros!$F$7:$M$26,ROUNDUP(($B124/180000),0),5)/$B124,$B124*INDEX(Parâmetros!$F$7:$M$26,20,5)/$B124)</f>
        <v>2.53E-2</v>
      </c>
      <c r="O124" s="12">
        <f>IF($B124&lt;=3600000,$B124*INDEX(Parâmetros!$F$7:$M$26,ROUNDUP(($B124/180000),0),6)/$B124,$B124*INDEX(Parâmetros!$F$7:$M$26,20,6)/$B124)</f>
        <v>5.7000000000000002E-3</v>
      </c>
      <c r="P124" s="12">
        <f>IF($B124&lt;=3600000,$B124*INDEX(Parâmetros!$F$7:$M$26,ROUNDUP(($B124/180000),0),7)/$B124,$B124*INDEX(Parâmetros!$F$7:$M$26,20,7)/$B124)</f>
        <v>2.63E-2</v>
      </c>
      <c r="Q124" s="12">
        <f>Parâmetros!$C$14*13.33*(Parâmetros!$C$15+FGTS)/B124</f>
        <v>2.2651806896551726E-4</v>
      </c>
      <c r="R124" s="12">
        <f>IF($B124&lt;=3600000,$B124*INDEX(Parâmetros!$F$7:$M$26,ROUNDUP(($B124/180000),0),8)/$B124,$B124*INDEX(Parâmetros!$F$7:$M$26,20,8)/$B124)</f>
        <v>0.05</v>
      </c>
      <c r="S124" s="23">
        <f t="shared" si="27"/>
        <v>0.16872651806896552</v>
      </c>
      <c r="T124" s="12">
        <f t="shared" si="34"/>
        <v>0.25117142296797623</v>
      </c>
      <c r="U124" s="64">
        <v>0</v>
      </c>
      <c r="V124" s="64">
        <v>0</v>
      </c>
      <c r="W124" s="64">
        <v>0</v>
      </c>
      <c r="X124" s="64">
        <f t="shared" si="35"/>
        <v>9.5421104275862081E-4</v>
      </c>
      <c r="Y124" s="64">
        <v>0</v>
      </c>
      <c r="Z124" s="81">
        <f t="shared" si="28"/>
        <v>0.25212563401073484</v>
      </c>
      <c r="AB124" s="153">
        <f>1-IF(B124&lt;=Parâmetros!$G$70,Parâmetros!$L$70,IF(B124&lt;=Parâmetros!$G$71,Parâmetros!$L$71,IF(B124&lt;=Parâmetros!$G$72,Parâmetros!$L$72,IF(B124&lt;=Parâmetros!$G$73,Parâmetros!$L$73,IF(B124&lt;=Parâmetros!$G$74,Parâmetros!$J$74,Parâmetros!$L$75)))))</f>
        <v>0.91593437819075996</v>
      </c>
    </row>
    <row r="125" spans="1:28" s="14" customFormat="1" x14ac:dyDescent="0.2">
      <c r="A125" s="1"/>
      <c r="B125" s="11">
        <f t="shared" si="36"/>
        <v>15000000</v>
      </c>
      <c r="C125" s="12">
        <f t="shared" ref="C125:C156" si="37">IF($B125&lt;=240000/BC_IR,($B125*(Al_IR)*BC_IR)/$B125,($B125*(Al_IR)*BC_IR+($B125-(240000/BC_IR))*BC_IR*Al_aIR)/$B125)</f>
        <v>7.8399999999999997E-2</v>
      </c>
      <c r="D125" s="12">
        <f t="shared" ref="D125:D156" si="38">$B125*(Al_CS)*BC_CS/$B125</f>
        <v>2.8799999999999999E-2</v>
      </c>
      <c r="E125" s="12">
        <f t="shared" si="32"/>
        <v>6.4999999999999997E-3</v>
      </c>
      <c r="F125" s="12">
        <f t="shared" si="33"/>
        <v>0.03</v>
      </c>
      <c r="G125" s="12">
        <f>Parâmetros!$C$14*13.33*(Parâmetros!$C$15+FGTS+Sist_S_SAT)/Dados!B125</f>
        <v>2.4242826666666668E-4</v>
      </c>
      <c r="H125" s="13">
        <f>B125*Parâmetros!$C$13/Dados!B125</f>
        <v>0.05</v>
      </c>
      <c r="I125" s="23">
        <f t="shared" si="25"/>
        <v>0.19394242826666669</v>
      </c>
      <c r="J125" s="178">
        <f>VLOOKUP(B125,LP_FX[],8,TRUE)*Parâmetros!$M$124/B125</f>
        <v>2.654802839590337E-2</v>
      </c>
      <c r="K125" s="12">
        <f>Parâmetros!$C$20*(2*VLOOKUP(B125,LP_FX[],8,TRUE)/(VLOOKUP(B125,LP_FX[],1,TRUE)+VLOOKUP(B125,LP_FX[],2,TRUE)))</f>
        <v>3.8572312708998586E-2</v>
      </c>
      <c r="L125" s="163">
        <f t="shared" si="26"/>
        <v>0.23227231270899856</v>
      </c>
      <c r="M125" s="165">
        <f>IF($B125&lt;=3600000,$B125*INDEX(Parâmetros!$F$7:$M$26,ROUNDUP(($B125/180000),0),4)/$B125,$B125*INDEX(Parâmetros!$F$7:$M$26,20,4)/$B125)</f>
        <v>6.1199999999999997E-2</v>
      </c>
      <c r="N125" s="12">
        <f>IF($B125&lt;=3600000,$B125*INDEX(Parâmetros!$F$7:$M$26,ROUNDUP(($B125/180000),0),5)/$B125,$B125*INDEX(Parâmetros!$F$7:$M$26,20,5)/$B125)</f>
        <v>2.53E-2</v>
      </c>
      <c r="O125" s="12">
        <f>IF($B125&lt;=3600000,$B125*INDEX(Parâmetros!$F$7:$M$26,ROUNDUP(($B125/180000),0),6)/$B125,$B125*INDEX(Parâmetros!$F$7:$M$26,20,6)/$B125)</f>
        <v>5.7000000000000002E-3</v>
      </c>
      <c r="P125" s="12">
        <f>IF($B125&lt;=3600000,$B125*INDEX(Parâmetros!$F$7:$M$26,ROUNDUP(($B125/180000),0),7)/$B125,$B125*INDEX(Parâmetros!$F$7:$M$26,20,7)/$B125)</f>
        <v>2.63E-2</v>
      </c>
      <c r="Q125" s="12">
        <f>Parâmetros!$C$14*13.33*(Parâmetros!$C$15+FGTS)/B125</f>
        <v>2.1896746666666669E-4</v>
      </c>
      <c r="R125" s="12">
        <f>IF($B125&lt;=3600000,$B125*INDEX(Parâmetros!$F$7:$M$26,ROUNDUP(($B125/180000),0),8)/$B125,$B125*INDEX(Parâmetros!$F$7:$M$26,20,8)/$B125)</f>
        <v>0.05</v>
      </c>
      <c r="S125" s="23">
        <f t="shared" si="27"/>
        <v>0.16871896746666665</v>
      </c>
      <c r="T125" s="12">
        <f t="shared" si="34"/>
        <v>0.25119510733579231</v>
      </c>
      <c r="U125" s="64">
        <v>0</v>
      </c>
      <c r="V125" s="64">
        <v>0</v>
      </c>
      <c r="W125" s="64">
        <v>0</v>
      </c>
      <c r="X125" s="64">
        <f t="shared" si="35"/>
        <v>9.2240400800000012E-4</v>
      </c>
      <c r="Y125" s="64">
        <v>0</v>
      </c>
      <c r="Z125" s="81">
        <f t="shared" si="28"/>
        <v>0.25211751134379229</v>
      </c>
      <c r="AB125" s="153">
        <f>1-IF(B125&lt;=Parâmetros!$G$70,Parâmetros!$L$70,IF(B125&lt;=Parâmetros!$G$71,Parâmetros!$L$71,IF(B125&lt;=Parâmetros!$G$72,Parâmetros!$L$72,IF(B125&lt;=Parâmetros!$G$73,Parâmetros!$L$73,IF(B125&lt;=Parâmetros!$G$74,Parâmetros!$J$74,Parâmetros!$L$75)))))</f>
        <v>0.91593437819075996</v>
      </c>
    </row>
    <row r="126" spans="1:28" s="14" customFormat="1" x14ac:dyDescent="0.2">
      <c r="A126" s="1"/>
      <c r="B126" s="11">
        <f t="shared" si="36"/>
        <v>15500000</v>
      </c>
      <c r="C126" s="12">
        <f t="shared" si="37"/>
        <v>7.8451612903225804E-2</v>
      </c>
      <c r="D126" s="12">
        <f t="shared" si="38"/>
        <v>2.8799999999999999E-2</v>
      </c>
      <c r="E126" s="12">
        <f t="shared" si="32"/>
        <v>6.4999999999999997E-3</v>
      </c>
      <c r="F126" s="12">
        <f t="shared" si="33"/>
        <v>0.03</v>
      </c>
      <c r="G126" s="12">
        <f>Parâmetros!$C$14*13.33*(Parâmetros!$C$15+FGTS+Sist_S_SAT)/Dados!B126</f>
        <v>2.3460800000000003E-4</v>
      </c>
      <c r="H126" s="13">
        <f>B126*Parâmetros!$C$13/Dados!B126</f>
        <v>0.05</v>
      </c>
      <c r="I126" s="23">
        <f t="shared" si="25"/>
        <v>0.19398622090322581</v>
      </c>
      <c r="J126" s="178">
        <f>VLOOKUP(B126,LP_FX[],8,TRUE)*Parâmetros!$M$124/B126</f>
        <v>2.5691640383132295E-2</v>
      </c>
      <c r="K126" s="12">
        <f>Parâmetros!$C$20*(2*VLOOKUP(B126,LP_FX[],8,TRUE)/(VLOOKUP(B126,LP_FX[],1,TRUE)+VLOOKUP(B126,LP_FX[],2,TRUE)))</f>
        <v>3.8572312708998586E-2</v>
      </c>
      <c r="L126" s="163">
        <f t="shared" si="26"/>
        <v>0.23232392561222437</v>
      </c>
      <c r="M126" s="165">
        <f>IF($B126&lt;=3600000,$B126*INDEX(Parâmetros!$F$7:$M$26,ROUNDUP(($B126/180000),0),4)/$B126,$B126*INDEX(Parâmetros!$F$7:$M$26,20,4)/$B126)</f>
        <v>6.1199999999999997E-2</v>
      </c>
      <c r="N126" s="12">
        <f>IF($B126&lt;=3600000,$B126*INDEX(Parâmetros!$F$7:$M$26,ROUNDUP(($B126/180000),0),5)/$B126,$B126*INDEX(Parâmetros!$F$7:$M$26,20,5)/$B126)</f>
        <v>2.53E-2</v>
      </c>
      <c r="O126" s="12">
        <f>IF($B126&lt;=3600000,$B126*INDEX(Parâmetros!$F$7:$M$26,ROUNDUP(($B126/180000),0),6)/$B126,$B126*INDEX(Parâmetros!$F$7:$M$26,20,6)/$B126)</f>
        <v>5.7000000000000002E-3</v>
      </c>
      <c r="P126" s="12">
        <f>IF($B126&lt;=3600000,$B126*INDEX(Parâmetros!$F$7:$M$26,ROUNDUP(($B126/180000),0),7)/$B126,$B126*INDEX(Parâmetros!$F$7:$M$26,20,7)/$B126)</f>
        <v>2.63E-2</v>
      </c>
      <c r="Q126" s="12">
        <f>Parâmetros!$C$14*13.33*(Parâmetros!$C$15+FGTS)/B126</f>
        <v>2.1190400000000001E-4</v>
      </c>
      <c r="R126" s="12">
        <f>IF($B126&lt;=3600000,$B126*INDEX(Parâmetros!$F$7:$M$26,ROUNDUP(($B126/180000),0),8)/$B126,$B126*INDEX(Parâmetros!$F$7:$M$26,20,8)/$B126)</f>
        <v>0.05</v>
      </c>
      <c r="S126" s="23">
        <f t="shared" si="27"/>
        <v>0.168711904</v>
      </c>
      <c r="T126" s="12">
        <f t="shared" si="34"/>
        <v>0.25442357118998438</v>
      </c>
      <c r="U126" s="64">
        <v>0</v>
      </c>
      <c r="V126" s="64">
        <v>0</v>
      </c>
      <c r="W126" s="64">
        <v>0</v>
      </c>
      <c r="X126" s="64">
        <f t="shared" si="35"/>
        <v>8.9264904000000008E-4</v>
      </c>
      <c r="Y126" s="64">
        <v>0</v>
      </c>
      <c r="Z126" s="81">
        <f t="shared" si="28"/>
        <v>0.2553162202299844</v>
      </c>
      <c r="AB126" s="153">
        <f>1-IF(B126&lt;=Parâmetros!$G$71,Parâmetros!$L$71,IF(B126&lt;=Parâmetros!$G$72,Parâmetros!$L$72,IF(B126&lt;=Parâmetros!$G$73,Parâmetros!$L$73,IF(B126&lt;=Parâmetros!$G$74,Parâmetros!$L$74,IF(B126&lt;=Parâmetros!$G$75,Parâmetros!$J$75,Parâmetros!$L$76)))))</f>
        <v>0.92759367822750916</v>
      </c>
    </row>
    <row r="127" spans="1:28" s="14" customFormat="1" x14ac:dyDescent="0.2">
      <c r="A127" s="1"/>
      <c r="B127" s="11">
        <f t="shared" si="36"/>
        <v>16000000</v>
      </c>
      <c r="C127" s="12">
        <f t="shared" si="37"/>
        <v>7.85E-2</v>
      </c>
      <c r="D127" s="12">
        <f t="shared" si="38"/>
        <v>2.8799999999999999E-2</v>
      </c>
      <c r="E127" s="12">
        <f t="shared" si="32"/>
        <v>6.4999999999999997E-3</v>
      </c>
      <c r="F127" s="12">
        <f t="shared" si="33"/>
        <v>0.03</v>
      </c>
      <c r="G127" s="12">
        <f>Parâmetros!$C$14*13.33*(Parâmetros!$C$15+FGTS+Sist_S_SAT)/Dados!B127</f>
        <v>2.2727650000000003E-4</v>
      </c>
      <c r="H127" s="13">
        <f>B127*Parâmetros!$C$13/Dados!B127</f>
        <v>0.05</v>
      </c>
      <c r="I127" s="23">
        <f t="shared" si="25"/>
        <v>0.19402727650000001</v>
      </c>
      <c r="J127" s="178">
        <f>VLOOKUP(B127,LP_FX[],8,TRUE)*Parâmetros!$M$124/B127</f>
        <v>2.488877662115941E-2</v>
      </c>
      <c r="K127" s="12">
        <f>Parâmetros!$C$20*(2*VLOOKUP(B127,LP_FX[],8,TRUE)/(VLOOKUP(B127,LP_FX[],1,TRUE)+VLOOKUP(B127,LP_FX[],2,TRUE)))</f>
        <v>3.8572312708998586E-2</v>
      </c>
      <c r="L127" s="163">
        <f t="shared" si="26"/>
        <v>0.23237231270899861</v>
      </c>
      <c r="M127" s="165">
        <f>IF($B127&lt;=3600000,$B127*INDEX(Parâmetros!$F$7:$M$26,ROUNDUP(($B127/180000),0),4)/$B127,$B127*INDEX(Parâmetros!$F$7:$M$26,20,4)/$B127)</f>
        <v>6.1199999999999997E-2</v>
      </c>
      <c r="N127" s="12">
        <f>IF($B127&lt;=3600000,$B127*INDEX(Parâmetros!$F$7:$M$26,ROUNDUP(($B127/180000),0),5)/$B127,$B127*INDEX(Parâmetros!$F$7:$M$26,20,5)/$B127)</f>
        <v>2.53E-2</v>
      </c>
      <c r="O127" s="12">
        <f>IF($B127&lt;=3600000,$B127*INDEX(Parâmetros!$F$7:$M$26,ROUNDUP(($B127/180000),0),6)/$B127,$B127*INDEX(Parâmetros!$F$7:$M$26,20,6)/$B127)</f>
        <v>5.7000000000000002E-3</v>
      </c>
      <c r="P127" s="12">
        <f>IF($B127&lt;=3600000,$B127*INDEX(Parâmetros!$F$7:$M$26,ROUNDUP(($B127/180000),0),7)/$B127,$B127*INDEX(Parâmetros!$F$7:$M$26,20,7)/$B127)</f>
        <v>2.63E-2</v>
      </c>
      <c r="Q127" s="12">
        <f>Parâmetros!$C$14*13.33*(Parâmetros!$C$15+FGTS)/B127</f>
        <v>2.0528200000000002E-4</v>
      </c>
      <c r="R127" s="12">
        <f>IF($B127&lt;=3600000,$B127*INDEX(Parâmetros!$F$7:$M$26,ROUNDUP(($B127/180000),0),8)/$B127,$B127*INDEX(Parâmetros!$F$7:$M$26,20,8)/$B127)</f>
        <v>0.05</v>
      </c>
      <c r="S127" s="23">
        <f t="shared" si="27"/>
        <v>0.16870528200000001</v>
      </c>
      <c r="T127" s="12">
        <f t="shared" si="34"/>
        <v>0.25444434276256506</v>
      </c>
      <c r="U127" s="64">
        <v>0</v>
      </c>
      <c r="V127" s="64">
        <v>0</v>
      </c>
      <c r="W127" s="64">
        <v>0</v>
      </c>
      <c r="X127" s="64">
        <f t="shared" si="35"/>
        <v>8.6475375750000012E-4</v>
      </c>
      <c r="Y127" s="64">
        <v>0</v>
      </c>
      <c r="Z127" s="81">
        <f t="shared" si="28"/>
        <v>0.25530909652006506</v>
      </c>
      <c r="AB127" s="153">
        <f>1-IF(B127&lt;=Parâmetros!$G$71,Parâmetros!$L$71,IF(B127&lt;=Parâmetros!$G$72,Parâmetros!$L$72,IF(B127&lt;=Parâmetros!$G$73,Parâmetros!$L$73,IF(B127&lt;=Parâmetros!$G$74,Parâmetros!$L$74,IF(B127&lt;=Parâmetros!$G$75,Parâmetros!$J$75,Parâmetros!$L$76)))))</f>
        <v>0.92759367822750916</v>
      </c>
    </row>
    <row r="128" spans="1:28" s="14" customFormat="1" x14ac:dyDescent="0.2">
      <c r="A128" s="1"/>
      <c r="B128" s="11">
        <f t="shared" si="36"/>
        <v>16500000</v>
      </c>
      <c r="C128" s="12">
        <f t="shared" si="37"/>
        <v>7.8545454545454543E-2</v>
      </c>
      <c r="D128" s="12">
        <f t="shared" si="38"/>
        <v>2.8799999999999999E-2</v>
      </c>
      <c r="E128" s="12">
        <f t="shared" si="32"/>
        <v>6.4999999999999997E-3</v>
      </c>
      <c r="F128" s="12">
        <f t="shared" si="33"/>
        <v>0.03</v>
      </c>
      <c r="G128" s="12">
        <f>Parâmetros!$C$14*13.33*(Parâmetros!$C$15+FGTS+Sist_S_SAT)/Dados!B128</f>
        <v>2.2038933333333335E-4</v>
      </c>
      <c r="H128" s="13">
        <f>B128*Parâmetros!$C$13/Dados!B128</f>
        <v>0.05</v>
      </c>
      <c r="I128" s="23">
        <f t="shared" si="25"/>
        <v>0.19406584387878789</v>
      </c>
      <c r="J128" s="178">
        <f>VLOOKUP(B128,LP_FX[],8,TRUE)*Parâmetros!$M$124/B128</f>
        <v>2.4134571269003063E-2</v>
      </c>
      <c r="K128" s="12">
        <f>Parâmetros!$C$20*(2*VLOOKUP(B128,LP_FX[],8,TRUE)/(VLOOKUP(B128,LP_FX[],1,TRUE)+VLOOKUP(B128,LP_FX[],2,TRUE)))</f>
        <v>3.8572312708998586E-2</v>
      </c>
      <c r="L128" s="163">
        <f t="shared" si="26"/>
        <v>0.23241776725445312</v>
      </c>
      <c r="M128" s="165">
        <f>IF($B128&lt;=3600000,$B128*INDEX(Parâmetros!$F$7:$M$26,ROUNDUP(($B128/180000),0),4)/$B128,$B128*INDEX(Parâmetros!$F$7:$M$26,20,4)/$B128)</f>
        <v>6.1199999999999997E-2</v>
      </c>
      <c r="N128" s="12">
        <f>IF($B128&lt;=3600000,$B128*INDEX(Parâmetros!$F$7:$M$26,ROUNDUP(($B128/180000),0),5)/$B128,$B128*INDEX(Parâmetros!$F$7:$M$26,20,5)/$B128)</f>
        <v>2.53E-2</v>
      </c>
      <c r="O128" s="12">
        <f>IF($B128&lt;=3600000,$B128*INDEX(Parâmetros!$F$7:$M$26,ROUNDUP(($B128/180000),0),6)/$B128,$B128*INDEX(Parâmetros!$F$7:$M$26,20,6)/$B128)</f>
        <v>5.7000000000000002E-3</v>
      </c>
      <c r="P128" s="12">
        <f>IF($B128&lt;=3600000,$B128*INDEX(Parâmetros!$F$7:$M$26,ROUNDUP(($B128/180000),0),7)/$B128,$B128*INDEX(Parâmetros!$F$7:$M$26,20,7)/$B128)</f>
        <v>2.63E-2</v>
      </c>
      <c r="Q128" s="12">
        <f>Parâmetros!$C$14*13.33*(Parâmetros!$C$15+FGTS)/B128</f>
        <v>1.9906133333333334E-4</v>
      </c>
      <c r="R128" s="12">
        <f>IF($B128&lt;=3600000,$B128*INDEX(Parâmetros!$F$7:$M$26,ROUNDUP(($B128/180000),0),8)/$B128,$B128*INDEX(Parâmetros!$F$7:$M$26,20,8)/$B128)</f>
        <v>0.05</v>
      </c>
      <c r="S128" s="23">
        <f t="shared" si="27"/>
        <v>0.16869906133333334</v>
      </c>
      <c r="T128" s="12">
        <f t="shared" si="34"/>
        <v>0.25446385545195899</v>
      </c>
      <c r="U128" s="64">
        <v>0</v>
      </c>
      <c r="V128" s="64">
        <v>0</v>
      </c>
      <c r="W128" s="64">
        <v>0</v>
      </c>
      <c r="X128" s="64">
        <f t="shared" si="35"/>
        <v>8.3854909818181832E-4</v>
      </c>
      <c r="Y128" s="64">
        <v>0</v>
      </c>
      <c r="Z128" s="81">
        <f t="shared" si="28"/>
        <v>0.2553024045501408</v>
      </c>
      <c r="AB128" s="153">
        <f>1-IF(B128&lt;=Parâmetros!$G$71,Parâmetros!$L$71,IF(B128&lt;=Parâmetros!$G$72,Parâmetros!$L$72,IF(B128&lt;=Parâmetros!$G$73,Parâmetros!$L$73,IF(B128&lt;=Parâmetros!$G$74,Parâmetros!$L$74,IF(B128&lt;=Parâmetros!$G$75,Parâmetros!$J$75,Parâmetros!$L$76)))))</f>
        <v>0.92759367822750916</v>
      </c>
    </row>
    <row r="129" spans="1:28" s="14" customFormat="1" x14ac:dyDescent="0.2">
      <c r="A129" s="1"/>
      <c r="B129" s="11">
        <f t="shared" si="36"/>
        <v>17000000</v>
      </c>
      <c r="C129" s="12">
        <f t="shared" si="37"/>
        <v>7.8588235294117653E-2</v>
      </c>
      <c r="D129" s="12">
        <f t="shared" si="38"/>
        <v>2.8799999999999999E-2</v>
      </c>
      <c r="E129" s="12">
        <f t="shared" si="32"/>
        <v>6.4999999999999997E-3</v>
      </c>
      <c r="F129" s="12">
        <f t="shared" si="33"/>
        <v>0.03</v>
      </c>
      <c r="G129" s="12">
        <f>Parâmetros!$C$14*13.33*(Parâmetros!$C$15+FGTS+Sist_S_SAT)/Dados!B129</f>
        <v>2.1390729411764709E-4</v>
      </c>
      <c r="H129" s="13">
        <f>B129*Parâmetros!$C$13/Dados!B129</f>
        <v>0.05</v>
      </c>
      <c r="I129" s="23">
        <f t="shared" si="25"/>
        <v>0.19410214258823533</v>
      </c>
      <c r="J129" s="178">
        <f>VLOOKUP(B129,LP_FX[],8,TRUE)*Parâmetros!$M$124/B129</f>
        <v>2.3424730937561797E-2</v>
      </c>
      <c r="K129" s="12">
        <f>Parâmetros!$C$20*(2*VLOOKUP(B129,LP_FX[],8,TRUE)/(VLOOKUP(B129,LP_FX[],1,TRUE)+VLOOKUP(B129,LP_FX[],2,TRUE)))</f>
        <v>3.8572312708998586E-2</v>
      </c>
      <c r="L129" s="163">
        <f t="shared" si="26"/>
        <v>0.23246054800311622</v>
      </c>
      <c r="M129" s="165">
        <f>IF($B129&lt;=3600000,$B129*INDEX(Parâmetros!$F$7:$M$26,ROUNDUP(($B129/180000),0),4)/$B129,$B129*INDEX(Parâmetros!$F$7:$M$26,20,4)/$B129)</f>
        <v>6.1199999999999997E-2</v>
      </c>
      <c r="N129" s="12">
        <f>IF($B129&lt;=3600000,$B129*INDEX(Parâmetros!$F$7:$M$26,ROUNDUP(($B129/180000),0),5)/$B129,$B129*INDEX(Parâmetros!$F$7:$M$26,20,5)/$B129)</f>
        <v>2.53E-2</v>
      </c>
      <c r="O129" s="12">
        <f>IF($B129&lt;=3600000,$B129*INDEX(Parâmetros!$F$7:$M$26,ROUNDUP(($B129/180000),0),6)/$B129,$B129*INDEX(Parâmetros!$F$7:$M$26,20,6)/$B129)</f>
        <v>5.7000000000000002E-3</v>
      </c>
      <c r="P129" s="12">
        <f>IF($B129&lt;=3600000,$B129*INDEX(Parâmetros!$F$7:$M$26,ROUNDUP(($B129/180000),0),7)/$B129,$B129*INDEX(Parâmetros!$F$7:$M$26,20,7)/$B129)</f>
        <v>2.63E-2</v>
      </c>
      <c r="Q129" s="12">
        <f>Parâmetros!$C$14*13.33*(Parâmetros!$C$15+FGTS)/B129</f>
        <v>1.9320658823529413E-4</v>
      </c>
      <c r="R129" s="12">
        <f>IF($B129&lt;=3600000,$B129*INDEX(Parâmetros!$F$7:$M$26,ROUNDUP(($B129/180000),0),8)/$B129,$B129*INDEX(Parâmetros!$F$7:$M$26,20,8)/$B129)</f>
        <v>0.05</v>
      </c>
      <c r="S129" s="23">
        <f t="shared" si="27"/>
        <v>0.16869320658823528</v>
      </c>
      <c r="T129" s="12">
        <f t="shared" si="34"/>
        <v>0.25448222033609447</v>
      </c>
      <c r="U129" s="64">
        <v>0</v>
      </c>
      <c r="V129" s="64">
        <v>0</v>
      </c>
      <c r="W129" s="64">
        <v>0</v>
      </c>
      <c r="X129" s="64">
        <f t="shared" si="35"/>
        <v>8.1388588941176481E-4</v>
      </c>
      <c r="Y129" s="64">
        <v>0</v>
      </c>
      <c r="Z129" s="81">
        <f t="shared" si="28"/>
        <v>0.25529610622550625</v>
      </c>
      <c r="AB129" s="153">
        <f>1-IF(B129&lt;=Parâmetros!$G$71,Parâmetros!$L$71,IF(B129&lt;=Parâmetros!$G$72,Parâmetros!$L$72,IF(B129&lt;=Parâmetros!$G$73,Parâmetros!$L$73,IF(B129&lt;=Parâmetros!$G$74,Parâmetros!$L$74,IF(B129&lt;=Parâmetros!$G$75,Parâmetros!$J$75,Parâmetros!$L$76)))))</f>
        <v>0.92759367822750916</v>
      </c>
    </row>
    <row r="130" spans="1:28" s="14" customFormat="1" x14ac:dyDescent="0.2">
      <c r="A130" s="1"/>
      <c r="B130" s="11">
        <f t="shared" si="36"/>
        <v>17500000</v>
      </c>
      <c r="C130" s="12">
        <f t="shared" si="37"/>
        <v>7.8628571428571423E-2</v>
      </c>
      <c r="D130" s="12">
        <f t="shared" si="38"/>
        <v>2.8799999999999999E-2</v>
      </c>
      <c r="E130" s="12">
        <f t="shared" si="32"/>
        <v>6.4999999999999997E-3</v>
      </c>
      <c r="F130" s="12">
        <f t="shared" si="33"/>
        <v>0.03</v>
      </c>
      <c r="G130" s="12">
        <f>Parâmetros!$C$14*13.33*(Parâmetros!$C$15+FGTS+Sist_S_SAT)/Dados!B130</f>
        <v>2.0779565714285718E-4</v>
      </c>
      <c r="H130" s="13">
        <f>B130*Parâmetros!$C$13/Dados!B130</f>
        <v>0.05</v>
      </c>
      <c r="I130" s="23">
        <f t="shared" si="25"/>
        <v>0.1941363670857143</v>
      </c>
      <c r="J130" s="178">
        <f>VLOOKUP(B130,LP_FX[],8,TRUE)*Parâmetros!$M$124/B130</f>
        <v>2.2755452910774316E-2</v>
      </c>
      <c r="K130" s="12">
        <f>Parâmetros!$C$20*(2*VLOOKUP(B130,LP_FX[],8,TRUE)/(VLOOKUP(B130,LP_FX[],1,TRUE)+VLOOKUP(B130,LP_FX[],2,TRUE)))</f>
        <v>3.8572312708998586E-2</v>
      </c>
      <c r="L130" s="163">
        <f t="shared" si="26"/>
        <v>0.23250088413757003</v>
      </c>
      <c r="M130" s="165">
        <f>IF($B130&lt;=3600000,$B130*INDEX(Parâmetros!$F$7:$M$26,ROUNDUP(($B130/180000),0),4)/$B130,$B130*INDEX(Parâmetros!$F$7:$M$26,20,4)/$B130)</f>
        <v>6.1199999999999997E-2</v>
      </c>
      <c r="N130" s="12">
        <f>IF($B130&lt;=3600000,$B130*INDEX(Parâmetros!$F$7:$M$26,ROUNDUP(($B130/180000),0),5)/$B130,$B130*INDEX(Parâmetros!$F$7:$M$26,20,5)/$B130)</f>
        <v>2.53E-2</v>
      </c>
      <c r="O130" s="12">
        <f>IF($B130&lt;=3600000,$B130*INDEX(Parâmetros!$F$7:$M$26,ROUNDUP(($B130/180000),0),6)/$B130,$B130*INDEX(Parâmetros!$F$7:$M$26,20,6)/$B130)</f>
        <v>5.7000000000000002E-3</v>
      </c>
      <c r="P130" s="12">
        <f>IF($B130&lt;=3600000,$B130*INDEX(Parâmetros!$F$7:$M$26,ROUNDUP(($B130/180000),0),7)/$B130,$B130*INDEX(Parâmetros!$F$7:$M$26,20,7)/$B130)</f>
        <v>2.63E-2</v>
      </c>
      <c r="Q130" s="12">
        <f>Parâmetros!$C$14*13.33*(Parâmetros!$C$15+FGTS)/B130</f>
        <v>1.8768640000000001E-4</v>
      </c>
      <c r="R130" s="12">
        <f>IF($B130&lt;=3600000,$B130*INDEX(Parâmetros!$F$7:$M$26,ROUNDUP(($B130/180000),0),8)/$B130,$B130*INDEX(Parâmetros!$F$7:$M$26,20,8)/$B130)</f>
        <v>0.05</v>
      </c>
      <c r="S130" s="23">
        <f t="shared" si="27"/>
        <v>0.16868768639999998</v>
      </c>
      <c r="T130" s="12">
        <f t="shared" si="34"/>
        <v>0.25449953579827927</v>
      </c>
      <c r="U130" s="64">
        <v>0</v>
      </c>
      <c r="V130" s="64">
        <v>0</v>
      </c>
      <c r="W130" s="64">
        <v>0</v>
      </c>
      <c r="X130" s="64">
        <f t="shared" si="35"/>
        <v>7.9063200685714299E-4</v>
      </c>
      <c r="Y130" s="64">
        <v>0</v>
      </c>
      <c r="Z130" s="81">
        <f t="shared" si="28"/>
        <v>0.25529016780513641</v>
      </c>
      <c r="AB130" s="153">
        <f>1-IF(B130&lt;=Parâmetros!$G$71,Parâmetros!$L$71,IF(B130&lt;=Parâmetros!$G$72,Parâmetros!$L$72,IF(B130&lt;=Parâmetros!$G$73,Parâmetros!$L$73,IF(B130&lt;=Parâmetros!$G$74,Parâmetros!$L$74,IF(B130&lt;=Parâmetros!$G$75,Parâmetros!$J$75,Parâmetros!$L$76)))))</f>
        <v>0.92759367822750916</v>
      </c>
    </row>
    <row r="131" spans="1:28" s="14" customFormat="1" x14ac:dyDescent="0.2">
      <c r="A131" s="1"/>
      <c r="B131" s="11">
        <f t="shared" si="36"/>
        <v>18000000</v>
      </c>
      <c r="C131" s="12">
        <f t="shared" si="37"/>
        <v>7.8666666666666663E-2</v>
      </c>
      <c r="D131" s="12">
        <f t="shared" si="38"/>
        <v>2.8799999999999999E-2</v>
      </c>
      <c r="E131" s="12">
        <f t="shared" si="32"/>
        <v>6.4999999999999997E-3</v>
      </c>
      <c r="F131" s="12">
        <f t="shared" si="33"/>
        <v>0.03</v>
      </c>
      <c r="G131" s="12">
        <f>Parâmetros!$C$14*13.33*(Parâmetros!$C$15+FGTS+Sist_S_SAT)/Dados!B131</f>
        <v>2.0202355555555559E-4</v>
      </c>
      <c r="H131" s="13">
        <f>B131*Parâmetros!$C$13/Dados!B131</f>
        <v>0.05</v>
      </c>
      <c r="I131" s="23">
        <f t="shared" si="25"/>
        <v>0.19416869022222222</v>
      </c>
      <c r="J131" s="178">
        <f>VLOOKUP(B131,LP_FX[],8,TRUE)*Parâmetros!$M$124/B131</f>
        <v>2.2123356996586144E-2</v>
      </c>
      <c r="K131" s="12">
        <f>Parâmetros!$C$20*(2*VLOOKUP(B131,LP_FX[],8,TRUE)/(VLOOKUP(B131,LP_FX[],1,TRUE)+VLOOKUP(B131,LP_FX[],2,TRUE)))</f>
        <v>3.8572312708998586E-2</v>
      </c>
      <c r="L131" s="163">
        <f t="shared" si="26"/>
        <v>0.23253897937566526</v>
      </c>
      <c r="M131" s="165">
        <f>IF($B131&lt;=3600000,$B131*INDEX(Parâmetros!$F$7:$M$26,ROUNDUP(($B131/180000),0),4)/$B131,$B131*INDEX(Parâmetros!$F$7:$M$26,20,4)/$B131)</f>
        <v>6.1199999999999997E-2</v>
      </c>
      <c r="N131" s="12">
        <f>IF($B131&lt;=3600000,$B131*INDEX(Parâmetros!$F$7:$M$26,ROUNDUP(($B131/180000),0),5)/$B131,$B131*INDEX(Parâmetros!$F$7:$M$26,20,5)/$B131)</f>
        <v>2.53E-2</v>
      </c>
      <c r="O131" s="12">
        <f>IF($B131&lt;=3600000,$B131*INDEX(Parâmetros!$F$7:$M$26,ROUNDUP(($B131/180000),0),6)/$B131,$B131*INDEX(Parâmetros!$F$7:$M$26,20,6)/$B131)</f>
        <v>5.7000000000000002E-3</v>
      </c>
      <c r="P131" s="12">
        <f>IF($B131&lt;=3600000,$B131*INDEX(Parâmetros!$F$7:$M$26,ROUNDUP(($B131/180000),0),7)/$B131,$B131*INDEX(Parâmetros!$F$7:$M$26,20,7)/$B131)</f>
        <v>2.63E-2</v>
      </c>
      <c r="Q131" s="12">
        <f>Parâmetros!$C$14*13.33*(Parâmetros!$C$15+FGTS)/B131</f>
        <v>1.8247288888888891E-4</v>
      </c>
      <c r="R131" s="12">
        <f>IF($B131&lt;=3600000,$B131*INDEX(Parâmetros!$F$7:$M$26,ROUNDUP(($B131/180000),0),8)/$B131,$B131*INDEX(Parâmetros!$F$7:$M$26,20,8)/$B131)</f>
        <v>0.05</v>
      </c>
      <c r="S131" s="23">
        <f t="shared" si="27"/>
        <v>0.16868247288888888</v>
      </c>
      <c r="T131" s="12">
        <f t="shared" si="34"/>
        <v>0.25451588929034286</v>
      </c>
      <c r="U131" s="64">
        <v>0</v>
      </c>
      <c r="V131" s="64">
        <v>0</v>
      </c>
      <c r="W131" s="64">
        <v>0</v>
      </c>
      <c r="X131" s="64">
        <f t="shared" si="35"/>
        <v>7.6867000666666673E-4</v>
      </c>
      <c r="Y131" s="64">
        <v>0</v>
      </c>
      <c r="Z131" s="81">
        <f t="shared" si="28"/>
        <v>0.25528455929700955</v>
      </c>
      <c r="AB131" s="153">
        <f>1-IF(B131&lt;=Parâmetros!$G$71,Parâmetros!$L$71,IF(B131&lt;=Parâmetros!$G$72,Parâmetros!$L$72,IF(B131&lt;=Parâmetros!$G$73,Parâmetros!$L$73,IF(B131&lt;=Parâmetros!$G$74,Parâmetros!$L$74,IF(B131&lt;=Parâmetros!$G$75,Parâmetros!$J$75,Parâmetros!$L$76)))))</f>
        <v>0.92759367822750916</v>
      </c>
    </row>
    <row r="132" spans="1:28" s="14" customFormat="1" x14ac:dyDescent="0.2">
      <c r="A132" s="1"/>
      <c r="B132" s="11">
        <f t="shared" si="36"/>
        <v>18500000</v>
      </c>
      <c r="C132" s="12">
        <f t="shared" si="37"/>
        <v>7.8702702702702701E-2</v>
      </c>
      <c r="D132" s="12">
        <f t="shared" si="38"/>
        <v>2.8799999999999999E-2</v>
      </c>
      <c r="E132" s="12">
        <f t="shared" si="32"/>
        <v>6.4999999999999997E-3</v>
      </c>
      <c r="F132" s="12">
        <f t="shared" si="33"/>
        <v>0.03</v>
      </c>
      <c r="G132" s="12">
        <f>Parâmetros!$C$14*13.33*(Parâmetros!$C$15+FGTS+Sist_S_SAT)/Dados!B132</f>
        <v>1.9656345945945949E-4</v>
      </c>
      <c r="H132" s="13">
        <f>B132*Parâmetros!$C$13/Dados!B132</f>
        <v>0.05</v>
      </c>
      <c r="I132" s="23">
        <f t="shared" si="25"/>
        <v>0.19419926616216215</v>
      </c>
      <c r="J132" s="178">
        <f>VLOOKUP(B132,LP_FX[],8,TRUE)*Parâmetros!$M$124/B132</f>
        <v>2.152542842911084E-2</v>
      </c>
      <c r="K132" s="12">
        <f>Parâmetros!$C$20*(2*VLOOKUP(B132,LP_FX[],8,TRUE)/(VLOOKUP(B132,LP_FX[],1,TRUE)+VLOOKUP(B132,LP_FX[],2,TRUE)))</f>
        <v>3.8572312708998586E-2</v>
      </c>
      <c r="L132" s="163">
        <f t="shared" si="26"/>
        <v>0.23257501541170128</v>
      </c>
      <c r="M132" s="165">
        <f>IF($B132&lt;=3600000,$B132*INDEX(Parâmetros!$F$7:$M$26,ROUNDUP(($B132/180000),0),4)/$B132,$B132*INDEX(Parâmetros!$F$7:$M$26,20,4)/$B132)</f>
        <v>6.1199999999999997E-2</v>
      </c>
      <c r="N132" s="12">
        <f>IF($B132&lt;=3600000,$B132*INDEX(Parâmetros!$F$7:$M$26,ROUNDUP(($B132/180000),0),5)/$B132,$B132*INDEX(Parâmetros!$F$7:$M$26,20,5)/$B132)</f>
        <v>2.53E-2</v>
      </c>
      <c r="O132" s="12">
        <f>IF($B132&lt;=3600000,$B132*INDEX(Parâmetros!$F$7:$M$26,ROUNDUP(($B132/180000),0),6)/$B132,$B132*INDEX(Parâmetros!$F$7:$M$26,20,6)/$B132)</f>
        <v>5.7000000000000002E-3</v>
      </c>
      <c r="P132" s="12">
        <f>IF($B132&lt;=3600000,$B132*INDEX(Parâmetros!$F$7:$M$26,ROUNDUP(($B132/180000),0),7)/$B132,$B132*INDEX(Parâmetros!$F$7:$M$26,20,7)/$B132)</f>
        <v>2.63E-2</v>
      </c>
      <c r="Q132" s="12">
        <f>Parâmetros!$C$14*13.33*(Parâmetros!$C$15+FGTS)/B132</f>
        <v>1.7754118918918919E-4</v>
      </c>
      <c r="R132" s="12">
        <f>IF($B132&lt;=3600000,$B132*INDEX(Parâmetros!$F$7:$M$26,ROUNDUP(($B132/180000),0),8)/$B132,$B132*INDEX(Parâmetros!$F$7:$M$26,20,8)/$B132)</f>
        <v>0.05</v>
      </c>
      <c r="S132" s="23">
        <f t="shared" si="27"/>
        <v>0.16867754118918921</v>
      </c>
      <c r="T132" s="12">
        <f t="shared" si="34"/>
        <v>0.25453135880986233</v>
      </c>
      <c r="U132" s="64">
        <v>0</v>
      </c>
      <c r="V132" s="64">
        <v>0</v>
      </c>
      <c r="W132" s="64">
        <v>0</v>
      </c>
      <c r="X132" s="64">
        <f t="shared" si="35"/>
        <v>7.478951416216217E-4</v>
      </c>
      <c r="Y132" s="64">
        <v>0</v>
      </c>
      <c r="Z132" s="81">
        <f t="shared" si="28"/>
        <v>0.25527925395148393</v>
      </c>
      <c r="AB132" s="153">
        <f>1-IF(B132&lt;=Parâmetros!$G$71,Parâmetros!$L$71,IF(B132&lt;=Parâmetros!$G$72,Parâmetros!$L$72,IF(B132&lt;=Parâmetros!$G$73,Parâmetros!$L$73,IF(B132&lt;=Parâmetros!$G$74,Parâmetros!$L$74,IF(B132&lt;=Parâmetros!$G$75,Parâmetros!$J$75,Parâmetros!$L$76)))))</f>
        <v>0.92759367822750916</v>
      </c>
    </row>
    <row r="133" spans="1:28" s="14" customFormat="1" x14ac:dyDescent="0.2">
      <c r="A133" s="1"/>
      <c r="B133" s="11">
        <f t="shared" si="36"/>
        <v>19000000</v>
      </c>
      <c r="C133" s="12">
        <f t="shared" si="37"/>
        <v>7.8736842105263161E-2</v>
      </c>
      <c r="D133" s="12">
        <f t="shared" si="38"/>
        <v>2.8799999999999999E-2</v>
      </c>
      <c r="E133" s="12">
        <f t="shared" ref="E133:E169" si="39">B133*(Al_Pis)/B133</f>
        <v>6.4999999999999997E-3</v>
      </c>
      <c r="F133" s="12">
        <f t="shared" ref="F133:F169" si="40">B133*(Al_Cofins)/B133</f>
        <v>0.03</v>
      </c>
      <c r="G133" s="12">
        <f>Parâmetros!$C$14*13.33*(Parâmetros!$C$15+FGTS+Sist_S_SAT)/Dados!B133</f>
        <v>1.9139073684210528E-4</v>
      </c>
      <c r="H133" s="13">
        <f>B133*Parâmetros!$C$13/Dados!B133</f>
        <v>0.05</v>
      </c>
      <c r="I133" s="23">
        <f t="shared" si="25"/>
        <v>0.19422823284210528</v>
      </c>
      <c r="J133" s="178">
        <f>VLOOKUP(B133,LP_FX[],8,TRUE)*Parâmetros!$M$124/B133</f>
        <v>2.0958969786239501E-2</v>
      </c>
      <c r="K133" s="12">
        <f>Parâmetros!$C$20*(2*VLOOKUP(B133,LP_FX[],8,TRUE)/(VLOOKUP(B133,LP_FX[],1,TRUE)+VLOOKUP(B133,LP_FX[],2,TRUE)))</f>
        <v>3.8572312708998586E-2</v>
      </c>
      <c r="L133" s="163">
        <f t="shared" si="26"/>
        <v>0.23260915481426175</v>
      </c>
      <c r="M133" s="165">
        <f>IF($B133&lt;=3600000,$B133*INDEX(Parâmetros!$F$7:$M$26,ROUNDUP(($B133/180000),0),4)/$B133,$B133*INDEX(Parâmetros!$F$7:$M$26,20,4)/$B133)</f>
        <v>6.1199999999999997E-2</v>
      </c>
      <c r="N133" s="12">
        <f>IF($B133&lt;=3600000,$B133*INDEX(Parâmetros!$F$7:$M$26,ROUNDUP(($B133/180000),0),5)/$B133,$B133*INDEX(Parâmetros!$F$7:$M$26,20,5)/$B133)</f>
        <v>2.53E-2</v>
      </c>
      <c r="O133" s="12">
        <f>IF($B133&lt;=3600000,$B133*INDEX(Parâmetros!$F$7:$M$26,ROUNDUP(($B133/180000),0),6)/$B133,$B133*INDEX(Parâmetros!$F$7:$M$26,20,6)/$B133)</f>
        <v>5.7000000000000002E-3</v>
      </c>
      <c r="P133" s="12">
        <f>IF($B133&lt;=3600000,$B133*INDEX(Parâmetros!$F$7:$M$26,ROUNDUP(($B133/180000),0),7)/$B133,$B133*INDEX(Parâmetros!$F$7:$M$26,20,7)/$B133)</f>
        <v>2.63E-2</v>
      </c>
      <c r="Q133" s="12">
        <f>Parâmetros!$C$14*13.33*(Parâmetros!$C$15+FGTS)/B133</f>
        <v>1.7286905263157895E-4</v>
      </c>
      <c r="R133" s="12">
        <f>IF($B133&lt;=3600000,$B133*INDEX(Parâmetros!$F$7:$M$26,ROUNDUP(($B133/180000),0),8)/$B133,$B133*INDEX(Parâmetros!$F$7:$M$26,20,8)/$B133)</f>
        <v>0.05</v>
      </c>
      <c r="S133" s="23">
        <f t="shared" si="27"/>
        <v>0.16867286905263157</v>
      </c>
      <c r="T133" s="12">
        <f t="shared" ref="T133:T169" si="41">IF(B133*AB133&lt;=22499.13,B133*0,IF(B133*AB133&lt;=33477.72,B133*0.075-1687.43,IF(B133*AB133&lt;=44476.74,B133*0.15-4198.26,IF(B133*AB133&lt;=55373.55,B133*0.225-7534.02,B133*AB133*0.275-10302.7))))/B133</f>
        <v>0.25454601414414396</v>
      </c>
      <c r="U133" s="64">
        <v>0</v>
      </c>
      <c r="V133" s="64">
        <v>0</v>
      </c>
      <c r="W133" s="64">
        <v>0</v>
      </c>
      <c r="X133" s="64">
        <f t="shared" ref="X133:X169" si="42">maior_sal_contrib*13.33*20%/B133</f>
        <v>7.2821369052631594E-4</v>
      </c>
      <c r="Y133" s="64">
        <v>0</v>
      </c>
      <c r="Z133" s="81">
        <f t="shared" si="28"/>
        <v>0.2552742278346703</v>
      </c>
      <c r="AB133" s="153">
        <f>1-IF(B133&lt;=Parâmetros!$G$71,Parâmetros!$L$71,IF(B133&lt;=Parâmetros!$G$72,Parâmetros!$L$72,IF(B133&lt;=Parâmetros!$G$73,Parâmetros!$L$73,IF(B133&lt;=Parâmetros!$G$74,Parâmetros!$L$74,IF(B133&lt;=Parâmetros!$G$75,Parâmetros!$J$75,Parâmetros!$L$76)))))</f>
        <v>0.92759367822750916</v>
      </c>
    </row>
    <row r="134" spans="1:28" s="14" customFormat="1" x14ac:dyDescent="0.2">
      <c r="A134" s="1"/>
      <c r="B134" s="11">
        <f t="shared" si="36"/>
        <v>19500000</v>
      </c>
      <c r="C134" s="12">
        <f t="shared" si="37"/>
        <v>7.8769230769230772E-2</v>
      </c>
      <c r="D134" s="12">
        <f t="shared" si="38"/>
        <v>2.8799999999999999E-2</v>
      </c>
      <c r="E134" s="12">
        <f t="shared" si="39"/>
        <v>6.4999999999999997E-3</v>
      </c>
      <c r="F134" s="12">
        <f t="shared" si="40"/>
        <v>0.03</v>
      </c>
      <c r="G134" s="12">
        <f>Parâmetros!$C$14*13.33*(Parâmetros!$C$15+FGTS+Sist_S_SAT)/Dados!B134</f>
        <v>1.8648328205128208E-4</v>
      </c>
      <c r="H134" s="13">
        <f>B134*Parâmetros!$C$13/Dados!B134</f>
        <v>0.05</v>
      </c>
      <c r="I134" s="23">
        <f t="shared" ref="I134:I169" si="43">SUM(C134:H134)</f>
        <v>0.19425571405128206</v>
      </c>
      <c r="J134" s="178">
        <f>VLOOKUP(B134,LP_FX[],8,TRUE)*Parâmetros!$M$124/B134</f>
        <v>2.0421560304541054E-2</v>
      </c>
      <c r="K134" s="12">
        <f>Parâmetros!$C$20*(2*VLOOKUP(B134,LP_FX[],8,TRUE)/(VLOOKUP(B134,LP_FX[],1,TRUE)+VLOOKUP(B134,LP_FX[],2,TRUE)))</f>
        <v>3.8572312708998586E-2</v>
      </c>
      <c r="L134" s="163">
        <f t="shared" ref="L134:L169" si="44">SUM(C134:F134,H134)+K134</f>
        <v>0.23264154347822935</v>
      </c>
      <c r="M134" s="165">
        <f>IF($B134&lt;=3600000,$B134*INDEX(Parâmetros!$F$7:$M$26,ROUNDUP(($B134/180000),0),4)/$B134,$B134*INDEX(Parâmetros!$F$7:$M$26,20,4)/$B134)</f>
        <v>6.1199999999999997E-2</v>
      </c>
      <c r="N134" s="12">
        <f>IF($B134&lt;=3600000,$B134*INDEX(Parâmetros!$F$7:$M$26,ROUNDUP(($B134/180000),0),5)/$B134,$B134*INDEX(Parâmetros!$F$7:$M$26,20,5)/$B134)</f>
        <v>2.53E-2</v>
      </c>
      <c r="O134" s="12">
        <f>IF($B134&lt;=3600000,$B134*INDEX(Parâmetros!$F$7:$M$26,ROUNDUP(($B134/180000),0),6)/$B134,$B134*INDEX(Parâmetros!$F$7:$M$26,20,6)/$B134)</f>
        <v>5.7000000000000002E-3</v>
      </c>
      <c r="P134" s="12">
        <f>IF($B134&lt;=3600000,$B134*INDEX(Parâmetros!$F$7:$M$26,ROUNDUP(($B134/180000),0),7)/$B134,$B134*INDEX(Parâmetros!$F$7:$M$26,20,7)/$B134)</f>
        <v>2.63E-2</v>
      </c>
      <c r="Q134" s="12">
        <f>Parâmetros!$C$14*13.33*(Parâmetros!$C$15+FGTS)/B134</f>
        <v>1.6843651282051283E-4</v>
      </c>
      <c r="R134" s="12">
        <f>IF($B134&lt;=3600000,$B134*INDEX(Parâmetros!$F$7:$M$26,ROUNDUP(($B134/180000),0),8)/$B134,$B134*INDEX(Parâmetros!$F$7:$M$26,20,8)/$B134)</f>
        <v>0.05</v>
      </c>
      <c r="S134" s="23">
        <f t="shared" ref="S134:S169" si="45">SUM(M134:R134)</f>
        <v>0.16866843651282051</v>
      </c>
      <c r="T134" s="12">
        <f t="shared" si="41"/>
        <v>0.2545599179228214</v>
      </c>
      <c r="U134" s="64">
        <v>0</v>
      </c>
      <c r="V134" s="64">
        <v>0</v>
      </c>
      <c r="W134" s="64">
        <v>0</v>
      </c>
      <c r="X134" s="64">
        <f t="shared" si="42"/>
        <v>7.0954154461538475E-4</v>
      </c>
      <c r="Y134" s="64">
        <v>0</v>
      </c>
      <c r="Z134" s="81">
        <f t="shared" ref="Z134:Z169" si="46">SUM(T134:Y134)</f>
        <v>0.25526945946743679</v>
      </c>
      <c r="AB134" s="153">
        <f>1-IF(B134&lt;=Parâmetros!$G$71,Parâmetros!$L$71,IF(B134&lt;=Parâmetros!$G$72,Parâmetros!$L$72,IF(B134&lt;=Parâmetros!$G$73,Parâmetros!$L$73,IF(B134&lt;=Parâmetros!$G$74,Parâmetros!$L$74,IF(B134&lt;=Parâmetros!$G$75,Parâmetros!$J$75,Parâmetros!$L$76)))))</f>
        <v>0.92759367822750916</v>
      </c>
    </row>
    <row r="135" spans="1:28" s="14" customFormat="1" x14ac:dyDescent="0.2">
      <c r="A135" s="1"/>
      <c r="B135" s="11">
        <f t="shared" si="36"/>
        <v>20000000</v>
      </c>
      <c r="C135" s="12">
        <f t="shared" si="37"/>
        <v>7.8799999999999995E-2</v>
      </c>
      <c r="D135" s="12">
        <f t="shared" si="38"/>
        <v>2.8799999999999999E-2</v>
      </c>
      <c r="E135" s="12">
        <f t="shared" si="39"/>
        <v>6.4999999999999997E-3</v>
      </c>
      <c r="F135" s="12">
        <f t="shared" si="40"/>
        <v>0.03</v>
      </c>
      <c r="G135" s="12">
        <f>Parâmetros!$C$14*13.33*(Parâmetros!$C$15+FGTS+Sist_S_SAT)/Dados!B135</f>
        <v>1.8182120000000002E-4</v>
      </c>
      <c r="H135" s="13">
        <f>B135*Parâmetros!$C$13/Dados!B135</f>
        <v>0.05</v>
      </c>
      <c r="I135" s="23">
        <f t="shared" si="43"/>
        <v>0.19428182119999998</v>
      </c>
      <c r="J135" s="178">
        <f>VLOOKUP(B135,LP_FX[],8,TRUE)*Parâmetros!$M$124/B135</f>
        <v>1.9911021296927529E-2</v>
      </c>
      <c r="K135" s="12">
        <f>Parâmetros!$C$20*(2*VLOOKUP(B135,LP_FX[],8,TRUE)/(VLOOKUP(B135,LP_FX[],1,TRUE)+VLOOKUP(B135,LP_FX[],2,TRUE)))</f>
        <v>3.8572312708998586E-2</v>
      </c>
      <c r="L135" s="163">
        <f t="shared" si="44"/>
        <v>0.23267231270899857</v>
      </c>
      <c r="M135" s="165">
        <f>IF($B135&lt;=3600000,$B135*INDEX(Parâmetros!$F$7:$M$26,ROUNDUP(($B135/180000),0),4)/$B135,$B135*INDEX(Parâmetros!$F$7:$M$26,20,4)/$B135)</f>
        <v>6.1199999999999997E-2</v>
      </c>
      <c r="N135" s="12">
        <f>IF($B135&lt;=3600000,$B135*INDEX(Parâmetros!$F$7:$M$26,ROUNDUP(($B135/180000),0),5)/$B135,$B135*INDEX(Parâmetros!$F$7:$M$26,20,5)/$B135)</f>
        <v>2.53E-2</v>
      </c>
      <c r="O135" s="12">
        <f>IF($B135&lt;=3600000,$B135*INDEX(Parâmetros!$F$7:$M$26,ROUNDUP(($B135/180000),0),6)/$B135,$B135*INDEX(Parâmetros!$F$7:$M$26,20,6)/$B135)</f>
        <v>5.7000000000000002E-3</v>
      </c>
      <c r="P135" s="12">
        <f>IF($B135&lt;=3600000,$B135*INDEX(Parâmetros!$F$7:$M$26,ROUNDUP(($B135/180000),0),7)/$B135,$B135*INDEX(Parâmetros!$F$7:$M$26,20,7)/$B135)</f>
        <v>2.63E-2</v>
      </c>
      <c r="Q135" s="12">
        <f>Parâmetros!$C$14*13.33*(Parâmetros!$C$15+FGTS)/B135</f>
        <v>1.6422560000000001E-4</v>
      </c>
      <c r="R135" s="12">
        <f>IF($B135&lt;=3600000,$B135*INDEX(Parâmetros!$F$7:$M$26,ROUNDUP(($B135/180000),0),8)/$B135,$B135*INDEX(Parâmetros!$F$7:$M$26,20,8)/$B135)</f>
        <v>0.05</v>
      </c>
      <c r="S135" s="23">
        <f t="shared" si="45"/>
        <v>0.1686642256</v>
      </c>
      <c r="T135" s="12">
        <f t="shared" si="41"/>
        <v>0.25457312651256503</v>
      </c>
      <c r="U135" s="64">
        <v>0</v>
      </c>
      <c r="V135" s="64">
        <v>0</v>
      </c>
      <c r="W135" s="64">
        <v>0</v>
      </c>
      <c r="X135" s="64">
        <f t="shared" si="42"/>
        <v>6.9180300600000014E-4</v>
      </c>
      <c r="Y135" s="64">
        <v>0</v>
      </c>
      <c r="Z135" s="81">
        <f t="shared" si="46"/>
        <v>0.25526492951856505</v>
      </c>
      <c r="AB135" s="153">
        <f>1-IF(B135&lt;=Parâmetros!$G$71,Parâmetros!$L$71,IF(B135&lt;=Parâmetros!$G$72,Parâmetros!$L$72,IF(B135&lt;=Parâmetros!$G$73,Parâmetros!$L$73,IF(B135&lt;=Parâmetros!$G$74,Parâmetros!$L$74,IF(B135&lt;=Parâmetros!$G$75,Parâmetros!$J$75,Parâmetros!$L$76)))))</f>
        <v>0.92759367822750916</v>
      </c>
    </row>
    <row r="136" spans="1:28" s="14" customFormat="1" x14ac:dyDescent="0.2">
      <c r="A136" s="1"/>
      <c r="B136" s="11">
        <f t="shared" si="36"/>
        <v>20500000</v>
      </c>
      <c r="C136" s="12">
        <f t="shared" si="37"/>
        <v>7.8829268292682927E-2</v>
      </c>
      <c r="D136" s="12">
        <f t="shared" si="38"/>
        <v>2.8799999999999999E-2</v>
      </c>
      <c r="E136" s="12">
        <f t="shared" si="39"/>
        <v>6.4999999999999997E-3</v>
      </c>
      <c r="F136" s="12">
        <f t="shared" si="40"/>
        <v>0.03</v>
      </c>
      <c r="G136" s="12">
        <f>Parâmetros!$C$14*13.33*(Parâmetros!$C$15+FGTS+Sist_S_SAT)/Dados!B136</f>
        <v>1.7738653658536587E-4</v>
      </c>
      <c r="H136" s="13">
        <f>B136*Parâmetros!$C$13/Dados!B136</f>
        <v>0.05</v>
      </c>
      <c r="I136" s="23">
        <f t="shared" si="43"/>
        <v>0.19430665482926829</v>
      </c>
      <c r="J136" s="178">
        <f>VLOOKUP(B136,LP_FX[],8,TRUE)*Parâmetros!$M$124/B136</f>
        <v>3.2959347862818664E-2</v>
      </c>
      <c r="K136" s="12">
        <f>Parâmetros!$C$20*(2*VLOOKUP(B136,LP_FX[],8,TRUE)/(VLOOKUP(B136,LP_FX[],1,TRUE)+VLOOKUP(B136,LP_FX[],2,TRUE)))</f>
        <v>3.9267736496330301E-2</v>
      </c>
      <c r="L136" s="163">
        <f t="shared" si="44"/>
        <v>0.23339700478901326</v>
      </c>
      <c r="M136" s="165">
        <f>IF($B136&lt;=3600000,$B136*INDEX(Parâmetros!$F$7:$M$26,ROUNDUP(($B136/180000),0),4)/$B136,$B136*INDEX(Parâmetros!$F$7:$M$26,20,4)/$B136)</f>
        <v>6.1199999999999997E-2</v>
      </c>
      <c r="N136" s="12">
        <f>IF($B136&lt;=3600000,$B136*INDEX(Parâmetros!$F$7:$M$26,ROUNDUP(($B136/180000),0),5)/$B136,$B136*INDEX(Parâmetros!$F$7:$M$26,20,5)/$B136)</f>
        <v>2.53E-2</v>
      </c>
      <c r="O136" s="12">
        <f>IF($B136&lt;=3600000,$B136*INDEX(Parâmetros!$F$7:$M$26,ROUNDUP(($B136/180000),0),6)/$B136,$B136*INDEX(Parâmetros!$F$7:$M$26,20,6)/$B136)</f>
        <v>5.7000000000000002E-3</v>
      </c>
      <c r="P136" s="12">
        <f>IF($B136&lt;=3600000,$B136*INDEX(Parâmetros!$F$7:$M$26,ROUNDUP(($B136/180000),0),7)/$B136,$B136*INDEX(Parâmetros!$F$7:$M$26,20,7)/$B136)</f>
        <v>2.63E-2</v>
      </c>
      <c r="Q136" s="12">
        <f>Parâmetros!$C$14*13.33*(Parâmetros!$C$15+FGTS)/B136</f>
        <v>1.6022009756097561E-4</v>
      </c>
      <c r="R136" s="12">
        <f>IF($B136&lt;=3600000,$B136*INDEX(Parâmetros!$F$7:$M$26,ROUNDUP(($B136/180000),0),8)/$B136,$B136*INDEX(Parâmetros!$F$7:$M$26,20,8)/$B136)</f>
        <v>0.05</v>
      </c>
      <c r="S136" s="23">
        <f t="shared" si="45"/>
        <v>0.16866022009756099</v>
      </c>
      <c r="T136" s="12">
        <f t="shared" si="41"/>
        <v>0.25779199829096372</v>
      </c>
      <c r="U136" s="64">
        <v>0</v>
      </c>
      <c r="V136" s="64">
        <v>0</v>
      </c>
      <c r="W136" s="64">
        <v>0</v>
      </c>
      <c r="X136" s="64">
        <f t="shared" si="42"/>
        <v>6.7492976195121957E-4</v>
      </c>
      <c r="Y136" s="64">
        <v>0</v>
      </c>
      <c r="Z136" s="81">
        <f t="shared" si="46"/>
        <v>0.25846692805291493</v>
      </c>
      <c r="AB136" s="153">
        <f>1-IF(B136&lt;=Parâmetros!$G$72,Parâmetros!$L$72,IF(B136&lt;=Parâmetros!$G$73,Parâmetros!$L$73,IF(B136&lt;=Parâmetros!$G$74,Parâmetros!$L$74,IF(B136&lt;=Parâmetros!$G$75,Parâmetros!$L$75,IF(B136&lt;=Parâmetros!$G$76,Parâmetros!$J$76,Parâmetros!$L$77)))))</f>
        <v>0.93925297826425824</v>
      </c>
    </row>
    <row r="137" spans="1:28" s="14" customFormat="1" x14ac:dyDescent="0.2">
      <c r="A137" s="1"/>
      <c r="B137" s="11">
        <f t="shared" si="36"/>
        <v>21000000</v>
      </c>
      <c r="C137" s="12">
        <f t="shared" si="37"/>
        <v>7.8857142857142862E-2</v>
      </c>
      <c r="D137" s="12">
        <f t="shared" si="38"/>
        <v>2.8799999999999999E-2</v>
      </c>
      <c r="E137" s="12">
        <f t="shared" si="39"/>
        <v>6.4999999999999997E-3</v>
      </c>
      <c r="F137" s="12">
        <f t="shared" si="40"/>
        <v>0.03</v>
      </c>
      <c r="G137" s="12">
        <f>Parâmetros!$C$14*13.33*(Parâmetros!$C$15+FGTS+Sist_S_SAT)/Dados!B137</f>
        <v>1.7316304761904764E-4</v>
      </c>
      <c r="H137" s="13">
        <f>B137*Parâmetros!$C$13/Dados!B137</f>
        <v>0.05</v>
      </c>
      <c r="I137" s="23">
        <f t="shared" si="43"/>
        <v>0.19433030590476191</v>
      </c>
      <c r="J137" s="178">
        <f>VLOOKUP(B137,LP_FX[],8,TRUE)*Parâmetros!$M$124/B137</f>
        <v>3.2174601485132508E-2</v>
      </c>
      <c r="K137" s="12">
        <f>Parâmetros!$C$20*(2*VLOOKUP(B137,LP_FX[],8,TRUE)/(VLOOKUP(B137,LP_FX[],1,TRUE)+VLOOKUP(B137,LP_FX[],2,TRUE)))</f>
        <v>3.9267736496330301E-2</v>
      </c>
      <c r="L137" s="163">
        <f t="shared" si="44"/>
        <v>0.23342487935347317</v>
      </c>
      <c r="M137" s="165">
        <f>IF($B137&lt;=3600000,$B137*INDEX(Parâmetros!$F$7:$M$26,ROUNDUP(($B137/180000),0),4)/$B137,$B137*INDEX(Parâmetros!$F$7:$M$26,20,4)/$B137)</f>
        <v>6.1199999999999997E-2</v>
      </c>
      <c r="N137" s="12">
        <f>IF($B137&lt;=3600000,$B137*INDEX(Parâmetros!$F$7:$M$26,ROUNDUP(($B137/180000),0),5)/$B137,$B137*INDEX(Parâmetros!$F$7:$M$26,20,5)/$B137)</f>
        <v>2.53E-2</v>
      </c>
      <c r="O137" s="12">
        <f>IF($B137&lt;=3600000,$B137*INDEX(Parâmetros!$F$7:$M$26,ROUNDUP(($B137/180000),0),6)/$B137,$B137*INDEX(Parâmetros!$F$7:$M$26,20,6)/$B137)</f>
        <v>5.7000000000000002E-3</v>
      </c>
      <c r="P137" s="12">
        <f>IF($B137&lt;=3600000,$B137*INDEX(Parâmetros!$F$7:$M$26,ROUNDUP(($B137/180000),0),7)/$B137,$B137*INDEX(Parâmetros!$F$7:$M$26,20,7)/$B137)</f>
        <v>2.63E-2</v>
      </c>
      <c r="Q137" s="12">
        <f>Parâmetros!$C$14*13.33*(Parâmetros!$C$15+FGTS)/B137</f>
        <v>1.5640533333333335E-4</v>
      </c>
      <c r="R137" s="12">
        <f>IF($B137&lt;=3600000,$B137*INDEX(Parâmetros!$F$7:$M$26,ROUNDUP(($B137/180000),0),8)/$B137,$B137*INDEX(Parâmetros!$F$7:$M$26,20,8)/$B137)</f>
        <v>0.05</v>
      </c>
      <c r="S137" s="23">
        <f t="shared" si="45"/>
        <v>0.16865640533333331</v>
      </c>
      <c r="T137" s="12">
        <f t="shared" si="41"/>
        <v>0.25780396426076624</v>
      </c>
      <c r="U137" s="64">
        <v>0</v>
      </c>
      <c r="V137" s="64">
        <v>0</v>
      </c>
      <c r="W137" s="64">
        <v>0</v>
      </c>
      <c r="X137" s="64">
        <f t="shared" si="42"/>
        <v>6.5886000571428575E-4</v>
      </c>
      <c r="Y137" s="64">
        <v>0</v>
      </c>
      <c r="Z137" s="81">
        <f t="shared" si="46"/>
        <v>0.25846282426648054</v>
      </c>
      <c r="AB137" s="153">
        <f>1-IF(B137&lt;=Parâmetros!$G$72,Parâmetros!$L$72,IF(B137&lt;=Parâmetros!$G$73,Parâmetros!$L$73,IF(B137&lt;=Parâmetros!$G$74,Parâmetros!$L$74,IF(B137&lt;=Parâmetros!$G$75,Parâmetros!$L$75,IF(B137&lt;=Parâmetros!$G$76,Parâmetros!$J$76,Parâmetros!$L$77)))))</f>
        <v>0.93925297826425824</v>
      </c>
    </row>
    <row r="138" spans="1:28" s="14" customFormat="1" x14ac:dyDescent="0.2">
      <c r="A138" s="1"/>
      <c r="B138" s="11">
        <f t="shared" si="36"/>
        <v>21500000</v>
      </c>
      <c r="C138" s="12">
        <f t="shared" si="37"/>
        <v>7.8883720930232562E-2</v>
      </c>
      <c r="D138" s="12">
        <f t="shared" si="38"/>
        <v>2.8799999999999999E-2</v>
      </c>
      <c r="E138" s="12">
        <f t="shared" si="39"/>
        <v>6.4999999999999997E-3</v>
      </c>
      <c r="F138" s="12">
        <f t="shared" si="40"/>
        <v>0.03</v>
      </c>
      <c r="G138" s="12">
        <f>Parâmetros!$C$14*13.33*(Parâmetros!$C$15+FGTS+Sist_S_SAT)/Dados!B138</f>
        <v>1.6913600000000002E-4</v>
      </c>
      <c r="H138" s="13">
        <f>B138*Parâmetros!$C$13/Dados!B138</f>
        <v>0.05</v>
      </c>
      <c r="I138" s="23">
        <f t="shared" si="43"/>
        <v>0.19435285693023258</v>
      </c>
      <c r="J138" s="178">
        <f>VLOOKUP(B138,LP_FX[],8,TRUE)*Parâmetros!$M$124/B138</f>
        <v>3.142635493896663E-2</v>
      </c>
      <c r="K138" s="12">
        <f>Parâmetros!$C$20*(2*VLOOKUP(B138,LP_FX[],8,TRUE)/(VLOOKUP(B138,LP_FX[],1,TRUE)+VLOOKUP(B138,LP_FX[],2,TRUE)))</f>
        <v>3.9267736496330301E-2</v>
      </c>
      <c r="L138" s="163">
        <f t="shared" si="44"/>
        <v>0.23345145742656287</v>
      </c>
      <c r="M138" s="165">
        <f>IF($B138&lt;=3600000,$B138*INDEX(Parâmetros!$F$7:$M$26,ROUNDUP(($B138/180000),0),4)/$B138,$B138*INDEX(Parâmetros!$F$7:$M$26,20,4)/$B138)</f>
        <v>6.1199999999999997E-2</v>
      </c>
      <c r="N138" s="12">
        <f>IF($B138&lt;=3600000,$B138*INDEX(Parâmetros!$F$7:$M$26,ROUNDUP(($B138/180000),0),5)/$B138,$B138*INDEX(Parâmetros!$F$7:$M$26,20,5)/$B138)</f>
        <v>2.53E-2</v>
      </c>
      <c r="O138" s="12">
        <f>IF($B138&lt;=3600000,$B138*INDEX(Parâmetros!$F$7:$M$26,ROUNDUP(($B138/180000),0),6)/$B138,$B138*INDEX(Parâmetros!$F$7:$M$26,20,6)/$B138)</f>
        <v>5.7000000000000002E-3</v>
      </c>
      <c r="P138" s="12">
        <f>IF($B138&lt;=3600000,$B138*INDEX(Parâmetros!$F$7:$M$26,ROUNDUP(($B138/180000),0),7)/$B138,$B138*INDEX(Parâmetros!$F$7:$M$26,20,7)/$B138)</f>
        <v>2.63E-2</v>
      </c>
      <c r="Q138" s="12">
        <f>Parâmetros!$C$14*13.33*(Parâmetros!$C$15+FGTS)/B138</f>
        <v>1.5276800000000001E-4</v>
      </c>
      <c r="R138" s="12">
        <f>IF($B138&lt;=3600000,$B138*INDEX(Parâmetros!$F$7:$M$26,ROUNDUP(($B138/180000),0),8)/$B138,$B138*INDEX(Parâmetros!$F$7:$M$26,20,8)/$B138)</f>
        <v>0.05</v>
      </c>
      <c r="S138" s="23">
        <f t="shared" si="45"/>
        <v>0.16865276800000001</v>
      </c>
      <c r="T138" s="12">
        <f t="shared" si="41"/>
        <v>0.25781537367383384</v>
      </c>
      <c r="U138" s="64">
        <v>0</v>
      </c>
      <c r="V138" s="64">
        <v>0</v>
      </c>
      <c r="W138" s="64">
        <v>0</v>
      </c>
      <c r="X138" s="64">
        <f t="shared" si="42"/>
        <v>6.4353768000000012E-4</v>
      </c>
      <c r="Y138" s="64">
        <v>0</v>
      </c>
      <c r="Z138" s="81">
        <f t="shared" si="46"/>
        <v>0.25845891135383381</v>
      </c>
      <c r="AB138" s="153">
        <f>1-IF(B138&lt;=Parâmetros!$G$72,Parâmetros!$L$72,IF(B138&lt;=Parâmetros!$G$73,Parâmetros!$L$73,IF(B138&lt;=Parâmetros!$G$74,Parâmetros!$L$74,IF(B138&lt;=Parâmetros!$G$75,Parâmetros!$L$75,IF(B138&lt;=Parâmetros!$G$76,Parâmetros!$J$76,Parâmetros!$L$77)))))</f>
        <v>0.93925297826425824</v>
      </c>
    </row>
    <row r="139" spans="1:28" s="14" customFormat="1" x14ac:dyDescent="0.2">
      <c r="A139" s="1"/>
      <c r="B139" s="11">
        <f t="shared" si="36"/>
        <v>22000000</v>
      </c>
      <c r="C139" s="12">
        <f t="shared" si="37"/>
        <v>7.8909090909090915E-2</v>
      </c>
      <c r="D139" s="12">
        <f t="shared" si="38"/>
        <v>2.8799999999999999E-2</v>
      </c>
      <c r="E139" s="12">
        <f t="shared" si="39"/>
        <v>6.4999999999999997E-3</v>
      </c>
      <c r="F139" s="12">
        <f t="shared" si="40"/>
        <v>0.03</v>
      </c>
      <c r="G139" s="12">
        <f>Parâmetros!$C$14*13.33*(Parâmetros!$C$15+FGTS+Sist_S_SAT)/Dados!B139</f>
        <v>1.6529200000000002E-4</v>
      </c>
      <c r="H139" s="13">
        <f>B139*Parâmetros!$C$13/Dados!B139</f>
        <v>0.05</v>
      </c>
      <c r="I139" s="23">
        <f t="shared" si="43"/>
        <v>0.19437438290909093</v>
      </c>
      <c r="J139" s="178">
        <f>VLOOKUP(B139,LP_FX[],8,TRUE)*Parâmetros!$M$124/B139</f>
        <v>3.0712119599444664E-2</v>
      </c>
      <c r="K139" s="12">
        <f>Parâmetros!$C$20*(2*VLOOKUP(B139,LP_FX[],8,TRUE)/(VLOOKUP(B139,LP_FX[],1,TRUE)+VLOOKUP(B139,LP_FX[],2,TRUE)))</f>
        <v>3.9267736496330301E-2</v>
      </c>
      <c r="L139" s="163">
        <f t="shared" si="44"/>
        <v>0.23347682740542125</v>
      </c>
      <c r="M139" s="165">
        <f>IF($B139&lt;=3600000,$B139*INDEX(Parâmetros!$F$7:$M$26,ROUNDUP(($B139/180000),0),4)/$B139,$B139*INDEX(Parâmetros!$F$7:$M$26,20,4)/$B139)</f>
        <v>6.1199999999999997E-2</v>
      </c>
      <c r="N139" s="12">
        <f>IF($B139&lt;=3600000,$B139*INDEX(Parâmetros!$F$7:$M$26,ROUNDUP(($B139/180000),0),5)/$B139,$B139*INDEX(Parâmetros!$F$7:$M$26,20,5)/$B139)</f>
        <v>2.53E-2</v>
      </c>
      <c r="O139" s="12">
        <f>IF($B139&lt;=3600000,$B139*INDEX(Parâmetros!$F$7:$M$26,ROUNDUP(($B139/180000),0),6)/$B139,$B139*INDEX(Parâmetros!$F$7:$M$26,20,6)/$B139)</f>
        <v>5.7000000000000002E-3</v>
      </c>
      <c r="P139" s="12">
        <f>IF($B139&lt;=3600000,$B139*INDEX(Parâmetros!$F$7:$M$26,ROUNDUP(($B139/180000),0),7)/$B139,$B139*INDEX(Parâmetros!$F$7:$M$26,20,7)/$B139)</f>
        <v>2.63E-2</v>
      </c>
      <c r="Q139" s="12">
        <f>Parâmetros!$C$14*13.33*(Parâmetros!$C$15+FGTS)/B139</f>
        <v>1.4929600000000002E-4</v>
      </c>
      <c r="R139" s="12">
        <f>IF($B139&lt;=3600000,$B139*INDEX(Parâmetros!$F$7:$M$26,ROUNDUP(($B139/180000),0),8)/$B139,$B139*INDEX(Parâmetros!$F$7:$M$26,20,8)/$B139)</f>
        <v>0.05</v>
      </c>
      <c r="S139" s="23">
        <f t="shared" si="45"/>
        <v>0.168649296</v>
      </c>
      <c r="T139" s="12">
        <f t="shared" si="41"/>
        <v>0.25782626447721646</v>
      </c>
      <c r="U139" s="64">
        <v>0</v>
      </c>
      <c r="V139" s="64">
        <v>0</v>
      </c>
      <c r="W139" s="64">
        <v>0</v>
      </c>
      <c r="X139" s="64">
        <f t="shared" si="42"/>
        <v>6.2891182363636377E-4</v>
      </c>
      <c r="Y139" s="64">
        <v>0</v>
      </c>
      <c r="Z139" s="81">
        <f t="shared" si="46"/>
        <v>0.25845517630085285</v>
      </c>
      <c r="AB139" s="153">
        <f>1-IF(B139&lt;=Parâmetros!$G$72,Parâmetros!$L$72,IF(B139&lt;=Parâmetros!$G$73,Parâmetros!$L$73,IF(B139&lt;=Parâmetros!$G$74,Parâmetros!$L$74,IF(B139&lt;=Parâmetros!$G$75,Parâmetros!$L$75,IF(B139&lt;=Parâmetros!$G$76,Parâmetros!$J$76,Parâmetros!$L$77)))))</f>
        <v>0.93925297826425824</v>
      </c>
    </row>
    <row r="140" spans="1:28" s="14" customFormat="1" x14ac:dyDescent="0.2">
      <c r="A140" s="1"/>
      <c r="B140" s="11">
        <f t="shared" si="36"/>
        <v>22500000</v>
      </c>
      <c r="C140" s="12">
        <f t="shared" si="37"/>
        <v>7.8933333333333328E-2</v>
      </c>
      <c r="D140" s="12">
        <f t="shared" si="38"/>
        <v>2.8799999999999999E-2</v>
      </c>
      <c r="E140" s="12">
        <f t="shared" si="39"/>
        <v>6.4999999999999997E-3</v>
      </c>
      <c r="F140" s="12">
        <f t="shared" si="40"/>
        <v>0.03</v>
      </c>
      <c r="G140" s="12">
        <f>Parâmetros!$C$14*13.33*(Parâmetros!$C$15+FGTS+Sist_S_SAT)/Dados!B140</f>
        <v>1.6161884444444447E-4</v>
      </c>
      <c r="H140" s="13">
        <f>B140*Parâmetros!$C$13/Dados!B140</f>
        <v>0.05</v>
      </c>
      <c r="I140" s="23">
        <f t="shared" si="43"/>
        <v>0.19439495217777775</v>
      </c>
      <c r="J140" s="178">
        <f>VLOOKUP(B140,LP_FX[],8,TRUE)*Parâmetros!$M$124/B140</f>
        <v>3.0029628052790337E-2</v>
      </c>
      <c r="K140" s="12">
        <f>Parâmetros!$C$20*(2*VLOOKUP(B140,LP_FX[],8,TRUE)/(VLOOKUP(B140,LP_FX[],1,TRUE)+VLOOKUP(B140,LP_FX[],2,TRUE)))</f>
        <v>3.9267736496330301E-2</v>
      </c>
      <c r="L140" s="163">
        <f t="shared" si="44"/>
        <v>0.23350106982966362</v>
      </c>
      <c r="M140" s="165">
        <f>IF($B140&lt;=3600000,$B140*INDEX(Parâmetros!$F$7:$M$26,ROUNDUP(($B140/180000),0),4)/$B140,$B140*INDEX(Parâmetros!$F$7:$M$26,20,4)/$B140)</f>
        <v>6.1199999999999997E-2</v>
      </c>
      <c r="N140" s="12">
        <f>IF($B140&lt;=3600000,$B140*INDEX(Parâmetros!$F$7:$M$26,ROUNDUP(($B140/180000),0),5)/$B140,$B140*INDEX(Parâmetros!$F$7:$M$26,20,5)/$B140)</f>
        <v>2.53E-2</v>
      </c>
      <c r="O140" s="12">
        <f>IF($B140&lt;=3600000,$B140*INDEX(Parâmetros!$F$7:$M$26,ROUNDUP(($B140/180000),0),6)/$B140,$B140*INDEX(Parâmetros!$F$7:$M$26,20,6)/$B140)</f>
        <v>5.7000000000000002E-3</v>
      </c>
      <c r="P140" s="12">
        <f>IF($B140&lt;=3600000,$B140*INDEX(Parâmetros!$F$7:$M$26,ROUNDUP(($B140/180000),0),7)/$B140,$B140*INDEX(Parâmetros!$F$7:$M$26,20,7)/$B140)</f>
        <v>2.63E-2</v>
      </c>
      <c r="Q140" s="12">
        <f>Parâmetros!$C$14*13.33*(Parâmetros!$C$15+FGTS)/B140</f>
        <v>1.4597831111111111E-4</v>
      </c>
      <c r="R140" s="12">
        <f>IF($B140&lt;=3600000,$B140*INDEX(Parâmetros!$F$7:$M$26,ROUNDUP(($B140/180000),0),8)/$B140,$B140*INDEX(Parâmetros!$F$7:$M$26,20,8)/$B140)</f>
        <v>0.05</v>
      </c>
      <c r="S140" s="23">
        <f t="shared" si="45"/>
        <v>0.16864597831111111</v>
      </c>
      <c r="T140" s="12">
        <f t="shared" si="41"/>
        <v>0.25783667124489329</v>
      </c>
      <c r="U140" s="64">
        <v>0</v>
      </c>
      <c r="V140" s="64">
        <v>0</v>
      </c>
      <c r="W140" s="64">
        <v>0</v>
      </c>
      <c r="X140" s="64">
        <f t="shared" si="42"/>
        <v>6.1493600533333345E-4</v>
      </c>
      <c r="Y140" s="64">
        <v>0</v>
      </c>
      <c r="Z140" s="81">
        <f t="shared" si="46"/>
        <v>0.25845160725022664</v>
      </c>
      <c r="AB140" s="153">
        <f>1-IF(B140&lt;=Parâmetros!$G$72,Parâmetros!$L$72,IF(B140&lt;=Parâmetros!$G$73,Parâmetros!$L$73,IF(B140&lt;=Parâmetros!$G$74,Parâmetros!$L$74,IF(B140&lt;=Parâmetros!$G$75,Parâmetros!$L$75,IF(B140&lt;=Parâmetros!$G$76,Parâmetros!$J$76,Parâmetros!$L$77)))))</f>
        <v>0.93925297826425824</v>
      </c>
    </row>
    <row r="141" spans="1:28" s="14" customFormat="1" x14ac:dyDescent="0.2">
      <c r="A141" s="1"/>
      <c r="B141" s="11">
        <f t="shared" si="36"/>
        <v>23000000</v>
      </c>
      <c r="C141" s="12">
        <f t="shared" si="37"/>
        <v>7.8956521739130439E-2</v>
      </c>
      <c r="D141" s="12">
        <f t="shared" si="38"/>
        <v>2.8799999999999999E-2</v>
      </c>
      <c r="E141" s="12">
        <f t="shared" si="39"/>
        <v>6.4999999999999997E-3</v>
      </c>
      <c r="F141" s="12">
        <f t="shared" si="40"/>
        <v>0.03</v>
      </c>
      <c r="G141" s="12">
        <f>Parâmetros!$C$14*13.33*(Parâmetros!$C$15+FGTS+Sist_S_SAT)/Dados!B141</f>
        <v>1.5810539130434786E-4</v>
      </c>
      <c r="H141" s="13">
        <f>B141*Parâmetros!$C$13/Dados!B141</f>
        <v>0.05</v>
      </c>
      <c r="I141" s="23">
        <f t="shared" si="43"/>
        <v>0.19441462713043478</v>
      </c>
      <c r="J141" s="178">
        <f>VLOOKUP(B141,LP_FX[],8,TRUE)*Parâmetros!$M$124/B141</f>
        <v>2.9376810051642721E-2</v>
      </c>
      <c r="K141" s="12">
        <f>Parâmetros!$C$20*(2*VLOOKUP(B141,LP_FX[],8,TRUE)/(VLOOKUP(B141,LP_FX[],1,TRUE)+VLOOKUP(B141,LP_FX[],2,TRUE)))</f>
        <v>3.9267736496330301E-2</v>
      </c>
      <c r="L141" s="163">
        <f t="shared" si="44"/>
        <v>0.23352425823546075</v>
      </c>
      <c r="M141" s="165">
        <f>IF($B141&lt;=3600000,$B141*INDEX(Parâmetros!$F$7:$M$26,ROUNDUP(($B141/180000),0),4)/$B141,$B141*INDEX(Parâmetros!$F$7:$M$26,20,4)/$B141)</f>
        <v>6.1199999999999997E-2</v>
      </c>
      <c r="N141" s="12">
        <f>IF($B141&lt;=3600000,$B141*INDEX(Parâmetros!$F$7:$M$26,ROUNDUP(($B141/180000),0),5)/$B141,$B141*INDEX(Parâmetros!$F$7:$M$26,20,5)/$B141)</f>
        <v>2.53E-2</v>
      </c>
      <c r="O141" s="12">
        <f>IF($B141&lt;=3600000,$B141*INDEX(Parâmetros!$F$7:$M$26,ROUNDUP(($B141/180000),0),6)/$B141,$B141*INDEX(Parâmetros!$F$7:$M$26,20,6)/$B141)</f>
        <v>5.7000000000000002E-3</v>
      </c>
      <c r="P141" s="12">
        <f>IF($B141&lt;=3600000,$B141*INDEX(Parâmetros!$F$7:$M$26,ROUNDUP(($B141/180000),0),7)/$B141,$B141*INDEX(Parâmetros!$F$7:$M$26,20,7)/$B141)</f>
        <v>2.63E-2</v>
      </c>
      <c r="Q141" s="12">
        <f>Parâmetros!$C$14*13.33*(Parâmetros!$C$15+FGTS)/B141</f>
        <v>1.428048695652174E-4</v>
      </c>
      <c r="R141" s="12">
        <f>IF($B141&lt;=3600000,$B141*INDEX(Parâmetros!$F$7:$M$26,ROUNDUP(($B141/180000),0),8)/$B141,$B141*INDEX(Parâmetros!$F$7:$M$26,20,8)/$B141)</f>
        <v>0.05</v>
      </c>
      <c r="S141" s="23">
        <f t="shared" si="45"/>
        <v>0.16864280486956523</v>
      </c>
      <c r="T141" s="12">
        <f t="shared" si="41"/>
        <v>0.25784662554441018</v>
      </c>
      <c r="U141" s="64">
        <v>0</v>
      </c>
      <c r="V141" s="64">
        <v>0</v>
      </c>
      <c r="W141" s="64">
        <v>0</v>
      </c>
      <c r="X141" s="64">
        <f t="shared" si="42"/>
        <v>6.0156783130434796E-4</v>
      </c>
      <c r="Y141" s="64">
        <v>0</v>
      </c>
      <c r="Z141" s="81">
        <f t="shared" si="46"/>
        <v>0.25844819337571451</v>
      </c>
      <c r="AB141" s="153">
        <f>1-IF(B141&lt;=Parâmetros!$G$72,Parâmetros!$L$72,IF(B141&lt;=Parâmetros!$G$73,Parâmetros!$L$73,IF(B141&lt;=Parâmetros!$G$74,Parâmetros!$L$74,IF(B141&lt;=Parâmetros!$G$75,Parâmetros!$L$75,IF(B141&lt;=Parâmetros!$G$76,Parâmetros!$J$76,Parâmetros!$L$77)))))</f>
        <v>0.93925297826425824</v>
      </c>
    </row>
    <row r="142" spans="1:28" s="14" customFormat="1" x14ac:dyDescent="0.2">
      <c r="A142" s="1"/>
      <c r="B142" s="11">
        <f t="shared" si="36"/>
        <v>23500000</v>
      </c>
      <c r="C142" s="12">
        <f t="shared" si="37"/>
        <v>7.8978723404255324E-2</v>
      </c>
      <c r="D142" s="12">
        <f t="shared" si="38"/>
        <v>2.8799999999999999E-2</v>
      </c>
      <c r="E142" s="12">
        <f t="shared" si="39"/>
        <v>6.4999999999999997E-3</v>
      </c>
      <c r="F142" s="12">
        <f t="shared" si="40"/>
        <v>0.03</v>
      </c>
      <c r="G142" s="12">
        <f>Parâmetros!$C$14*13.33*(Parâmetros!$C$15+FGTS+Sist_S_SAT)/Dados!B142</f>
        <v>1.5474144680851067E-4</v>
      </c>
      <c r="H142" s="13">
        <f>B142*Parâmetros!$C$13/Dados!B142</f>
        <v>0.05</v>
      </c>
      <c r="I142" s="23">
        <f t="shared" si="43"/>
        <v>0.19443346485106383</v>
      </c>
      <c r="J142" s="178">
        <f>VLOOKUP(B142,LP_FX[],8,TRUE)*Parâmetros!$M$124/B142</f>
        <v>2.8751771539905643E-2</v>
      </c>
      <c r="K142" s="12">
        <f>Parâmetros!$C$20*(2*VLOOKUP(B142,LP_FX[],8,TRUE)/(VLOOKUP(B142,LP_FX[],1,TRUE)+VLOOKUP(B142,LP_FX[],2,TRUE)))</f>
        <v>3.9267736496330301E-2</v>
      </c>
      <c r="L142" s="163">
        <f t="shared" si="44"/>
        <v>0.23354645990058565</v>
      </c>
      <c r="M142" s="165">
        <f>IF($B142&lt;=3600000,$B142*INDEX(Parâmetros!$F$7:$M$26,ROUNDUP(($B142/180000),0),4)/$B142,$B142*INDEX(Parâmetros!$F$7:$M$26,20,4)/$B142)</f>
        <v>6.1199999999999997E-2</v>
      </c>
      <c r="N142" s="12">
        <f>IF($B142&lt;=3600000,$B142*INDEX(Parâmetros!$F$7:$M$26,ROUNDUP(($B142/180000),0),5)/$B142,$B142*INDEX(Parâmetros!$F$7:$M$26,20,5)/$B142)</f>
        <v>2.53E-2</v>
      </c>
      <c r="O142" s="12">
        <f>IF($B142&lt;=3600000,$B142*INDEX(Parâmetros!$F$7:$M$26,ROUNDUP(($B142/180000),0),6)/$B142,$B142*INDEX(Parâmetros!$F$7:$M$26,20,6)/$B142)</f>
        <v>5.7000000000000002E-3</v>
      </c>
      <c r="P142" s="12">
        <f>IF($B142&lt;=3600000,$B142*INDEX(Parâmetros!$F$7:$M$26,ROUNDUP(($B142/180000),0),7)/$B142,$B142*INDEX(Parâmetros!$F$7:$M$26,20,7)/$B142)</f>
        <v>2.63E-2</v>
      </c>
      <c r="Q142" s="12">
        <f>Parâmetros!$C$14*13.33*(Parâmetros!$C$15+FGTS)/B142</f>
        <v>1.3976646808510639E-4</v>
      </c>
      <c r="R142" s="12">
        <f>IF($B142&lt;=3600000,$B142*INDEX(Parâmetros!$F$7:$M$26,ROUNDUP(($B142/180000),0),8)/$B142,$B142*INDEX(Parâmetros!$F$7:$M$26,20,8)/$B142)</f>
        <v>0.05</v>
      </c>
      <c r="S142" s="23">
        <f t="shared" si="45"/>
        <v>0.16863976646808509</v>
      </c>
      <c r="T142" s="12">
        <f t="shared" si="41"/>
        <v>0.2578561562567136</v>
      </c>
      <c r="U142" s="64">
        <v>0</v>
      </c>
      <c r="V142" s="64">
        <v>0</v>
      </c>
      <c r="W142" s="64">
        <v>0</v>
      </c>
      <c r="X142" s="64">
        <f t="shared" si="42"/>
        <v>5.8876851574468094E-4</v>
      </c>
      <c r="Y142" s="64">
        <v>0</v>
      </c>
      <c r="Z142" s="81">
        <f t="shared" si="46"/>
        <v>0.25844492477245828</v>
      </c>
      <c r="AB142" s="153">
        <f>1-IF(B142&lt;=Parâmetros!$G$72,Parâmetros!$L$72,IF(B142&lt;=Parâmetros!$G$73,Parâmetros!$L$73,IF(B142&lt;=Parâmetros!$G$74,Parâmetros!$L$74,IF(B142&lt;=Parâmetros!$G$75,Parâmetros!$L$75,IF(B142&lt;=Parâmetros!$G$76,Parâmetros!$J$76,Parâmetros!$L$77)))))</f>
        <v>0.93925297826425824</v>
      </c>
    </row>
    <row r="143" spans="1:28" s="14" customFormat="1" x14ac:dyDescent="0.2">
      <c r="A143" s="1"/>
      <c r="B143" s="11">
        <f t="shared" si="36"/>
        <v>24000000</v>
      </c>
      <c r="C143" s="12">
        <f t="shared" si="37"/>
        <v>7.9000000000000001E-2</v>
      </c>
      <c r="D143" s="12">
        <f t="shared" si="38"/>
        <v>2.8799999999999999E-2</v>
      </c>
      <c r="E143" s="12">
        <f t="shared" si="39"/>
        <v>6.4999999999999997E-3</v>
      </c>
      <c r="F143" s="12">
        <f t="shared" si="40"/>
        <v>0.03</v>
      </c>
      <c r="G143" s="12">
        <f>Parâmetros!$C$14*13.33*(Parâmetros!$C$15+FGTS+Sist_S_SAT)/Dados!B143</f>
        <v>1.5151766666666669E-4</v>
      </c>
      <c r="H143" s="13">
        <f>B143*Parâmetros!$C$13/Dados!B143</f>
        <v>0.05</v>
      </c>
      <c r="I143" s="23">
        <f t="shared" si="43"/>
        <v>0.19445151766666668</v>
      </c>
      <c r="J143" s="178">
        <f>VLOOKUP(B143,LP_FX[],8,TRUE)*Parâmetros!$M$124/B143</f>
        <v>2.8152776299490943E-2</v>
      </c>
      <c r="K143" s="12">
        <f>Parâmetros!$C$20*(2*VLOOKUP(B143,LP_FX[],8,TRUE)/(VLOOKUP(B143,LP_FX[],1,TRUE)+VLOOKUP(B143,LP_FX[],2,TRUE)))</f>
        <v>3.9267736496330301E-2</v>
      </c>
      <c r="L143" s="163">
        <f t="shared" si="44"/>
        <v>0.23356773649633034</v>
      </c>
      <c r="M143" s="165">
        <f>IF($B143&lt;=3600000,$B143*INDEX(Parâmetros!$F$7:$M$26,ROUNDUP(($B143/180000),0),4)/$B143,$B143*INDEX(Parâmetros!$F$7:$M$26,20,4)/$B143)</f>
        <v>6.1199999999999997E-2</v>
      </c>
      <c r="N143" s="12">
        <f>IF($B143&lt;=3600000,$B143*INDEX(Parâmetros!$F$7:$M$26,ROUNDUP(($B143/180000),0),5)/$B143,$B143*INDEX(Parâmetros!$F$7:$M$26,20,5)/$B143)</f>
        <v>2.53E-2</v>
      </c>
      <c r="O143" s="12">
        <f>IF($B143&lt;=3600000,$B143*INDEX(Parâmetros!$F$7:$M$26,ROUNDUP(($B143/180000),0),6)/$B143,$B143*INDEX(Parâmetros!$F$7:$M$26,20,6)/$B143)</f>
        <v>5.7000000000000002E-3</v>
      </c>
      <c r="P143" s="12">
        <f>IF($B143&lt;=3600000,$B143*INDEX(Parâmetros!$F$7:$M$26,ROUNDUP(($B143/180000),0),7)/$B143,$B143*INDEX(Parâmetros!$F$7:$M$26,20,7)/$B143)</f>
        <v>2.63E-2</v>
      </c>
      <c r="Q143" s="12">
        <f>Parâmetros!$C$14*13.33*(Parâmetros!$C$15+FGTS)/B143</f>
        <v>1.3685466666666667E-4</v>
      </c>
      <c r="R143" s="12">
        <f>IF($B143&lt;=3600000,$B143*INDEX(Parâmetros!$F$7:$M$26,ROUNDUP(($B143/180000),0),8)/$B143,$B143*INDEX(Parâmetros!$F$7:$M$26,20,8)/$B143)</f>
        <v>0.05</v>
      </c>
      <c r="S143" s="23">
        <f t="shared" si="45"/>
        <v>0.16863685466666667</v>
      </c>
      <c r="T143" s="12">
        <f t="shared" si="41"/>
        <v>0.25786528985600438</v>
      </c>
      <c r="U143" s="64">
        <v>0</v>
      </c>
      <c r="V143" s="64">
        <v>0</v>
      </c>
      <c r="W143" s="64">
        <v>0</v>
      </c>
      <c r="X143" s="64">
        <f t="shared" si="42"/>
        <v>5.7650250500000005E-4</v>
      </c>
      <c r="Y143" s="64">
        <v>0</v>
      </c>
      <c r="Z143" s="81">
        <f t="shared" si="46"/>
        <v>0.2584417923610044</v>
      </c>
      <c r="AB143" s="153">
        <f>1-IF(B143&lt;=Parâmetros!$G$72,Parâmetros!$L$72,IF(B143&lt;=Parâmetros!$G$73,Parâmetros!$L$73,IF(B143&lt;=Parâmetros!$G$74,Parâmetros!$L$74,IF(B143&lt;=Parâmetros!$G$75,Parâmetros!$L$75,IF(B143&lt;=Parâmetros!$G$76,Parâmetros!$J$76,Parâmetros!$L$77)))))</f>
        <v>0.93925297826425824</v>
      </c>
    </row>
    <row r="144" spans="1:28" s="14" customFormat="1" x14ac:dyDescent="0.2">
      <c r="A144" s="1"/>
      <c r="B144" s="11">
        <f t="shared" si="36"/>
        <v>24500000</v>
      </c>
      <c r="C144" s="12">
        <f t="shared" si="37"/>
        <v>7.9020408163265304E-2</v>
      </c>
      <c r="D144" s="12">
        <f t="shared" si="38"/>
        <v>2.8799999999999999E-2</v>
      </c>
      <c r="E144" s="12">
        <f t="shared" si="39"/>
        <v>6.4999999999999997E-3</v>
      </c>
      <c r="F144" s="12">
        <f t="shared" si="40"/>
        <v>0.03</v>
      </c>
      <c r="G144" s="12">
        <f>Parâmetros!$C$14*13.33*(Parâmetros!$C$15+FGTS+Sist_S_SAT)/Dados!B144</f>
        <v>1.4842546938775511E-4</v>
      </c>
      <c r="H144" s="13">
        <f>B144*Parâmetros!$C$13/Dados!B144</f>
        <v>0.05</v>
      </c>
      <c r="I144" s="23">
        <f t="shared" si="43"/>
        <v>0.19446883363265305</v>
      </c>
      <c r="J144" s="178">
        <f>VLOOKUP(B144,LP_FX[],8,TRUE)*Parâmetros!$M$124/B144</f>
        <v>2.7578229844399289E-2</v>
      </c>
      <c r="K144" s="12">
        <f>Parâmetros!$C$20*(2*VLOOKUP(B144,LP_FX[],8,TRUE)/(VLOOKUP(B144,LP_FX[],1,TRUE)+VLOOKUP(B144,LP_FX[],2,TRUE)))</f>
        <v>3.9267736496330301E-2</v>
      </c>
      <c r="L144" s="163">
        <f t="shared" si="44"/>
        <v>0.2335881446595956</v>
      </c>
      <c r="M144" s="165">
        <f>IF($B144&lt;=3600000,$B144*INDEX(Parâmetros!$F$7:$M$26,ROUNDUP(($B144/180000),0),4)/$B144,$B144*INDEX(Parâmetros!$F$7:$M$26,20,4)/$B144)</f>
        <v>6.1199999999999997E-2</v>
      </c>
      <c r="N144" s="12">
        <f>IF($B144&lt;=3600000,$B144*INDEX(Parâmetros!$F$7:$M$26,ROUNDUP(($B144/180000),0),5)/$B144,$B144*INDEX(Parâmetros!$F$7:$M$26,20,5)/$B144)</f>
        <v>2.53E-2</v>
      </c>
      <c r="O144" s="12">
        <f>IF($B144&lt;=3600000,$B144*INDEX(Parâmetros!$F$7:$M$26,ROUNDUP(($B144/180000),0),6)/$B144,$B144*INDEX(Parâmetros!$F$7:$M$26,20,6)/$B144)</f>
        <v>5.7000000000000002E-3</v>
      </c>
      <c r="P144" s="12">
        <f>IF($B144&lt;=3600000,$B144*INDEX(Parâmetros!$F$7:$M$26,ROUNDUP(($B144/180000),0),7)/$B144,$B144*INDEX(Parâmetros!$F$7:$M$26,20,7)/$B144)</f>
        <v>2.63E-2</v>
      </c>
      <c r="Q144" s="12">
        <f>Parâmetros!$C$14*13.33*(Parâmetros!$C$15+FGTS)/B144</f>
        <v>1.3406171428571431E-4</v>
      </c>
      <c r="R144" s="12">
        <f>IF($B144&lt;=3600000,$B144*INDEX(Parâmetros!$F$7:$M$26,ROUNDUP(($B144/180000),0),8)/$B144,$B144*INDEX(Parâmetros!$F$7:$M$26,20,8)/$B144)</f>
        <v>0.05</v>
      </c>
      <c r="S144" s="23">
        <f t="shared" si="45"/>
        <v>0.16863406171428572</v>
      </c>
      <c r="T144" s="12">
        <f t="shared" si="41"/>
        <v>0.25787405065532409</v>
      </c>
      <c r="U144" s="64">
        <v>0</v>
      </c>
      <c r="V144" s="64">
        <v>0</v>
      </c>
      <c r="W144" s="64">
        <v>0</v>
      </c>
      <c r="X144" s="64">
        <f t="shared" si="42"/>
        <v>5.6473714775510215E-4</v>
      </c>
      <c r="Y144" s="64">
        <v>0</v>
      </c>
      <c r="Z144" s="81">
        <f t="shared" si="46"/>
        <v>0.25843878780307922</v>
      </c>
      <c r="AB144" s="153">
        <f>1-IF(B144&lt;=Parâmetros!$G$72,Parâmetros!$L$72,IF(B144&lt;=Parâmetros!$G$73,Parâmetros!$L$73,IF(B144&lt;=Parâmetros!$G$74,Parâmetros!$L$74,IF(B144&lt;=Parâmetros!$G$75,Parâmetros!$L$75,IF(B144&lt;=Parâmetros!$G$76,Parâmetros!$J$76,Parâmetros!$L$77)))))</f>
        <v>0.93925297826425824</v>
      </c>
    </row>
    <row r="145" spans="1:28" s="14" customFormat="1" x14ac:dyDescent="0.2">
      <c r="A145" s="1"/>
      <c r="B145" s="11">
        <f t="shared" si="36"/>
        <v>25000000</v>
      </c>
      <c r="C145" s="12">
        <f t="shared" si="37"/>
        <v>7.9039999999999999E-2</v>
      </c>
      <c r="D145" s="12">
        <f t="shared" si="38"/>
        <v>2.8799999999999999E-2</v>
      </c>
      <c r="E145" s="12">
        <f t="shared" si="39"/>
        <v>6.4999999999999997E-3</v>
      </c>
      <c r="F145" s="12">
        <f t="shared" si="40"/>
        <v>0.03</v>
      </c>
      <c r="G145" s="12">
        <f>Parâmetros!$C$14*13.33*(Parâmetros!$C$15+FGTS+Sist_S_SAT)/Dados!B145</f>
        <v>1.4545696000000001E-4</v>
      </c>
      <c r="H145" s="13">
        <f>B145*Parâmetros!$C$13/Dados!B145</f>
        <v>0.05</v>
      </c>
      <c r="I145" s="23">
        <f t="shared" si="43"/>
        <v>0.19448545696000002</v>
      </c>
      <c r="J145" s="178">
        <f>VLOOKUP(B145,LP_FX[],8,TRUE)*Parâmetros!$M$124/B145</f>
        <v>2.7026665247511305E-2</v>
      </c>
      <c r="K145" s="12">
        <f>Parâmetros!$C$20*(2*VLOOKUP(B145,LP_FX[],8,TRUE)/(VLOOKUP(B145,LP_FX[],1,TRUE)+VLOOKUP(B145,LP_FX[],2,TRUE)))</f>
        <v>3.9267736496330301E-2</v>
      </c>
      <c r="L145" s="163">
        <f t="shared" si="44"/>
        <v>0.23360773649633032</v>
      </c>
      <c r="M145" s="165">
        <f>IF($B145&lt;=3600000,$B145*INDEX(Parâmetros!$F$7:$M$26,ROUNDUP(($B145/180000),0),4)/$B145,$B145*INDEX(Parâmetros!$F$7:$M$26,20,4)/$B145)</f>
        <v>6.1199999999999997E-2</v>
      </c>
      <c r="N145" s="12">
        <f>IF($B145&lt;=3600000,$B145*INDEX(Parâmetros!$F$7:$M$26,ROUNDUP(($B145/180000),0),5)/$B145,$B145*INDEX(Parâmetros!$F$7:$M$26,20,5)/$B145)</f>
        <v>2.53E-2</v>
      </c>
      <c r="O145" s="12">
        <f>IF($B145&lt;=3600000,$B145*INDEX(Parâmetros!$F$7:$M$26,ROUNDUP(($B145/180000),0),6)/$B145,$B145*INDEX(Parâmetros!$F$7:$M$26,20,6)/$B145)</f>
        <v>5.7000000000000002E-3</v>
      </c>
      <c r="P145" s="12">
        <f>IF($B145&lt;=3600000,$B145*INDEX(Parâmetros!$F$7:$M$26,ROUNDUP(($B145/180000),0),7)/$B145,$B145*INDEX(Parâmetros!$F$7:$M$26,20,7)/$B145)</f>
        <v>2.63E-2</v>
      </c>
      <c r="Q145" s="12">
        <f>Parâmetros!$C$14*13.33*(Parâmetros!$C$15+FGTS)/B145</f>
        <v>1.3138048000000001E-4</v>
      </c>
      <c r="R145" s="12">
        <f>IF($B145&lt;=3600000,$B145*INDEX(Parâmetros!$F$7:$M$26,ROUNDUP(($B145/180000),0),8)/$B145,$B145*INDEX(Parâmetros!$F$7:$M$26,20,8)/$B145)</f>
        <v>0.05</v>
      </c>
      <c r="S145" s="23">
        <f t="shared" si="45"/>
        <v>0.16863138047999998</v>
      </c>
      <c r="T145" s="12">
        <f t="shared" si="41"/>
        <v>0.25788246102267104</v>
      </c>
      <c r="U145" s="64">
        <v>0</v>
      </c>
      <c r="V145" s="64">
        <v>0</v>
      </c>
      <c r="W145" s="64">
        <v>0</v>
      </c>
      <c r="X145" s="64">
        <f t="shared" si="42"/>
        <v>5.5344240480000007E-4</v>
      </c>
      <c r="Y145" s="64">
        <v>0</v>
      </c>
      <c r="Z145" s="81">
        <f t="shared" si="46"/>
        <v>0.25843590342747103</v>
      </c>
      <c r="AB145" s="153">
        <f>1-IF(B145&lt;=Parâmetros!$G$72,Parâmetros!$L$72,IF(B145&lt;=Parâmetros!$G$73,Parâmetros!$L$73,IF(B145&lt;=Parâmetros!$G$74,Parâmetros!$L$74,IF(B145&lt;=Parâmetros!$G$75,Parâmetros!$L$75,IF(B145&lt;=Parâmetros!$G$76,Parâmetros!$J$76,Parâmetros!$L$77)))))</f>
        <v>0.93925297826425824</v>
      </c>
    </row>
    <row r="146" spans="1:28" s="14" customFormat="1" x14ac:dyDescent="0.2">
      <c r="A146" s="1"/>
      <c r="B146" s="11">
        <f t="shared" si="36"/>
        <v>25500000</v>
      </c>
      <c r="C146" s="12">
        <f t="shared" si="37"/>
        <v>7.9058823529411765E-2</v>
      </c>
      <c r="D146" s="12">
        <f t="shared" si="38"/>
        <v>2.8799999999999999E-2</v>
      </c>
      <c r="E146" s="12">
        <f t="shared" si="39"/>
        <v>6.4999999999999997E-3</v>
      </c>
      <c r="F146" s="12">
        <f t="shared" si="40"/>
        <v>0.03</v>
      </c>
      <c r="G146" s="12">
        <f>Parâmetros!$C$14*13.33*(Parâmetros!$C$15+FGTS+Sist_S_SAT)/Dados!B146</f>
        <v>1.4260486274509805E-4</v>
      </c>
      <c r="H146" s="13">
        <f>B146*Parâmetros!$C$13/Dados!B146</f>
        <v>0.05</v>
      </c>
      <c r="I146" s="23">
        <f t="shared" si="43"/>
        <v>0.19450142839215684</v>
      </c>
      <c r="J146" s="178">
        <f>VLOOKUP(B146,LP_FX[],8,TRUE)*Parâmetros!$M$124/B146</f>
        <v>2.6496730634815006E-2</v>
      </c>
      <c r="K146" s="12">
        <f>Parâmetros!$C$20*(2*VLOOKUP(B146,LP_FX[],8,TRUE)/(VLOOKUP(B146,LP_FX[],1,TRUE)+VLOOKUP(B146,LP_FX[],2,TRUE)))</f>
        <v>3.9267736496330301E-2</v>
      </c>
      <c r="L146" s="163">
        <f t="shared" si="44"/>
        <v>0.23362656002574206</v>
      </c>
      <c r="M146" s="165">
        <f>IF($B146&lt;=3600000,$B146*INDEX(Parâmetros!$F$7:$M$26,ROUNDUP(($B146/180000),0),4)/$B146,$B146*INDEX(Parâmetros!$F$7:$M$26,20,4)/$B146)</f>
        <v>6.1199999999999997E-2</v>
      </c>
      <c r="N146" s="12">
        <f>IF($B146&lt;=3600000,$B146*INDEX(Parâmetros!$F$7:$M$26,ROUNDUP(($B146/180000),0),5)/$B146,$B146*INDEX(Parâmetros!$F$7:$M$26,20,5)/$B146)</f>
        <v>2.53E-2</v>
      </c>
      <c r="O146" s="12">
        <f>IF($B146&lt;=3600000,$B146*INDEX(Parâmetros!$F$7:$M$26,ROUNDUP(($B146/180000),0),6)/$B146,$B146*INDEX(Parâmetros!$F$7:$M$26,20,6)/$B146)</f>
        <v>5.7000000000000002E-3</v>
      </c>
      <c r="P146" s="12">
        <f>IF($B146&lt;=3600000,$B146*INDEX(Parâmetros!$F$7:$M$26,ROUNDUP(($B146/180000),0),7)/$B146,$B146*INDEX(Parâmetros!$F$7:$M$26,20,7)/$B146)</f>
        <v>2.63E-2</v>
      </c>
      <c r="Q146" s="12">
        <f>Parâmetros!$C$14*13.33*(Parâmetros!$C$15+FGTS)/B146</f>
        <v>1.2880439215686275E-4</v>
      </c>
      <c r="R146" s="12">
        <f>IF($B146&lt;=3600000,$B146*INDEX(Parâmetros!$F$7:$M$26,ROUNDUP(($B146/180000),0),8)/$B146,$B146*INDEX(Parâmetros!$F$7:$M$26,20,8)/$B146)</f>
        <v>0.05</v>
      </c>
      <c r="S146" s="23">
        <f t="shared" si="45"/>
        <v>0.16862880439215686</v>
      </c>
      <c r="T146" s="12">
        <f t="shared" si="41"/>
        <v>0.2610968490817967</v>
      </c>
      <c r="U146" s="64">
        <v>0</v>
      </c>
      <c r="V146" s="64">
        <v>0</v>
      </c>
      <c r="W146" s="64">
        <v>0</v>
      </c>
      <c r="X146" s="64">
        <f t="shared" si="42"/>
        <v>5.4259059294117654E-4</v>
      </c>
      <c r="Y146" s="64">
        <v>0</v>
      </c>
      <c r="Z146" s="81">
        <f t="shared" si="46"/>
        <v>0.26163943967473785</v>
      </c>
      <c r="AB146" s="153">
        <f>1-IF(B146&lt;=Parâmetros!$G$73,Parâmetros!$L$73,IF(B146&lt;=Parâmetros!$G$74,Parâmetros!$L$74,IF(B146&lt;=Parâmetros!$G$75,Parâmetros!$L$75,IF(B146&lt;=Parâmetros!$G$76,Parâmetros!$L$76,IF(B146&lt;=Parâmetros!$G$77,Parâmetros!$J$77,Parâmetros!$L$78)))))</f>
        <v>0.95091227830100744</v>
      </c>
    </row>
    <row r="147" spans="1:28" s="14" customFormat="1" x14ac:dyDescent="0.2">
      <c r="A147" s="1"/>
      <c r="B147" s="11">
        <f t="shared" si="36"/>
        <v>26000000</v>
      </c>
      <c r="C147" s="12">
        <f t="shared" si="37"/>
        <v>7.9076923076923072E-2</v>
      </c>
      <c r="D147" s="12">
        <f t="shared" si="38"/>
        <v>2.8799999999999999E-2</v>
      </c>
      <c r="E147" s="12">
        <f t="shared" si="39"/>
        <v>6.4999999999999997E-3</v>
      </c>
      <c r="F147" s="12">
        <f t="shared" si="40"/>
        <v>0.03</v>
      </c>
      <c r="G147" s="12">
        <f>Parâmetros!$C$14*13.33*(Parâmetros!$C$15+FGTS+Sist_S_SAT)/Dados!B147</f>
        <v>1.3986246153846157E-4</v>
      </c>
      <c r="H147" s="13">
        <f>B147*Parâmetros!$C$13/Dados!B147</f>
        <v>0.05</v>
      </c>
      <c r="I147" s="23">
        <f t="shared" si="43"/>
        <v>0.19451678553846152</v>
      </c>
      <c r="J147" s="178">
        <f>VLOOKUP(B147,LP_FX[],8,TRUE)*Parâmetros!$M$124/B147</f>
        <v>2.5987178122607025E-2</v>
      </c>
      <c r="K147" s="12">
        <f>Parâmetros!$C$20*(2*VLOOKUP(B147,LP_FX[],8,TRUE)/(VLOOKUP(B147,LP_FX[],1,TRUE)+VLOOKUP(B147,LP_FX[],2,TRUE)))</f>
        <v>3.9267736496330301E-2</v>
      </c>
      <c r="L147" s="163">
        <f t="shared" si="44"/>
        <v>0.23364465957325337</v>
      </c>
      <c r="M147" s="165">
        <f>IF($B147&lt;=3600000,$B147*INDEX(Parâmetros!$F$7:$M$26,ROUNDUP(($B147/180000),0),4)/$B147,$B147*INDEX(Parâmetros!$F$7:$M$26,20,4)/$B147)</f>
        <v>6.1199999999999997E-2</v>
      </c>
      <c r="N147" s="12">
        <f>IF($B147&lt;=3600000,$B147*INDEX(Parâmetros!$F$7:$M$26,ROUNDUP(($B147/180000),0),5)/$B147,$B147*INDEX(Parâmetros!$F$7:$M$26,20,5)/$B147)</f>
        <v>2.53E-2</v>
      </c>
      <c r="O147" s="12">
        <f>IF($B147&lt;=3600000,$B147*INDEX(Parâmetros!$F$7:$M$26,ROUNDUP(($B147/180000),0),6)/$B147,$B147*INDEX(Parâmetros!$F$7:$M$26,20,6)/$B147)</f>
        <v>5.7000000000000002E-3</v>
      </c>
      <c r="P147" s="12">
        <f>IF($B147&lt;=3600000,$B147*INDEX(Parâmetros!$F$7:$M$26,ROUNDUP(($B147/180000),0),7)/$B147,$B147*INDEX(Parâmetros!$F$7:$M$26,20,7)/$B147)</f>
        <v>2.63E-2</v>
      </c>
      <c r="Q147" s="12">
        <f>Parâmetros!$C$14*13.33*(Parâmetros!$C$15+FGTS)/B147</f>
        <v>1.2632738461538462E-4</v>
      </c>
      <c r="R147" s="12">
        <f>IF($B147&lt;=3600000,$B147*INDEX(Parâmetros!$F$7:$M$26,ROUNDUP(($B147/180000),0),8)/$B147,$B147*INDEX(Parâmetros!$F$7:$M$26,20,8)/$B147)</f>
        <v>0.05</v>
      </c>
      <c r="S147" s="23">
        <f t="shared" si="45"/>
        <v>0.16862632738461539</v>
      </c>
      <c r="T147" s="12">
        <f t="shared" si="41"/>
        <v>0.26110461884046937</v>
      </c>
      <c r="U147" s="64">
        <v>0</v>
      </c>
      <c r="V147" s="64">
        <v>0</v>
      </c>
      <c r="W147" s="64">
        <v>0</v>
      </c>
      <c r="X147" s="64">
        <f t="shared" si="42"/>
        <v>5.3215615846153859E-4</v>
      </c>
      <c r="Y147" s="64">
        <v>0</v>
      </c>
      <c r="Z147" s="81">
        <f t="shared" si="46"/>
        <v>0.2616367749989309</v>
      </c>
      <c r="AB147" s="153">
        <f>1-IF(B147&lt;=Parâmetros!$G$73,Parâmetros!$L$73,IF(B147&lt;=Parâmetros!$G$74,Parâmetros!$L$74,IF(B147&lt;=Parâmetros!$G$75,Parâmetros!$L$75,IF(B147&lt;=Parâmetros!$G$76,Parâmetros!$L$76,IF(B147&lt;=Parâmetros!$G$77,Parâmetros!$J$77,Parâmetros!$L$78)))))</f>
        <v>0.95091227830100744</v>
      </c>
    </row>
    <row r="148" spans="1:28" s="14" customFormat="1" x14ac:dyDescent="0.2">
      <c r="A148" s="1"/>
      <c r="B148" s="11">
        <f>B147+1000000</f>
        <v>27000000</v>
      </c>
      <c r="C148" s="12">
        <f t="shared" si="37"/>
        <v>7.9111111111111104E-2</v>
      </c>
      <c r="D148" s="12">
        <f t="shared" si="38"/>
        <v>2.8799999999999999E-2</v>
      </c>
      <c r="E148" s="12">
        <f t="shared" si="39"/>
        <v>6.4999999999999997E-3</v>
      </c>
      <c r="F148" s="12">
        <f t="shared" si="40"/>
        <v>0.03</v>
      </c>
      <c r="G148" s="12">
        <f>Parâmetros!$C$14*13.33*(Parâmetros!$C$15+FGTS+Sist_S_SAT)/Dados!B148</f>
        <v>1.346823703703704E-4</v>
      </c>
      <c r="H148" s="13">
        <f>B148*Parâmetros!$C$13/Dados!B148</f>
        <v>0.05</v>
      </c>
      <c r="I148" s="23">
        <f t="shared" si="43"/>
        <v>0.19454579348148149</v>
      </c>
      <c r="J148" s="178">
        <f>VLOOKUP(B148,LP_FX[],8,TRUE)*Parâmetros!$M$124/B148</f>
        <v>2.5024690043991948E-2</v>
      </c>
      <c r="K148" s="12">
        <f>Parâmetros!$C$20*(2*VLOOKUP(B148,LP_FX[],8,TRUE)/(VLOOKUP(B148,LP_FX[],1,TRUE)+VLOOKUP(B148,LP_FX[],2,TRUE)))</f>
        <v>3.9267736496330301E-2</v>
      </c>
      <c r="L148" s="163">
        <f t="shared" si="44"/>
        <v>0.2336788476074414</v>
      </c>
      <c r="M148" s="165">
        <f>IF($B148&lt;=3600000,$B148*INDEX(Parâmetros!$F$7:$M$26,ROUNDUP(($B148/180000),0),4)/$B148,$B148*INDEX(Parâmetros!$F$7:$M$26,20,4)/$B148)</f>
        <v>6.1199999999999997E-2</v>
      </c>
      <c r="N148" s="12">
        <f>IF($B148&lt;=3600000,$B148*INDEX(Parâmetros!$F$7:$M$26,ROUNDUP(($B148/180000),0),5)/$B148,$B148*INDEX(Parâmetros!$F$7:$M$26,20,5)/$B148)</f>
        <v>2.53E-2</v>
      </c>
      <c r="O148" s="12">
        <f>IF($B148&lt;=3600000,$B148*INDEX(Parâmetros!$F$7:$M$26,ROUNDUP(($B148/180000),0),6)/$B148,$B148*INDEX(Parâmetros!$F$7:$M$26,20,6)/$B148)</f>
        <v>5.7000000000000002E-3</v>
      </c>
      <c r="P148" s="12">
        <f>IF($B148&lt;=3600000,$B148*INDEX(Parâmetros!$F$7:$M$26,ROUNDUP(($B148/180000),0),7)/$B148,$B148*INDEX(Parâmetros!$F$7:$M$26,20,7)/$B148)</f>
        <v>2.63E-2</v>
      </c>
      <c r="Q148" s="12">
        <f>Parâmetros!$C$14*13.33*(Parâmetros!$C$15+FGTS)/B148</f>
        <v>1.216485925925926E-4</v>
      </c>
      <c r="R148" s="12">
        <f>IF($B148&lt;=3600000,$B148*INDEX(Parâmetros!$F$7:$M$26,ROUNDUP(($B148/180000),0),8)/$B148,$B148*INDEX(Parâmetros!$F$7:$M$26,20,8)/$B148)</f>
        <v>0.05</v>
      </c>
      <c r="S148" s="23">
        <f t="shared" si="45"/>
        <v>0.1686216485925926</v>
      </c>
      <c r="T148" s="12">
        <f t="shared" si="41"/>
        <v>0.26111929505129561</v>
      </c>
      <c r="U148" s="64">
        <v>0</v>
      </c>
      <c r="V148" s="64">
        <v>0</v>
      </c>
      <c r="W148" s="64">
        <v>0</v>
      </c>
      <c r="X148" s="64">
        <f t="shared" si="42"/>
        <v>5.1244667111111119E-4</v>
      </c>
      <c r="Y148" s="64">
        <v>0</v>
      </c>
      <c r="Z148" s="81">
        <f t="shared" si="46"/>
        <v>0.26163174172240672</v>
      </c>
      <c r="AB148" s="153">
        <f>1-IF(B148&lt;=Parâmetros!$G$73,Parâmetros!$L$73,IF(B148&lt;=Parâmetros!$G$74,Parâmetros!$L$74,IF(B148&lt;=Parâmetros!$G$75,Parâmetros!$L$75,IF(B148&lt;=Parâmetros!$G$76,Parâmetros!$L$76,IF(B148&lt;=Parâmetros!$G$77,Parâmetros!$J$77,Parâmetros!$L$78)))))</f>
        <v>0.95091227830100744</v>
      </c>
    </row>
    <row r="149" spans="1:28" s="14" customFormat="1" x14ac:dyDescent="0.2">
      <c r="A149" s="1"/>
      <c r="B149" s="11">
        <f t="shared" ref="B149:B169" si="47">B148+1000000</f>
        <v>28000000</v>
      </c>
      <c r="C149" s="12">
        <f t="shared" si="37"/>
        <v>7.914285714285714E-2</v>
      </c>
      <c r="D149" s="12">
        <f t="shared" si="38"/>
        <v>2.8799999999999999E-2</v>
      </c>
      <c r="E149" s="12">
        <f t="shared" si="39"/>
        <v>6.4999999999999997E-3</v>
      </c>
      <c r="F149" s="12">
        <f t="shared" si="40"/>
        <v>0.03</v>
      </c>
      <c r="G149" s="12">
        <f>Parâmetros!$C$14*13.33*(Parâmetros!$C$15+FGTS+Sist_S_SAT)/Dados!B149</f>
        <v>1.2987228571428573E-4</v>
      </c>
      <c r="H149" s="13">
        <f>B149*Parâmetros!$C$13/Dados!B149</f>
        <v>0.05</v>
      </c>
      <c r="I149" s="23">
        <f t="shared" si="43"/>
        <v>0.19457272942857146</v>
      </c>
      <c r="J149" s="178">
        <f>VLOOKUP(B149,LP_FX[],8,TRUE)*Parâmetros!$M$124/B149</f>
        <v>2.4130951113849379E-2</v>
      </c>
      <c r="K149" s="12">
        <f>Parâmetros!$C$20*(2*VLOOKUP(B149,LP_FX[],8,TRUE)/(VLOOKUP(B149,LP_FX[],1,TRUE)+VLOOKUP(B149,LP_FX[],2,TRUE)))</f>
        <v>3.9267736496330301E-2</v>
      </c>
      <c r="L149" s="163">
        <f t="shared" si="44"/>
        <v>0.23371059363918745</v>
      </c>
      <c r="M149" s="165">
        <f>IF($B149&lt;=3600000,$B149*INDEX(Parâmetros!$F$7:$M$26,ROUNDUP(($B149/180000),0),4)/$B149,$B149*INDEX(Parâmetros!$F$7:$M$26,20,4)/$B149)</f>
        <v>6.1199999999999997E-2</v>
      </c>
      <c r="N149" s="12">
        <f>IF($B149&lt;=3600000,$B149*INDEX(Parâmetros!$F$7:$M$26,ROUNDUP(($B149/180000),0),5)/$B149,$B149*INDEX(Parâmetros!$F$7:$M$26,20,5)/$B149)</f>
        <v>2.53E-2</v>
      </c>
      <c r="O149" s="12">
        <f>IF($B149&lt;=3600000,$B149*INDEX(Parâmetros!$F$7:$M$26,ROUNDUP(($B149/180000),0),6)/$B149,$B149*INDEX(Parâmetros!$F$7:$M$26,20,6)/$B149)</f>
        <v>5.7000000000000002E-3</v>
      </c>
      <c r="P149" s="12">
        <f>IF($B149&lt;=3600000,$B149*INDEX(Parâmetros!$F$7:$M$26,ROUNDUP(($B149/180000),0),7)/$B149,$B149*INDEX(Parâmetros!$F$7:$M$26,20,7)/$B149)</f>
        <v>2.63E-2</v>
      </c>
      <c r="Q149" s="12">
        <f>Parâmetros!$C$14*13.33*(Parâmetros!$C$15+FGTS)/B149</f>
        <v>1.17304E-4</v>
      </c>
      <c r="R149" s="12">
        <f>IF($B149&lt;=3600000,$B149*INDEX(Parâmetros!$F$7:$M$26,ROUNDUP(($B149/180000),0),8)/$B149,$B149*INDEX(Parâmetros!$F$7:$M$26,20,8)/$B149)</f>
        <v>0.05</v>
      </c>
      <c r="S149" s="23">
        <f t="shared" si="45"/>
        <v>0.168617304</v>
      </c>
      <c r="T149" s="12">
        <f t="shared" si="41"/>
        <v>0.26113292296134849</v>
      </c>
      <c r="U149" s="64">
        <v>0</v>
      </c>
      <c r="V149" s="64">
        <v>0</v>
      </c>
      <c r="W149" s="64">
        <v>0</v>
      </c>
      <c r="X149" s="64">
        <f t="shared" si="42"/>
        <v>4.9414500428571434E-4</v>
      </c>
      <c r="Y149" s="64">
        <v>0</v>
      </c>
      <c r="Z149" s="81">
        <f t="shared" si="46"/>
        <v>0.26162706796563423</v>
      </c>
      <c r="AB149" s="153">
        <f>1-IF(B149&lt;=Parâmetros!$G$73,Parâmetros!$L$73,IF(B149&lt;=Parâmetros!$G$74,Parâmetros!$L$74,IF(B149&lt;=Parâmetros!$G$75,Parâmetros!$L$75,IF(B149&lt;=Parâmetros!$G$76,Parâmetros!$L$76,IF(B149&lt;=Parâmetros!$G$77,Parâmetros!$J$77,Parâmetros!$L$78)))))</f>
        <v>0.95091227830100744</v>
      </c>
    </row>
    <row r="150" spans="1:28" s="14" customFormat="1" x14ac:dyDescent="0.2">
      <c r="A150" s="1"/>
      <c r="B150" s="11">
        <f t="shared" si="47"/>
        <v>29000000</v>
      </c>
      <c r="C150" s="12">
        <f t="shared" si="37"/>
        <v>7.9172413793103455E-2</v>
      </c>
      <c r="D150" s="12">
        <f t="shared" si="38"/>
        <v>2.8799999999999999E-2</v>
      </c>
      <c r="E150" s="12">
        <f t="shared" si="39"/>
        <v>6.4999999999999997E-3</v>
      </c>
      <c r="F150" s="12">
        <f t="shared" si="40"/>
        <v>0.03</v>
      </c>
      <c r="G150" s="12">
        <f>Parâmetros!$C$14*13.33*(Parâmetros!$C$15+FGTS+Sist_S_SAT)/Dados!B150</f>
        <v>1.2539393103448278E-4</v>
      </c>
      <c r="H150" s="13">
        <f>B150*Parâmetros!$C$13/Dados!B150</f>
        <v>0.05</v>
      </c>
      <c r="I150" s="23">
        <f t="shared" si="43"/>
        <v>0.19459780772413793</v>
      </c>
      <c r="J150" s="178">
        <f>VLOOKUP(B150,LP_FX[],8,TRUE)*Parâmetros!$M$124/B150</f>
        <v>2.3298849351302848E-2</v>
      </c>
      <c r="K150" s="12">
        <f>Parâmetros!$C$20*(2*VLOOKUP(B150,LP_FX[],8,TRUE)/(VLOOKUP(B150,LP_FX[],1,TRUE)+VLOOKUP(B150,LP_FX[],2,TRUE)))</f>
        <v>3.9267736496330301E-2</v>
      </c>
      <c r="L150" s="163">
        <f t="shared" si="44"/>
        <v>0.23374015028943379</v>
      </c>
      <c r="M150" s="165">
        <f>IF($B150&lt;=3600000,$B150*INDEX(Parâmetros!$F$7:$M$26,ROUNDUP(($B150/180000),0),4)/$B150,$B150*INDEX(Parâmetros!$F$7:$M$26,20,4)/$B150)</f>
        <v>6.1199999999999997E-2</v>
      </c>
      <c r="N150" s="12">
        <f>IF($B150&lt;=3600000,$B150*INDEX(Parâmetros!$F$7:$M$26,ROUNDUP(($B150/180000),0),5)/$B150,$B150*INDEX(Parâmetros!$F$7:$M$26,20,5)/$B150)</f>
        <v>2.53E-2</v>
      </c>
      <c r="O150" s="12">
        <f>IF($B150&lt;=3600000,$B150*INDEX(Parâmetros!$F$7:$M$26,ROUNDUP(($B150/180000),0),6)/$B150,$B150*INDEX(Parâmetros!$F$7:$M$26,20,6)/$B150)</f>
        <v>5.7000000000000002E-3</v>
      </c>
      <c r="P150" s="12">
        <f>IF($B150&lt;=3600000,$B150*INDEX(Parâmetros!$F$7:$M$26,ROUNDUP(($B150/180000),0),7)/$B150,$B150*INDEX(Parâmetros!$F$7:$M$26,20,7)/$B150)</f>
        <v>2.63E-2</v>
      </c>
      <c r="Q150" s="12">
        <f>Parâmetros!$C$14*13.33*(Parâmetros!$C$15+FGTS)/B150</f>
        <v>1.1325903448275863E-4</v>
      </c>
      <c r="R150" s="12">
        <f>IF($B150&lt;=3600000,$B150*INDEX(Parâmetros!$F$7:$M$26,ROUNDUP(($B150/180000),0),8)/$B150,$B150*INDEX(Parâmetros!$F$7:$M$26,20,8)/$B150)</f>
        <v>0.05</v>
      </c>
      <c r="S150" s="23">
        <f t="shared" si="45"/>
        <v>0.16861325903448277</v>
      </c>
      <c r="T150" s="12">
        <f t="shared" si="41"/>
        <v>0.26114561101553568</v>
      </c>
      <c r="U150" s="64">
        <v>0</v>
      </c>
      <c r="V150" s="64">
        <v>0</v>
      </c>
      <c r="W150" s="64">
        <v>0</v>
      </c>
      <c r="X150" s="64">
        <f t="shared" si="42"/>
        <v>4.7710552137931041E-4</v>
      </c>
      <c r="Y150" s="64">
        <v>0</v>
      </c>
      <c r="Z150" s="81">
        <f t="shared" si="46"/>
        <v>0.26162271653691499</v>
      </c>
      <c r="AB150" s="153">
        <f>1-IF(B150&lt;=Parâmetros!$G$73,Parâmetros!$L$73,IF(B150&lt;=Parâmetros!$G$74,Parâmetros!$L$74,IF(B150&lt;=Parâmetros!$G$75,Parâmetros!$L$75,IF(B150&lt;=Parâmetros!$G$76,Parâmetros!$L$76,IF(B150&lt;=Parâmetros!$G$77,Parâmetros!$J$77,Parâmetros!$L$78)))))</f>
        <v>0.95091227830100744</v>
      </c>
    </row>
    <row r="151" spans="1:28" s="14" customFormat="1" x14ac:dyDescent="0.2">
      <c r="A151" s="1"/>
      <c r="B151" s="11">
        <f t="shared" si="47"/>
        <v>30000000</v>
      </c>
      <c r="C151" s="12">
        <f t="shared" si="37"/>
        <v>7.9200000000000007E-2</v>
      </c>
      <c r="D151" s="12">
        <f t="shared" si="38"/>
        <v>2.8799999999999999E-2</v>
      </c>
      <c r="E151" s="12">
        <f t="shared" si="39"/>
        <v>6.4999999999999997E-3</v>
      </c>
      <c r="F151" s="12">
        <f t="shared" si="40"/>
        <v>0.03</v>
      </c>
      <c r="G151" s="12">
        <f>Parâmetros!$C$14*13.33*(Parâmetros!$C$15+FGTS+Sist_S_SAT)/Dados!B151</f>
        <v>1.2121413333333334E-4</v>
      </c>
      <c r="H151" s="13">
        <f>B151*Parâmetros!$C$13/Dados!B151</f>
        <v>0.05</v>
      </c>
      <c r="I151" s="23">
        <f t="shared" si="43"/>
        <v>0.19462121413333333</v>
      </c>
      <c r="J151" s="178">
        <f>VLOOKUP(B151,LP_FX[],8,TRUE)*Parâmetros!$M$124/B151</f>
        <v>2.2522221039592755E-2</v>
      </c>
      <c r="K151" s="12">
        <f>Parâmetros!$C$20*(2*VLOOKUP(B151,LP_FX[],8,TRUE)/(VLOOKUP(B151,LP_FX[],1,TRUE)+VLOOKUP(B151,LP_FX[],2,TRUE)))</f>
        <v>3.9267736496330301E-2</v>
      </c>
      <c r="L151" s="163">
        <f t="shared" si="44"/>
        <v>0.23376773649633031</v>
      </c>
      <c r="M151" s="165">
        <f>IF($B151&lt;=3600000,$B151*INDEX(Parâmetros!$F$7:$M$26,ROUNDUP(($B151/180000),0),4)/$B151,$B151*INDEX(Parâmetros!$F$7:$M$26,20,4)/$B151)</f>
        <v>6.1199999999999997E-2</v>
      </c>
      <c r="N151" s="12">
        <f>IF($B151&lt;=3600000,$B151*INDEX(Parâmetros!$F$7:$M$26,ROUNDUP(($B151/180000),0),5)/$B151,$B151*INDEX(Parâmetros!$F$7:$M$26,20,5)/$B151)</f>
        <v>2.53E-2</v>
      </c>
      <c r="O151" s="12">
        <f>IF($B151&lt;=3600000,$B151*INDEX(Parâmetros!$F$7:$M$26,ROUNDUP(($B151/180000),0),6)/$B151,$B151*INDEX(Parâmetros!$F$7:$M$26,20,6)/$B151)</f>
        <v>5.7000000000000002E-3</v>
      </c>
      <c r="P151" s="12">
        <f>IF($B151&lt;=3600000,$B151*INDEX(Parâmetros!$F$7:$M$26,ROUNDUP(($B151/180000),0),7)/$B151,$B151*INDEX(Parâmetros!$F$7:$M$26,20,7)/$B151)</f>
        <v>2.63E-2</v>
      </c>
      <c r="Q151" s="12">
        <f>Parâmetros!$C$14*13.33*(Parâmetros!$C$15+FGTS)/B151</f>
        <v>1.0948373333333334E-4</v>
      </c>
      <c r="R151" s="12">
        <f>IF($B151&lt;=3600000,$B151*INDEX(Parâmetros!$F$7:$M$26,ROUNDUP(($B151/180000),0),8)/$B151,$B151*INDEX(Parâmetros!$F$7:$M$26,20,8)/$B151)</f>
        <v>0.05</v>
      </c>
      <c r="S151" s="23">
        <f t="shared" si="45"/>
        <v>0.16860948373333334</v>
      </c>
      <c r="T151" s="12">
        <f t="shared" si="41"/>
        <v>0.26115745319944372</v>
      </c>
      <c r="U151" s="64">
        <v>0</v>
      </c>
      <c r="V151" s="64">
        <v>0</v>
      </c>
      <c r="W151" s="64">
        <v>0</v>
      </c>
      <c r="X151" s="64">
        <f t="shared" si="42"/>
        <v>4.6120200400000006E-4</v>
      </c>
      <c r="Y151" s="64">
        <v>0</v>
      </c>
      <c r="Z151" s="81">
        <f t="shared" si="46"/>
        <v>0.26161865520344374</v>
      </c>
      <c r="AB151" s="153">
        <f>1-IF(B151&lt;=Parâmetros!$G$73,Parâmetros!$L$73,IF(B151&lt;=Parâmetros!$G$74,Parâmetros!$L$74,IF(B151&lt;=Parâmetros!$G$75,Parâmetros!$L$75,IF(B151&lt;=Parâmetros!$G$76,Parâmetros!$L$76,IF(B151&lt;=Parâmetros!$G$77,Parâmetros!$J$77,Parâmetros!$L$78)))))</f>
        <v>0.95091227830100744</v>
      </c>
    </row>
    <row r="152" spans="1:28" s="14" customFormat="1" x14ac:dyDescent="0.2">
      <c r="A152" s="1"/>
      <c r="B152" s="11">
        <f t="shared" si="47"/>
        <v>31000000</v>
      </c>
      <c r="C152" s="12">
        <f t="shared" si="37"/>
        <v>7.922580645161291E-2</v>
      </c>
      <c r="D152" s="12">
        <f t="shared" si="38"/>
        <v>2.8799999999999999E-2</v>
      </c>
      <c r="E152" s="12">
        <f t="shared" si="39"/>
        <v>6.4999999999999997E-3</v>
      </c>
      <c r="F152" s="12">
        <f t="shared" si="40"/>
        <v>0.03</v>
      </c>
      <c r="G152" s="12">
        <f>Parâmetros!$C$14*13.33*(Parâmetros!$C$15+FGTS+Sist_S_SAT)/Dados!B152</f>
        <v>1.1730400000000001E-4</v>
      </c>
      <c r="H152" s="13">
        <f>B152*Parâmetros!$C$13/Dados!B152</f>
        <v>0.05</v>
      </c>
      <c r="I152" s="23">
        <f t="shared" si="43"/>
        <v>0.19464311045161292</v>
      </c>
      <c r="J152" s="178">
        <f>VLOOKUP(B152,LP_FX[],8,TRUE)*Parâmetros!$M$124/B152</f>
        <v>2.9898667300286088E-2</v>
      </c>
      <c r="K152" s="12">
        <f>Parâmetros!$C$20*(2*VLOOKUP(B152,LP_FX[],8,TRUE)/(VLOOKUP(B152,LP_FX[],1,TRUE)+VLOOKUP(B152,LP_FX[],2,TRUE)))</f>
        <v>3.8475908707280106E-2</v>
      </c>
      <c r="L152" s="163">
        <f t="shared" si="44"/>
        <v>0.23300171515889304</v>
      </c>
      <c r="M152" s="165">
        <f>IF($B152&lt;=3600000,$B152*INDEX(Parâmetros!$F$7:$M$26,ROUNDUP(($B152/180000),0),4)/$B152,$B152*INDEX(Parâmetros!$F$7:$M$26,20,4)/$B152)</f>
        <v>6.1199999999999997E-2</v>
      </c>
      <c r="N152" s="12">
        <f>IF($B152&lt;=3600000,$B152*INDEX(Parâmetros!$F$7:$M$26,ROUNDUP(($B152/180000),0),5)/$B152,$B152*INDEX(Parâmetros!$F$7:$M$26,20,5)/$B152)</f>
        <v>2.53E-2</v>
      </c>
      <c r="O152" s="12">
        <f>IF($B152&lt;=3600000,$B152*INDEX(Parâmetros!$F$7:$M$26,ROUNDUP(($B152/180000),0),6)/$B152,$B152*INDEX(Parâmetros!$F$7:$M$26,20,6)/$B152)</f>
        <v>5.7000000000000002E-3</v>
      </c>
      <c r="P152" s="12">
        <f>IF($B152&lt;=3600000,$B152*INDEX(Parâmetros!$F$7:$M$26,ROUNDUP(($B152/180000),0),7)/$B152,$B152*INDEX(Parâmetros!$F$7:$M$26,20,7)/$B152)</f>
        <v>2.63E-2</v>
      </c>
      <c r="Q152" s="12">
        <f>Parâmetros!$C$14*13.33*(Parâmetros!$C$15+FGTS)/B152</f>
        <v>1.05952E-4</v>
      </c>
      <c r="R152" s="12">
        <f>IF($B152&lt;=3600000,$B152*INDEX(Parâmetros!$F$7:$M$26,ROUNDUP(($B152/180000),0),8)/$B152,$B152*INDEX(Parâmetros!$F$7:$M$26,20,8)/$B152)</f>
        <v>0.05</v>
      </c>
      <c r="S152" s="23">
        <f t="shared" si="45"/>
        <v>0.168605952</v>
      </c>
      <c r="T152" s="12">
        <f t="shared" si="41"/>
        <v>0.2643748388815928</v>
      </c>
      <c r="U152" s="64">
        <v>0</v>
      </c>
      <c r="V152" s="64">
        <v>0</v>
      </c>
      <c r="W152" s="64">
        <v>0</v>
      </c>
      <c r="X152" s="64">
        <f t="shared" si="42"/>
        <v>4.4632452000000004E-4</v>
      </c>
      <c r="Y152" s="64">
        <v>0</v>
      </c>
      <c r="Z152" s="81">
        <f t="shared" si="46"/>
        <v>0.26482116340159279</v>
      </c>
      <c r="AB152" s="153">
        <f>Parâmetros!$M$74</f>
        <v>0.96257157833775664</v>
      </c>
    </row>
    <row r="153" spans="1:28" s="14" customFormat="1" x14ac:dyDescent="0.2">
      <c r="A153" s="1"/>
      <c r="B153" s="11">
        <f t="shared" si="47"/>
        <v>32000000</v>
      </c>
      <c r="C153" s="12">
        <f t="shared" si="37"/>
        <v>7.9250000000000001E-2</v>
      </c>
      <c r="D153" s="12">
        <f t="shared" si="38"/>
        <v>2.8799999999999999E-2</v>
      </c>
      <c r="E153" s="12">
        <f t="shared" si="39"/>
        <v>6.4999999999999997E-3</v>
      </c>
      <c r="F153" s="12">
        <f t="shared" si="40"/>
        <v>0.03</v>
      </c>
      <c r="G153" s="12">
        <f>Parâmetros!$C$14*13.33*(Parâmetros!$C$15+FGTS+Sist_S_SAT)/Dados!B153</f>
        <v>1.1363825000000002E-4</v>
      </c>
      <c r="H153" s="13">
        <f>B153*Parâmetros!$C$13/Dados!B153</f>
        <v>0.05</v>
      </c>
      <c r="I153" s="23">
        <f t="shared" si="43"/>
        <v>0.19466363824999999</v>
      </c>
      <c r="J153" s="178">
        <f>VLOOKUP(B153,LP_FX[],8,TRUE)*Parâmetros!$M$124/B153</f>
        <v>2.8964333947152147E-2</v>
      </c>
      <c r="K153" s="12">
        <f>Parâmetros!$C$20*(2*VLOOKUP(B153,LP_FX[],8,TRUE)/(VLOOKUP(B153,LP_FX[],1,TRUE)+VLOOKUP(B153,LP_FX[],2,TRUE)))</f>
        <v>3.8475908707280106E-2</v>
      </c>
      <c r="L153" s="163">
        <f t="shared" si="44"/>
        <v>0.2330259087072801</v>
      </c>
      <c r="M153" s="165">
        <f>IF($B153&lt;=3600000,$B153*INDEX(Parâmetros!$F$7:$M$26,ROUNDUP(($B153/180000),0),4)/$B153,$B153*INDEX(Parâmetros!$F$7:$M$26,20,4)/$B153)</f>
        <v>6.1199999999999997E-2</v>
      </c>
      <c r="N153" s="12">
        <f>IF($B153&lt;=3600000,$B153*INDEX(Parâmetros!$F$7:$M$26,ROUNDUP(($B153/180000),0),5)/$B153,$B153*INDEX(Parâmetros!$F$7:$M$26,20,5)/$B153)</f>
        <v>2.53E-2</v>
      </c>
      <c r="O153" s="12">
        <f>IF($B153&lt;=3600000,$B153*INDEX(Parâmetros!$F$7:$M$26,ROUNDUP(($B153/180000),0),6)/$B153,$B153*INDEX(Parâmetros!$F$7:$M$26,20,6)/$B153)</f>
        <v>5.7000000000000002E-3</v>
      </c>
      <c r="P153" s="12">
        <f>IF($B153&lt;=3600000,$B153*INDEX(Parâmetros!$F$7:$M$26,ROUNDUP(($B153/180000),0),7)/$B153,$B153*INDEX(Parâmetros!$F$7:$M$26,20,7)/$B153)</f>
        <v>2.63E-2</v>
      </c>
      <c r="Q153" s="12">
        <f>Parâmetros!$C$14*13.33*(Parâmetros!$C$15+FGTS)/B153</f>
        <v>1.0264100000000001E-4</v>
      </c>
      <c r="R153" s="12">
        <f>IF($B153&lt;=3600000,$B153*INDEX(Parâmetros!$F$7:$M$26,ROUNDUP(($B153/180000),0),8)/$B153,$B153*INDEX(Parâmetros!$F$7:$M$26,20,8)/$B153)</f>
        <v>0.05</v>
      </c>
      <c r="S153" s="23">
        <f t="shared" si="45"/>
        <v>0.168602641</v>
      </c>
      <c r="T153" s="12">
        <f t="shared" si="41"/>
        <v>0.26438522466788311</v>
      </c>
      <c r="U153" s="64">
        <v>0</v>
      </c>
      <c r="V153" s="64">
        <v>0</v>
      </c>
      <c r="W153" s="64">
        <v>0</v>
      </c>
      <c r="X153" s="64">
        <f t="shared" si="42"/>
        <v>4.3237687875000006E-4</v>
      </c>
      <c r="Y153" s="64">
        <v>0</v>
      </c>
      <c r="Z153" s="81">
        <f t="shared" si="46"/>
        <v>0.26481760154663309</v>
      </c>
      <c r="AB153" s="153">
        <f>Parâmetros!$M$74</f>
        <v>0.96257157833775664</v>
      </c>
    </row>
    <row r="154" spans="1:28" s="14" customFormat="1" x14ac:dyDescent="0.2">
      <c r="A154" s="1"/>
      <c r="B154" s="11">
        <f t="shared" si="47"/>
        <v>33000000</v>
      </c>
      <c r="C154" s="12">
        <f t="shared" si="37"/>
        <v>7.9272727272727272E-2</v>
      </c>
      <c r="D154" s="12">
        <f t="shared" si="38"/>
        <v>2.8799999999999999E-2</v>
      </c>
      <c r="E154" s="12">
        <f t="shared" si="39"/>
        <v>6.4999999999999997E-3</v>
      </c>
      <c r="F154" s="12">
        <f t="shared" si="40"/>
        <v>0.03</v>
      </c>
      <c r="G154" s="12">
        <f>Parâmetros!$C$14*13.33*(Parâmetros!$C$15+FGTS+Sist_S_SAT)/Dados!B154</f>
        <v>1.1019466666666668E-4</v>
      </c>
      <c r="H154" s="13">
        <f>B154*Parâmetros!$C$13/Dados!B154</f>
        <v>0.05</v>
      </c>
      <c r="I154" s="23">
        <f t="shared" si="43"/>
        <v>0.19468292193939396</v>
      </c>
      <c r="J154" s="178">
        <f>VLOOKUP(B154,LP_FX[],8,TRUE)*Parâmetros!$M$124/B154</f>
        <v>2.8086626857844507E-2</v>
      </c>
      <c r="K154" s="12">
        <f>Parâmetros!$C$20*(2*VLOOKUP(B154,LP_FX[],8,TRUE)/(VLOOKUP(B154,LP_FX[],1,TRUE)+VLOOKUP(B154,LP_FX[],2,TRUE)))</f>
        <v>3.8475908707280106E-2</v>
      </c>
      <c r="L154" s="163">
        <f t="shared" si="44"/>
        <v>0.23304863598000738</v>
      </c>
      <c r="M154" s="165">
        <f>IF($B154&lt;=3600000,$B154*INDEX(Parâmetros!$F$7:$M$26,ROUNDUP(($B154/180000),0),4)/$B154,$B154*INDEX(Parâmetros!$F$7:$M$26,20,4)/$B154)</f>
        <v>6.1199999999999997E-2</v>
      </c>
      <c r="N154" s="12">
        <f>IF($B154&lt;=3600000,$B154*INDEX(Parâmetros!$F$7:$M$26,ROUNDUP(($B154/180000),0),5)/$B154,$B154*INDEX(Parâmetros!$F$7:$M$26,20,5)/$B154)</f>
        <v>2.53E-2</v>
      </c>
      <c r="O154" s="12">
        <f>IF($B154&lt;=3600000,$B154*INDEX(Parâmetros!$F$7:$M$26,ROUNDUP(($B154/180000),0),6)/$B154,$B154*INDEX(Parâmetros!$F$7:$M$26,20,6)/$B154)</f>
        <v>5.7000000000000002E-3</v>
      </c>
      <c r="P154" s="12">
        <f>IF($B154&lt;=3600000,$B154*INDEX(Parâmetros!$F$7:$M$26,ROUNDUP(($B154/180000),0),7)/$B154,$B154*INDEX(Parâmetros!$F$7:$M$26,20,7)/$B154)</f>
        <v>2.63E-2</v>
      </c>
      <c r="Q154" s="12">
        <f>Parâmetros!$C$14*13.33*(Parâmetros!$C$15+FGTS)/B154</f>
        <v>9.9530666666666672E-5</v>
      </c>
      <c r="R154" s="12">
        <f>IF($B154&lt;=3600000,$B154*INDEX(Parâmetros!$F$7:$M$26,ROUNDUP(($B154/180000),0),8)/$B154,$B154*INDEX(Parâmetros!$F$7:$M$26,20,8)/$B154)</f>
        <v>0.05</v>
      </c>
      <c r="S154" s="23">
        <f t="shared" si="45"/>
        <v>0.16859953066666666</v>
      </c>
      <c r="T154" s="12">
        <f t="shared" si="41"/>
        <v>0.26439498101258008</v>
      </c>
      <c r="U154" s="64">
        <v>0</v>
      </c>
      <c r="V154" s="64">
        <v>0</v>
      </c>
      <c r="W154" s="64">
        <v>0</v>
      </c>
      <c r="X154" s="64">
        <f t="shared" si="42"/>
        <v>4.1927454909090916E-4</v>
      </c>
      <c r="Y154" s="64">
        <v>0</v>
      </c>
      <c r="Z154" s="81">
        <f t="shared" si="46"/>
        <v>0.26481425556167099</v>
      </c>
      <c r="AB154" s="153">
        <f>Parâmetros!$M$74</f>
        <v>0.96257157833775664</v>
      </c>
    </row>
    <row r="155" spans="1:28" s="14" customFormat="1" x14ac:dyDescent="0.2">
      <c r="A155" s="1"/>
      <c r="B155" s="11">
        <f t="shared" si="47"/>
        <v>34000000</v>
      </c>
      <c r="C155" s="12">
        <f t="shared" si="37"/>
        <v>7.929411764705882E-2</v>
      </c>
      <c r="D155" s="12">
        <f t="shared" si="38"/>
        <v>2.8799999999999999E-2</v>
      </c>
      <c r="E155" s="12">
        <f t="shared" si="39"/>
        <v>6.4999999999999997E-3</v>
      </c>
      <c r="F155" s="12">
        <f t="shared" si="40"/>
        <v>0.03</v>
      </c>
      <c r="G155" s="12">
        <f>Parâmetros!$C$14*13.33*(Parâmetros!$C$15+FGTS+Sist_S_SAT)/Dados!B155</f>
        <v>1.0695364705882355E-4</v>
      </c>
      <c r="H155" s="13">
        <f>B155*Parâmetros!$C$13/Dados!B155</f>
        <v>0.05</v>
      </c>
      <c r="I155" s="23">
        <f t="shared" si="43"/>
        <v>0.19470107129411762</v>
      </c>
      <c r="J155" s="178">
        <f>VLOOKUP(B155,LP_FX[],8,TRUE)*Parâmetros!$M$124/B155</f>
        <v>2.7260549597319668E-2</v>
      </c>
      <c r="K155" s="12">
        <f>Parâmetros!$C$20*(2*VLOOKUP(B155,LP_FX[],8,TRUE)/(VLOOKUP(B155,LP_FX[],1,TRUE)+VLOOKUP(B155,LP_FX[],2,TRUE)))</f>
        <v>3.8475908707280106E-2</v>
      </c>
      <c r="L155" s="163">
        <f t="shared" si="44"/>
        <v>0.23307002635433891</v>
      </c>
      <c r="M155" s="165">
        <f>IF($B155&lt;=3600000,$B155*INDEX(Parâmetros!$F$7:$M$26,ROUNDUP(($B155/180000),0),4)/$B155,$B155*INDEX(Parâmetros!$F$7:$M$26,20,4)/$B155)</f>
        <v>6.1199999999999997E-2</v>
      </c>
      <c r="N155" s="12">
        <f>IF($B155&lt;=3600000,$B155*INDEX(Parâmetros!$F$7:$M$26,ROUNDUP(($B155/180000),0),5)/$B155,$B155*INDEX(Parâmetros!$F$7:$M$26,20,5)/$B155)</f>
        <v>2.53E-2</v>
      </c>
      <c r="O155" s="12">
        <f>IF($B155&lt;=3600000,$B155*INDEX(Parâmetros!$F$7:$M$26,ROUNDUP(($B155/180000),0),6)/$B155,$B155*INDEX(Parâmetros!$F$7:$M$26,20,6)/$B155)</f>
        <v>5.7000000000000002E-3</v>
      </c>
      <c r="P155" s="12">
        <f>IF($B155&lt;=3600000,$B155*INDEX(Parâmetros!$F$7:$M$26,ROUNDUP(($B155/180000),0),7)/$B155,$B155*INDEX(Parâmetros!$F$7:$M$26,20,7)/$B155)</f>
        <v>2.63E-2</v>
      </c>
      <c r="Q155" s="12">
        <f>Parâmetros!$C$14*13.33*(Parâmetros!$C$15+FGTS)/B155</f>
        <v>9.6603294117647063E-5</v>
      </c>
      <c r="R155" s="12">
        <f>IF($B155&lt;=3600000,$B155*INDEX(Parâmetros!$F$7:$M$26,ROUNDUP(($B155/180000),0),8)/$B155,$B155*INDEX(Parâmetros!$F$7:$M$26,20,8)/$B155)</f>
        <v>0.05</v>
      </c>
      <c r="S155" s="23">
        <f t="shared" si="45"/>
        <v>0.16859660329411763</v>
      </c>
      <c r="T155" s="12">
        <f t="shared" si="41"/>
        <v>0.26440416345464784</v>
      </c>
      <c r="U155" s="64">
        <v>0</v>
      </c>
      <c r="V155" s="64">
        <v>0</v>
      </c>
      <c r="W155" s="64">
        <v>0</v>
      </c>
      <c r="X155" s="64">
        <f t="shared" si="42"/>
        <v>4.069429447058824E-4</v>
      </c>
      <c r="Y155" s="64">
        <v>0</v>
      </c>
      <c r="Z155" s="81">
        <f t="shared" si="46"/>
        <v>0.26481110639935374</v>
      </c>
      <c r="AB155" s="153">
        <f>Parâmetros!$M$74</f>
        <v>0.96257157833775664</v>
      </c>
    </row>
    <row r="156" spans="1:28" s="14" customFormat="1" x14ac:dyDescent="0.2">
      <c r="A156" s="1"/>
      <c r="B156" s="11">
        <f t="shared" si="47"/>
        <v>35000000</v>
      </c>
      <c r="C156" s="12">
        <f t="shared" si="37"/>
        <v>7.9314285714285712E-2</v>
      </c>
      <c r="D156" s="12">
        <f t="shared" si="38"/>
        <v>2.8799999999999999E-2</v>
      </c>
      <c r="E156" s="12">
        <f t="shared" si="39"/>
        <v>6.4999999999999997E-3</v>
      </c>
      <c r="F156" s="12">
        <f t="shared" si="40"/>
        <v>0.03</v>
      </c>
      <c r="G156" s="12">
        <f>Parâmetros!$C$14*13.33*(Parâmetros!$C$15+FGTS+Sist_S_SAT)/Dados!B156</f>
        <v>1.0389782857142859E-4</v>
      </c>
      <c r="H156" s="13">
        <f>B156*Parâmetros!$C$13/Dados!B156</f>
        <v>0.05</v>
      </c>
      <c r="I156" s="23">
        <f t="shared" si="43"/>
        <v>0.19471818354285714</v>
      </c>
      <c r="J156" s="178">
        <f>VLOOKUP(B156,LP_FX[],8,TRUE)*Parâmetros!$M$124/B156</f>
        <v>2.6481676751681962E-2</v>
      </c>
      <c r="K156" s="12">
        <f>Parâmetros!$C$20*(2*VLOOKUP(B156,LP_FX[],8,TRUE)/(VLOOKUP(B156,LP_FX[],1,TRUE)+VLOOKUP(B156,LP_FX[],2,TRUE)))</f>
        <v>3.8475908707280106E-2</v>
      </c>
      <c r="L156" s="163">
        <f t="shared" si="44"/>
        <v>0.23309019442156584</v>
      </c>
      <c r="M156" s="165">
        <f>IF($B156&lt;=3600000,$B156*INDEX(Parâmetros!$F$7:$M$26,ROUNDUP(($B156/180000),0),4)/$B156,$B156*INDEX(Parâmetros!$F$7:$M$26,20,4)/$B156)</f>
        <v>6.1199999999999997E-2</v>
      </c>
      <c r="N156" s="12">
        <f>IF($B156&lt;=3600000,$B156*INDEX(Parâmetros!$F$7:$M$26,ROUNDUP(($B156/180000),0),5)/$B156,$B156*INDEX(Parâmetros!$F$7:$M$26,20,5)/$B156)</f>
        <v>2.53E-2</v>
      </c>
      <c r="O156" s="12">
        <f>IF($B156&lt;=3600000,$B156*INDEX(Parâmetros!$F$7:$M$26,ROUNDUP(($B156/180000),0),6)/$B156,$B156*INDEX(Parâmetros!$F$7:$M$26,20,6)/$B156)</f>
        <v>5.7000000000000002E-3</v>
      </c>
      <c r="P156" s="12">
        <f>IF($B156&lt;=3600000,$B156*INDEX(Parâmetros!$F$7:$M$26,ROUNDUP(($B156/180000),0),7)/$B156,$B156*INDEX(Parâmetros!$F$7:$M$26,20,7)/$B156)</f>
        <v>2.63E-2</v>
      </c>
      <c r="Q156" s="12">
        <f>Parâmetros!$C$14*13.33*(Parâmetros!$C$15+FGTS)/B156</f>
        <v>9.3843200000000003E-5</v>
      </c>
      <c r="R156" s="12">
        <f>IF($B156&lt;=3600000,$B156*INDEX(Parâmetros!$F$7:$M$26,ROUNDUP(($B156/180000),0),8)/$B156,$B156*INDEX(Parâmetros!$F$7:$M$26,20,8)/$B156)</f>
        <v>0.05</v>
      </c>
      <c r="S156" s="23">
        <f t="shared" si="45"/>
        <v>0.16859384319999998</v>
      </c>
      <c r="T156" s="12">
        <f t="shared" si="41"/>
        <v>0.26441282118574022</v>
      </c>
      <c r="U156" s="64">
        <v>0</v>
      </c>
      <c r="V156" s="64">
        <v>0</v>
      </c>
      <c r="W156" s="64">
        <v>0</v>
      </c>
      <c r="X156" s="64">
        <f t="shared" si="42"/>
        <v>3.9531600342857149E-4</v>
      </c>
      <c r="Y156" s="64">
        <v>0</v>
      </c>
      <c r="Z156" s="81">
        <f t="shared" si="46"/>
        <v>0.26480813718916879</v>
      </c>
      <c r="AB156" s="153">
        <f>Parâmetros!$M$74</f>
        <v>0.96257157833775664</v>
      </c>
    </row>
    <row r="157" spans="1:28" s="14" customFormat="1" x14ac:dyDescent="0.2">
      <c r="A157" s="1"/>
      <c r="B157" s="11">
        <f t="shared" si="47"/>
        <v>36000000</v>
      </c>
      <c r="C157" s="12">
        <f t="shared" ref="C157:C169" si="48">IF($B157&lt;=240000/BC_IR,($B157*(Al_IR)*BC_IR)/$B157,($B157*(Al_IR)*BC_IR+($B157-(240000/BC_IR))*BC_IR*Al_aIR)/$B157)</f>
        <v>7.9333333333333339E-2</v>
      </c>
      <c r="D157" s="12">
        <f t="shared" ref="D157:D169" si="49">$B157*(Al_CS)*BC_CS/$B157</f>
        <v>2.8799999999999999E-2</v>
      </c>
      <c r="E157" s="12">
        <f t="shared" si="39"/>
        <v>6.4999999999999997E-3</v>
      </c>
      <c r="F157" s="12">
        <f t="shared" si="40"/>
        <v>0.03</v>
      </c>
      <c r="G157" s="12">
        <f>Parâmetros!$C$14*13.33*(Parâmetros!$C$15+FGTS+Sist_S_SAT)/Dados!B157</f>
        <v>1.010117777777778E-4</v>
      </c>
      <c r="H157" s="13">
        <f>B157*Parâmetros!$C$13/Dados!B157</f>
        <v>0.05</v>
      </c>
      <c r="I157" s="23">
        <f t="shared" si="43"/>
        <v>0.1947343451111111</v>
      </c>
      <c r="J157" s="178">
        <f>VLOOKUP(B157,LP_FX[],8,TRUE)*Parâmetros!$M$124/B157</f>
        <v>2.5746074619690796E-2</v>
      </c>
      <c r="K157" s="12">
        <f>Parâmetros!$C$20*(2*VLOOKUP(B157,LP_FX[],8,TRUE)/(VLOOKUP(B157,LP_FX[],1,TRUE)+VLOOKUP(B157,LP_FX[],2,TRUE)))</f>
        <v>3.8475908707280106E-2</v>
      </c>
      <c r="L157" s="163">
        <f t="shared" si="44"/>
        <v>0.23310924204061342</v>
      </c>
      <c r="M157" s="165">
        <f>IF($B157&lt;=3600000,$B157*INDEX(Parâmetros!$F$7:$M$26,ROUNDUP(($B157/180000),0),4)/$B157,$B157*INDEX(Parâmetros!$F$7:$M$26,20,4)/$B157)</f>
        <v>6.1199999999999997E-2</v>
      </c>
      <c r="N157" s="12">
        <f>IF($B157&lt;=3600000,$B157*INDEX(Parâmetros!$F$7:$M$26,ROUNDUP(($B157/180000),0),5)/$B157,$B157*INDEX(Parâmetros!$F$7:$M$26,20,5)/$B157)</f>
        <v>2.53E-2</v>
      </c>
      <c r="O157" s="12">
        <f>IF($B157&lt;=3600000,$B157*INDEX(Parâmetros!$F$7:$M$26,ROUNDUP(($B157/180000),0),6)/$B157,$B157*INDEX(Parâmetros!$F$7:$M$26,20,6)/$B157)</f>
        <v>5.7000000000000002E-3</v>
      </c>
      <c r="P157" s="12">
        <f>IF($B157&lt;=3600000,$B157*INDEX(Parâmetros!$F$7:$M$26,ROUNDUP(($B157/180000),0),7)/$B157,$B157*INDEX(Parâmetros!$F$7:$M$26,20,7)/$B157)</f>
        <v>2.63E-2</v>
      </c>
      <c r="Q157" s="12">
        <f>Parâmetros!$C$14*13.33*(Parâmetros!$C$15+FGTS)/B157</f>
        <v>9.1236444444444455E-5</v>
      </c>
      <c r="R157" s="12">
        <f>IF($B157&lt;=3600000,$B157*INDEX(Parâmetros!$F$7:$M$26,ROUNDUP(($B157/180000),0),8)/$B157,$B157*INDEX(Parâmetros!$F$7:$M$26,20,8)/$B157)</f>
        <v>0.05</v>
      </c>
      <c r="S157" s="23">
        <f t="shared" si="45"/>
        <v>0.16859123644444446</v>
      </c>
      <c r="T157" s="12">
        <f t="shared" si="41"/>
        <v>0.26442099793177204</v>
      </c>
      <c r="U157" s="64">
        <v>0</v>
      </c>
      <c r="V157" s="64">
        <v>0</v>
      </c>
      <c r="W157" s="64">
        <v>0</v>
      </c>
      <c r="X157" s="64">
        <f t="shared" si="42"/>
        <v>3.8433500333333336E-4</v>
      </c>
      <c r="Y157" s="64">
        <v>0</v>
      </c>
      <c r="Z157" s="81">
        <f t="shared" si="46"/>
        <v>0.26480533293510539</v>
      </c>
      <c r="AB157" s="153">
        <f>Parâmetros!$M$74</f>
        <v>0.96257157833775664</v>
      </c>
    </row>
    <row r="158" spans="1:28" s="14" customFormat="1" x14ac:dyDescent="0.2">
      <c r="A158" s="1"/>
      <c r="B158" s="11">
        <f t="shared" si="47"/>
        <v>37000000</v>
      </c>
      <c r="C158" s="12">
        <f t="shared" si="48"/>
        <v>7.9351351351351351E-2</v>
      </c>
      <c r="D158" s="12">
        <f t="shared" si="49"/>
        <v>2.8799999999999999E-2</v>
      </c>
      <c r="E158" s="12">
        <f t="shared" si="39"/>
        <v>6.4999999999999997E-3</v>
      </c>
      <c r="F158" s="12">
        <f t="shared" si="40"/>
        <v>0.03</v>
      </c>
      <c r="G158" s="12">
        <f>Parâmetros!$C$14*13.33*(Parâmetros!$C$15+FGTS+Sist_S_SAT)/Dados!B158</f>
        <v>9.8281729729729744E-5</v>
      </c>
      <c r="H158" s="13">
        <f>B158*Parâmetros!$C$13/Dados!B158</f>
        <v>0.05</v>
      </c>
      <c r="I158" s="23">
        <f t="shared" si="43"/>
        <v>0.19474963308108106</v>
      </c>
      <c r="J158" s="178">
        <f>VLOOKUP(B158,LP_FX[],8,TRUE)*Parâmetros!$M$124/B158</f>
        <v>2.5050234765104561E-2</v>
      </c>
      <c r="K158" s="12">
        <f>Parâmetros!$C$20*(2*VLOOKUP(B158,LP_FX[],8,TRUE)/(VLOOKUP(B158,LP_FX[],1,TRUE)+VLOOKUP(B158,LP_FX[],2,TRUE)))</f>
        <v>3.8475908707280106E-2</v>
      </c>
      <c r="L158" s="163">
        <f t="shared" si="44"/>
        <v>0.23312726005863146</v>
      </c>
      <c r="M158" s="165">
        <f>IF($B158&lt;=3600000,$B158*INDEX(Parâmetros!$F$7:$M$26,ROUNDUP(($B158/180000),0),4)/$B158,$B158*INDEX(Parâmetros!$F$7:$M$26,20,4)/$B158)</f>
        <v>6.1199999999999997E-2</v>
      </c>
      <c r="N158" s="12">
        <f>IF($B158&lt;=3600000,$B158*INDEX(Parâmetros!$F$7:$M$26,ROUNDUP(($B158/180000),0),5)/$B158,$B158*INDEX(Parâmetros!$F$7:$M$26,20,5)/$B158)</f>
        <v>2.53E-2</v>
      </c>
      <c r="O158" s="12">
        <f>IF($B158&lt;=3600000,$B158*INDEX(Parâmetros!$F$7:$M$26,ROUNDUP(($B158/180000),0),6)/$B158,$B158*INDEX(Parâmetros!$F$7:$M$26,20,6)/$B158)</f>
        <v>5.7000000000000002E-3</v>
      </c>
      <c r="P158" s="12">
        <f>IF($B158&lt;=3600000,$B158*INDEX(Parâmetros!$F$7:$M$26,ROUNDUP(($B158/180000),0),7)/$B158,$B158*INDEX(Parâmetros!$F$7:$M$26,20,7)/$B158)</f>
        <v>2.63E-2</v>
      </c>
      <c r="Q158" s="12">
        <f>Parâmetros!$C$14*13.33*(Parâmetros!$C$15+FGTS)/B158</f>
        <v>8.8770594594594595E-5</v>
      </c>
      <c r="R158" s="12">
        <f>IF($B158&lt;=3600000,$B158*INDEX(Parâmetros!$F$7:$M$26,ROUNDUP(($B158/180000),0),8)/$B158,$B158*INDEX(Parâmetros!$F$7:$M$26,20,8)/$B158)</f>
        <v>0.05</v>
      </c>
      <c r="S158" s="23">
        <f t="shared" si="45"/>
        <v>0.16858877059459459</v>
      </c>
      <c r="T158" s="12">
        <f t="shared" si="41"/>
        <v>0.26442873269153178</v>
      </c>
      <c r="U158" s="64">
        <v>0</v>
      </c>
      <c r="V158" s="64">
        <v>0</v>
      </c>
      <c r="W158" s="64">
        <v>0</v>
      </c>
      <c r="X158" s="64">
        <f t="shared" si="42"/>
        <v>3.7394757081081085E-4</v>
      </c>
      <c r="Y158" s="64">
        <v>0</v>
      </c>
      <c r="Z158" s="81">
        <f t="shared" si="46"/>
        <v>0.2648026802623426</v>
      </c>
      <c r="AB158" s="153">
        <f>Parâmetros!$M$74</f>
        <v>0.96257157833775664</v>
      </c>
    </row>
    <row r="159" spans="1:28" s="14" customFormat="1" x14ac:dyDescent="0.2">
      <c r="A159" s="1"/>
      <c r="B159" s="11">
        <f t="shared" si="47"/>
        <v>38000000</v>
      </c>
      <c r="C159" s="12">
        <f t="shared" si="48"/>
        <v>7.9368421052631574E-2</v>
      </c>
      <c r="D159" s="12">
        <f t="shared" si="49"/>
        <v>2.8799999999999999E-2</v>
      </c>
      <c r="E159" s="12">
        <f t="shared" si="39"/>
        <v>6.4999999999999997E-3</v>
      </c>
      <c r="F159" s="12">
        <f t="shared" si="40"/>
        <v>0.03</v>
      </c>
      <c r="G159" s="12">
        <f>Parâmetros!$C$14*13.33*(Parâmetros!$C$15+FGTS+Sist_S_SAT)/Dados!B159</f>
        <v>9.5695368421052642E-5</v>
      </c>
      <c r="H159" s="13">
        <f>B159*Parâmetros!$C$13/Dados!B159</f>
        <v>0.05</v>
      </c>
      <c r="I159" s="23">
        <f t="shared" si="43"/>
        <v>0.19476411642105262</v>
      </c>
      <c r="J159" s="178">
        <f>VLOOKUP(B159,LP_FX[],8,TRUE)*Parâmetros!$M$124/B159</f>
        <v>2.4391018060759703E-2</v>
      </c>
      <c r="K159" s="12">
        <f>Parâmetros!$C$20*(2*VLOOKUP(B159,LP_FX[],8,TRUE)/(VLOOKUP(B159,LP_FX[],1,TRUE)+VLOOKUP(B159,LP_FX[],2,TRUE)))</f>
        <v>3.8475908707280106E-2</v>
      </c>
      <c r="L159" s="163">
        <f t="shared" si="44"/>
        <v>0.2331443297599117</v>
      </c>
      <c r="M159" s="165">
        <f>IF($B159&lt;=3600000,$B159*INDEX(Parâmetros!$F$7:$M$26,ROUNDUP(($B159/180000),0),4)/$B159,$B159*INDEX(Parâmetros!$F$7:$M$26,20,4)/$B159)</f>
        <v>6.1199999999999997E-2</v>
      </c>
      <c r="N159" s="12">
        <f>IF($B159&lt;=3600000,$B159*INDEX(Parâmetros!$F$7:$M$26,ROUNDUP(($B159/180000),0),5)/$B159,$B159*INDEX(Parâmetros!$F$7:$M$26,20,5)/$B159)</f>
        <v>2.53E-2</v>
      </c>
      <c r="O159" s="12">
        <f>IF($B159&lt;=3600000,$B159*INDEX(Parâmetros!$F$7:$M$26,ROUNDUP(($B159/180000),0),6)/$B159,$B159*INDEX(Parâmetros!$F$7:$M$26,20,6)/$B159)</f>
        <v>5.7000000000000002E-3</v>
      </c>
      <c r="P159" s="12">
        <f>IF($B159&lt;=3600000,$B159*INDEX(Parâmetros!$F$7:$M$26,ROUNDUP(($B159/180000),0),7)/$B159,$B159*INDEX(Parâmetros!$F$7:$M$26,20,7)/$B159)</f>
        <v>2.63E-2</v>
      </c>
      <c r="Q159" s="12">
        <f>Parâmetros!$C$14*13.33*(Parâmetros!$C$15+FGTS)/B159</f>
        <v>8.6434526315789473E-5</v>
      </c>
      <c r="R159" s="12">
        <f>IF($B159&lt;=3600000,$B159*INDEX(Parâmetros!$F$7:$M$26,ROUNDUP(($B159/180000),0),8)/$B159,$B159*INDEX(Parâmetros!$F$7:$M$26,20,8)/$B159)</f>
        <v>0.05</v>
      </c>
      <c r="S159" s="23">
        <f t="shared" si="45"/>
        <v>0.16858643452631578</v>
      </c>
      <c r="T159" s="12">
        <f t="shared" si="41"/>
        <v>0.26443606035867262</v>
      </c>
      <c r="U159" s="64">
        <v>0</v>
      </c>
      <c r="V159" s="64">
        <v>0</v>
      </c>
      <c r="W159" s="64">
        <v>0</v>
      </c>
      <c r="X159" s="64">
        <f t="shared" si="42"/>
        <v>3.6410684526315797E-4</v>
      </c>
      <c r="Y159" s="64">
        <v>0</v>
      </c>
      <c r="Z159" s="81">
        <f t="shared" si="46"/>
        <v>0.26480016720393579</v>
      </c>
      <c r="AB159" s="153">
        <f>Parâmetros!$M$74</f>
        <v>0.96257157833775664</v>
      </c>
    </row>
    <row r="160" spans="1:28" s="14" customFormat="1" x14ac:dyDescent="0.2">
      <c r="A160" s="1"/>
      <c r="B160" s="11">
        <f t="shared" si="47"/>
        <v>39000000</v>
      </c>
      <c r="C160" s="12">
        <f t="shared" si="48"/>
        <v>7.9384615384615387E-2</v>
      </c>
      <c r="D160" s="12">
        <f t="shared" si="49"/>
        <v>2.8799999999999999E-2</v>
      </c>
      <c r="E160" s="12">
        <f t="shared" si="39"/>
        <v>6.4999999999999997E-3</v>
      </c>
      <c r="F160" s="12">
        <f t="shared" si="40"/>
        <v>0.03</v>
      </c>
      <c r="G160" s="12">
        <f>Parâmetros!$C$14*13.33*(Parâmetros!$C$15+FGTS+Sist_S_SAT)/Dados!B160</f>
        <v>9.324164102564104E-5</v>
      </c>
      <c r="H160" s="13">
        <f>B160*Parâmetros!$C$13/Dados!B160</f>
        <v>0.05</v>
      </c>
      <c r="I160" s="23">
        <f t="shared" si="43"/>
        <v>0.19477785702564104</v>
      </c>
      <c r="J160" s="178">
        <f>VLOOKUP(B160,LP_FX[],8,TRUE)*Parâmetros!$M$124/B160</f>
        <v>2.3765607341253044E-2</v>
      </c>
      <c r="K160" s="12">
        <f>Parâmetros!$C$20*(2*VLOOKUP(B160,LP_FX[],8,TRUE)/(VLOOKUP(B160,LP_FX[],1,TRUE)+VLOOKUP(B160,LP_FX[],2,TRUE)))</f>
        <v>3.8475908707280106E-2</v>
      </c>
      <c r="L160" s="163">
        <f t="shared" si="44"/>
        <v>0.2331605240918955</v>
      </c>
      <c r="M160" s="165">
        <f>IF($B160&lt;=3600000,$B160*INDEX(Parâmetros!$F$7:$M$26,ROUNDUP(($B160/180000),0),4)/$B160,$B160*INDEX(Parâmetros!$F$7:$M$26,20,4)/$B160)</f>
        <v>6.1199999999999997E-2</v>
      </c>
      <c r="N160" s="12">
        <f>IF($B160&lt;=3600000,$B160*INDEX(Parâmetros!$F$7:$M$26,ROUNDUP(($B160/180000),0),5)/$B160,$B160*INDEX(Parâmetros!$F$7:$M$26,20,5)/$B160)</f>
        <v>2.53E-2</v>
      </c>
      <c r="O160" s="12">
        <f>IF($B160&lt;=3600000,$B160*INDEX(Parâmetros!$F$7:$M$26,ROUNDUP(($B160/180000),0),6)/$B160,$B160*INDEX(Parâmetros!$F$7:$M$26,20,6)/$B160)</f>
        <v>5.7000000000000002E-3</v>
      </c>
      <c r="P160" s="12">
        <f>IF($B160&lt;=3600000,$B160*INDEX(Parâmetros!$F$7:$M$26,ROUNDUP(($B160/180000),0),7)/$B160,$B160*INDEX(Parâmetros!$F$7:$M$26,20,7)/$B160)</f>
        <v>2.63E-2</v>
      </c>
      <c r="Q160" s="12">
        <f>Parâmetros!$C$14*13.33*(Parâmetros!$C$15+FGTS)/B160</f>
        <v>8.4218256410256416E-5</v>
      </c>
      <c r="R160" s="12">
        <f>IF($B160&lt;=3600000,$B160*INDEX(Parâmetros!$F$7:$M$26,ROUNDUP(($B160/180000),0),8)/$B160,$B160*INDEX(Parâmetros!$F$7:$M$26,20,8)/$B160)</f>
        <v>0.05</v>
      </c>
      <c r="S160" s="23">
        <f t="shared" si="45"/>
        <v>0.16858421825641023</v>
      </c>
      <c r="T160" s="12">
        <f t="shared" si="41"/>
        <v>0.26444301224801137</v>
      </c>
      <c r="U160" s="64">
        <v>0</v>
      </c>
      <c r="V160" s="64">
        <v>0</v>
      </c>
      <c r="W160" s="64">
        <v>0</v>
      </c>
      <c r="X160" s="64">
        <f t="shared" si="42"/>
        <v>3.5477077230769237E-4</v>
      </c>
      <c r="Y160" s="64">
        <v>0</v>
      </c>
      <c r="Z160" s="81">
        <f t="shared" si="46"/>
        <v>0.26479778302031903</v>
      </c>
      <c r="AB160" s="153">
        <f>Parâmetros!$M$74</f>
        <v>0.96257157833775664</v>
      </c>
    </row>
    <row r="161" spans="1:28" s="14" customFormat="1" x14ac:dyDescent="0.2">
      <c r="A161" s="1"/>
      <c r="B161" s="11">
        <f t="shared" si="47"/>
        <v>40000000</v>
      </c>
      <c r="C161" s="12">
        <f t="shared" si="48"/>
        <v>7.9399999999999998E-2</v>
      </c>
      <c r="D161" s="12">
        <f t="shared" si="49"/>
        <v>2.8799999999999999E-2</v>
      </c>
      <c r="E161" s="12">
        <f t="shared" si="39"/>
        <v>6.4999999999999997E-3</v>
      </c>
      <c r="F161" s="12">
        <f t="shared" si="40"/>
        <v>0.03</v>
      </c>
      <c r="G161" s="12">
        <f>Parâmetros!$C$14*13.33*(Parâmetros!$C$15+FGTS+Sist_S_SAT)/Dados!B161</f>
        <v>9.091060000000001E-5</v>
      </c>
      <c r="H161" s="13">
        <f>B161*Parâmetros!$C$13/Dados!B161</f>
        <v>0.05</v>
      </c>
      <c r="I161" s="23">
        <f t="shared" si="43"/>
        <v>0.19479091059999998</v>
      </c>
      <c r="J161" s="178">
        <f>VLOOKUP(B161,LP_FX[],8,TRUE)*Parâmetros!$M$124/B161</f>
        <v>2.3171467157721719E-2</v>
      </c>
      <c r="K161" s="12">
        <f>Parâmetros!$C$20*(2*VLOOKUP(B161,LP_FX[],8,TRUE)/(VLOOKUP(B161,LP_FX[],1,TRUE)+VLOOKUP(B161,LP_FX[],2,TRUE)))</f>
        <v>3.8475908707280106E-2</v>
      </c>
      <c r="L161" s="163">
        <f t="shared" si="44"/>
        <v>0.23317590870728008</v>
      </c>
      <c r="M161" s="165">
        <f>IF($B161&lt;=3600000,$B161*INDEX(Parâmetros!$F$7:$M$26,ROUNDUP(($B161/180000),0),4)/$B161,$B161*INDEX(Parâmetros!$F$7:$M$26,20,4)/$B161)</f>
        <v>6.1199999999999997E-2</v>
      </c>
      <c r="N161" s="12">
        <f>IF($B161&lt;=3600000,$B161*INDEX(Parâmetros!$F$7:$M$26,ROUNDUP(($B161/180000),0),5)/$B161,$B161*INDEX(Parâmetros!$F$7:$M$26,20,5)/$B161)</f>
        <v>2.53E-2</v>
      </c>
      <c r="O161" s="12">
        <f>IF($B161&lt;=3600000,$B161*INDEX(Parâmetros!$F$7:$M$26,ROUNDUP(($B161/180000),0),6)/$B161,$B161*INDEX(Parâmetros!$F$7:$M$26,20,6)/$B161)</f>
        <v>5.7000000000000002E-3</v>
      </c>
      <c r="P161" s="12">
        <f>IF($B161&lt;=3600000,$B161*INDEX(Parâmetros!$F$7:$M$26,ROUNDUP(($B161/180000),0),7)/$B161,$B161*INDEX(Parâmetros!$F$7:$M$26,20,7)/$B161)</f>
        <v>2.63E-2</v>
      </c>
      <c r="Q161" s="12">
        <f>Parâmetros!$C$14*13.33*(Parâmetros!$C$15+FGTS)/B161</f>
        <v>8.2112800000000004E-5</v>
      </c>
      <c r="R161" s="12">
        <f>IF($B161&lt;=3600000,$B161*INDEX(Parâmetros!$F$7:$M$26,ROUNDUP(($B161/180000),0),8)/$B161,$B161*INDEX(Parâmetros!$F$7:$M$26,20,8)/$B161)</f>
        <v>0.05</v>
      </c>
      <c r="S161" s="23">
        <f t="shared" si="45"/>
        <v>0.16858211280000002</v>
      </c>
      <c r="T161" s="12">
        <f t="shared" si="41"/>
        <v>0.26444961654288313</v>
      </c>
      <c r="U161" s="64">
        <v>0</v>
      </c>
      <c r="V161" s="64">
        <v>0</v>
      </c>
      <c r="W161" s="64">
        <v>0</v>
      </c>
      <c r="X161" s="64">
        <f t="shared" si="42"/>
        <v>3.4590150300000007E-4</v>
      </c>
      <c r="Y161" s="64">
        <v>0</v>
      </c>
      <c r="Z161" s="81">
        <f t="shared" si="46"/>
        <v>0.26479551804588314</v>
      </c>
      <c r="AB161" s="153">
        <f>Parâmetros!$M$74</f>
        <v>0.96257157833775664</v>
      </c>
    </row>
    <row r="162" spans="1:28" s="14" customFormat="1" x14ac:dyDescent="0.2">
      <c r="A162" s="1"/>
      <c r="B162" s="11">
        <f t="shared" si="47"/>
        <v>41000000</v>
      </c>
      <c r="C162" s="12">
        <f t="shared" si="48"/>
        <v>7.9414634146341465E-2</v>
      </c>
      <c r="D162" s="12">
        <f t="shared" si="49"/>
        <v>2.8799999999999999E-2</v>
      </c>
      <c r="E162" s="12">
        <f t="shared" si="39"/>
        <v>6.4999999999999997E-3</v>
      </c>
      <c r="F162" s="12">
        <f t="shared" si="40"/>
        <v>0.03</v>
      </c>
      <c r="G162" s="12">
        <f>Parâmetros!$C$14*13.33*(Parâmetros!$C$15+FGTS+Sist_S_SAT)/Dados!B162</f>
        <v>8.8693268292682937E-5</v>
      </c>
      <c r="H162" s="13">
        <f>B162*Parâmetros!$C$13/Dados!B162</f>
        <v>0.05</v>
      </c>
      <c r="I162" s="23">
        <f t="shared" si="43"/>
        <v>0.19480332741463419</v>
      </c>
      <c r="J162" s="178">
        <f>VLOOKUP(B162,LP_FX[],8,TRUE)*Parâmetros!$M$124/B162</f>
        <v>2.1832504288050527E-2</v>
      </c>
      <c r="K162" s="12">
        <f>Parâmetros!$C$20*(2*VLOOKUP(B162,LP_FX[],8,TRUE)/(VLOOKUP(B162,LP_FX[],1,TRUE)+VLOOKUP(B162,LP_FX[],2,TRUE)))</f>
        <v>2.9558210654767839E-2</v>
      </c>
      <c r="L162" s="163">
        <f t="shared" si="44"/>
        <v>0.22427284480110932</v>
      </c>
      <c r="M162" s="165">
        <f>IF($B162&lt;=3600000,$B162*INDEX(Parâmetros!$F$7:$M$26,ROUNDUP(($B162/180000),0),4)/$B162,$B162*INDEX(Parâmetros!$F$7:$M$26,20,4)/$B162)</f>
        <v>6.1199999999999997E-2</v>
      </c>
      <c r="N162" s="12">
        <f>IF($B162&lt;=3600000,$B162*INDEX(Parâmetros!$F$7:$M$26,ROUNDUP(($B162/180000),0),5)/$B162,$B162*INDEX(Parâmetros!$F$7:$M$26,20,5)/$B162)</f>
        <v>2.53E-2</v>
      </c>
      <c r="O162" s="12">
        <f>IF($B162&lt;=3600000,$B162*INDEX(Parâmetros!$F$7:$M$26,ROUNDUP(($B162/180000),0),6)/$B162,$B162*INDEX(Parâmetros!$F$7:$M$26,20,6)/$B162)</f>
        <v>5.7000000000000002E-3</v>
      </c>
      <c r="P162" s="12">
        <f>IF($B162&lt;=3600000,$B162*INDEX(Parâmetros!$F$7:$M$26,ROUNDUP(($B162/180000),0),7)/$B162,$B162*INDEX(Parâmetros!$F$7:$M$26,20,7)/$B162)</f>
        <v>2.63E-2</v>
      </c>
      <c r="Q162" s="12">
        <f>Parâmetros!$C$14*13.33*(Parâmetros!$C$15+FGTS)/B162</f>
        <v>8.0110048780487804E-5</v>
      </c>
      <c r="R162" s="12">
        <f>IF($B162&lt;=3600000,$B162*INDEX(Parâmetros!$F$7:$M$26,ROUNDUP(($B162/180000),0),8)/$B162,$B162*INDEX(Parâmetros!$F$7:$M$26,20,8)/$B162)</f>
        <v>0.05</v>
      </c>
      <c r="S162" s="23">
        <f t="shared" si="45"/>
        <v>0.16858011004878048</v>
      </c>
      <c r="T162" s="12">
        <f t="shared" si="41"/>
        <v>0.26766220618713543</v>
      </c>
      <c r="U162" s="64">
        <v>0</v>
      </c>
      <c r="V162" s="64">
        <v>0</v>
      </c>
      <c r="W162" s="64">
        <v>0</v>
      </c>
      <c r="X162" s="64">
        <f t="shared" si="42"/>
        <v>3.3746488097560978E-4</v>
      </c>
      <c r="Y162" s="64">
        <v>0</v>
      </c>
      <c r="Z162" s="81">
        <f t="shared" si="46"/>
        <v>0.26799967106811107</v>
      </c>
      <c r="AB162" s="153">
        <f>Parâmetros!$M$75</f>
        <v>0.97423087837450573</v>
      </c>
    </row>
    <row r="163" spans="1:28" s="14" customFormat="1" x14ac:dyDescent="0.2">
      <c r="A163" s="1"/>
      <c r="B163" s="11">
        <f>B162+1000000</f>
        <v>42000000</v>
      </c>
      <c r="C163" s="12">
        <f t="shared" si="48"/>
        <v>7.9428571428571432E-2</v>
      </c>
      <c r="D163" s="12">
        <f t="shared" si="49"/>
        <v>2.8799999999999999E-2</v>
      </c>
      <c r="E163" s="12">
        <f t="shared" si="39"/>
        <v>6.4999999999999997E-3</v>
      </c>
      <c r="F163" s="12">
        <f t="shared" si="40"/>
        <v>0.03</v>
      </c>
      <c r="G163" s="12">
        <f>Parâmetros!$C$14*13.33*(Parâmetros!$C$15+FGTS+Sist_S_SAT)/Dados!B163</f>
        <v>8.6581523809523822E-5</v>
      </c>
      <c r="H163" s="13">
        <f>B163*Parâmetros!$C$13/Dados!B163</f>
        <v>0.05</v>
      </c>
      <c r="I163" s="23">
        <f t="shared" si="43"/>
        <v>0.19481515295238094</v>
      </c>
      <c r="J163" s="178">
        <f>VLOOKUP(B163,LP_FX[],8,TRUE)*Parâmetros!$M$124/B163</f>
        <v>2.131268275738266E-2</v>
      </c>
      <c r="K163" s="12">
        <f>Parâmetros!$C$20*(2*VLOOKUP(B163,LP_FX[],8,TRUE)/(VLOOKUP(B163,LP_FX[],1,TRUE)+VLOOKUP(B163,LP_FX[],2,TRUE)))</f>
        <v>2.9558210654767839E-2</v>
      </c>
      <c r="L163" s="163">
        <f t="shared" si="44"/>
        <v>0.22428678208333924</v>
      </c>
      <c r="M163" s="165">
        <f>IF($B163&lt;=3600000,$B163*INDEX(Parâmetros!$F$7:$M$26,ROUNDUP(($B163/180000),0),4)/$B163,$B163*INDEX(Parâmetros!$F$7:$M$26,20,4)/$B163)</f>
        <v>6.1199999999999997E-2</v>
      </c>
      <c r="N163" s="12">
        <f>IF($B163&lt;=3600000,$B163*INDEX(Parâmetros!$F$7:$M$26,ROUNDUP(($B163/180000),0),5)/$B163,$B163*INDEX(Parâmetros!$F$7:$M$26,20,5)/$B163)</f>
        <v>2.53E-2</v>
      </c>
      <c r="O163" s="12">
        <f>IF($B163&lt;=3600000,$B163*INDEX(Parâmetros!$F$7:$M$26,ROUNDUP(($B163/180000),0),6)/$B163,$B163*INDEX(Parâmetros!$F$7:$M$26,20,6)/$B163)</f>
        <v>5.7000000000000002E-3</v>
      </c>
      <c r="P163" s="12">
        <f>IF($B163&lt;=3600000,$B163*INDEX(Parâmetros!$F$7:$M$26,ROUNDUP(($B163/180000),0),7)/$B163,$B163*INDEX(Parâmetros!$F$7:$M$26,20,7)/$B163)</f>
        <v>2.63E-2</v>
      </c>
      <c r="Q163" s="12">
        <f>Parâmetros!$C$14*13.33*(Parâmetros!$C$15+FGTS)/B163</f>
        <v>7.8202666666666676E-5</v>
      </c>
      <c r="R163" s="12">
        <f>IF($B163&lt;=3600000,$B163*INDEX(Parâmetros!$F$7:$M$26,ROUNDUP(($B163/180000),0),8)/$B163,$B163*INDEX(Parâmetros!$F$7:$M$26,20,8)/$B163)</f>
        <v>0.05</v>
      </c>
      <c r="S163" s="23">
        <f t="shared" si="45"/>
        <v>0.16857820266666668</v>
      </c>
      <c r="T163" s="12">
        <f t="shared" si="41"/>
        <v>0.26766818917203677</v>
      </c>
      <c r="U163" s="64">
        <v>0</v>
      </c>
      <c r="V163" s="64">
        <v>0</v>
      </c>
      <c r="W163" s="64">
        <v>0</v>
      </c>
      <c r="X163" s="64">
        <f t="shared" si="42"/>
        <v>3.2943000285714288E-4</v>
      </c>
      <c r="Y163" s="64">
        <v>0</v>
      </c>
      <c r="Z163" s="81">
        <f t="shared" si="46"/>
        <v>0.2679976191748939</v>
      </c>
      <c r="AB163" s="153">
        <f>Parâmetros!$M$75</f>
        <v>0.97423087837450573</v>
      </c>
    </row>
    <row r="164" spans="1:28" s="14" customFormat="1" x14ac:dyDescent="0.2">
      <c r="A164" s="1"/>
      <c r="B164" s="11">
        <f t="shared" si="47"/>
        <v>43000000</v>
      </c>
      <c r="C164" s="12">
        <f t="shared" si="48"/>
        <v>7.9441860465116282E-2</v>
      </c>
      <c r="D164" s="12">
        <f t="shared" si="49"/>
        <v>2.8799999999999999E-2</v>
      </c>
      <c r="E164" s="12">
        <f t="shared" si="39"/>
        <v>6.4999999999999997E-3</v>
      </c>
      <c r="F164" s="12">
        <f t="shared" si="40"/>
        <v>0.03</v>
      </c>
      <c r="G164" s="12">
        <f>Parâmetros!$C$14*13.33*(Parâmetros!$C$15+FGTS+Sist_S_SAT)/Dados!B164</f>
        <v>8.4568000000000008E-5</v>
      </c>
      <c r="H164" s="13">
        <f>B164*Parâmetros!$C$13/Dados!B164</f>
        <v>0.05</v>
      </c>
      <c r="I164" s="23">
        <f t="shared" si="43"/>
        <v>0.19482642846511627</v>
      </c>
      <c r="J164" s="178">
        <f>VLOOKUP(B164,LP_FX[],8,TRUE)*Parâmetros!$M$124/B164</f>
        <v>2.0817038972327246E-2</v>
      </c>
      <c r="K164" s="12">
        <f>Parâmetros!$C$20*(2*VLOOKUP(B164,LP_FX[],8,TRUE)/(VLOOKUP(B164,LP_FX[],1,TRUE)+VLOOKUP(B164,LP_FX[],2,TRUE)))</f>
        <v>2.9558210654767839E-2</v>
      </c>
      <c r="L164" s="163">
        <f t="shared" si="44"/>
        <v>0.22430007111988409</v>
      </c>
      <c r="M164" s="165">
        <f>IF($B164&lt;=3600000,$B164*INDEX(Parâmetros!$F$7:$M$26,ROUNDUP(($B164/180000),0),4)/$B164,$B164*INDEX(Parâmetros!$F$7:$M$26,20,4)/$B164)</f>
        <v>6.1199999999999997E-2</v>
      </c>
      <c r="N164" s="12">
        <f>IF($B164&lt;=3600000,$B164*INDEX(Parâmetros!$F$7:$M$26,ROUNDUP(($B164/180000),0),5)/$B164,$B164*INDEX(Parâmetros!$F$7:$M$26,20,5)/$B164)</f>
        <v>2.53E-2</v>
      </c>
      <c r="O164" s="12">
        <f>IF($B164&lt;=3600000,$B164*INDEX(Parâmetros!$F$7:$M$26,ROUNDUP(($B164/180000),0),6)/$B164,$B164*INDEX(Parâmetros!$F$7:$M$26,20,6)/$B164)</f>
        <v>5.7000000000000002E-3</v>
      </c>
      <c r="P164" s="12">
        <f>IF($B164&lt;=3600000,$B164*INDEX(Parâmetros!$F$7:$M$26,ROUNDUP(($B164/180000),0),7)/$B164,$B164*INDEX(Parâmetros!$F$7:$M$26,20,7)/$B164)</f>
        <v>2.63E-2</v>
      </c>
      <c r="Q164" s="12">
        <f>Parâmetros!$C$14*13.33*(Parâmetros!$C$15+FGTS)/B164</f>
        <v>7.6384000000000006E-5</v>
      </c>
      <c r="R164" s="12">
        <f>IF($B164&lt;=3600000,$B164*INDEX(Parâmetros!$F$7:$M$26,ROUNDUP(($B164/180000),0),8)/$B164,$B164*INDEX(Parâmetros!$F$7:$M$26,20,8)/$B164)</f>
        <v>0.05</v>
      </c>
      <c r="S164" s="23">
        <f t="shared" si="45"/>
        <v>0.168576384</v>
      </c>
      <c r="T164" s="12">
        <f t="shared" si="41"/>
        <v>0.26767389387857055</v>
      </c>
      <c r="U164" s="64">
        <v>0</v>
      </c>
      <c r="V164" s="64">
        <v>0</v>
      </c>
      <c r="W164" s="64">
        <v>0</v>
      </c>
      <c r="X164" s="64">
        <f t="shared" si="42"/>
        <v>3.2176884000000006E-4</v>
      </c>
      <c r="Y164" s="64">
        <v>0</v>
      </c>
      <c r="Z164" s="81">
        <f t="shared" si="46"/>
        <v>0.26799566271857056</v>
      </c>
      <c r="AB164" s="153">
        <f>Parâmetros!$M$75</f>
        <v>0.97423087837450573</v>
      </c>
    </row>
    <row r="165" spans="1:28" s="14" customFormat="1" x14ac:dyDescent="0.2">
      <c r="A165" s="1"/>
      <c r="B165" s="11">
        <f t="shared" si="47"/>
        <v>44000000</v>
      </c>
      <c r="C165" s="12">
        <f t="shared" si="48"/>
        <v>7.9454545454545458E-2</v>
      </c>
      <c r="D165" s="12">
        <f t="shared" si="49"/>
        <v>2.8799999999999999E-2</v>
      </c>
      <c r="E165" s="12">
        <f t="shared" si="39"/>
        <v>6.4999999999999997E-3</v>
      </c>
      <c r="F165" s="12">
        <f t="shared" si="40"/>
        <v>0.03</v>
      </c>
      <c r="G165" s="12">
        <f>Parâmetros!$C$14*13.33*(Parâmetros!$C$15+FGTS+Sist_S_SAT)/Dados!B165</f>
        <v>8.2646000000000008E-5</v>
      </c>
      <c r="H165" s="13">
        <f>B165*Parâmetros!$C$13/Dados!B165</f>
        <v>0.05</v>
      </c>
      <c r="I165" s="23">
        <f t="shared" si="43"/>
        <v>0.19483719145454548</v>
      </c>
      <c r="J165" s="178">
        <f>VLOOKUP(B165,LP_FX[],8,TRUE)*Parâmetros!$M$124/B165</f>
        <v>2.0343924450228902E-2</v>
      </c>
      <c r="K165" s="12">
        <f>Parâmetros!$C$20*(2*VLOOKUP(B165,LP_FX[],8,TRUE)/(VLOOKUP(B165,LP_FX[],1,TRUE)+VLOOKUP(B165,LP_FX[],2,TRUE)))</f>
        <v>2.9558210654767839E-2</v>
      </c>
      <c r="L165" s="163">
        <f t="shared" si="44"/>
        <v>0.22431275610931328</v>
      </c>
      <c r="M165" s="165">
        <f>IF($B165&lt;=3600000,$B165*INDEX(Parâmetros!$F$7:$M$26,ROUNDUP(($B165/180000),0),4)/$B165,$B165*INDEX(Parâmetros!$F$7:$M$26,20,4)/$B165)</f>
        <v>6.1199999999999997E-2</v>
      </c>
      <c r="N165" s="12">
        <f>IF($B165&lt;=3600000,$B165*INDEX(Parâmetros!$F$7:$M$26,ROUNDUP(($B165/180000),0),5)/$B165,$B165*INDEX(Parâmetros!$F$7:$M$26,20,5)/$B165)</f>
        <v>2.53E-2</v>
      </c>
      <c r="O165" s="12">
        <f>IF($B165&lt;=3600000,$B165*INDEX(Parâmetros!$F$7:$M$26,ROUNDUP(($B165/180000),0),6)/$B165,$B165*INDEX(Parâmetros!$F$7:$M$26,20,6)/$B165)</f>
        <v>5.7000000000000002E-3</v>
      </c>
      <c r="P165" s="12">
        <f>IF($B165&lt;=3600000,$B165*INDEX(Parâmetros!$F$7:$M$26,ROUNDUP(($B165/180000),0),7)/$B165,$B165*INDEX(Parâmetros!$F$7:$M$26,20,7)/$B165)</f>
        <v>2.63E-2</v>
      </c>
      <c r="Q165" s="12">
        <f>Parâmetros!$C$14*13.33*(Parâmetros!$C$15+FGTS)/B165</f>
        <v>7.4648000000000008E-5</v>
      </c>
      <c r="R165" s="12">
        <f>IF($B165&lt;=3600000,$B165*INDEX(Parâmetros!$F$7:$M$26,ROUNDUP(($B165/180000),0),8)/$B165,$B165*INDEX(Parâmetros!$F$7:$M$26,20,8)/$B165)</f>
        <v>0.05</v>
      </c>
      <c r="S165" s="23">
        <f t="shared" si="45"/>
        <v>0.16857464799999999</v>
      </c>
      <c r="T165" s="12">
        <f t="shared" si="41"/>
        <v>0.26767933928026189</v>
      </c>
      <c r="U165" s="64">
        <v>0</v>
      </c>
      <c r="V165" s="64">
        <v>0</v>
      </c>
      <c r="W165" s="64">
        <v>0</v>
      </c>
      <c r="X165" s="64">
        <f t="shared" si="42"/>
        <v>3.1445591181818188E-4</v>
      </c>
      <c r="Y165" s="64">
        <v>0</v>
      </c>
      <c r="Z165" s="81">
        <f t="shared" si="46"/>
        <v>0.26799379519208005</v>
      </c>
      <c r="AB165" s="153">
        <f>Parâmetros!$M$75</f>
        <v>0.97423087837450573</v>
      </c>
    </row>
    <row r="166" spans="1:28" s="14" customFormat="1" x14ac:dyDescent="0.2">
      <c r="A166" s="1"/>
      <c r="B166" s="11">
        <f t="shared" si="47"/>
        <v>45000000</v>
      </c>
      <c r="C166" s="12">
        <f t="shared" si="48"/>
        <v>7.9466666666666672E-2</v>
      </c>
      <c r="D166" s="12">
        <f t="shared" si="49"/>
        <v>2.8799999999999999E-2</v>
      </c>
      <c r="E166" s="12">
        <f t="shared" si="39"/>
        <v>6.4999999999999997E-3</v>
      </c>
      <c r="F166" s="12">
        <f t="shared" si="40"/>
        <v>0.03</v>
      </c>
      <c r="G166" s="12">
        <f>Parâmetros!$C$14*13.33*(Parâmetros!$C$15+FGTS+Sist_S_SAT)/Dados!B166</f>
        <v>8.0809422222222237E-5</v>
      </c>
      <c r="H166" s="13">
        <f>B166*Parâmetros!$C$13/Dados!B166</f>
        <v>0.05</v>
      </c>
      <c r="I166" s="23">
        <f t="shared" si="43"/>
        <v>0.19484747608888892</v>
      </c>
      <c r="J166" s="178">
        <f>VLOOKUP(B166,LP_FX[],8,TRUE)*Parâmetros!$M$124/B166</f>
        <v>1.9891837240223816E-2</v>
      </c>
      <c r="K166" s="12">
        <f>Parâmetros!$C$20*(2*VLOOKUP(B166,LP_FX[],8,TRUE)/(VLOOKUP(B166,LP_FX[],1,TRUE)+VLOOKUP(B166,LP_FX[],2,TRUE)))</f>
        <v>2.9558210654767839E-2</v>
      </c>
      <c r="L166" s="163">
        <f t="shared" si="44"/>
        <v>0.22432487732143452</v>
      </c>
      <c r="M166" s="165">
        <f>IF($B166&lt;=3600000,$B166*INDEX(Parâmetros!$F$7:$M$26,ROUNDUP(($B166/180000),0),4)/$B166,$B166*INDEX(Parâmetros!$F$7:$M$26,20,4)/$B166)</f>
        <v>6.1199999999999997E-2</v>
      </c>
      <c r="N166" s="12">
        <f>IF($B166&lt;=3600000,$B166*INDEX(Parâmetros!$F$7:$M$26,ROUNDUP(($B166/180000),0),5)/$B166,$B166*INDEX(Parâmetros!$F$7:$M$26,20,5)/$B166)</f>
        <v>2.53E-2</v>
      </c>
      <c r="O166" s="12">
        <f>IF($B166&lt;=3600000,$B166*INDEX(Parâmetros!$F$7:$M$26,ROUNDUP(($B166/180000),0),6)/$B166,$B166*INDEX(Parâmetros!$F$7:$M$26,20,6)/$B166)</f>
        <v>5.7000000000000002E-3</v>
      </c>
      <c r="P166" s="12">
        <f>IF($B166&lt;=3600000,$B166*INDEX(Parâmetros!$F$7:$M$26,ROUNDUP(($B166/180000),0),7)/$B166,$B166*INDEX(Parâmetros!$F$7:$M$26,20,7)/$B166)</f>
        <v>2.63E-2</v>
      </c>
      <c r="Q166" s="12">
        <f>Parâmetros!$C$14*13.33*(Parâmetros!$C$15+FGTS)/B166</f>
        <v>7.2989155555555553E-5</v>
      </c>
      <c r="R166" s="12">
        <f>IF($B166&lt;=3600000,$B166*INDEX(Parâmetros!$F$7:$M$26,ROUNDUP(($B166/180000),0),8)/$B166,$B166*INDEX(Parâmetros!$F$7:$M$26,20,8)/$B166)</f>
        <v>0.05</v>
      </c>
      <c r="S166" s="23">
        <f t="shared" si="45"/>
        <v>0.16857298915555555</v>
      </c>
      <c r="T166" s="12">
        <f t="shared" si="41"/>
        <v>0.26768454266410024</v>
      </c>
      <c r="U166" s="64">
        <v>0</v>
      </c>
      <c r="V166" s="64">
        <v>0</v>
      </c>
      <c r="W166" s="64">
        <v>0</v>
      </c>
      <c r="X166" s="64">
        <f t="shared" si="42"/>
        <v>3.0746800266666672E-4</v>
      </c>
      <c r="Y166" s="64">
        <v>0</v>
      </c>
      <c r="Z166" s="81">
        <f t="shared" si="46"/>
        <v>0.26799201066676692</v>
      </c>
      <c r="AB166" s="153">
        <f>Parâmetros!$M$75</f>
        <v>0.97423087837450573</v>
      </c>
    </row>
    <row r="167" spans="1:28" s="14" customFormat="1" x14ac:dyDescent="0.2">
      <c r="A167" s="1"/>
      <c r="B167" s="11">
        <f t="shared" si="47"/>
        <v>46000000</v>
      </c>
      <c r="C167" s="12">
        <f t="shared" si="48"/>
        <v>7.947826086956522E-2</v>
      </c>
      <c r="D167" s="12">
        <f t="shared" si="49"/>
        <v>2.8799999999999999E-2</v>
      </c>
      <c r="E167" s="12">
        <f t="shared" si="39"/>
        <v>6.4999999999999997E-3</v>
      </c>
      <c r="F167" s="12">
        <f t="shared" si="40"/>
        <v>0.03</v>
      </c>
      <c r="G167" s="12">
        <f>Parâmetros!$C$14*13.33*(Parâmetros!$C$15+FGTS+Sist_S_SAT)/Dados!B167</f>
        <v>7.9052695652173928E-5</v>
      </c>
      <c r="H167" s="13">
        <f>B167*Parâmetros!$C$13/Dados!B167</f>
        <v>0.05</v>
      </c>
      <c r="I167" s="23">
        <f t="shared" si="43"/>
        <v>0.1948573135652174</v>
      </c>
      <c r="J167" s="178">
        <f>VLOOKUP(B167,LP_FX[],8,TRUE)*Parâmetros!$M$124/B167</f>
        <v>1.9459405995871124E-2</v>
      </c>
      <c r="K167" s="12">
        <f>Parâmetros!$C$20*(2*VLOOKUP(B167,LP_FX[],8,TRUE)/(VLOOKUP(B167,LP_FX[],1,TRUE)+VLOOKUP(B167,LP_FX[],2,TRUE)))</f>
        <v>2.9558210654767839E-2</v>
      </c>
      <c r="L167" s="163">
        <f t="shared" si="44"/>
        <v>0.22433647152433306</v>
      </c>
      <c r="M167" s="165">
        <f>IF($B167&lt;=3600000,$B167*INDEX(Parâmetros!$F$7:$M$26,ROUNDUP(($B167/180000),0),4)/$B167,$B167*INDEX(Parâmetros!$F$7:$M$26,20,4)/$B167)</f>
        <v>6.1199999999999997E-2</v>
      </c>
      <c r="N167" s="12">
        <f>IF($B167&lt;=3600000,$B167*INDEX(Parâmetros!$F$7:$M$26,ROUNDUP(($B167/180000),0),5)/$B167,$B167*INDEX(Parâmetros!$F$7:$M$26,20,5)/$B167)</f>
        <v>2.53E-2</v>
      </c>
      <c r="O167" s="12">
        <f>IF($B167&lt;=3600000,$B167*INDEX(Parâmetros!$F$7:$M$26,ROUNDUP(($B167/180000),0),6)/$B167,$B167*INDEX(Parâmetros!$F$7:$M$26,20,6)/$B167)</f>
        <v>5.7000000000000002E-3</v>
      </c>
      <c r="P167" s="12">
        <f>IF($B167&lt;=3600000,$B167*INDEX(Parâmetros!$F$7:$M$26,ROUNDUP(($B167/180000),0),7)/$B167,$B167*INDEX(Parâmetros!$F$7:$M$26,20,7)/$B167)</f>
        <v>2.63E-2</v>
      </c>
      <c r="Q167" s="12">
        <f>Parâmetros!$C$14*13.33*(Parâmetros!$C$15+FGTS)/B167</f>
        <v>7.1402434782608698E-5</v>
      </c>
      <c r="R167" s="12">
        <f>IF($B167&lt;=3600000,$B167*INDEX(Parâmetros!$F$7:$M$26,ROUNDUP(($B167/180000),0),8)/$B167,$B167*INDEX(Parâmetros!$F$7:$M$26,20,8)/$B167)</f>
        <v>0.05</v>
      </c>
      <c r="S167" s="23">
        <f t="shared" si="45"/>
        <v>0.16857140243478261</v>
      </c>
      <c r="T167" s="12">
        <f t="shared" si="41"/>
        <v>0.27089582732396472</v>
      </c>
      <c r="U167" s="64">
        <v>0</v>
      </c>
      <c r="V167" s="64">
        <v>0</v>
      </c>
      <c r="W167" s="64">
        <v>0</v>
      </c>
      <c r="X167" s="64">
        <f t="shared" si="42"/>
        <v>3.0078391565217398E-4</v>
      </c>
      <c r="Y167" s="64">
        <v>0</v>
      </c>
      <c r="Z167" s="81">
        <f t="shared" si="46"/>
        <v>0.27119661123961691</v>
      </c>
      <c r="AB167" s="153">
        <f>Parâmetros!$M$76</f>
        <v>0.98589017841125492</v>
      </c>
    </row>
    <row r="168" spans="1:28" s="14" customFormat="1" x14ac:dyDescent="0.2">
      <c r="A168" s="1"/>
      <c r="B168" s="11">
        <f t="shared" si="47"/>
        <v>47000000</v>
      </c>
      <c r="C168" s="12">
        <f t="shared" si="48"/>
        <v>7.9489361702127656E-2</v>
      </c>
      <c r="D168" s="12">
        <f t="shared" si="49"/>
        <v>2.8799999999999999E-2</v>
      </c>
      <c r="E168" s="12">
        <f t="shared" si="39"/>
        <v>6.4999999999999997E-3</v>
      </c>
      <c r="F168" s="12">
        <f t="shared" si="40"/>
        <v>0.03</v>
      </c>
      <c r="G168" s="12">
        <f>Parâmetros!$C$14*13.33*(Parâmetros!$C$15+FGTS+Sist_S_SAT)/Dados!B168</f>
        <v>7.7370723404255335E-5</v>
      </c>
      <c r="H168" s="13">
        <f>B168*Parâmetros!$C$13/Dados!B168</f>
        <v>0.05</v>
      </c>
      <c r="I168" s="23">
        <f t="shared" si="43"/>
        <v>0.19486673242553193</v>
      </c>
      <c r="J168" s="178">
        <f>VLOOKUP(B168,LP_FX[],8,TRUE)*Parâmetros!$M$124/B168</f>
        <v>1.9045376081065355E-2</v>
      </c>
      <c r="K168" s="12">
        <f>Parâmetros!$C$20*(2*VLOOKUP(B168,LP_FX[],8,TRUE)/(VLOOKUP(B168,LP_FX[],1,TRUE)+VLOOKUP(B168,LP_FX[],2,TRUE)))</f>
        <v>2.9558210654767839E-2</v>
      </c>
      <c r="L168" s="163">
        <f t="shared" si="44"/>
        <v>0.22434757235689551</v>
      </c>
      <c r="M168" s="165">
        <f>IF($B168&lt;=3600000,$B168*INDEX(Parâmetros!$F$7:$M$26,ROUNDUP(($B168/180000),0),4)/$B168,$B168*INDEX(Parâmetros!$F$7:$M$26,20,4)/$B168)</f>
        <v>6.1199999999999997E-2</v>
      </c>
      <c r="N168" s="12">
        <f>IF($B168&lt;=3600000,$B168*INDEX(Parâmetros!$F$7:$M$26,ROUNDUP(($B168/180000),0),5)/$B168,$B168*INDEX(Parâmetros!$F$7:$M$26,20,5)/$B168)</f>
        <v>2.53E-2</v>
      </c>
      <c r="O168" s="12">
        <f>IF($B168&lt;=3600000,$B168*INDEX(Parâmetros!$F$7:$M$26,ROUNDUP(($B168/180000),0),6)/$B168,$B168*INDEX(Parâmetros!$F$7:$M$26,20,6)/$B168)</f>
        <v>5.7000000000000002E-3</v>
      </c>
      <c r="P168" s="12">
        <f>IF($B168&lt;=3600000,$B168*INDEX(Parâmetros!$F$7:$M$26,ROUNDUP(($B168/180000),0),7)/$B168,$B168*INDEX(Parâmetros!$F$7:$M$26,20,7)/$B168)</f>
        <v>2.63E-2</v>
      </c>
      <c r="Q168" s="12">
        <f>Parâmetros!$C$14*13.33*(Parâmetros!$C$15+FGTS)/B168</f>
        <v>6.9883234042553195E-5</v>
      </c>
      <c r="R168" s="12">
        <f>IF($B168&lt;=3600000,$B168*INDEX(Parâmetros!$F$7:$M$26,ROUNDUP(($B168/180000),0),8)/$B168,$B168*INDEX(Parâmetros!$F$7:$M$26,20,8)/$B168)</f>
        <v>0.05</v>
      </c>
      <c r="S168" s="23">
        <f t="shared" si="45"/>
        <v>0.16856988323404254</v>
      </c>
      <c r="T168" s="12">
        <f t="shared" si="41"/>
        <v>0.2709005926801164</v>
      </c>
      <c r="U168" s="64">
        <v>0</v>
      </c>
      <c r="V168" s="64">
        <v>0</v>
      </c>
      <c r="W168" s="64">
        <v>0</v>
      </c>
      <c r="X168" s="64">
        <f t="shared" si="42"/>
        <v>2.9438425787234047E-4</v>
      </c>
      <c r="Y168" s="64">
        <v>0</v>
      </c>
      <c r="Z168" s="81">
        <f t="shared" si="46"/>
        <v>0.27119497693798872</v>
      </c>
      <c r="AB168" s="153">
        <f>Parâmetros!$M$76</f>
        <v>0.98589017841125492</v>
      </c>
    </row>
    <row r="169" spans="1:28" s="14" customFormat="1" ht="12" thickBot="1" x14ac:dyDescent="0.25">
      <c r="A169" s="1"/>
      <c r="B169" s="19">
        <f t="shared" si="47"/>
        <v>48000000</v>
      </c>
      <c r="C169" s="20">
        <f t="shared" si="48"/>
        <v>7.9500000000000001E-2</v>
      </c>
      <c r="D169" s="20">
        <f t="shared" si="49"/>
        <v>2.8799999999999999E-2</v>
      </c>
      <c r="E169" s="20">
        <f t="shared" si="39"/>
        <v>6.4999999999999997E-3</v>
      </c>
      <c r="F169" s="20">
        <f t="shared" si="40"/>
        <v>0.03</v>
      </c>
      <c r="G169" s="20">
        <f>Parâmetros!$C$14*13.33*(Parâmetros!$C$15+FGTS+Sist_S_SAT)/Dados!B169</f>
        <v>7.5758833333333344E-5</v>
      </c>
      <c r="H169" s="21">
        <f>B169*Parâmetros!$C$13/Dados!B169</f>
        <v>0.05</v>
      </c>
      <c r="I169" s="25">
        <f t="shared" si="43"/>
        <v>0.19487575883333336</v>
      </c>
      <c r="J169" s="179">
        <f>VLOOKUP(B169,LP_FX[],8,TRUE)*Parâmetros!$M$124/B169</f>
        <v>1.8648597412709828E-2</v>
      </c>
      <c r="K169" s="20">
        <f>Parâmetros!$C$20*(2*VLOOKUP(B169,LP_FX[],8,TRUE)/(VLOOKUP(B169,LP_FX[],1,TRUE)+VLOOKUP(B169,LP_FX[],2,TRUE)))</f>
        <v>2.9558210654767839E-2</v>
      </c>
      <c r="L169" s="181">
        <f t="shared" si="44"/>
        <v>0.22435821065476785</v>
      </c>
      <c r="M169" s="82">
        <f>IF($B169&lt;=3600000,$B169*INDEX(Parâmetros!$F$7:$M$26,ROUNDUP(($B169/180000),0),4)/$B169,$B169*INDEX(Parâmetros!$F$7:$M$26,20,4)/$B169)</f>
        <v>6.1199999999999997E-2</v>
      </c>
      <c r="N169" s="20">
        <f>IF($B169&lt;=3600000,$B169*INDEX(Parâmetros!$F$7:$M$26,ROUNDUP(($B169/180000),0),5)/$B169,$B169*INDEX(Parâmetros!$F$7:$M$26,20,5)/$B169)</f>
        <v>2.53E-2</v>
      </c>
      <c r="O169" s="20">
        <f>IF($B169&lt;=3600000,$B169*INDEX(Parâmetros!$F$7:$M$26,ROUNDUP(($B169/180000),0),6)/$B169,$B169*INDEX(Parâmetros!$F$7:$M$26,20,6)/$B169)</f>
        <v>5.7000000000000002E-3</v>
      </c>
      <c r="P169" s="20">
        <f>IF($B169&lt;=3600000,$B169*INDEX(Parâmetros!$F$7:$M$26,ROUNDUP(($B169/180000),0),7)/$B169,$B169*INDEX(Parâmetros!$F$7:$M$26,20,7)/$B169)</f>
        <v>2.63E-2</v>
      </c>
      <c r="Q169" s="20">
        <f>Parâmetros!$C$14*13.33*(Parâmetros!$C$15+FGTS)/B169</f>
        <v>6.8427333333333335E-5</v>
      </c>
      <c r="R169" s="20">
        <f>IF($B169&lt;=3600000,$B169*INDEX(Parâmetros!$F$7:$M$26,ROUNDUP(($B169/180000),0),8)/$B169,$B169*INDEX(Parâmetros!$F$7:$M$26,20,8)/$B169)</f>
        <v>0.05</v>
      </c>
      <c r="S169" s="25">
        <f t="shared" si="45"/>
        <v>0.16856842733333333</v>
      </c>
      <c r="T169" s="82">
        <f t="shared" si="41"/>
        <v>0.27090515947976179</v>
      </c>
      <c r="U169" s="85">
        <v>0</v>
      </c>
      <c r="V169" s="85">
        <v>0</v>
      </c>
      <c r="W169" s="85">
        <v>0</v>
      </c>
      <c r="X169" s="85">
        <f t="shared" si="42"/>
        <v>2.8825125250000002E-4</v>
      </c>
      <c r="Y169" s="85">
        <v>0</v>
      </c>
      <c r="Z169" s="83">
        <f t="shared" si="46"/>
        <v>0.27119341073226177</v>
      </c>
      <c r="AB169" s="153">
        <f>Parâmetros!$M$76</f>
        <v>0.98589017841125492</v>
      </c>
    </row>
    <row r="171" spans="1:28" x14ac:dyDescent="0.2">
      <c r="B171" s="118" t="s">
        <v>73</v>
      </c>
    </row>
    <row r="172" spans="1:28" x14ac:dyDescent="0.2">
      <c r="B172" s="118" t="s">
        <v>74</v>
      </c>
    </row>
  </sheetData>
  <mergeCells count="2">
    <mergeCell ref="D1:F1"/>
    <mergeCell ref="B3:B4"/>
  </mergeCells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38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showGridLines="0" topLeftCell="A27" zoomScale="106" zoomScaleNormal="106" workbookViewId="0">
      <selection activeCell="C20" sqref="C20"/>
    </sheetView>
  </sheetViews>
  <sheetFormatPr defaultRowHeight="11.25" x14ac:dyDescent="0.2"/>
  <cols>
    <col min="1" max="1" width="4.28515625" style="26" customWidth="1"/>
    <col min="2" max="2" width="37.42578125" style="30" customWidth="1"/>
    <col min="3" max="3" width="12.5703125" style="62" customWidth="1"/>
    <col min="4" max="4" width="13.5703125" style="28" customWidth="1"/>
    <col min="5" max="5" width="12.140625" style="28" customWidth="1"/>
    <col min="6" max="6" width="15.7109375" style="28" customWidth="1"/>
    <col min="7" max="7" width="15.85546875" style="28" customWidth="1"/>
    <col min="8" max="8" width="18.42578125" style="29" customWidth="1"/>
    <col min="9" max="9" width="16" style="30" customWidth="1"/>
    <col min="10" max="10" width="20.7109375" style="30" customWidth="1"/>
    <col min="11" max="11" width="12.5703125" style="30" customWidth="1"/>
    <col min="12" max="12" width="11.42578125" style="30" customWidth="1"/>
    <col min="13" max="13" width="13.85546875" style="30" customWidth="1"/>
    <col min="14" max="14" width="8.5703125" style="30" customWidth="1"/>
    <col min="15" max="15" width="9.5703125" style="30" customWidth="1"/>
    <col min="16" max="17" width="9.140625" style="30"/>
    <col min="18" max="18" width="11" style="30" customWidth="1"/>
    <col min="19" max="16384" width="9.140625" style="30"/>
  </cols>
  <sheetData>
    <row r="1" spans="2:22" ht="12" thickBot="1" x14ac:dyDescent="0.25">
      <c r="B1" s="26"/>
      <c r="C1" s="27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2:22" ht="21" customHeight="1" thickBot="1" x14ac:dyDescent="0.25">
      <c r="B2" s="199" t="s">
        <v>13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26"/>
      <c r="P2" s="26"/>
      <c r="Q2" s="26"/>
      <c r="R2" s="26"/>
      <c r="S2" s="26"/>
      <c r="T2" s="26"/>
      <c r="U2" s="26"/>
      <c r="V2" s="26"/>
    </row>
    <row r="3" spans="2:22" x14ac:dyDescent="0.2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26"/>
      <c r="P3" s="26"/>
      <c r="Q3" s="26"/>
      <c r="R3" s="26"/>
      <c r="S3" s="26"/>
      <c r="T3" s="26"/>
      <c r="U3" s="26"/>
      <c r="V3" s="26"/>
    </row>
    <row r="4" spans="2:22" ht="12" thickBot="1" x14ac:dyDescent="0.25">
      <c r="B4" s="32"/>
      <c r="C4" s="32"/>
      <c r="F4" s="33" t="s">
        <v>41</v>
      </c>
      <c r="H4" s="30"/>
      <c r="O4" s="26"/>
      <c r="P4" s="26"/>
      <c r="Q4" s="26"/>
      <c r="R4" s="26"/>
      <c r="S4" s="26"/>
      <c r="T4" s="26"/>
      <c r="U4" s="26"/>
      <c r="V4" s="26"/>
    </row>
    <row r="5" spans="2:22" ht="12" thickBot="1" x14ac:dyDescent="0.25">
      <c r="B5" s="34" t="s">
        <v>28</v>
      </c>
      <c r="C5" s="35">
        <v>0.32</v>
      </c>
      <c r="D5" s="36" t="s">
        <v>7</v>
      </c>
      <c r="E5" s="36"/>
      <c r="F5" s="30"/>
      <c r="O5" s="26"/>
      <c r="P5" s="26"/>
      <c r="Q5" s="26"/>
      <c r="R5" s="26"/>
      <c r="S5" s="26"/>
      <c r="T5" s="26"/>
      <c r="U5" s="26"/>
      <c r="V5" s="26"/>
    </row>
    <row r="6" spans="2:22" ht="23.25" thickBot="1" x14ac:dyDescent="0.25">
      <c r="B6" s="37" t="s">
        <v>29</v>
      </c>
      <c r="C6" s="38">
        <v>0.32</v>
      </c>
      <c r="D6" s="36" t="s">
        <v>8</v>
      </c>
      <c r="E6" s="36"/>
      <c r="F6" s="39" t="s">
        <v>43</v>
      </c>
      <c r="G6" s="39" t="s">
        <v>44</v>
      </c>
      <c r="H6" s="39" t="s">
        <v>40</v>
      </c>
      <c r="I6" s="39" t="s">
        <v>19</v>
      </c>
      <c r="J6" s="39" t="s">
        <v>17</v>
      </c>
      <c r="K6" s="39" t="s">
        <v>21</v>
      </c>
      <c r="L6" s="39" t="s">
        <v>20</v>
      </c>
      <c r="M6" s="39" t="s">
        <v>23</v>
      </c>
      <c r="O6" s="26"/>
      <c r="P6" s="26"/>
      <c r="Q6" s="26"/>
      <c r="R6" s="26"/>
      <c r="S6" s="26"/>
      <c r="T6" s="26"/>
      <c r="U6" s="26"/>
      <c r="V6" s="26"/>
    </row>
    <row r="7" spans="2:22" ht="13.5" customHeight="1" x14ac:dyDescent="0.2">
      <c r="B7" s="40" t="s">
        <v>0</v>
      </c>
      <c r="C7" s="41"/>
      <c r="D7" s="36"/>
      <c r="E7" s="36"/>
      <c r="F7" s="42">
        <v>0</v>
      </c>
      <c r="G7" s="42">
        <v>180000</v>
      </c>
      <c r="H7" s="15">
        <v>4.4999999999999998E-2</v>
      </c>
      <c r="I7" s="15">
        <v>0</v>
      </c>
      <c r="J7" s="15">
        <v>1.2200000000000001E-2</v>
      </c>
      <c r="K7" s="15">
        <v>0</v>
      </c>
      <c r="L7" s="15">
        <v>1.2800000000000001E-2</v>
      </c>
      <c r="M7" s="15">
        <v>0.02</v>
      </c>
      <c r="O7" s="43"/>
      <c r="P7" s="43"/>
      <c r="Q7" s="43"/>
      <c r="R7" s="43"/>
      <c r="S7" s="26"/>
      <c r="T7" s="26"/>
      <c r="U7" s="26"/>
      <c r="V7" s="26"/>
    </row>
    <row r="8" spans="2:22" ht="13.5" customHeight="1" x14ac:dyDescent="0.2">
      <c r="B8" s="44" t="s">
        <v>1</v>
      </c>
      <c r="C8" s="45">
        <v>0.09</v>
      </c>
      <c r="D8" s="36" t="s">
        <v>4</v>
      </c>
      <c r="E8" s="36"/>
      <c r="F8" s="42">
        <f>G7+0.01</f>
        <v>180000.01</v>
      </c>
      <c r="G8" s="42">
        <f t="shared" ref="G8:G26" si="0">G7+$G$7</f>
        <v>360000</v>
      </c>
      <c r="H8" s="15">
        <v>6.54E-2</v>
      </c>
      <c r="I8" s="15">
        <v>0</v>
      </c>
      <c r="J8" s="15">
        <v>1.84E-2</v>
      </c>
      <c r="K8" s="15">
        <v>0</v>
      </c>
      <c r="L8" s="15">
        <v>1.9099999999999999E-2</v>
      </c>
      <c r="M8" s="15">
        <v>2.7900000000000001E-2</v>
      </c>
      <c r="O8" s="43"/>
      <c r="P8" s="43"/>
      <c r="Q8" s="43"/>
      <c r="R8" s="43"/>
      <c r="S8" s="26"/>
      <c r="T8" s="26"/>
      <c r="U8" s="26"/>
      <c r="V8" s="26"/>
    </row>
    <row r="9" spans="2:22" ht="13.5" customHeight="1" x14ac:dyDescent="0.2">
      <c r="B9" s="44" t="s">
        <v>2</v>
      </c>
      <c r="C9" s="45">
        <v>0.15</v>
      </c>
      <c r="D9" s="36" t="s">
        <v>5</v>
      </c>
      <c r="E9" s="36"/>
      <c r="F9" s="42">
        <f t="shared" ref="F9:F26" si="1">G8+0.01</f>
        <v>360000.01</v>
      </c>
      <c r="G9" s="42">
        <f t="shared" si="0"/>
        <v>540000</v>
      </c>
      <c r="H9" s="15">
        <v>7.6999999999999999E-2</v>
      </c>
      <c r="I9" s="15">
        <v>1.6000000000000001E-3</v>
      </c>
      <c r="J9" s="15">
        <v>1.8499999999999999E-2</v>
      </c>
      <c r="K9" s="15">
        <v>2.3999999999999998E-3</v>
      </c>
      <c r="L9" s="15">
        <v>1.95E-2</v>
      </c>
      <c r="M9" s="15">
        <v>3.5000000000000003E-2</v>
      </c>
      <c r="O9" s="46"/>
      <c r="P9" s="46"/>
      <c r="Q9" s="46"/>
      <c r="R9" s="46"/>
      <c r="S9" s="26"/>
      <c r="T9" s="26"/>
      <c r="U9" s="26"/>
      <c r="V9" s="26"/>
    </row>
    <row r="10" spans="2:22" ht="13.5" customHeight="1" x14ac:dyDescent="0.2">
      <c r="B10" s="44" t="s">
        <v>3</v>
      </c>
      <c r="C10" s="45">
        <v>0.1</v>
      </c>
      <c r="D10" s="36" t="s">
        <v>6</v>
      </c>
      <c r="E10" s="36"/>
      <c r="F10" s="42">
        <f t="shared" si="1"/>
        <v>540000.01</v>
      </c>
      <c r="G10" s="42">
        <f t="shared" si="0"/>
        <v>720000</v>
      </c>
      <c r="H10" s="15">
        <v>8.4900000000000003E-2</v>
      </c>
      <c r="I10" s="15">
        <v>5.1999999999999998E-3</v>
      </c>
      <c r="J10" s="15">
        <v>1.8700000000000001E-2</v>
      </c>
      <c r="K10" s="15">
        <v>2.7000000000000001E-3</v>
      </c>
      <c r="L10" s="15">
        <v>1.9900000000000001E-2</v>
      </c>
      <c r="M10" s="15">
        <v>3.8399999999999997E-2</v>
      </c>
      <c r="O10" s="46"/>
      <c r="P10" s="46"/>
      <c r="Q10" s="46"/>
      <c r="R10" s="46"/>
      <c r="S10" s="26"/>
      <c r="T10" s="26"/>
      <c r="U10" s="26"/>
      <c r="V10" s="26"/>
    </row>
    <row r="11" spans="2:22" ht="13.5" customHeight="1" x14ac:dyDescent="0.2">
      <c r="B11" s="44" t="s">
        <v>9</v>
      </c>
      <c r="C11" s="45">
        <v>6.4999999999999997E-3</v>
      </c>
      <c r="D11" s="36" t="s">
        <v>11</v>
      </c>
      <c r="E11" s="36"/>
      <c r="F11" s="42">
        <f t="shared" si="1"/>
        <v>720000.01</v>
      </c>
      <c r="G11" s="42">
        <f t="shared" si="0"/>
        <v>900000</v>
      </c>
      <c r="H11" s="15">
        <v>8.9700000000000002E-2</v>
      </c>
      <c r="I11" s="15">
        <v>8.8999999999999999E-3</v>
      </c>
      <c r="J11" s="15">
        <v>1.89E-2</v>
      </c>
      <c r="K11" s="15">
        <v>2.8999999999999998E-3</v>
      </c>
      <c r="L11" s="15">
        <v>2.0299999999999999E-2</v>
      </c>
      <c r="M11" s="15">
        <v>3.8699999999999998E-2</v>
      </c>
      <c r="O11" s="46"/>
      <c r="P11" s="46"/>
      <c r="Q11" s="46"/>
      <c r="R11" s="46"/>
      <c r="S11" s="26"/>
      <c r="T11" s="26"/>
      <c r="U11" s="26"/>
      <c r="V11" s="26"/>
    </row>
    <row r="12" spans="2:22" ht="13.5" customHeight="1" x14ac:dyDescent="0.2">
      <c r="B12" s="44" t="s">
        <v>10</v>
      </c>
      <c r="C12" s="45">
        <v>0.03</v>
      </c>
      <c r="D12" s="36" t="s">
        <v>12</v>
      </c>
      <c r="E12" s="36"/>
      <c r="F12" s="42">
        <f t="shared" si="1"/>
        <v>900000.01</v>
      </c>
      <c r="G12" s="42">
        <f t="shared" si="0"/>
        <v>1080000</v>
      </c>
      <c r="H12" s="15">
        <v>9.7799999999999998E-2</v>
      </c>
      <c r="I12" s="15">
        <v>1.2500000000000001E-2</v>
      </c>
      <c r="J12" s="15">
        <v>1.9099999999999999E-2</v>
      </c>
      <c r="K12" s="15">
        <v>3.2000000000000002E-3</v>
      </c>
      <c r="L12" s="15">
        <v>2.07E-2</v>
      </c>
      <c r="M12" s="15">
        <v>4.2299999999999997E-2</v>
      </c>
      <c r="O12" s="46"/>
      <c r="P12" s="46"/>
      <c r="Q12" s="46"/>
      <c r="R12" s="46"/>
      <c r="S12" s="26"/>
      <c r="T12" s="26"/>
      <c r="U12" s="26"/>
      <c r="V12" s="26"/>
    </row>
    <row r="13" spans="2:22" ht="13.5" customHeight="1" thickBot="1" x14ac:dyDescent="0.25">
      <c r="B13" s="32" t="s">
        <v>30</v>
      </c>
      <c r="C13" s="20">
        <v>0.05</v>
      </c>
      <c r="D13" s="36"/>
      <c r="E13" s="36"/>
      <c r="F13" s="42">
        <f t="shared" si="1"/>
        <v>1080000.01</v>
      </c>
      <c r="G13" s="42">
        <f t="shared" si="0"/>
        <v>1260000</v>
      </c>
      <c r="H13" s="15">
        <v>0.1026</v>
      </c>
      <c r="I13" s="15">
        <v>1.6199999999999999E-2</v>
      </c>
      <c r="J13" s="15">
        <v>1.9300000000000001E-2</v>
      </c>
      <c r="K13" s="15">
        <v>3.3999999999999998E-3</v>
      </c>
      <c r="L13" s="15">
        <v>2.1100000000000001E-2</v>
      </c>
      <c r="M13" s="15">
        <v>4.2599999999999999E-2</v>
      </c>
      <c r="O13" s="46"/>
      <c r="P13" s="46"/>
      <c r="Q13" s="46"/>
      <c r="R13" s="46"/>
      <c r="S13" s="26"/>
      <c r="T13" s="26"/>
      <c r="U13" s="26"/>
      <c r="V13" s="26"/>
    </row>
    <row r="14" spans="2:22" ht="13.5" customHeight="1" x14ac:dyDescent="0.2">
      <c r="B14" s="47" t="s">
        <v>37</v>
      </c>
      <c r="C14" s="48">
        <v>880</v>
      </c>
      <c r="D14" s="36"/>
      <c r="E14" s="36"/>
      <c r="F14" s="42">
        <f t="shared" si="1"/>
        <v>1260000.01</v>
      </c>
      <c r="G14" s="42">
        <f t="shared" si="0"/>
        <v>1440000</v>
      </c>
      <c r="H14" s="15">
        <v>0.1076</v>
      </c>
      <c r="I14" s="15">
        <v>0.02</v>
      </c>
      <c r="J14" s="15">
        <v>1.95E-2</v>
      </c>
      <c r="K14" s="15">
        <v>3.5000000000000001E-3</v>
      </c>
      <c r="L14" s="15">
        <v>2.1499999999999998E-2</v>
      </c>
      <c r="M14" s="15">
        <v>4.3099999999999999E-2</v>
      </c>
      <c r="O14" s="46"/>
      <c r="P14" s="46"/>
      <c r="Q14" s="46"/>
      <c r="R14" s="46"/>
      <c r="S14" s="26"/>
      <c r="T14" s="26"/>
      <c r="U14" s="26"/>
      <c r="V14" s="26"/>
    </row>
    <row r="15" spans="2:22" ht="13.5" customHeight="1" x14ac:dyDescent="0.2">
      <c r="B15" s="44" t="s">
        <v>38</v>
      </c>
      <c r="C15" s="45">
        <v>0.2</v>
      </c>
      <c r="D15" s="36"/>
      <c r="E15" s="36"/>
      <c r="F15" s="42">
        <f t="shared" si="1"/>
        <v>1440000.01</v>
      </c>
      <c r="G15" s="42">
        <f t="shared" si="0"/>
        <v>1620000</v>
      </c>
      <c r="H15" s="15">
        <v>0.11509999999999999</v>
      </c>
      <c r="I15" s="15">
        <v>2.3699999999999999E-2</v>
      </c>
      <c r="J15" s="15">
        <v>1.9699999999999999E-2</v>
      </c>
      <c r="K15" s="15">
        <v>3.7000000000000002E-3</v>
      </c>
      <c r="L15" s="15">
        <v>2.1899999999999999E-2</v>
      </c>
      <c r="M15" s="15">
        <v>4.6100000000000002E-2</v>
      </c>
      <c r="O15" s="46"/>
      <c r="P15" s="46"/>
      <c r="Q15" s="46"/>
      <c r="R15" s="46"/>
      <c r="S15" s="26"/>
      <c r="T15" s="26"/>
      <c r="U15" s="26"/>
      <c r="V15" s="26"/>
    </row>
    <row r="16" spans="2:22" ht="13.5" customHeight="1" x14ac:dyDescent="0.2">
      <c r="B16" s="49" t="s">
        <v>14</v>
      </c>
      <c r="C16" s="50">
        <v>5189.82</v>
      </c>
      <c r="D16" s="51" t="s">
        <v>15</v>
      </c>
      <c r="E16" s="51"/>
      <c r="F16" s="42">
        <f t="shared" si="1"/>
        <v>1620000.01</v>
      </c>
      <c r="G16" s="42">
        <f t="shared" si="0"/>
        <v>1800000</v>
      </c>
      <c r="H16" s="15">
        <v>0.12</v>
      </c>
      <c r="I16" s="15">
        <v>2.7400000000000001E-2</v>
      </c>
      <c r="J16" s="15">
        <v>0.02</v>
      </c>
      <c r="K16" s="15">
        <v>3.8E-3</v>
      </c>
      <c r="L16" s="15">
        <v>2.23E-2</v>
      </c>
      <c r="M16" s="15">
        <v>4.65E-2</v>
      </c>
      <c r="O16" s="46"/>
      <c r="P16" s="46"/>
      <c r="Q16" s="46"/>
      <c r="R16" s="46"/>
      <c r="S16" s="26"/>
      <c r="T16" s="26"/>
      <c r="U16" s="26"/>
      <c r="V16" s="26"/>
    </row>
    <row r="17" spans="1:22" x14ac:dyDescent="0.2">
      <c r="B17" s="44" t="s">
        <v>42</v>
      </c>
      <c r="C17" s="45">
        <v>0.2</v>
      </c>
      <c r="D17" s="36"/>
      <c r="E17" s="36"/>
      <c r="F17" s="42">
        <f t="shared" si="1"/>
        <v>1800000.01</v>
      </c>
      <c r="G17" s="42">
        <f t="shared" si="0"/>
        <v>1980000</v>
      </c>
      <c r="H17" s="15">
        <v>0.128</v>
      </c>
      <c r="I17" s="15">
        <v>3.1199999999999999E-2</v>
      </c>
      <c r="J17" s="15">
        <v>2.01E-2</v>
      </c>
      <c r="K17" s="15">
        <v>4.0000000000000001E-3</v>
      </c>
      <c r="L17" s="15">
        <v>2.2700000000000001E-2</v>
      </c>
      <c r="M17" s="15">
        <v>0.05</v>
      </c>
      <c r="O17" s="46"/>
      <c r="P17" s="46"/>
      <c r="Q17" s="46"/>
      <c r="R17" s="46"/>
      <c r="S17" s="26"/>
      <c r="T17" s="26"/>
      <c r="U17" s="26"/>
      <c r="V17" s="26"/>
    </row>
    <row r="18" spans="1:22" ht="13.5" customHeight="1" x14ac:dyDescent="0.2">
      <c r="B18" s="44" t="s">
        <v>24</v>
      </c>
      <c r="C18" s="45">
        <v>0.08</v>
      </c>
      <c r="D18" s="36" t="s">
        <v>24</v>
      </c>
      <c r="E18" s="36"/>
      <c r="F18" s="42">
        <f t="shared" si="1"/>
        <v>1980000.01</v>
      </c>
      <c r="G18" s="42">
        <f t="shared" si="0"/>
        <v>2160000</v>
      </c>
      <c r="H18" s="15">
        <v>0.13250000000000001</v>
      </c>
      <c r="I18" s="15">
        <v>3.49E-2</v>
      </c>
      <c r="J18" s="15">
        <v>2.0299999999999999E-2</v>
      </c>
      <c r="K18" s="15">
        <v>4.1999999999999997E-3</v>
      </c>
      <c r="L18" s="15">
        <v>2.3099999999999999E-2</v>
      </c>
      <c r="M18" s="15">
        <v>0.05</v>
      </c>
      <c r="O18" s="46"/>
      <c r="P18" s="46"/>
      <c r="Q18" s="46"/>
      <c r="R18" s="46"/>
      <c r="S18" s="26"/>
      <c r="T18" s="26"/>
      <c r="U18" s="26"/>
      <c r="V18" s="26"/>
    </row>
    <row r="19" spans="1:22" ht="13.5" customHeight="1" thickBot="1" x14ac:dyDescent="0.25">
      <c r="B19" s="52" t="s">
        <v>25</v>
      </c>
      <c r="C19" s="53">
        <v>0.03</v>
      </c>
      <c r="D19" s="36" t="s">
        <v>26</v>
      </c>
      <c r="E19" s="36"/>
      <c r="F19" s="42">
        <f t="shared" si="1"/>
        <v>2160000.0099999998</v>
      </c>
      <c r="G19" s="42">
        <f t="shared" si="0"/>
        <v>2340000</v>
      </c>
      <c r="H19" s="15">
        <v>0.13700000000000001</v>
      </c>
      <c r="I19" s="15">
        <v>3.8600000000000002E-2</v>
      </c>
      <c r="J19" s="15">
        <v>2.0500000000000001E-2</v>
      </c>
      <c r="K19" s="15">
        <v>4.4000000000000003E-3</v>
      </c>
      <c r="L19" s="15">
        <v>2.35E-2</v>
      </c>
      <c r="M19" s="15">
        <v>0.05</v>
      </c>
      <c r="O19" s="46"/>
      <c r="P19" s="46"/>
      <c r="Q19" s="46"/>
      <c r="R19" s="46"/>
      <c r="S19" s="26"/>
      <c r="T19" s="26"/>
      <c r="U19" s="26"/>
      <c r="V19" s="26"/>
    </row>
    <row r="20" spans="1:22" ht="13.5" customHeight="1" x14ac:dyDescent="0.2">
      <c r="B20" s="26" t="s">
        <v>108</v>
      </c>
      <c r="C20" s="186">
        <f>SUM(C17:C19)</f>
        <v>0.31000000000000005</v>
      </c>
      <c r="D20" s="26"/>
      <c r="E20" s="26"/>
      <c r="F20" s="42">
        <f t="shared" si="1"/>
        <v>2340000.0099999998</v>
      </c>
      <c r="G20" s="42">
        <f t="shared" si="0"/>
        <v>2520000</v>
      </c>
      <c r="H20" s="15">
        <v>0.14149999999999999</v>
      </c>
      <c r="I20" s="15">
        <v>4.2299999999999997E-2</v>
      </c>
      <c r="J20" s="15">
        <v>2.07E-2</v>
      </c>
      <c r="K20" s="15">
        <v>4.5999999999999999E-3</v>
      </c>
      <c r="L20" s="15">
        <v>2.3900000000000001E-2</v>
      </c>
      <c r="M20" s="15">
        <v>0.05</v>
      </c>
      <c r="O20" s="46"/>
      <c r="P20" s="46"/>
      <c r="Q20" s="46"/>
      <c r="R20" s="46"/>
      <c r="S20" s="26"/>
      <c r="T20" s="26"/>
      <c r="U20" s="26"/>
      <c r="V20" s="26"/>
    </row>
    <row r="21" spans="1:22" ht="13.5" customHeight="1" x14ac:dyDescent="0.2">
      <c r="B21" s="26"/>
      <c r="C21" s="26"/>
      <c r="D21" s="26"/>
      <c r="E21" s="26"/>
      <c r="F21" s="42">
        <f t="shared" si="1"/>
        <v>2520000.0099999998</v>
      </c>
      <c r="G21" s="42">
        <f t="shared" si="0"/>
        <v>2700000</v>
      </c>
      <c r="H21" s="15">
        <v>0.14599999999999999</v>
      </c>
      <c r="I21" s="15">
        <v>4.5999999999999999E-2</v>
      </c>
      <c r="J21" s="15">
        <v>2.1000000000000001E-2</v>
      </c>
      <c r="K21" s="15">
        <v>4.7000000000000002E-3</v>
      </c>
      <c r="L21" s="15">
        <v>2.4299999999999999E-2</v>
      </c>
      <c r="M21" s="15">
        <v>0.05</v>
      </c>
      <c r="O21" s="46"/>
      <c r="P21" s="46"/>
      <c r="Q21" s="46"/>
      <c r="R21" s="46"/>
      <c r="S21" s="26"/>
      <c r="T21" s="26"/>
      <c r="U21" s="26"/>
      <c r="V21" s="26"/>
    </row>
    <row r="22" spans="1:22" ht="13.5" customHeight="1" thickBot="1" x14ac:dyDescent="0.25">
      <c r="B22" s="33" t="s">
        <v>22</v>
      </c>
      <c r="E22" s="54"/>
      <c r="F22" s="42">
        <f t="shared" si="1"/>
        <v>2700000.01</v>
      </c>
      <c r="G22" s="42">
        <f t="shared" si="0"/>
        <v>2880000</v>
      </c>
      <c r="H22" s="15">
        <v>0.15049999999999999</v>
      </c>
      <c r="I22" s="15">
        <v>4.9000000000000002E-2</v>
      </c>
      <c r="J22" s="15">
        <v>2.1899999999999999E-2</v>
      </c>
      <c r="K22" s="15">
        <v>4.8999999999999998E-3</v>
      </c>
      <c r="L22" s="15">
        <v>2.47E-2</v>
      </c>
      <c r="M22" s="15">
        <v>0.05</v>
      </c>
      <c r="O22" s="46"/>
      <c r="P22" s="46"/>
      <c r="Q22" s="46"/>
      <c r="R22" s="46"/>
      <c r="S22" s="26"/>
      <c r="T22" s="26"/>
      <c r="U22" s="26"/>
      <c r="V22" s="26"/>
    </row>
    <row r="23" spans="1:22" ht="12" thickBot="1" x14ac:dyDescent="0.25">
      <c r="B23" s="206" t="s">
        <v>54</v>
      </c>
      <c r="C23" s="207"/>
      <c r="E23" s="54"/>
      <c r="F23" s="42">
        <f t="shared" si="1"/>
        <v>2880000.01</v>
      </c>
      <c r="G23" s="42">
        <f t="shared" si="0"/>
        <v>3060000</v>
      </c>
      <c r="H23" s="15">
        <v>0.155</v>
      </c>
      <c r="I23" s="15">
        <v>5.21E-2</v>
      </c>
      <c r="J23" s="15">
        <v>2.2700000000000001E-2</v>
      </c>
      <c r="K23" s="15">
        <v>5.1000000000000004E-3</v>
      </c>
      <c r="L23" s="15">
        <v>2.5100000000000001E-2</v>
      </c>
      <c r="M23" s="15">
        <v>0.05</v>
      </c>
      <c r="O23" s="46"/>
      <c r="P23" s="46"/>
      <c r="Q23" s="46"/>
      <c r="R23" s="46"/>
      <c r="S23" s="26"/>
      <c r="T23" s="26"/>
      <c r="U23" s="26"/>
      <c r="V23" s="26"/>
    </row>
    <row r="24" spans="1:22" ht="12" thickBot="1" x14ac:dyDescent="0.25">
      <c r="B24" s="91" t="s">
        <v>31</v>
      </c>
      <c r="C24" s="91" t="s">
        <v>32</v>
      </c>
      <c r="E24" s="54"/>
      <c r="F24" s="42">
        <f t="shared" si="1"/>
        <v>3060000.01</v>
      </c>
      <c r="G24" s="42">
        <f t="shared" si="0"/>
        <v>3240000</v>
      </c>
      <c r="H24" s="15">
        <v>0.1595</v>
      </c>
      <c r="I24" s="15">
        <v>5.5100000000000003E-2</v>
      </c>
      <c r="J24" s="15">
        <v>2.3599999999999999E-2</v>
      </c>
      <c r="K24" s="15">
        <v>5.3E-3</v>
      </c>
      <c r="L24" s="15">
        <v>2.5499999999999998E-2</v>
      </c>
      <c r="M24" s="15">
        <v>0.05</v>
      </c>
      <c r="O24" s="46"/>
      <c r="P24" s="46"/>
      <c r="Q24" s="46"/>
      <c r="R24" s="46"/>
      <c r="S24" s="26"/>
      <c r="T24" s="26"/>
      <c r="U24" s="26"/>
      <c r="V24" s="26"/>
    </row>
    <row r="25" spans="1:22" ht="12" thickBot="1" x14ac:dyDescent="0.25">
      <c r="B25" s="91" t="s">
        <v>33</v>
      </c>
      <c r="C25" s="91">
        <v>8</v>
      </c>
      <c r="E25" s="54"/>
      <c r="F25" s="42">
        <f t="shared" si="1"/>
        <v>3240000.01</v>
      </c>
      <c r="G25" s="42">
        <f t="shared" si="0"/>
        <v>3420000</v>
      </c>
      <c r="H25" s="15">
        <v>0.16400000000000001</v>
      </c>
      <c r="I25" s="15">
        <v>5.8099999999999999E-2</v>
      </c>
      <c r="J25" s="15">
        <v>2.4500000000000001E-2</v>
      </c>
      <c r="K25" s="15">
        <v>5.4999999999999997E-3</v>
      </c>
      <c r="L25" s="15">
        <v>2.5899999999999999E-2</v>
      </c>
      <c r="M25" s="15">
        <v>0.05</v>
      </c>
      <c r="O25" s="46"/>
      <c r="P25" s="46"/>
      <c r="Q25" s="46"/>
      <c r="R25" s="46"/>
      <c r="S25" s="26"/>
      <c r="T25" s="26"/>
      <c r="U25" s="26"/>
      <c r="V25" s="26"/>
    </row>
    <row r="26" spans="1:22" ht="12" thickBot="1" x14ac:dyDescent="0.25">
      <c r="B26" s="91" t="s">
        <v>34</v>
      </c>
      <c r="C26" s="91">
        <v>9</v>
      </c>
      <c r="E26" s="54"/>
      <c r="F26" s="55">
        <f t="shared" si="1"/>
        <v>3420000.01</v>
      </c>
      <c r="G26" s="55">
        <f t="shared" si="0"/>
        <v>3600000</v>
      </c>
      <c r="H26" s="63">
        <v>0.16850000000000001</v>
      </c>
      <c r="I26" s="63">
        <v>6.1199999999999997E-2</v>
      </c>
      <c r="J26" s="63">
        <v>2.53E-2</v>
      </c>
      <c r="K26" s="63">
        <v>5.7000000000000002E-3</v>
      </c>
      <c r="L26" s="63">
        <v>2.63E-2</v>
      </c>
      <c r="M26" s="63">
        <v>0.05</v>
      </c>
      <c r="O26" s="46"/>
      <c r="P26" s="46"/>
      <c r="Q26" s="46"/>
      <c r="R26" s="46"/>
      <c r="S26" s="26"/>
      <c r="T26" s="26"/>
      <c r="U26" s="26"/>
      <c r="V26" s="26"/>
    </row>
    <row r="27" spans="1:22" ht="12" thickBot="1" x14ac:dyDescent="0.25">
      <c r="B27" s="91" t="s">
        <v>35</v>
      </c>
      <c r="C27" s="91">
        <v>11</v>
      </c>
      <c r="E27" s="54"/>
      <c r="F27" s="56"/>
      <c r="G27" s="54"/>
      <c r="I27" s="57"/>
      <c r="J27" s="46"/>
      <c r="K27" s="46"/>
      <c r="L27" s="46"/>
      <c r="M27" s="46"/>
      <c r="N27" s="46"/>
      <c r="O27" s="46"/>
      <c r="P27" s="46"/>
      <c r="Q27" s="46"/>
      <c r="R27" s="46"/>
      <c r="S27" s="26"/>
      <c r="T27" s="26"/>
      <c r="U27" s="26"/>
      <c r="V27" s="26"/>
    </row>
    <row r="28" spans="1:22" s="59" customFormat="1" ht="24" customHeight="1" thickBot="1" x14ac:dyDescent="0.25">
      <c r="A28" s="58"/>
      <c r="B28" s="92"/>
      <c r="C28" s="93"/>
      <c r="I28" s="60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22" s="59" customFormat="1" ht="13.5" thickBot="1" x14ac:dyDescent="0.25">
      <c r="A29" s="58"/>
      <c r="B29" s="197" t="s">
        <v>55</v>
      </c>
      <c r="C29" s="198"/>
      <c r="E29" s="61"/>
      <c r="F29" s="68" t="s">
        <v>46</v>
      </c>
      <c r="G29" s="61"/>
      <c r="H29" s="61"/>
      <c r="I29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s="59" customFormat="1" ht="13.5" thickBot="1" x14ac:dyDescent="0.25">
      <c r="A30" s="58"/>
      <c r="B30" s="91" t="s">
        <v>31</v>
      </c>
      <c r="C30" s="94" t="s">
        <v>32</v>
      </c>
      <c r="F30" s="67" t="s">
        <v>47</v>
      </c>
      <c r="I30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s="59" customFormat="1" ht="13.5" customHeight="1" thickBot="1" x14ac:dyDescent="0.25">
      <c r="A31" s="58"/>
      <c r="B31" s="95">
        <v>880</v>
      </c>
      <c r="C31" s="96">
        <v>0.05</v>
      </c>
      <c r="E31" s="66"/>
      <c r="F31" s="200" t="s">
        <v>48</v>
      </c>
      <c r="G31" s="201"/>
      <c r="H31" s="202" t="s">
        <v>52</v>
      </c>
      <c r="I31" s="204" t="s">
        <v>51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s="59" customFormat="1" ht="12" thickBot="1" x14ac:dyDescent="0.25">
      <c r="A32" s="58"/>
      <c r="B32" s="95">
        <v>880</v>
      </c>
      <c r="C32" s="96">
        <v>0.11</v>
      </c>
      <c r="E32" s="65"/>
      <c r="F32" s="74" t="s">
        <v>49</v>
      </c>
      <c r="G32" s="75" t="s">
        <v>50</v>
      </c>
      <c r="H32" s="203"/>
      <c r="I32" s="205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2:17" ht="12" thickBot="1" x14ac:dyDescent="0.25">
      <c r="B33" s="91" t="s">
        <v>36</v>
      </c>
      <c r="C33" s="94">
        <v>20</v>
      </c>
      <c r="F33" s="77">
        <v>0</v>
      </c>
      <c r="G33" s="76">
        <v>22499.13</v>
      </c>
      <c r="H33" s="69">
        <v>0</v>
      </c>
      <c r="I33" s="71" t="s">
        <v>18</v>
      </c>
      <c r="J33" s="26"/>
    </row>
    <row r="34" spans="2:17" x14ac:dyDescent="0.2">
      <c r="F34" s="77">
        <f>G33+0.01</f>
        <v>22499.14</v>
      </c>
      <c r="G34" s="76">
        <v>33477.72</v>
      </c>
      <c r="H34" s="69">
        <v>7.4999999999999997E-2</v>
      </c>
      <c r="I34" s="72">
        <v>1687.43</v>
      </c>
    </row>
    <row r="35" spans="2:17" x14ac:dyDescent="0.2">
      <c r="F35" s="77">
        <f t="shared" ref="F35:F37" si="2">G34+0.01</f>
        <v>33477.730000000003</v>
      </c>
      <c r="G35" s="76">
        <v>44476.74</v>
      </c>
      <c r="H35" s="69">
        <v>0.15</v>
      </c>
      <c r="I35" s="72">
        <v>4198.26</v>
      </c>
    </row>
    <row r="36" spans="2:17" x14ac:dyDescent="0.2">
      <c r="F36" s="77">
        <f t="shared" si="2"/>
        <v>44476.75</v>
      </c>
      <c r="G36" s="76">
        <v>55373.55</v>
      </c>
      <c r="H36" s="69">
        <v>0.22500000000000001</v>
      </c>
      <c r="I36" s="72">
        <v>7534.02</v>
      </c>
    </row>
    <row r="37" spans="2:17" ht="12" thickBot="1" x14ac:dyDescent="0.25">
      <c r="F37" s="78">
        <f t="shared" si="2"/>
        <v>55373.560000000005</v>
      </c>
      <c r="G37" s="79">
        <v>999999999999</v>
      </c>
      <c r="H37" s="70">
        <v>0.27500000000000002</v>
      </c>
      <c r="I37" s="73">
        <v>10302.700000000001</v>
      </c>
    </row>
    <row r="39" spans="2:17" ht="12" x14ac:dyDescent="0.2">
      <c r="B39" s="100" t="s">
        <v>61</v>
      </c>
      <c r="J39" s="26"/>
    </row>
    <row r="40" spans="2:17" ht="13.5" thickBot="1" x14ac:dyDescent="0.25">
      <c r="D40"/>
      <c r="F40" s="68" t="s">
        <v>57</v>
      </c>
      <c r="J40" s="26"/>
    </row>
    <row r="41" spans="2:17" ht="18" customHeight="1" x14ac:dyDescent="0.2">
      <c r="B41" s="30" t="s">
        <v>62</v>
      </c>
      <c r="F41" s="208" t="s">
        <v>70</v>
      </c>
      <c r="G41" s="208"/>
      <c r="H41" s="209" t="s">
        <v>58</v>
      </c>
      <c r="I41" s="211" t="s">
        <v>59</v>
      </c>
      <c r="J41" s="211" t="s">
        <v>71</v>
      </c>
      <c r="K41" s="99"/>
      <c r="L41" s="99"/>
      <c r="M41" s="99"/>
      <c r="N41" s="99"/>
      <c r="O41" s="99"/>
      <c r="P41" s="99"/>
      <c r="Q41" s="99"/>
    </row>
    <row r="42" spans="2:17" ht="17.25" customHeight="1" thickBot="1" x14ac:dyDescent="0.25">
      <c r="B42" s="30" t="s">
        <v>63</v>
      </c>
      <c r="F42" s="115" t="s">
        <v>68</v>
      </c>
      <c r="G42" s="115" t="s">
        <v>69</v>
      </c>
      <c r="H42" s="210"/>
      <c r="I42" s="212"/>
      <c r="J42" s="212"/>
      <c r="K42" s="104"/>
      <c r="L42" s="104"/>
      <c r="M42" s="104"/>
      <c r="N42" s="104"/>
      <c r="O42" s="104"/>
      <c r="P42" s="104"/>
      <c r="Q42" s="104"/>
    </row>
    <row r="43" spans="2:17" ht="12.75" x14ac:dyDescent="0.2">
      <c r="B43" s="30" t="s">
        <v>64</v>
      </c>
      <c r="F43" s="97">
        <v>0</v>
      </c>
      <c r="G43" s="113">
        <v>300000</v>
      </c>
      <c r="H43" s="98">
        <v>1271300783106.3201</v>
      </c>
      <c r="I43" s="101">
        <v>296645949368.60999</v>
      </c>
      <c r="J43" s="116">
        <f>I43/H43</f>
        <v>0.23334049133815504</v>
      </c>
      <c r="M43" s="106"/>
      <c r="N43" s="106"/>
      <c r="O43" s="106"/>
      <c r="P43" s="106"/>
      <c r="Q43" s="106"/>
    </row>
    <row r="44" spans="2:17" ht="12.75" x14ac:dyDescent="0.2">
      <c r="B44" s="30" t="s">
        <v>65</v>
      </c>
      <c r="F44" s="113">
        <f>G43+0.01</f>
        <v>300000.01</v>
      </c>
      <c r="G44" s="113">
        <f>G43*2</f>
        <v>600000</v>
      </c>
      <c r="H44" s="98">
        <v>105370970014.62</v>
      </c>
      <c r="I44" s="101">
        <v>16298454158.73</v>
      </c>
      <c r="J44" s="116">
        <f t="shared" ref="J44:J48" si="3">I44/H44</f>
        <v>0.15467689209341648</v>
      </c>
      <c r="M44" s="105"/>
      <c r="N44" s="105"/>
      <c r="O44" s="105"/>
      <c r="P44" s="105"/>
      <c r="Q44" s="105"/>
    </row>
    <row r="45" spans="2:17" ht="12.75" x14ac:dyDescent="0.2">
      <c r="B45" s="30" t="s">
        <v>66</v>
      </c>
      <c r="F45" s="113">
        <f t="shared" ref="F45:F48" si="4">G44+0.01</f>
        <v>600000.01</v>
      </c>
      <c r="G45" s="113">
        <f t="shared" ref="G45:G47" si="5">G44*2</f>
        <v>1200000</v>
      </c>
      <c r="H45" s="98">
        <v>25474147939.700001</v>
      </c>
      <c r="I45" s="101">
        <v>2974098319.4200001</v>
      </c>
      <c r="J45" s="116">
        <f t="shared" si="3"/>
        <v>0.11674966819145453</v>
      </c>
      <c r="M45" s="108"/>
      <c r="N45" s="108"/>
      <c r="O45" s="108"/>
      <c r="P45" s="108"/>
      <c r="Q45" s="108"/>
    </row>
    <row r="46" spans="2:17" ht="12.75" x14ac:dyDescent="0.2">
      <c r="B46" s="30" t="s">
        <v>67</v>
      </c>
      <c r="F46" s="113">
        <f t="shared" si="4"/>
        <v>1200000.01</v>
      </c>
      <c r="G46" s="113">
        <f t="shared" si="5"/>
        <v>2400000</v>
      </c>
      <c r="H46" s="98">
        <v>10562598709</v>
      </c>
      <c r="I46" s="101">
        <v>1454156423.24</v>
      </c>
      <c r="J46" s="116">
        <f t="shared" si="3"/>
        <v>0.13767032747357591</v>
      </c>
      <c r="M46" s="108"/>
      <c r="N46" s="108"/>
      <c r="O46" s="108"/>
      <c r="P46" s="108"/>
      <c r="Q46" s="108"/>
    </row>
    <row r="47" spans="2:17" ht="12.75" x14ac:dyDescent="0.2">
      <c r="B47" s="30" t="s">
        <v>75</v>
      </c>
      <c r="F47" s="113">
        <f t="shared" si="4"/>
        <v>2400000.0099999998</v>
      </c>
      <c r="G47" s="113">
        <f t="shared" si="5"/>
        <v>4800000</v>
      </c>
      <c r="H47" s="98">
        <v>6548138060.2700005</v>
      </c>
      <c r="I47" s="101">
        <v>1302419584.02</v>
      </c>
      <c r="J47" s="116">
        <f t="shared" si="3"/>
        <v>0.19889922479219949</v>
      </c>
      <c r="M47" s="108"/>
      <c r="N47" s="108"/>
      <c r="O47" s="108"/>
      <c r="P47" s="108"/>
      <c r="Q47" s="108"/>
    </row>
    <row r="48" spans="2:17" ht="13.5" thickBot="1" x14ac:dyDescent="0.25">
      <c r="B48" s="30" t="s">
        <v>76</v>
      </c>
      <c r="F48" s="114">
        <f t="shared" si="4"/>
        <v>4800000.01</v>
      </c>
      <c r="G48" s="114">
        <v>999999999999999</v>
      </c>
      <c r="H48" s="102">
        <v>9748218153.1000004</v>
      </c>
      <c r="I48" s="103">
        <v>2344856106.73</v>
      </c>
      <c r="J48" s="117">
        <f t="shared" si="3"/>
        <v>0.24054202213194414</v>
      </c>
      <c r="M48" s="108"/>
      <c r="N48" s="108"/>
      <c r="O48" s="108"/>
      <c r="P48" s="108"/>
      <c r="Q48" s="108"/>
    </row>
    <row r="49" spans="2:17" ht="12.75" x14ac:dyDescent="0.2">
      <c r="B49" s="30" t="s">
        <v>77</v>
      </c>
      <c r="F49" s="110"/>
      <c r="G49" s="107"/>
      <c r="H49" s="108"/>
      <c r="I49" s="108"/>
      <c r="J49" s="109"/>
      <c r="K49" s="108"/>
      <c r="L49" s="108"/>
      <c r="M49" s="108"/>
      <c r="N49" s="108"/>
      <c r="O49" s="108"/>
      <c r="P49" s="108"/>
      <c r="Q49" s="108"/>
    </row>
    <row r="50" spans="2:17" ht="13.5" thickBot="1" x14ac:dyDescent="0.25">
      <c r="B50" s="30" t="s">
        <v>79</v>
      </c>
      <c r="F50" s="68" t="s">
        <v>57</v>
      </c>
      <c r="G50" s="111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ht="23.25" customHeight="1" x14ac:dyDescent="0.2">
      <c r="B51" s="118"/>
      <c r="F51" s="208" t="s">
        <v>70</v>
      </c>
      <c r="G51" s="208"/>
      <c r="H51" s="209" t="s">
        <v>58</v>
      </c>
      <c r="I51" s="211" t="s">
        <v>59</v>
      </c>
      <c r="J51" s="211" t="s">
        <v>71</v>
      </c>
    </row>
    <row r="52" spans="2:17" ht="13.5" customHeight="1" thickBot="1" x14ac:dyDescent="0.25">
      <c r="F52" s="115" t="s">
        <v>68</v>
      </c>
      <c r="G52" s="115" t="s">
        <v>69</v>
      </c>
      <c r="H52" s="210"/>
      <c r="I52" s="212"/>
      <c r="J52" s="212"/>
    </row>
    <row r="53" spans="2:17" x14ac:dyDescent="0.2">
      <c r="F53" s="140">
        <v>0</v>
      </c>
      <c r="G53" s="141">
        <v>5000</v>
      </c>
      <c r="H53" s="142">
        <v>872853709.26999998</v>
      </c>
      <c r="I53" s="142">
        <v>2499628784.9299998</v>
      </c>
      <c r="J53" s="143">
        <f>I53/H53</f>
        <v>2.8637430973633973</v>
      </c>
      <c r="K53" s="148"/>
      <c r="L53" s="148"/>
    </row>
    <row r="54" spans="2:17" x14ac:dyDescent="0.2">
      <c r="F54" s="144">
        <f>G53+0.01</f>
        <v>5000.01</v>
      </c>
      <c r="G54" s="144">
        <v>10000</v>
      </c>
      <c r="H54" s="145">
        <v>9630725971.1399994</v>
      </c>
      <c r="I54" s="145">
        <v>2308594250.7600002</v>
      </c>
      <c r="J54" s="146">
        <f t="shared" ref="J54:J76" si="6">I54/H54</f>
        <v>0.23971134239288602</v>
      </c>
      <c r="K54" s="148"/>
      <c r="L54" s="148"/>
    </row>
    <row r="55" spans="2:17" x14ac:dyDescent="0.2">
      <c r="F55" s="144">
        <f t="shared" ref="F55:F76" si="7">G54+0.01</f>
        <v>10000.01</v>
      </c>
      <c r="G55" s="144">
        <v>20000</v>
      </c>
      <c r="H55" s="145">
        <v>33433057783.779999</v>
      </c>
      <c r="I55" s="145">
        <v>6789308653.3100004</v>
      </c>
      <c r="J55" s="146">
        <f t="shared" si="6"/>
        <v>0.20307172311961916</v>
      </c>
      <c r="K55" s="149"/>
      <c r="L55" s="148"/>
    </row>
    <row r="56" spans="2:17" x14ac:dyDescent="0.2">
      <c r="F56" s="144">
        <f t="shared" si="7"/>
        <v>20000.009999999998</v>
      </c>
      <c r="G56" s="144">
        <v>30000</v>
      </c>
      <c r="H56" s="145">
        <v>168706087012.57001</v>
      </c>
      <c r="I56" s="145">
        <v>36620752785.190002</v>
      </c>
      <c r="J56" s="146">
        <f t="shared" si="6"/>
        <v>0.21706835499338831</v>
      </c>
      <c r="K56" s="149"/>
      <c r="L56" s="148"/>
    </row>
    <row r="57" spans="2:17" x14ac:dyDescent="0.2">
      <c r="F57" s="144">
        <f t="shared" si="7"/>
        <v>30000.01</v>
      </c>
      <c r="G57" s="144">
        <v>40000</v>
      </c>
      <c r="H57" s="145">
        <v>147216691459.13</v>
      </c>
      <c r="I57" s="145">
        <v>38550780047.550003</v>
      </c>
      <c r="J57" s="146">
        <f t="shared" si="6"/>
        <v>0.26186419260924904</v>
      </c>
      <c r="K57" s="149"/>
      <c r="L57" s="148"/>
    </row>
    <row r="58" spans="2:17" x14ac:dyDescent="0.2">
      <c r="F58" s="144">
        <f t="shared" si="7"/>
        <v>40000.01</v>
      </c>
      <c r="G58" s="144">
        <v>50000</v>
      </c>
      <c r="H58" s="145">
        <v>124951876207.8</v>
      </c>
      <c r="I58" s="145">
        <v>33462114925.669998</v>
      </c>
      <c r="J58" s="146">
        <f t="shared" si="6"/>
        <v>0.26780001982540186</v>
      </c>
      <c r="K58" s="149"/>
      <c r="L58" s="148"/>
    </row>
    <row r="59" spans="2:17" x14ac:dyDescent="0.2">
      <c r="F59" s="144">
        <f t="shared" si="7"/>
        <v>50000.01</v>
      </c>
      <c r="G59" s="144">
        <v>100000</v>
      </c>
      <c r="H59" s="145">
        <v>375674131780.76001</v>
      </c>
      <c r="I59" s="145">
        <v>97674337604.169998</v>
      </c>
      <c r="J59" s="146">
        <f t="shared" si="6"/>
        <v>0.25999750672524841</v>
      </c>
      <c r="K59" s="149"/>
      <c r="L59" s="148"/>
    </row>
    <row r="60" spans="2:17" x14ac:dyDescent="0.2">
      <c r="F60" s="136">
        <f t="shared" si="7"/>
        <v>100000.01</v>
      </c>
      <c r="G60" s="136">
        <v>200000</v>
      </c>
      <c r="H60" s="137">
        <v>286636457652.84998</v>
      </c>
      <c r="I60" s="137">
        <v>57516076658.239998</v>
      </c>
      <c r="J60" s="4">
        <f t="shared" si="6"/>
        <v>0.20065862217673178</v>
      </c>
      <c r="K60" s="139"/>
      <c r="L60" s="139">
        <f>J60</f>
        <v>0.20065862217673178</v>
      </c>
      <c r="M60" s="139">
        <f>1-L60</f>
        <v>0.7993413778232682</v>
      </c>
    </row>
    <row r="61" spans="2:17" x14ac:dyDescent="0.2">
      <c r="F61" s="136">
        <f t="shared" si="7"/>
        <v>200000.01</v>
      </c>
      <c r="G61" s="136">
        <v>300000</v>
      </c>
      <c r="H61" s="137">
        <v>124812917162.46001</v>
      </c>
      <c r="I61" s="137">
        <v>21266827362.41</v>
      </c>
      <c r="J61" s="4">
        <f t="shared" si="6"/>
        <v>0.17038963471007171</v>
      </c>
      <c r="K61" s="139">
        <f>$J$78/15</f>
        <v>-1.1659300036749171E-2</v>
      </c>
      <c r="L61" s="139">
        <f>L60+K61</f>
        <v>0.18899932213998261</v>
      </c>
      <c r="M61" s="139">
        <f t="shared" ref="M61:M76" si="8">1-L61</f>
        <v>0.81100067786001739</v>
      </c>
    </row>
    <row r="62" spans="2:17" x14ac:dyDescent="0.2">
      <c r="F62" s="136">
        <f t="shared" si="7"/>
        <v>300000.01</v>
      </c>
      <c r="G62" s="136">
        <v>400000</v>
      </c>
      <c r="H62" s="137">
        <v>65873935116.449997</v>
      </c>
      <c r="I62" s="137">
        <v>10730690390.1</v>
      </c>
      <c r="J62" s="4">
        <f t="shared" si="6"/>
        <v>0.16289736405044883</v>
      </c>
      <c r="K62" s="139">
        <f t="shared" ref="K62:K76" si="9">$J$78/15</f>
        <v>-1.1659300036749171E-2</v>
      </c>
      <c r="L62" s="139">
        <f t="shared" ref="L62:L76" si="10">L61+K62</f>
        <v>0.17734002210323344</v>
      </c>
      <c r="M62" s="139">
        <f t="shared" si="8"/>
        <v>0.82265997789676659</v>
      </c>
    </row>
    <row r="63" spans="2:17" x14ac:dyDescent="0.2">
      <c r="F63" s="136">
        <f t="shared" si="7"/>
        <v>400000.01</v>
      </c>
      <c r="G63" s="136">
        <v>500000</v>
      </c>
      <c r="H63" s="137">
        <v>25754858382.009998</v>
      </c>
      <c r="I63" s="137">
        <v>3734920208.5</v>
      </c>
      <c r="J63" s="4">
        <f t="shared" si="6"/>
        <v>0.14501808369906921</v>
      </c>
      <c r="K63" s="139">
        <f t="shared" si="9"/>
        <v>-1.1659300036749171E-2</v>
      </c>
      <c r="L63" s="139">
        <f t="shared" si="10"/>
        <v>0.16568072206648427</v>
      </c>
      <c r="M63" s="139">
        <f t="shared" si="8"/>
        <v>0.83431927793351579</v>
      </c>
    </row>
    <row r="64" spans="2:17" x14ac:dyDescent="0.2">
      <c r="F64" s="136">
        <f t="shared" si="7"/>
        <v>500000.01</v>
      </c>
      <c r="G64" s="136">
        <v>1000000</v>
      </c>
      <c r="H64" s="137">
        <v>34876881404.110001</v>
      </c>
      <c r="I64" s="137">
        <v>4301599836.6099997</v>
      </c>
      <c r="J64" s="4">
        <f t="shared" si="6"/>
        <v>0.12333671083628153</v>
      </c>
      <c r="K64" s="139">
        <f t="shared" si="9"/>
        <v>-1.1659300036749171E-2</v>
      </c>
      <c r="L64" s="139">
        <f t="shared" si="10"/>
        <v>0.15402142202973509</v>
      </c>
      <c r="M64" s="139">
        <f t="shared" si="8"/>
        <v>0.84597857797026488</v>
      </c>
    </row>
    <row r="65" spans="6:13" x14ac:dyDescent="0.2">
      <c r="F65" s="136">
        <f t="shared" si="7"/>
        <v>1000000.01</v>
      </c>
      <c r="G65" s="136">
        <v>2000000</v>
      </c>
      <c r="H65" s="137">
        <v>12755652580.129999</v>
      </c>
      <c r="I65" s="137">
        <v>1605406031.28</v>
      </c>
      <c r="J65" s="4">
        <f t="shared" si="6"/>
        <v>0.12585840051655267</v>
      </c>
      <c r="K65" s="139">
        <f t="shared" si="9"/>
        <v>-1.1659300036749171E-2</v>
      </c>
      <c r="L65" s="139">
        <f t="shared" si="10"/>
        <v>0.14236212199298592</v>
      </c>
      <c r="M65" s="139">
        <f t="shared" si="8"/>
        <v>0.85763787800701408</v>
      </c>
    </row>
    <row r="66" spans="6:13" x14ac:dyDescent="0.2">
      <c r="F66" s="136">
        <f t="shared" si="7"/>
        <v>2000000.01</v>
      </c>
      <c r="G66" s="136">
        <v>3000000</v>
      </c>
      <c r="H66" s="137">
        <v>4579364812.1800003</v>
      </c>
      <c r="I66" s="137">
        <v>773296730.65999997</v>
      </c>
      <c r="J66" s="4">
        <f t="shared" si="6"/>
        <v>0.16886550042993259</v>
      </c>
      <c r="K66" s="139">
        <f t="shared" si="9"/>
        <v>-1.1659300036749171E-2</v>
      </c>
      <c r="L66" s="139">
        <f t="shared" si="10"/>
        <v>0.13070282195623675</v>
      </c>
      <c r="M66" s="139">
        <f t="shared" si="8"/>
        <v>0.86929717804376327</v>
      </c>
    </row>
    <row r="67" spans="6:13" x14ac:dyDescent="0.2">
      <c r="F67" s="136">
        <f t="shared" si="7"/>
        <v>3000000.01</v>
      </c>
      <c r="G67" s="136">
        <v>4000000</v>
      </c>
      <c r="H67" s="137">
        <v>2667286332.6100001</v>
      </c>
      <c r="I67" s="137">
        <v>531839148.51999998</v>
      </c>
      <c r="J67" s="4">
        <f t="shared" si="6"/>
        <v>0.19939334672014133</v>
      </c>
      <c r="K67" s="139">
        <f t="shared" si="9"/>
        <v>-1.1659300036749171E-2</v>
      </c>
      <c r="L67" s="139">
        <f t="shared" si="10"/>
        <v>0.11904352191948758</v>
      </c>
      <c r="M67" s="139">
        <f t="shared" si="8"/>
        <v>0.88095647808051236</v>
      </c>
    </row>
    <row r="68" spans="6:13" x14ac:dyDescent="0.2">
      <c r="F68" s="136">
        <f t="shared" si="7"/>
        <v>4000000.01</v>
      </c>
      <c r="G68" s="136">
        <v>5000000</v>
      </c>
      <c r="H68" s="137">
        <v>1763211709.3199999</v>
      </c>
      <c r="I68" s="137">
        <v>417432848.99000001</v>
      </c>
      <c r="J68" s="4">
        <f t="shared" si="6"/>
        <v>0.23674573324549161</v>
      </c>
      <c r="K68" s="139">
        <f t="shared" si="9"/>
        <v>-1.1659300036749171E-2</v>
      </c>
      <c r="L68" s="139">
        <f t="shared" si="10"/>
        <v>0.10738422188273841</v>
      </c>
      <c r="M68" s="139">
        <f t="shared" si="8"/>
        <v>0.89261577811726156</v>
      </c>
    </row>
    <row r="69" spans="6:13" x14ac:dyDescent="0.2">
      <c r="F69" s="136">
        <f t="shared" si="7"/>
        <v>5000000.01</v>
      </c>
      <c r="G69" s="136">
        <v>10000000</v>
      </c>
      <c r="H69" s="137">
        <v>5138644609.1400003</v>
      </c>
      <c r="I69" s="137">
        <v>1330828100.98</v>
      </c>
      <c r="J69" s="4">
        <f t="shared" si="6"/>
        <v>0.25898426573670491</v>
      </c>
      <c r="K69" s="139">
        <f t="shared" si="9"/>
        <v>-1.1659300036749171E-2</v>
      </c>
      <c r="L69" s="139">
        <f t="shared" si="10"/>
        <v>9.5724921845989241E-2</v>
      </c>
      <c r="M69" s="139">
        <f t="shared" si="8"/>
        <v>0.90427507815401076</v>
      </c>
    </row>
    <row r="70" spans="6:13" x14ac:dyDescent="0.2">
      <c r="F70" s="136">
        <f t="shared" si="7"/>
        <v>10000000.01</v>
      </c>
      <c r="G70" s="136">
        <v>15000000</v>
      </c>
      <c r="H70" s="137">
        <v>1990584750.52</v>
      </c>
      <c r="I70" s="137">
        <v>586440386.37</v>
      </c>
      <c r="J70" s="4">
        <f t="shared" si="6"/>
        <v>0.29460709282375658</v>
      </c>
      <c r="K70" s="139">
        <f t="shared" si="9"/>
        <v>-1.1659300036749171E-2</v>
      </c>
      <c r="L70" s="139">
        <f t="shared" si="10"/>
        <v>8.4065621809240071E-2</v>
      </c>
      <c r="M70" s="139">
        <f t="shared" si="8"/>
        <v>0.91593437819075996</v>
      </c>
    </row>
    <row r="71" spans="6:13" x14ac:dyDescent="0.2">
      <c r="F71" s="136">
        <f t="shared" si="7"/>
        <v>15000000.01</v>
      </c>
      <c r="G71" s="136">
        <v>20000000</v>
      </c>
      <c r="H71" s="137">
        <v>924816431.41999996</v>
      </c>
      <c r="I71" s="137">
        <v>246464772.40000001</v>
      </c>
      <c r="J71" s="4">
        <f t="shared" si="6"/>
        <v>0.26650129044697896</v>
      </c>
      <c r="K71" s="139">
        <f t="shared" si="9"/>
        <v>-1.1659300036749171E-2</v>
      </c>
      <c r="L71" s="139">
        <f t="shared" si="10"/>
        <v>7.24063217724909E-2</v>
      </c>
      <c r="M71" s="139">
        <f t="shared" si="8"/>
        <v>0.92759367822750916</v>
      </c>
    </row>
    <row r="72" spans="6:13" x14ac:dyDescent="0.2">
      <c r="F72" s="136">
        <f t="shared" si="7"/>
        <v>20000000.010000002</v>
      </c>
      <c r="G72" s="136">
        <v>25000000</v>
      </c>
      <c r="H72" s="137">
        <v>315759252.41000003</v>
      </c>
      <c r="I72" s="137">
        <v>59407300.740000002</v>
      </c>
      <c r="J72" s="4">
        <f t="shared" si="6"/>
        <v>0.18814112424760285</v>
      </c>
      <c r="K72" s="139">
        <f t="shared" si="9"/>
        <v>-1.1659300036749171E-2</v>
      </c>
      <c r="L72" s="139">
        <f t="shared" si="10"/>
        <v>6.074702173574173E-2</v>
      </c>
      <c r="M72" s="139">
        <f t="shared" si="8"/>
        <v>0.93925297826425824</v>
      </c>
    </row>
    <row r="73" spans="6:13" x14ac:dyDescent="0.2">
      <c r="F73" s="136">
        <f t="shared" si="7"/>
        <v>25000000.010000002</v>
      </c>
      <c r="G73" s="136">
        <v>30000000</v>
      </c>
      <c r="H73" s="137">
        <v>241011139.19</v>
      </c>
      <c r="I73" s="137">
        <v>29451681.010000002</v>
      </c>
      <c r="J73" s="4">
        <f t="shared" si="6"/>
        <v>0.12220049707653516</v>
      </c>
      <c r="K73" s="139">
        <f t="shared" si="9"/>
        <v>-1.1659300036749171E-2</v>
      </c>
      <c r="L73" s="139">
        <f t="shared" si="10"/>
        <v>4.9087721698992559E-2</v>
      </c>
      <c r="M73" s="139">
        <f t="shared" si="8"/>
        <v>0.95091227830100744</v>
      </c>
    </row>
    <row r="74" spans="6:13" x14ac:dyDescent="0.2">
      <c r="F74" s="136">
        <f t="shared" si="7"/>
        <v>30000000.010000002</v>
      </c>
      <c r="G74" s="136">
        <v>40000000</v>
      </c>
      <c r="H74" s="137">
        <v>342301841.66000003</v>
      </c>
      <c r="I74" s="137">
        <v>12755367.060000001</v>
      </c>
      <c r="J74" s="4">
        <f t="shared" si="6"/>
        <v>3.7263506962576007E-2</v>
      </c>
      <c r="K74" s="139">
        <f t="shared" si="9"/>
        <v>-1.1659300036749171E-2</v>
      </c>
      <c r="L74" s="139">
        <f t="shared" si="10"/>
        <v>3.7428421662243389E-2</v>
      </c>
      <c r="M74" s="139">
        <f t="shared" si="8"/>
        <v>0.96257157833775664</v>
      </c>
    </row>
    <row r="75" spans="6:13" x14ac:dyDescent="0.2">
      <c r="F75" s="136">
        <f t="shared" si="7"/>
        <v>40000000.009999998</v>
      </c>
      <c r="G75" s="136">
        <v>45000000</v>
      </c>
      <c r="H75" s="137">
        <v>208905007.25</v>
      </c>
      <c r="I75" s="137">
        <v>5383298.54</v>
      </c>
      <c r="J75" s="4">
        <f t="shared" si="6"/>
        <v>2.5769121625494211E-2</v>
      </c>
      <c r="K75" s="139">
        <f t="shared" si="9"/>
        <v>-1.1659300036749171E-2</v>
      </c>
      <c r="L75" s="139">
        <f t="shared" si="10"/>
        <v>2.5769121625494218E-2</v>
      </c>
      <c r="M75" s="139">
        <f t="shared" si="8"/>
        <v>0.97423087837450573</v>
      </c>
    </row>
    <row r="76" spans="6:13" ht="12" thickBot="1" x14ac:dyDescent="0.25">
      <c r="F76" s="114">
        <f t="shared" si="7"/>
        <v>45000000.009999998</v>
      </c>
      <c r="G76" s="114">
        <v>48000000</v>
      </c>
      <c r="H76" s="135">
        <v>45306120.149999999</v>
      </c>
      <c r="I76" s="135">
        <v>0</v>
      </c>
      <c r="J76" s="138">
        <f t="shared" si="6"/>
        <v>0</v>
      </c>
      <c r="K76" s="147">
        <f t="shared" si="9"/>
        <v>-1.1659300036749171E-2</v>
      </c>
      <c r="L76" s="147">
        <f t="shared" si="10"/>
        <v>1.4109821588745047E-2</v>
      </c>
      <c r="M76" s="139">
        <f t="shared" si="8"/>
        <v>0.98589017841125492</v>
      </c>
    </row>
    <row r="78" spans="6:13" x14ac:dyDescent="0.2">
      <c r="J78" s="139">
        <f>J75-J60</f>
        <v>-0.17488950055123756</v>
      </c>
    </row>
    <row r="80" spans="6:13" ht="45" x14ac:dyDescent="0.2">
      <c r="F80" s="154"/>
      <c r="G80" s="154" t="s">
        <v>90</v>
      </c>
      <c r="H80" s="155" t="s">
        <v>58</v>
      </c>
      <c r="I80" s="156" t="s">
        <v>59</v>
      </c>
    </row>
    <row r="81" spans="6:10" ht="12" thickBot="1" x14ac:dyDescent="0.25">
      <c r="F81" s="157"/>
      <c r="G81" s="157"/>
      <c r="H81" s="158"/>
      <c r="I81" s="159"/>
    </row>
    <row r="82" spans="6:10" x14ac:dyDescent="0.2">
      <c r="F82" s="140">
        <v>0</v>
      </c>
      <c r="G82" s="141">
        <v>5000</v>
      </c>
      <c r="H82" s="160">
        <v>872668953.26999998</v>
      </c>
      <c r="I82" s="161">
        <v>2306577524.4499998</v>
      </c>
    </row>
    <row r="83" spans="6:10" x14ac:dyDescent="0.2">
      <c r="F83" s="144">
        <f>G82+0.01</f>
        <v>5000.01</v>
      </c>
      <c r="G83" s="144">
        <v>10000</v>
      </c>
      <c r="H83" s="160">
        <v>9629265875.7999992</v>
      </c>
      <c r="I83" s="161">
        <v>2255856380.4000001</v>
      </c>
    </row>
    <row r="84" spans="6:10" x14ac:dyDescent="0.2">
      <c r="F84" s="144">
        <f t="shared" ref="F84:F105" si="11">G83+0.01</f>
        <v>10000.01</v>
      </c>
      <c r="G84" s="144">
        <v>20000</v>
      </c>
      <c r="H84" s="160">
        <v>33426388471.139999</v>
      </c>
      <c r="I84" s="161">
        <v>6647516564.8900003</v>
      </c>
    </row>
    <row r="85" spans="6:10" x14ac:dyDescent="0.2">
      <c r="F85" s="144">
        <f t="shared" si="11"/>
        <v>20000.009999999998</v>
      </c>
      <c r="G85" s="144">
        <v>30000</v>
      </c>
      <c r="H85" s="160">
        <v>168677463517.64999</v>
      </c>
      <c r="I85" s="161">
        <v>36086808367.709999</v>
      </c>
    </row>
    <row r="86" spans="6:10" x14ac:dyDescent="0.2">
      <c r="F86" s="144">
        <f t="shared" si="11"/>
        <v>30000.01</v>
      </c>
      <c r="G86" s="144">
        <v>40000</v>
      </c>
      <c r="H86" s="160">
        <v>147169125527.29999</v>
      </c>
      <c r="I86" s="161">
        <v>37709820498.639999</v>
      </c>
    </row>
    <row r="87" spans="6:10" x14ac:dyDescent="0.2">
      <c r="F87" s="144">
        <f t="shared" si="11"/>
        <v>40000.01</v>
      </c>
      <c r="G87" s="144">
        <v>50000</v>
      </c>
      <c r="H87" s="160">
        <v>124918130678.44</v>
      </c>
      <c r="I87" s="161">
        <v>32993288167.34</v>
      </c>
    </row>
    <row r="88" spans="6:10" x14ac:dyDescent="0.2">
      <c r="F88" s="144">
        <f t="shared" si="11"/>
        <v>50000.01</v>
      </c>
      <c r="G88" s="144">
        <v>100000</v>
      </c>
      <c r="H88" s="160">
        <v>375579211942.91998</v>
      </c>
      <c r="I88" s="161">
        <v>97106863213.919998</v>
      </c>
    </row>
    <row r="89" spans="6:10" x14ac:dyDescent="0.2">
      <c r="F89" s="136">
        <f t="shared" si="11"/>
        <v>100000.01</v>
      </c>
      <c r="G89" s="136">
        <v>200000</v>
      </c>
      <c r="H89" s="160">
        <v>284186305093.12</v>
      </c>
      <c r="I89" s="161">
        <v>55553795192.589996</v>
      </c>
      <c r="J89" s="15">
        <f>I89/H89</f>
        <v>0.19548371683282401</v>
      </c>
    </row>
    <row r="90" spans="6:10" x14ac:dyDescent="0.2">
      <c r="F90" s="136">
        <f t="shared" si="11"/>
        <v>200000.01</v>
      </c>
      <c r="G90" s="136">
        <v>300000</v>
      </c>
      <c r="H90" s="160">
        <v>120371420099.05</v>
      </c>
      <c r="I90" s="161">
        <v>18708510364.75</v>
      </c>
      <c r="J90" s="15">
        <f t="shared" ref="J90:J105" si="12">I90/H90</f>
        <v>0.15542319222748499</v>
      </c>
    </row>
    <row r="91" spans="6:10" x14ac:dyDescent="0.2">
      <c r="F91" s="136">
        <f t="shared" si="11"/>
        <v>300000.01</v>
      </c>
      <c r="G91" s="136">
        <v>400000</v>
      </c>
      <c r="H91" s="160">
        <v>60332253693.510002</v>
      </c>
      <c r="I91" s="161">
        <v>8342257690.8299999</v>
      </c>
      <c r="J91" s="15">
        <f t="shared" si="12"/>
        <v>0.1382719388075401</v>
      </c>
    </row>
    <row r="92" spans="6:10" x14ac:dyDescent="0.2">
      <c r="F92" s="136">
        <f t="shared" si="11"/>
        <v>400000.01</v>
      </c>
      <c r="G92" s="136">
        <v>500000</v>
      </c>
      <c r="H92" s="160">
        <v>21922650894.810001</v>
      </c>
      <c r="I92" s="161">
        <v>2329456588.6399999</v>
      </c>
      <c r="J92" s="15">
        <f t="shared" si="12"/>
        <v>0.10625797946686633</v>
      </c>
    </row>
    <row r="93" spans="6:10" x14ac:dyDescent="0.2">
      <c r="F93" s="136">
        <f t="shared" si="11"/>
        <v>500000.01</v>
      </c>
      <c r="G93" s="136">
        <v>1000000</v>
      </c>
      <c r="H93" s="160">
        <v>26687229426.669998</v>
      </c>
      <c r="I93" s="161">
        <v>1813084760.72</v>
      </c>
      <c r="J93" s="15">
        <f t="shared" si="12"/>
        <v>6.7938291072961135E-2</v>
      </c>
    </row>
    <row r="94" spans="6:10" x14ac:dyDescent="0.2">
      <c r="F94" s="136">
        <f t="shared" si="11"/>
        <v>1000000.01</v>
      </c>
      <c r="G94" s="136">
        <v>2000000</v>
      </c>
      <c r="H94" s="160">
        <v>8220178892.8500004</v>
      </c>
      <c r="I94" s="161">
        <v>218133066.75</v>
      </c>
      <c r="J94" s="15">
        <f t="shared" si="12"/>
        <v>2.6536291921789499E-2</v>
      </c>
    </row>
    <row r="95" spans="6:10" x14ac:dyDescent="0.2">
      <c r="F95" s="136">
        <f t="shared" si="11"/>
        <v>2000000.01</v>
      </c>
      <c r="G95" s="136">
        <v>3000000</v>
      </c>
      <c r="H95" s="160">
        <v>2480601119.73</v>
      </c>
      <c r="I95" s="161">
        <v>33731793.390000001</v>
      </c>
      <c r="J95" s="15">
        <f t="shared" si="12"/>
        <v>1.3598233557869039E-2</v>
      </c>
    </row>
    <row r="96" spans="6:10" x14ac:dyDescent="0.2">
      <c r="F96" s="136">
        <f t="shared" si="11"/>
        <v>3000000.01</v>
      </c>
      <c r="G96" s="136">
        <v>4000000</v>
      </c>
      <c r="H96" s="160">
        <v>1178724772.04</v>
      </c>
      <c r="I96" s="161">
        <v>10661936.4</v>
      </c>
      <c r="J96" s="15">
        <f t="shared" si="12"/>
        <v>9.0453146085557861E-3</v>
      </c>
    </row>
    <row r="97" spans="5:15" x14ac:dyDescent="0.2">
      <c r="F97" s="136">
        <f t="shared" si="11"/>
        <v>4000000.01</v>
      </c>
      <c r="G97" s="136">
        <v>5000000</v>
      </c>
      <c r="H97" s="160">
        <v>641235756.65999997</v>
      </c>
      <c r="I97" s="161">
        <v>4632207.43</v>
      </c>
      <c r="J97" s="15">
        <f t="shared" si="12"/>
        <v>7.2238757459935563E-3</v>
      </c>
    </row>
    <row r="98" spans="5:15" x14ac:dyDescent="0.2">
      <c r="F98" s="136">
        <f t="shared" si="11"/>
        <v>5000000.01</v>
      </c>
      <c r="G98" s="136">
        <v>10000000</v>
      </c>
      <c r="H98" s="160">
        <v>1787174983.6900001</v>
      </c>
      <c r="I98" s="161">
        <v>8952878.0099999998</v>
      </c>
      <c r="J98" s="15">
        <f t="shared" si="12"/>
        <v>5.00951394894466E-3</v>
      </c>
    </row>
    <row r="99" spans="5:15" x14ac:dyDescent="0.2">
      <c r="F99" s="136">
        <f t="shared" si="11"/>
        <v>10000000.01</v>
      </c>
      <c r="G99" s="136">
        <v>15000000</v>
      </c>
      <c r="H99" s="160">
        <v>489529180.43000001</v>
      </c>
      <c r="I99" s="161">
        <v>1085855.6000000001</v>
      </c>
      <c r="J99" s="15">
        <f t="shared" si="12"/>
        <v>2.21816317271667E-3</v>
      </c>
    </row>
    <row r="100" spans="5:15" x14ac:dyDescent="0.2">
      <c r="F100" s="136">
        <f t="shared" si="11"/>
        <v>15000000.01</v>
      </c>
      <c r="G100" s="136">
        <v>20000000</v>
      </c>
      <c r="H100" s="160">
        <v>252454928.31</v>
      </c>
      <c r="I100" s="161">
        <v>641211.96</v>
      </c>
      <c r="J100" s="15">
        <f t="shared" si="12"/>
        <v>2.5399066846998877E-3</v>
      </c>
    </row>
    <row r="101" spans="5:15" x14ac:dyDescent="0.2">
      <c r="F101" s="136">
        <f t="shared" si="11"/>
        <v>20000000.010000002</v>
      </c>
      <c r="G101" s="136">
        <v>25000000</v>
      </c>
      <c r="H101" s="160">
        <v>68659778.609999999</v>
      </c>
      <c r="I101" s="161">
        <v>98312.7</v>
      </c>
      <c r="J101" s="15">
        <f t="shared" si="12"/>
        <v>1.4318819837511271E-3</v>
      </c>
    </row>
    <row r="102" spans="5:15" x14ac:dyDescent="0.2">
      <c r="F102" s="136">
        <f t="shared" si="11"/>
        <v>25000000.010000002</v>
      </c>
      <c r="G102" s="136">
        <v>30000000</v>
      </c>
      <c r="H102" s="160">
        <v>108037689.73999999</v>
      </c>
      <c r="I102" s="161">
        <v>160185</v>
      </c>
      <c r="J102" s="15">
        <f t="shared" si="12"/>
        <v>1.4826770211904387E-3</v>
      </c>
    </row>
    <row r="103" spans="5:15" x14ac:dyDescent="0.2">
      <c r="F103" s="136">
        <f t="shared" si="11"/>
        <v>30000000.010000002</v>
      </c>
      <c r="G103" s="136">
        <v>40000000</v>
      </c>
      <c r="H103" s="160">
        <v>167100601.72</v>
      </c>
      <c r="I103" s="161">
        <v>104278.74</v>
      </c>
      <c r="J103" s="15">
        <f t="shared" si="12"/>
        <v>6.2404766306427403E-4</v>
      </c>
    </row>
    <row r="104" spans="5:15" x14ac:dyDescent="0.2">
      <c r="F104" s="136">
        <f t="shared" si="11"/>
        <v>40000000.009999998</v>
      </c>
      <c r="G104" s="136">
        <v>45000000</v>
      </c>
      <c r="H104" s="160">
        <v>127886936.72</v>
      </c>
      <c r="I104" s="161">
        <v>156846.69</v>
      </c>
      <c r="J104" s="15">
        <f t="shared" si="12"/>
        <v>1.2264480956597269E-3</v>
      </c>
    </row>
    <row r="105" spans="5:15" ht="12" thickBot="1" x14ac:dyDescent="0.25">
      <c r="F105" s="114">
        <f t="shared" si="11"/>
        <v>45000000.009999998</v>
      </c>
      <c r="G105" s="114">
        <v>48000000</v>
      </c>
      <c r="H105" s="160">
        <v>45306120.149999999</v>
      </c>
      <c r="I105" s="161">
        <v>0</v>
      </c>
      <c r="J105" s="15">
        <f t="shared" si="12"/>
        <v>0</v>
      </c>
    </row>
    <row r="107" spans="5:15" x14ac:dyDescent="0.2">
      <c r="E107" s="196" t="s">
        <v>104</v>
      </c>
      <c r="F107" s="196"/>
    </row>
    <row r="108" spans="5:15" ht="22.5" x14ac:dyDescent="0.2">
      <c r="E108" s="171" t="s">
        <v>68</v>
      </c>
      <c r="F108" s="171" t="s">
        <v>69</v>
      </c>
      <c r="G108" s="171" t="s">
        <v>97</v>
      </c>
      <c r="H108" s="171" t="s">
        <v>98</v>
      </c>
      <c r="I108" s="171" t="s">
        <v>99</v>
      </c>
      <c r="J108" s="171" t="s">
        <v>100</v>
      </c>
      <c r="K108" s="171" t="s">
        <v>101</v>
      </c>
      <c r="L108" s="171" t="s">
        <v>102</v>
      </c>
      <c r="M108" s="171" t="s">
        <v>103</v>
      </c>
      <c r="N108" s="184" t="s">
        <v>105</v>
      </c>
      <c r="O108" s="184" t="s">
        <v>106</v>
      </c>
    </row>
    <row r="109" spans="5:15" x14ac:dyDescent="0.2">
      <c r="E109" s="170">
        <v>100000</v>
      </c>
      <c r="F109" s="169">
        <v>200000</v>
      </c>
      <c r="G109" s="167">
        <v>85697</v>
      </c>
      <c r="H109" s="168">
        <v>266341.45</v>
      </c>
      <c r="I109" s="168">
        <v>3796226355.3499999</v>
      </c>
      <c r="J109" s="168">
        <v>810332040.28999996</v>
      </c>
      <c r="K109" s="168">
        <f>J109/G109</f>
        <v>9455.7807191616976</v>
      </c>
      <c r="L109" s="168">
        <f>I109/G109</f>
        <v>44298.240957676462</v>
      </c>
      <c r="M109" s="15">
        <f>K109/L109</f>
        <v>0.21345725055304032</v>
      </c>
      <c r="N109" s="182">
        <f>LP_FX[[#This Row],[Massa Média]]/(LP_FX[[#This Row],[Linf]]+(LP_FX[[#This Row],[Lsup]]-LP_FX[[#This Row],[Linf]])/2)</f>
        <v>0.29532160638450977</v>
      </c>
      <c r="O109" s="185">
        <f>LP_FX[[#This Row],[Aliq. Média]]*LP_FX[[#This Row],[Colunas1]]</f>
        <v>6.3038538127744653E-2</v>
      </c>
    </row>
    <row r="110" spans="5:15" x14ac:dyDescent="0.2">
      <c r="E110" s="170">
        <f>F109+0.01</f>
        <v>200000.01</v>
      </c>
      <c r="F110" s="169">
        <v>300000</v>
      </c>
      <c r="G110" s="167">
        <v>52325</v>
      </c>
      <c r="H110" s="168">
        <v>188825.02</v>
      </c>
      <c r="I110" s="168">
        <v>2773360451.0700002</v>
      </c>
      <c r="J110" s="168">
        <v>589944926.20000005</v>
      </c>
      <c r="K110" s="168">
        <f t="shared" ref="K110:K122" si="13">J110/G110</f>
        <v>11274.628307692308</v>
      </c>
      <c r="L110" s="168">
        <f t="shared" ref="L110:L122" si="14">I110/G110</f>
        <v>53002.588649211662</v>
      </c>
      <c r="M110" s="15">
        <f t="shared" ref="M110:M122" si="15">K110/L110</f>
        <v>0.21271844630667869</v>
      </c>
      <c r="N110" s="182">
        <f>LP_FX[[#This Row],[Massa Média]]/(LP_FX[[#This Row],[Linf]]+(LP_FX[[#This Row],[Lsup]]-LP_FX[[#This Row],[Linf]])/2)</f>
        <v>0.21201035035663965</v>
      </c>
      <c r="O110" s="185">
        <f>LP_FX[[#This Row],[Aliq. Média]]*LP_FX[[#This Row],[Colunas1]]</f>
        <v>4.5098512328798988E-2</v>
      </c>
    </row>
    <row r="111" spans="5:15" x14ac:dyDescent="0.2">
      <c r="E111" s="170">
        <f t="shared" ref="E111:E122" si="16">F110+0.01</f>
        <v>300000.01</v>
      </c>
      <c r="F111" s="169">
        <v>400000</v>
      </c>
      <c r="G111" s="167">
        <v>32679</v>
      </c>
      <c r="H111" s="168">
        <v>136104.26</v>
      </c>
      <c r="I111" s="168">
        <v>2081103583.96</v>
      </c>
      <c r="J111" s="168">
        <v>442638603.92000002</v>
      </c>
      <c r="K111" s="168">
        <f t="shared" si="13"/>
        <v>13545.047398023196</v>
      </c>
      <c r="L111" s="168">
        <f t="shared" si="14"/>
        <v>63683.208909697358</v>
      </c>
      <c r="M111" s="15">
        <f t="shared" si="15"/>
        <v>0.21269417213617553</v>
      </c>
      <c r="N111" s="182">
        <f>LP_FX[[#This Row],[Massa Média]]/(LP_FX[[#This Row],[Linf]]+(LP_FX[[#This Row],[Lsup]]-LP_FX[[#This Row],[Linf]])/2)</f>
        <v>0.18195202285696355</v>
      </c>
      <c r="O111" s="185">
        <f>LP_FX[[#This Row],[Aliq. Média]]*LP_FX[[#This Row],[Colunas1]]</f>
        <v>3.8700134870064351E-2</v>
      </c>
    </row>
    <row r="112" spans="5:15" x14ac:dyDescent="0.2">
      <c r="E112" s="170">
        <f t="shared" si="16"/>
        <v>400000.01</v>
      </c>
      <c r="F112" s="169">
        <v>500000</v>
      </c>
      <c r="G112" s="167">
        <v>22118</v>
      </c>
      <c r="H112" s="168">
        <v>115314.2</v>
      </c>
      <c r="I112" s="168">
        <v>1806883699.8199999</v>
      </c>
      <c r="J112" s="168">
        <v>385634985.57999998</v>
      </c>
      <c r="K112" s="168">
        <f t="shared" si="13"/>
        <v>17435.346124423544</v>
      </c>
      <c r="L112" s="168">
        <f t="shared" si="14"/>
        <v>81692.906222081554</v>
      </c>
      <c r="M112" s="15">
        <f t="shared" si="15"/>
        <v>0.21342546043135846</v>
      </c>
      <c r="N112" s="182">
        <f>LP_FX[[#This Row],[Massa Média]]/(LP_FX[[#This Row],[Linf]]+(LP_FX[[#This Row],[Lsup]]-LP_FX[[#This Row],[Linf]])/2)</f>
        <v>0.1815397895875169</v>
      </c>
      <c r="O112" s="185">
        <f>LP_FX[[#This Row],[Aliq. Média]]*LP_FX[[#This Row],[Colunas1]]</f>
        <v>3.8745213179327727E-2</v>
      </c>
    </row>
    <row r="113" spans="5:15" x14ac:dyDescent="0.2">
      <c r="E113" s="170">
        <f t="shared" si="16"/>
        <v>500000.01</v>
      </c>
      <c r="F113" s="169">
        <v>1000000</v>
      </c>
      <c r="G113" s="167">
        <v>50961</v>
      </c>
      <c r="H113" s="168">
        <v>373566.39</v>
      </c>
      <c r="I113" s="168">
        <v>6035527583.6199999</v>
      </c>
      <c r="J113" s="168">
        <v>1289015904.28</v>
      </c>
      <c r="K113" s="168">
        <f t="shared" si="13"/>
        <v>25294.164248739231</v>
      </c>
      <c r="L113" s="168">
        <f t="shared" si="14"/>
        <v>118434.24547438236</v>
      </c>
      <c r="M113" s="15">
        <f t="shared" si="15"/>
        <v>0.21357137158618894</v>
      </c>
      <c r="N113" s="182">
        <f>LP_FX[[#This Row],[Massa Média]]/(LP_FX[[#This Row],[Linf]]+(LP_FX[[#This Row],[Lsup]]-LP_FX[[#This Row],[Linf]])/2)</f>
        <v>0.15791232624642765</v>
      </c>
      <c r="O113" s="185">
        <f>LP_FX[[#This Row],[Aliq. Média]]*LP_FX[[#This Row],[Colunas1]]</f>
        <v>3.3725552106815299E-2</v>
      </c>
    </row>
    <row r="114" spans="5:15" x14ac:dyDescent="0.2">
      <c r="E114" s="170">
        <f t="shared" si="16"/>
        <v>1000000.01</v>
      </c>
      <c r="F114" s="169">
        <v>2000000</v>
      </c>
      <c r="G114" s="167">
        <v>27976</v>
      </c>
      <c r="H114" s="168">
        <v>372895.62</v>
      </c>
      <c r="I114" s="168">
        <v>6478323352.8699999</v>
      </c>
      <c r="J114" s="168">
        <v>1394805160.4200001</v>
      </c>
      <c r="K114" s="168">
        <f t="shared" si="13"/>
        <v>49857.20476193881</v>
      </c>
      <c r="L114" s="168">
        <f t="shared" si="14"/>
        <v>231567.17732592221</v>
      </c>
      <c r="M114" s="15">
        <f t="shared" si="15"/>
        <v>0.21530341794410113</v>
      </c>
      <c r="N114" s="182">
        <f>LP_FX[[#This Row],[Massa Média]]/(LP_FX[[#This Row],[Linf]]+(LP_FX[[#This Row],[Lsup]]-LP_FX[[#This Row],[Linf]])/2)</f>
        <v>0.15437811770268775</v>
      </c>
      <c r="O114" s="185">
        <f>LP_FX[[#This Row],[Aliq. Média]]*LP_FX[[#This Row],[Colunas1]]</f>
        <v>3.323813639716542E-2</v>
      </c>
    </row>
    <row r="115" spans="5:15" x14ac:dyDescent="0.2">
      <c r="E115" s="170">
        <f t="shared" si="16"/>
        <v>2000000.01</v>
      </c>
      <c r="F115" s="169">
        <v>3000000</v>
      </c>
      <c r="G115" s="167">
        <v>9909</v>
      </c>
      <c r="H115" s="168">
        <v>210346.82</v>
      </c>
      <c r="I115" s="168">
        <v>3699320765.3600001</v>
      </c>
      <c r="J115" s="168">
        <v>798913107.24000001</v>
      </c>
      <c r="K115" s="168">
        <f t="shared" si="13"/>
        <v>80624.998207689976</v>
      </c>
      <c r="L115" s="168">
        <f t="shared" si="14"/>
        <v>373329.37383792514</v>
      </c>
      <c r="M115" s="15">
        <f t="shared" si="15"/>
        <v>0.2159621070767713</v>
      </c>
      <c r="N115" s="182">
        <f>LP_FX[[#This Row],[Massa Média]]/(LP_FX[[#This Row],[Linf]]+(LP_FX[[#This Row],[Lsup]]-LP_FX[[#This Row],[Linf]])/2)</f>
        <v>0.14933174923650658</v>
      </c>
      <c r="O115" s="185">
        <f>LP_FX[[#This Row],[Aliq. Média]]*LP_FX[[#This Row],[Colunas1]]</f>
        <v>3.2249999218575992E-2</v>
      </c>
    </row>
    <row r="116" spans="5:15" x14ac:dyDescent="0.2">
      <c r="E116" s="170">
        <f t="shared" si="16"/>
        <v>3000000.01</v>
      </c>
      <c r="F116" s="169">
        <v>4000000</v>
      </c>
      <c r="G116" s="167">
        <v>5097</v>
      </c>
      <c r="H116" s="168">
        <v>142638.71</v>
      </c>
      <c r="I116" s="168">
        <v>2613077895.8600001</v>
      </c>
      <c r="J116" s="168">
        <v>569594782.21000004</v>
      </c>
      <c r="K116" s="168">
        <f t="shared" si="13"/>
        <v>111750.98728860114</v>
      </c>
      <c r="L116" s="168">
        <f t="shared" si="14"/>
        <v>512669.78533647244</v>
      </c>
      <c r="M116" s="15">
        <f t="shared" si="15"/>
        <v>0.2179784931449732</v>
      </c>
      <c r="N116" s="182">
        <f>LP_FX[[#This Row],[Massa Média]]/(LP_FX[[#This Row],[Linf]]+(LP_FX[[#This Row],[Lsup]]-LP_FX[[#This Row],[Linf]])/2)</f>
        <v>0.14647708131545345</v>
      </c>
      <c r="O116" s="185">
        <f>LP_FX[[#This Row],[Aliq. Média]]*LP_FX[[#This Row],[Colunas1]]</f>
        <v>3.1928853465416254E-2</v>
      </c>
    </row>
    <row r="117" spans="5:15" x14ac:dyDescent="0.2">
      <c r="E117" s="170">
        <f t="shared" si="16"/>
        <v>4000000.01</v>
      </c>
      <c r="F117" s="169">
        <v>5000000</v>
      </c>
      <c r="G117" s="167">
        <v>3167</v>
      </c>
      <c r="H117" s="168">
        <v>119717.52</v>
      </c>
      <c r="I117" s="168">
        <v>2253636457.7199998</v>
      </c>
      <c r="J117" s="168">
        <v>494449110.70999998</v>
      </c>
      <c r="K117" s="168">
        <f t="shared" si="13"/>
        <v>156125.3901831386</v>
      </c>
      <c r="L117" s="168">
        <f t="shared" si="14"/>
        <v>711599.76562046097</v>
      </c>
      <c r="M117" s="15">
        <f t="shared" si="15"/>
        <v>0.21940056437063202</v>
      </c>
      <c r="N117" s="182">
        <f>LP_FX[[#This Row],[Massa Média]]/(LP_FX[[#This Row],[Linf]]+(LP_FX[[#This Row],[Lsup]]-LP_FX[[#This Row],[Linf]])/2)</f>
        <v>0.1581332810732877</v>
      </c>
      <c r="O117" s="185">
        <f>LP_FX[[#This Row],[Aliq. Média]]*LP_FX[[#This Row],[Colunas1]]</f>
        <v>3.4694531113259104E-2</v>
      </c>
    </row>
    <row r="118" spans="5:15" x14ac:dyDescent="0.2">
      <c r="E118" s="170">
        <f t="shared" si="16"/>
        <v>5000000.01</v>
      </c>
      <c r="F118" s="169">
        <v>10000000</v>
      </c>
      <c r="G118" s="167">
        <v>6054</v>
      </c>
      <c r="H118" s="168">
        <v>312174.2</v>
      </c>
      <c r="I118" s="168">
        <v>6104339759.3199997</v>
      </c>
      <c r="J118" s="168">
        <v>1331908609.1199999</v>
      </c>
      <c r="K118" s="168">
        <f t="shared" si="13"/>
        <v>220004.72565576478</v>
      </c>
      <c r="L118" s="168">
        <f t="shared" si="14"/>
        <v>1008315.1237727122</v>
      </c>
      <c r="M118" s="15">
        <f t="shared" si="15"/>
        <v>0.21819044509874555</v>
      </c>
      <c r="N118" s="182">
        <f>LP_FX[[#This Row],[Massa Média]]/(LP_FX[[#This Row],[Linf]]+(LP_FX[[#This Row],[Lsup]]-LP_FX[[#This Row],[Linf]])/2)</f>
        <v>0.13444201641340028</v>
      </c>
      <c r="O118" s="185">
        <f>LP_FX[[#This Row],[Aliq. Média]]*LP_FX[[#This Row],[Colunas1]]</f>
        <v>2.9333963401212661E-2</v>
      </c>
    </row>
    <row r="119" spans="5:15" x14ac:dyDescent="0.2">
      <c r="E119" s="170">
        <f t="shared" si="16"/>
        <v>10000000.01</v>
      </c>
      <c r="F119" s="169">
        <v>20000000</v>
      </c>
      <c r="G119" s="167">
        <v>2403</v>
      </c>
      <c r="H119" s="168">
        <v>233679.3</v>
      </c>
      <c r="I119" s="168">
        <v>4484964555.0299997</v>
      </c>
      <c r="J119" s="168">
        <v>971082458.34000003</v>
      </c>
      <c r="K119" s="168">
        <f t="shared" si="13"/>
        <v>404112.55028714112</v>
      </c>
      <c r="L119" s="168">
        <f t="shared" si="14"/>
        <v>1866402.2284769039</v>
      </c>
      <c r="M119" s="15">
        <f t="shared" si="15"/>
        <v>0.21651953910112998</v>
      </c>
      <c r="N119" s="182">
        <f>LP_FX[[#This Row],[Massa Média]]/(LP_FX[[#This Row],[Linf]]+(LP_FX[[#This Row],[Lsup]]-LP_FX[[#This Row],[Linf]])/2)</f>
        <v>0.12442681519031799</v>
      </c>
      <c r="O119" s="185">
        <f>LP_FX[[#This Row],[Aliq. Média]]*LP_FX[[#This Row],[Colunas1]]</f>
        <v>2.694083667682913E-2</v>
      </c>
    </row>
    <row r="120" spans="5:15" x14ac:dyDescent="0.2">
      <c r="E120" s="170">
        <f t="shared" si="16"/>
        <v>20000000.010000002</v>
      </c>
      <c r="F120" s="169">
        <v>30000000</v>
      </c>
      <c r="G120" s="93">
        <v>718</v>
      </c>
      <c r="H120" s="168">
        <v>110166.62</v>
      </c>
      <c r="I120" s="168">
        <v>2273728613.71</v>
      </c>
      <c r="J120" s="168">
        <v>471376414.94999999</v>
      </c>
      <c r="K120" s="168">
        <f t="shared" si="13"/>
        <v>656513.11274373252</v>
      </c>
      <c r="L120" s="168">
        <f t="shared" si="14"/>
        <v>3166752.9438857939</v>
      </c>
      <c r="M120" s="15">
        <f t="shared" si="15"/>
        <v>0.20731428197178906</v>
      </c>
      <c r="N120" s="182">
        <f>LP_FX[[#This Row],[Massa Média]]/(LP_FX[[#This Row],[Linf]]+(LP_FX[[#This Row],[Lsup]]-LP_FX[[#This Row],[Linf]])/2)</f>
        <v>0.12667011773009773</v>
      </c>
      <c r="O120" s="185">
        <f>LP_FX[[#This Row],[Aliq. Média]]*LP_FX[[#This Row],[Colunas1]]</f>
        <v>2.6260524504497198E-2</v>
      </c>
    </row>
    <row r="121" spans="5:15" x14ac:dyDescent="0.2">
      <c r="E121" s="170">
        <f t="shared" si="16"/>
        <v>30000000.010000002</v>
      </c>
      <c r="F121" s="169">
        <v>40000000</v>
      </c>
      <c r="G121" s="93">
        <v>284</v>
      </c>
      <c r="H121" s="168">
        <v>48679.89</v>
      </c>
      <c r="I121" s="168">
        <v>1233711395.5</v>
      </c>
      <c r="J121" s="168">
        <v>246566830.25</v>
      </c>
      <c r="K121" s="168">
        <f t="shared" si="13"/>
        <v>868193.06426056335</v>
      </c>
      <c r="L121" s="168">
        <f t="shared" si="14"/>
        <v>4344054.2095070425</v>
      </c>
      <c r="M121" s="15">
        <f t="shared" si="15"/>
        <v>0.19985778776897095</v>
      </c>
      <c r="N121" s="182">
        <f>LP_FX[[#This Row],[Massa Média]]/(LP_FX[[#This Row],[Linf]]+(LP_FX[[#This Row],[Lsup]]-LP_FX[[#This Row],[Linf]])/2)</f>
        <v>0.12411583453961322</v>
      </c>
      <c r="O121" s="185">
        <f>LP_FX[[#This Row],[Aliq. Média]]*LP_FX[[#This Row],[Colunas1]]</f>
        <v>2.4805516118186734E-2</v>
      </c>
    </row>
    <row r="122" spans="5:15" x14ac:dyDescent="0.2">
      <c r="E122" s="172">
        <f t="shared" si="16"/>
        <v>40000000.009999998</v>
      </c>
      <c r="F122" s="169">
        <v>48000000</v>
      </c>
      <c r="G122" s="173">
        <v>165</v>
      </c>
      <c r="H122" s="174">
        <v>28883.43</v>
      </c>
      <c r="I122" s="174">
        <v>692234223.79999995</v>
      </c>
      <c r="J122" s="174">
        <v>145841994.18000001</v>
      </c>
      <c r="K122" s="174">
        <f t="shared" si="13"/>
        <v>883890.8738181818</v>
      </c>
      <c r="L122" s="174">
        <f t="shared" si="14"/>
        <v>4195358.9321212117</v>
      </c>
      <c r="M122" s="175">
        <f t="shared" si="15"/>
        <v>0.21068301618981586</v>
      </c>
      <c r="N122" s="183">
        <f>LP_FX[[#This Row],[Massa Média]]/(LP_FX[[#This Row],[Linf]]+(LP_FX[[#This Row],[Lsup]]-LP_FX[[#This Row],[Linf]])/2)</f>
        <v>9.5349066628283338E-2</v>
      </c>
      <c r="O122" s="185">
        <f>LP_FX[[#This Row],[Aliq. Média]]*LP_FX[[#This Row],[Colunas1]]</f>
        <v>2.0088428948130451E-2</v>
      </c>
    </row>
    <row r="124" spans="5:15" x14ac:dyDescent="0.2">
      <c r="M124" s="180">
        <f>AVERAGE(LP_FX[Aliq. Média])</f>
        <v>0.21336259669145505</v>
      </c>
    </row>
    <row r="128" spans="5:15" x14ac:dyDescent="0.2">
      <c r="J128" s="30">
        <v>100000</v>
      </c>
      <c r="K128" s="30">
        <v>150000</v>
      </c>
      <c r="L128" s="30">
        <v>200000</v>
      </c>
    </row>
    <row r="129" spans="10:12" x14ac:dyDescent="0.2">
      <c r="J129" s="29">
        <f>K129*J128/K128</f>
        <v>29532.160638450972</v>
      </c>
      <c r="K129" s="29">
        <f>L109</f>
        <v>44298.240957676462</v>
      </c>
      <c r="L129" s="29">
        <f>K129*L128/K128</f>
        <v>59064.321276901945</v>
      </c>
    </row>
    <row r="130" spans="10:12" x14ac:dyDescent="0.2">
      <c r="L130" s="30">
        <v>180000</v>
      </c>
    </row>
    <row r="131" spans="10:12" x14ac:dyDescent="0.2">
      <c r="J131" s="15">
        <f>J129*M109/J128</f>
        <v>6.3038538127744639E-2</v>
      </c>
    </row>
  </sheetData>
  <mergeCells count="15">
    <mergeCell ref="E107:F107"/>
    <mergeCell ref="B29:C29"/>
    <mergeCell ref="B2:N2"/>
    <mergeCell ref="F31:G31"/>
    <mergeCell ref="H31:H32"/>
    <mergeCell ref="I31:I32"/>
    <mergeCell ref="B23:C23"/>
    <mergeCell ref="F51:G51"/>
    <mergeCell ref="H51:H52"/>
    <mergeCell ref="I51:I52"/>
    <mergeCell ref="J51:J52"/>
    <mergeCell ref="F41:G41"/>
    <mergeCell ref="H41:H42"/>
    <mergeCell ref="I41:I42"/>
    <mergeCell ref="J41:J42"/>
  </mergeCells>
  <phoneticPr fontId="0" type="noConversion"/>
  <conditionalFormatting sqref="F49:P49 M48:P48">
    <cfRule type="cellIs" dxfId="16" priority="6" operator="equal">
      <formula>0</formula>
    </cfRule>
  </conditionalFormatting>
  <conditionalFormatting sqref="Q48:Q49">
    <cfRule type="cellIs" dxfId="15" priority="5" operator="equal">
      <formula>0</formula>
    </cfRule>
  </conditionalFormatting>
  <printOptions gridLines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10</vt:i4>
      </vt:variant>
    </vt:vector>
  </HeadingPairs>
  <TitlesOfParts>
    <vt:vector size="14" baseType="lpstr">
      <vt:lpstr>Grafico PF SIMPLES E LP</vt:lpstr>
      <vt:lpstr>Grafico PF LP Emp e LP Prof</vt:lpstr>
      <vt:lpstr>Dados</vt:lpstr>
      <vt:lpstr>Parâmetros</vt:lpstr>
      <vt:lpstr>Al_aIR</vt:lpstr>
      <vt:lpstr>Al_Cofins</vt:lpstr>
      <vt:lpstr>Al_CS</vt:lpstr>
      <vt:lpstr>Al_IR</vt:lpstr>
      <vt:lpstr>Al_Pis</vt:lpstr>
      <vt:lpstr>BC_CS</vt:lpstr>
      <vt:lpstr>BC_IR</vt:lpstr>
      <vt:lpstr>FGTS</vt:lpstr>
      <vt:lpstr>maior_sal_contrib</vt:lpstr>
      <vt:lpstr>Sist_S_SAT</vt:lpstr>
    </vt:vector>
  </TitlesOfParts>
  <Company>SERPRO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andrerv</dc:creator>
  <cp:lastModifiedBy>Receita Federal</cp:lastModifiedBy>
  <cp:lastPrinted>2016-04-06T12:59:15Z</cp:lastPrinted>
  <dcterms:created xsi:type="dcterms:W3CDTF">2005-09-20T13:32:32Z</dcterms:created>
  <dcterms:modified xsi:type="dcterms:W3CDTF">2016-04-25T13:27:07Z</dcterms:modified>
</cp:coreProperties>
</file>