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fbgov.sharepoint.com/sites/licita.SRRF.RF08/Shared Documents/Equipe de Pregões - Geral/2025/Limpeza SRP todas as unidades/Planilhas PREGÃO_Limpeza 2025/"/>
    </mc:Choice>
  </mc:AlternateContent>
  <xr:revisionPtr revIDLastSave="0" documentId="8_{08B8082C-5F77-4BCC-A60D-FC92E0017406}" xr6:coauthVersionLast="47" xr6:coauthVersionMax="47" xr10:uidLastSave="{00000000-0000-0000-0000-000000000000}"/>
  <bookViews>
    <workbookView xWindow="-104" yWindow="-104" windowWidth="22326" windowHeight="11947" xr2:uid="{DAF18A09-2FCD-449A-9516-DA7130D868FC}"/>
  </bookViews>
  <sheets>
    <sheet name="Licitante" sheetId="1" r:id="rId1"/>
    <sheet name="Áreas a serem limpas" sheetId="2" r:id="rId2"/>
    <sheet name="Servente 40h" sheetId="3" r:id="rId3"/>
    <sheet name="Servente 20h" sheetId="4" r:id="rId4"/>
    <sheet name="Servente com insalubridade" sheetId="5" r:id="rId5"/>
    <sheet name="Limpador de vidros sem risco- D" sheetId="6" r:id="rId6"/>
    <sheet name="Limpador de vidros com risco- D" sheetId="7" r:id="rId7"/>
    <sheet name="Valor mensal dos serviços " sheetId="8" r:id="rId8"/>
    <sheet name="CALCULO SIMPLES" sheetId="9" r:id="rId9"/>
  </sheets>
  <definedNames>
    <definedName name="ac">Licitante!$E$24</definedName>
    <definedName name="acd">Licitante!$A$175</definedName>
    <definedName name="ai">Licitante!$A$171</definedName>
    <definedName name="as">Licitante!$E$26</definedName>
    <definedName name="av">Licitante!$A$179</definedName>
    <definedName name="ba">Licitante!$E$28</definedName>
    <definedName name="bss">Licitante!$E$20</definedName>
    <definedName name="cb">Licitante!$E$18</definedName>
    <definedName name="e_asc">Licitante!$F$133</definedName>
    <definedName name="e_asp">Licitante!$F$132</definedName>
    <definedName name="e_car">Licitante!$F$135</definedName>
    <definedName name="e_cd">'Áreas a serem limpas'!$B$18</definedName>
    <definedName name="e_enc">Licitante!$F$138</definedName>
    <definedName name="e_lav">Licitante!$F$137</definedName>
    <definedName name="e_man">Licitante!$F$134</definedName>
    <definedName name="e_mop">Licitante!$F$136</definedName>
    <definedName name="e_pava">'Áreas a serem limpas'!$B$15</definedName>
    <definedName name="e_pavb">'Áreas a serem limpas'!$B$17</definedName>
    <definedName name="e_pavm">'Áreas a serem limpas'!$B$16</definedName>
    <definedName name="e_pp">'Áreas a serem limpas'!$B$13</definedName>
    <definedName name="e_va">'Áreas a serem limpas'!$B$14</definedName>
    <definedName name="fcr">'Áreas a serem limpas'!$B$28</definedName>
    <definedName name="fe">'Áreas a serem limpas'!$B$31</definedName>
    <definedName name="fi">'Áreas a serem limpas'!$B$30</definedName>
    <definedName name="fsr">'Áreas a serem limpas'!$B$29</definedName>
    <definedName name="i_alm">'Áreas a serem limpas'!$B$7</definedName>
    <definedName name="i_b00">'Áreas a serem limpas'!$B$10</definedName>
    <definedName name="i_b40">'Áreas a serem limpas'!$B$11</definedName>
    <definedName name="i_el">'Áreas a serem limpas'!$B$9</definedName>
    <definedName name="i_lab">'Áreas a serem limpas'!$B$6</definedName>
    <definedName name="i_of">'Áreas a serem limpas'!$B$8</definedName>
    <definedName name="i_pa">'Áreas a serem limpas'!$B$4</definedName>
    <definedName name="i_pf">'Áreas a serem limpas'!$B$5</definedName>
    <definedName name="iss">'CALCULO SIMPLES'!$E$28</definedName>
    <definedName name="Local">Licitante!$B$2</definedName>
    <definedName name="mh_ag">Licitante!$F$160</definedName>
    <definedName name="mh_dis">Licitante!$F$161</definedName>
    <definedName name="mh_disag">Licitante!$F$164</definedName>
    <definedName name="mh_disfo">Licitante!$F$165</definedName>
    <definedName name="mh_disg">Licitante!$F$162</definedName>
    <definedName name="mh_dissl">Licitante!$F$163</definedName>
    <definedName name="mh_fa">Licitante!$F$154</definedName>
    <definedName name="mh_ph">Licitante!$F$155</definedName>
    <definedName name="mh_phg">Licitante!$F$156</definedName>
    <definedName name="mh_pt">Licitante!$F$157</definedName>
    <definedName name="mh_sa">Licitante!$F$158</definedName>
    <definedName name="mh_sl">Licitante!$F$159</definedName>
    <definedName name="ml_comeco">Licitante!$A$88</definedName>
    <definedName name="Q20S">'Áreas a serem limpas'!$F$22</definedName>
    <definedName name="Q40C">'Áreas a serem limpas'!$F$23</definedName>
    <definedName name="Q40S">'Áreas a serem limpas'!$F$21</definedName>
    <definedName name="rlv">Licitante!$F$8</definedName>
    <definedName name="rservl">Licitante!$F$6</definedName>
    <definedName name="rsev">Licitante!$F$5</definedName>
    <definedName name="SHARED_FORMULA_7_31_7_31_1">"""""""""""""""NA()"""""""""""""""</definedName>
    <definedName name="tipo">'CALCULO SIMPLES'!$B$37</definedName>
    <definedName name="tr">Licitante!$E$16</definedName>
    <definedName name="Unidade">Licitante!$B$3</definedName>
    <definedName name="vt">L33C4</definedName>
    <definedName name="vtt">Licitante!$D$34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9" l="1"/>
  <c r="G5" i="9"/>
  <c r="C79" i="8"/>
  <c r="C78" i="8"/>
  <c r="C77" i="8"/>
  <c r="C76" i="8"/>
  <c r="G75" i="8"/>
  <c r="C75" i="8"/>
  <c r="C74" i="8"/>
  <c r="C73" i="8"/>
  <c r="C72" i="8"/>
  <c r="C71" i="8"/>
  <c r="C70" i="8"/>
  <c r="C69" i="8"/>
  <c r="C67" i="8"/>
  <c r="C66" i="8"/>
  <c r="C65" i="8"/>
  <c r="C64" i="8"/>
  <c r="C63" i="8"/>
  <c r="C62" i="8"/>
  <c r="F61" i="8"/>
  <c r="C61" i="8"/>
  <c r="D56" i="8"/>
  <c r="F54" i="8"/>
  <c r="F51" i="8"/>
  <c r="F48" i="8"/>
  <c r="C48" i="8"/>
  <c r="C47" i="8"/>
  <c r="F45" i="8"/>
  <c r="F44" i="8"/>
  <c r="F40" i="8"/>
  <c r="A39" i="8"/>
  <c r="H34" i="8"/>
  <c r="F55" i="8" s="1"/>
  <c r="E34" i="8"/>
  <c r="A34" i="8"/>
  <c r="H29" i="8"/>
  <c r="E29" i="8"/>
  <c r="A29" i="8"/>
  <c r="H24" i="8"/>
  <c r="F52" i="8" s="1"/>
  <c r="H23" i="8"/>
  <c r="H22" i="8"/>
  <c r="F50" i="8" s="1"/>
  <c r="H21" i="8"/>
  <c r="F49" i="8" s="1"/>
  <c r="H20" i="8"/>
  <c r="H19" i="8"/>
  <c r="F47" i="8" s="1"/>
  <c r="E17" i="8"/>
  <c r="H15" i="8"/>
  <c r="F46" i="8" s="1"/>
  <c r="H14" i="8"/>
  <c r="C14" i="8"/>
  <c r="I13" i="8"/>
  <c r="G53" i="8" s="1"/>
  <c r="H12" i="8"/>
  <c r="H11" i="8"/>
  <c r="F43" i="8" s="1"/>
  <c r="H10" i="8"/>
  <c r="F42" i="8" s="1"/>
  <c r="H9" i="8"/>
  <c r="F41" i="8" s="1"/>
  <c r="H8" i="8"/>
  <c r="H7" i="8"/>
  <c r="F39" i="8" s="1"/>
  <c r="E5" i="8"/>
  <c r="H132" i="7"/>
  <c r="E128" i="7"/>
  <c r="C128" i="7"/>
  <c r="E123" i="7"/>
  <c r="G119" i="7"/>
  <c r="G118" i="7"/>
  <c r="H117" i="7"/>
  <c r="H113" i="7"/>
  <c r="H106" i="7"/>
  <c r="H100" i="7"/>
  <c r="H97" i="7"/>
  <c r="H102" i="7" s="1"/>
  <c r="H95" i="7"/>
  <c r="H92" i="7"/>
  <c r="G86" i="7"/>
  <c r="H85" i="7"/>
  <c r="G79" i="7"/>
  <c r="G75" i="7"/>
  <c r="H74" i="7"/>
  <c r="H66" i="7"/>
  <c r="H62" i="7"/>
  <c r="H53" i="7"/>
  <c r="F45" i="7"/>
  <c r="C45" i="7"/>
  <c r="G45" i="7" s="1"/>
  <c r="H42" i="7"/>
  <c r="G39" i="7"/>
  <c r="G67" i="7" s="1"/>
  <c r="G38" i="7"/>
  <c r="G37" i="7"/>
  <c r="H36" i="7"/>
  <c r="H26" i="7"/>
  <c r="H25" i="7"/>
  <c r="H20" i="7"/>
  <c r="F12" i="7"/>
  <c r="H9" i="7"/>
  <c r="H7" i="7"/>
  <c r="H6" i="7"/>
  <c r="B4" i="7"/>
  <c r="B3" i="7"/>
  <c r="H133" i="6"/>
  <c r="H132" i="6"/>
  <c r="C128" i="6"/>
  <c r="E122" i="6"/>
  <c r="F122" i="6" s="1"/>
  <c r="G119" i="6"/>
  <c r="G118" i="6"/>
  <c r="H117" i="6"/>
  <c r="H113" i="6"/>
  <c r="H106" i="6"/>
  <c r="H102" i="6"/>
  <c r="H100" i="6"/>
  <c r="H97" i="6"/>
  <c r="H95" i="6"/>
  <c r="H92" i="6"/>
  <c r="G90" i="6"/>
  <c r="G89" i="6"/>
  <c r="H85" i="6"/>
  <c r="G79" i="6"/>
  <c r="H79" i="6" s="1"/>
  <c r="H74" i="6"/>
  <c r="H66" i="6"/>
  <c r="H57" i="6"/>
  <c r="H56" i="6"/>
  <c r="H53" i="6"/>
  <c r="G45" i="6"/>
  <c r="G51" i="6" s="1"/>
  <c r="F45" i="6"/>
  <c r="C45" i="6"/>
  <c r="H42" i="6"/>
  <c r="G38" i="6"/>
  <c r="H38" i="6" s="1"/>
  <c r="G37" i="6"/>
  <c r="H36" i="6"/>
  <c r="H32" i="6"/>
  <c r="H26" i="6"/>
  <c r="H25" i="6"/>
  <c r="H20" i="6"/>
  <c r="F12" i="6"/>
  <c r="H9" i="6"/>
  <c r="H7" i="6"/>
  <c r="H6" i="6"/>
  <c r="B4" i="6"/>
  <c r="B3" i="6"/>
  <c r="H134" i="5"/>
  <c r="E129" i="5"/>
  <c r="G120" i="5"/>
  <c r="G119" i="5"/>
  <c r="H118" i="5"/>
  <c r="H114" i="5"/>
  <c r="H107" i="5"/>
  <c r="H101" i="5"/>
  <c r="H98" i="5"/>
  <c r="H103" i="5" s="1"/>
  <c r="H96" i="5"/>
  <c r="G88" i="5"/>
  <c r="H86" i="5"/>
  <c r="G80" i="5"/>
  <c r="G78" i="5"/>
  <c r="H75" i="5"/>
  <c r="G68" i="5"/>
  <c r="H67" i="5"/>
  <c r="H53" i="5"/>
  <c r="F45" i="5"/>
  <c r="C45" i="5"/>
  <c r="G45" i="5" s="1"/>
  <c r="H42" i="5"/>
  <c r="G38" i="5"/>
  <c r="G39" i="5" s="1"/>
  <c r="G37" i="5"/>
  <c r="H36" i="5"/>
  <c r="H32" i="5"/>
  <c r="H28" i="5"/>
  <c r="H26" i="5"/>
  <c r="H25" i="5"/>
  <c r="H20" i="5"/>
  <c r="F12" i="5"/>
  <c r="H9" i="5"/>
  <c r="H7" i="5"/>
  <c r="C129" i="5" s="1"/>
  <c r="B3" i="5"/>
  <c r="H134" i="4"/>
  <c r="E124" i="4"/>
  <c r="F123" i="4" s="1"/>
  <c r="E123" i="4"/>
  <c r="G120" i="4"/>
  <c r="G119" i="4"/>
  <c r="H118" i="4"/>
  <c r="H114" i="4"/>
  <c r="H107" i="4"/>
  <c r="H103" i="4"/>
  <c r="H101" i="4"/>
  <c r="H98" i="4"/>
  <c r="H96" i="4"/>
  <c r="G91" i="4"/>
  <c r="H86" i="4"/>
  <c r="G80" i="4"/>
  <c r="G76" i="4"/>
  <c r="H75" i="4"/>
  <c r="H67" i="4"/>
  <c r="H60" i="4"/>
  <c r="H59" i="4"/>
  <c r="H53" i="4"/>
  <c r="F45" i="4"/>
  <c r="C45" i="4"/>
  <c r="G45" i="4" s="1"/>
  <c r="H42" i="4"/>
  <c r="G39" i="4"/>
  <c r="G68" i="4" s="1"/>
  <c r="G38" i="4"/>
  <c r="G37" i="4"/>
  <c r="H36" i="4"/>
  <c r="H25" i="4"/>
  <c r="H20" i="4"/>
  <c r="F12" i="4"/>
  <c r="H9" i="4"/>
  <c r="H7" i="4"/>
  <c r="C129" i="4" s="1"/>
  <c r="B3" i="4"/>
  <c r="H134" i="3"/>
  <c r="E129" i="3"/>
  <c r="C129" i="3"/>
  <c r="G120" i="3"/>
  <c r="G119" i="3"/>
  <c r="H118" i="3"/>
  <c r="H114" i="3"/>
  <c r="H107" i="3"/>
  <c r="H101" i="3"/>
  <c r="I98" i="3"/>
  <c r="I103" i="3" s="1"/>
  <c r="H98" i="3"/>
  <c r="H103" i="3" s="1"/>
  <c r="H96" i="3"/>
  <c r="G87" i="3"/>
  <c r="H86" i="3"/>
  <c r="G80" i="3"/>
  <c r="G78" i="3"/>
  <c r="H75" i="3"/>
  <c r="H67" i="3"/>
  <c r="I62" i="3"/>
  <c r="H62" i="3"/>
  <c r="I61" i="3"/>
  <c r="H57" i="3"/>
  <c r="I56" i="3"/>
  <c r="H53" i="3"/>
  <c r="F45" i="3"/>
  <c r="C45" i="3"/>
  <c r="G45" i="3" s="1"/>
  <c r="H42" i="3"/>
  <c r="G38" i="3"/>
  <c r="I38" i="3" s="1"/>
  <c r="I37" i="3"/>
  <c r="G37" i="3"/>
  <c r="G39" i="3" s="1"/>
  <c r="G68" i="3" s="1"/>
  <c r="H36" i="3"/>
  <c r="I26" i="3"/>
  <c r="I32" i="3" s="1"/>
  <c r="H26" i="3"/>
  <c r="H32" i="3" s="1"/>
  <c r="H25" i="3"/>
  <c r="H20" i="3"/>
  <c r="F12" i="3"/>
  <c r="H9" i="3"/>
  <c r="H7" i="3"/>
  <c r="B3" i="3"/>
  <c r="G31" i="2"/>
  <c r="H31" i="2" s="1"/>
  <c r="G30" i="2"/>
  <c r="H30" i="2" s="1"/>
  <c r="H29" i="2"/>
  <c r="G29" i="2"/>
  <c r="G28" i="2"/>
  <c r="H28" i="2" s="1"/>
  <c r="H27" i="2"/>
  <c r="F18" i="2"/>
  <c r="F17" i="2"/>
  <c r="F16" i="2"/>
  <c r="F15" i="2"/>
  <c r="F14" i="2"/>
  <c r="F13" i="2"/>
  <c r="F12" i="2"/>
  <c r="F11" i="2"/>
  <c r="F10" i="2"/>
  <c r="F9" i="2"/>
  <c r="F8" i="2"/>
  <c r="F7" i="2"/>
  <c r="F19" i="2" s="1"/>
  <c r="F6" i="2"/>
  <c r="F5" i="2"/>
  <c r="F4" i="2"/>
  <c r="F3" i="2"/>
  <c r="H183" i="1"/>
  <c r="H179" i="1"/>
  <c r="C179" i="1"/>
  <c r="C175" i="1"/>
  <c r="H175" i="1" s="1"/>
  <c r="C171" i="1"/>
  <c r="H171" i="1" s="1"/>
  <c r="H185" i="1" s="1"/>
  <c r="G89" i="8" s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66" i="1" s="1"/>
  <c r="G86" i="8" s="1"/>
  <c r="E84" i="1"/>
  <c r="D83" i="1"/>
  <c r="E83" i="1" s="1"/>
  <c r="A83" i="1"/>
  <c r="D81" i="1"/>
  <c r="E123" i="6" s="1"/>
  <c r="E80" i="1"/>
  <c r="D80" i="1"/>
  <c r="E123" i="3" s="1"/>
  <c r="D78" i="1"/>
  <c r="G72" i="1"/>
  <c r="G71" i="1"/>
  <c r="G70" i="1"/>
  <c r="G90" i="3" s="1"/>
  <c r="G69" i="1"/>
  <c r="G89" i="4" s="1"/>
  <c r="G68" i="1"/>
  <c r="G87" i="6" s="1"/>
  <c r="G67" i="1"/>
  <c r="G86" i="6" s="1"/>
  <c r="E61" i="1"/>
  <c r="G77" i="6" s="1"/>
  <c r="E59" i="1"/>
  <c r="G76" i="3" s="1"/>
  <c r="H54" i="1"/>
  <c r="H53" i="1"/>
  <c r="H52" i="1"/>
  <c r="H51" i="1"/>
  <c r="H50" i="1"/>
  <c r="H49" i="1"/>
  <c r="H48" i="1"/>
  <c r="H47" i="1"/>
  <c r="F43" i="1"/>
  <c r="D43" i="1"/>
  <c r="E43" i="1" s="1"/>
  <c r="I42" i="1" s="1"/>
  <c r="A42" i="1"/>
  <c r="F40" i="1"/>
  <c r="I39" i="1" s="1"/>
  <c r="H54" i="4" s="1"/>
  <c r="E40" i="1"/>
  <c r="D40" i="1"/>
  <c r="A39" i="1"/>
  <c r="F37" i="1"/>
  <c r="D37" i="1"/>
  <c r="E37" i="1" s="1"/>
  <c r="I36" i="1" s="1"/>
  <c r="I54" i="3" s="1"/>
  <c r="A36" i="1"/>
  <c r="F34" i="1"/>
  <c r="E34" i="1"/>
  <c r="I33" i="1"/>
  <c r="H54" i="3" s="1"/>
  <c r="A33" i="1"/>
  <c r="I30" i="1"/>
  <c r="I28" i="1"/>
  <c r="H62" i="4" s="1"/>
  <c r="I26" i="1"/>
  <c r="H60" i="3" s="1"/>
  <c r="D24" i="1"/>
  <c r="E24" i="1" s="1"/>
  <c r="I24" i="1" s="1"/>
  <c r="H58" i="6" s="1"/>
  <c r="G22" i="1"/>
  <c r="I22" i="1" s="1"/>
  <c r="E22" i="1"/>
  <c r="I20" i="1"/>
  <c r="I18" i="1"/>
  <c r="I16" i="1"/>
  <c r="F7" i="1"/>
  <c r="H26" i="4" s="1"/>
  <c r="H32" i="4" s="1"/>
  <c r="H32" i="2" l="1"/>
  <c r="F78" i="8"/>
  <c r="H54" i="7"/>
  <c r="H63" i="7" s="1"/>
  <c r="H69" i="7" s="1"/>
  <c r="H54" i="6"/>
  <c r="H61" i="5"/>
  <c r="H62" i="6"/>
  <c r="H63" i="4"/>
  <c r="I63" i="3"/>
  <c r="H63" i="5"/>
  <c r="H61" i="3"/>
  <c r="H80" i="4"/>
  <c r="H54" i="5"/>
  <c r="H61" i="7"/>
  <c r="H80" i="5"/>
  <c r="H38" i="5"/>
  <c r="H135" i="5"/>
  <c r="H37" i="5"/>
  <c r="H39" i="5" s="1"/>
  <c r="H68" i="5" s="1"/>
  <c r="H41" i="5"/>
  <c r="H11" i="9"/>
  <c r="H10" i="9"/>
  <c r="H9" i="9"/>
  <c r="H8" i="9"/>
  <c r="H7" i="9"/>
  <c r="H6" i="9"/>
  <c r="H38" i="4"/>
  <c r="C80" i="8"/>
  <c r="H55" i="4"/>
  <c r="H64" i="4" s="1"/>
  <c r="H70" i="4" s="1"/>
  <c r="H55" i="7"/>
  <c r="H55" i="5"/>
  <c r="H55" i="6"/>
  <c r="H55" i="3"/>
  <c r="H64" i="3" s="1"/>
  <c r="H70" i="3" s="1"/>
  <c r="H55" i="1"/>
  <c r="H135" i="3"/>
  <c r="H37" i="3"/>
  <c r="H39" i="3" s="1"/>
  <c r="H68" i="3" s="1"/>
  <c r="H80" i="3"/>
  <c r="F128" i="7"/>
  <c r="H5" i="9"/>
  <c r="H56" i="4"/>
  <c r="H56" i="7"/>
  <c r="H56" i="5"/>
  <c r="G89" i="7"/>
  <c r="G90" i="5"/>
  <c r="G90" i="4"/>
  <c r="I135" i="3"/>
  <c r="I41" i="3"/>
  <c r="I45" i="3" s="1"/>
  <c r="I80" i="3"/>
  <c r="H63" i="3"/>
  <c r="H61" i="4"/>
  <c r="G39" i="6"/>
  <c r="G67" i="6" s="1"/>
  <c r="H57" i="7"/>
  <c r="H57" i="5"/>
  <c r="I57" i="3"/>
  <c r="H57" i="4"/>
  <c r="G90" i="7"/>
  <c r="G91" i="5"/>
  <c r="G91" i="3"/>
  <c r="H37" i="6"/>
  <c r="H39" i="6" s="1"/>
  <c r="G92" i="5"/>
  <c r="G92" i="3"/>
  <c r="G91" i="6"/>
  <c r="G91" i="7"/>
  <c r="F76" i="8"/>
  <c r="F80" i="8" s="1"/>
  <c r="G92" i="4"/>
  <c r="H59" i="3"/>
  <c r="I59" i="3"/>
  <c r="H59" i="5"/>
  <c r="H59" i="6"/>
  <c r="H59" i="7"/>
  <c r="G51" i="4"/>
  <c r="H58" i="7"/>
  <c r="H58" i="5"/>
  <c r="I58" i="3"/>
  <c r="I64" i="3" s="1"/>
  <c r="I70" i="3" s="1"/>
  <c r="H58" i="3"/>
  <c r="H58" i="4"/>
  <c r="I39" i="3"/>
  <c r="I68" i="3" s="1"/>
  <c r="H38" i="3"/>
  <c r="I55" i="3"/>
  <c r="H135" i="4"/>
  <c r="H37" i="4"/>
  <c r="G51" i="3"/>
  <c r="G51" i="5"/>
  <c r="H61" i="6"/>
  <c r="H62" i="5"/>
  <c r="H56" i="3"/>
  <c r="G68" i="6"/>
  <c r="G51" i="7"/>
  <c r="I60" i="3"/>
  <c r="G76" i="5"/>
  <c r="E124" i="5"/>
  <c r="G88" i="6"/>
  <c r="G93" i="6" s="1"/>
  <c r="E122" i="7"/>
  <c r="F122" i="7" s="1"/>
  <c r="G89" i="3"/>
  <c r="E124" i="3"/>
  <c r="F123" i="3" s="1"/>
  <c r="F129" i="3" s="1"/>
  <c r="G87" i="5"/>
  <c r="H60" i="7"/>
  <c r="G89" i="5"/>
  <c r="G87" i="7"/>
  <c r="G87" i="4"/>
  <c r="H60" i="6"/>
  <c r="H27" i="7"/>
  <c r="H32" i="7" s="1"/>
  <c r="G77" i="7"/>
  <c r="E129" i="4"/>
  <c r="F129" i="4" s="1"/>
  <c r="G75" i="6"/>
  <c r="G88" i="7"/>
  <c r="G88" i="4"/>
  <c r="E60" i="1"/>
  <c r="G78" i="4"/>
  <c r="E128" i="6"/>
  <c r="F128" i="6" s="1"/>
  <c r="E62" i="1"/>
  <c r="G88" i="3"/>
  <c r="H60" i="5"/>
  <c r="E123" i="5"/>
  <c r="F123" i="5" s="1"/>
  <c r="F129" i="5" s="1"/>
  <c r="H133" i="7" l="1"/>
  <c r="H38" i="7"/>
  <c r="H37" i="7"/>
  <c r="H79" i="7"/>
  <c r="H49" i="5"/>
  <c r="H74" i="5"/>
  <c r="H78" i="5" s="1"/>
  <c r="H48" i="5"/>
  <c r="H47" i="5"/>
  <c r="H46" i="5"/>
  <c r="H50" i="5"/>
  <c r="H44" i="5"/>
  <c r="H43" i="5"/>
  <c r="H90" i="7"/>
  <c r="G69" i="5"/>
  <c r="H51" i="5"/>
  <c r="H69" i="5" s="1"/>
  <c r="G69" i="4"/>
  <c r="H71" i="5"/>
  <c r="H41" i="3"/>
  <c r="D29" i="9"/>
  <c r="C29" i="9"/>
  <c r="B29" i="9"/>
  <c r="H45" i="5"/>
  <c r="G79" i="4"/>
  <c r="G78" i="7"/>
  <c r="G79" i="3"/>
  <c r="G79" i="5"/>
  <c r="G78" i="6"/>
  <c r="G94" i="4"/>
  <c r="G68" i="7"/>
  <c r="H108" i="5"/>
  <c r="H107" i="6"/>
  <c r="I108" i="3"/>
  <c r="H107" i="7"/>
  <c r="H108" i="4"/>
  <c r="H108" i="3"/>
  <c r="D30" i="9"/>
  <c r="C30" i="9"/>
  <c r="B30" i="9"/>
  <c r="G94" i="3"/>
  <c r="G93" i="7"/>
  <c r="I51" i="3"/>
  <c r="I69" i="3" s="1"/>
  <c r="I71" i="3" s="1"/>
  <c r="H51" i="3"/>
  <c r="G69" i="3"/>
  <c r="C32" i="9"/>
  <c r="B32" i="9"/>
  <c r="D32" i="9"/>
  <c r="G76" i="6"/>
  <c r="G77" i="4"/>
  <c r="G76" i="7"/>
  <c r="G77" i="5"/>
  <c r="H77" i="5" s="1"/>
  <c r="G77" i="3"/>
  <c r="H41" i="6"/>
  <c r="H67" i="6"/>
  <c r="D33" i="9"/>
  <c r="C33" i="9"/>
  <c r="B33" i="9"/>
  <c r="H64" i="5"/>
  <c r="H70" i="5" s="1"/>
  <c r="I46" i="3"/>
  <c r="I74" i="3"/>
  <c r="I50" i="3"/>
  <c r="I43" i="3"/>
  <c r="I47" i="3"/>
  <c r="I44" i="3"/>
  <c r="I49" i="3"/>
  <c r="I48" i="3"/>
  <c r="D31" i="9"/>
  <c r="C31" i="9"/>
  <c r="B31" i="9"/>
  <c r="H87" i="5"/>
  <c r="G94" i="5"/>
  <c r="H39" i="4"/>
  <c r="C28" i="9"/>
  <c r="C35" i="9" s="1"/>
  <c r="B28" i="9"/>
  <c r="D28" i="9"/>
  <c r="D35" i="9" s="1"/>
  <c r="D34" i="9"/>
  <c r="C34" i="9"/>
  <c r="B34" i="9"/>
  <c r="H63" i="6"/>
  <c r="H69" i="6" s="1"/>
  <c r="I136" i="3" l="1"/>
  <c r="H136" i="5"/>
  <c r="H39" i="7"/>
  <c r="H76" i="6"/>
  <c r="H68" i="4"/>
  <c r="H41" i="4"/>
  <c r="I79" i="3"/>
  <c r="B35" i="9"/>
  <c r="H44" i="6"/>
  <c r="H43" i="6"/>
  <c r="H50" i="6"/>
  <c r="H49" i="6"/>
  <c r="H48" i="6"/>
  <c r="H73" i="6"/>
  <c r="H47" i="6"/>
  <c r="H46" i="6"/>
  <c r="H45" i="6"/>
  <c r="H51" i="6"/>
  <c r="H78" i="6"/>
  <c r="H47" i="3"/>
  <c r="H46" i="3"/>
  <c r="H74" i="3"/>
  <c r="H79" i="3" s="1"/>
  <c r="H48" i="3"/>
  <c r="H43" i="3"/>
  <c r="H50" i="3"/>
  <c r="H49" i="3"/>
  <c r="H44" i="3"/>
  <c r="H45" i="3"/>
  <c r="I78" i="3"/>
  <c r="I76" i="3"/>
  <c r="I77" i="3"/>
  <c r="H77" i="3"/>
  <c r="H69" i="3"/>
  <c r="H71" i="3" s="1"/>
  <c r="I87" i="3"/>
  <c r="H87" i="3"/>
  <c r="H79" i="5"/>
  <c r="H76" i="5"/>
  <c r="I81" i="3" l="1"/>
  <c r="H81" i="5"/>
  <c r="H68" i="6"/>
  <c r="H70" i="6" s="1"/>
  <c r="H86" i="6"/>
  <c r="H67" i="7"/>
  <c r="H41" i="7"/>
  <c r="H77" i="6"/>
  <c r="H75" i="6"/>
  <c r="H76" i="3"/>
  <c r="H78" i="3"/>
  <c r="H136" i="3"/>
  <c r="H44" i="4"/>
  <c r="H43" i="4"/>
  <c r="H46" i="4"/>
  <c r="H48" i="4"/>
  <c r="H47" i="4"/>
  <c r="H74" i="4"/>
  <c r="H50" i="4"/>
  <c r="H49" i="4"/>
  <c r="H45" i="4"/>
  <c r="H51" i="4"/>
  <c r="H46" i="7" l="1"/>
  <c r="H44" i="7"/>
  <c r="H43" i="7"/>
  <c r="H48" i="7"/>
  <c r="H73" i="7"/>
  <c r="H47" i="7"/>
  <c r="H49" i="7"/>
  <c r="H50" i="7"/>
  <c r="H45" i="7"/>
  <c r="H51" i="7"/>
  <c r="H80" i="6"/>
  <c r="H135" i="6" s="1"/>
  <c r="H76" i="4"/>
  <c r="H81" i="4" s="1"/>
  <c r="H137" i="4" s="1"/>
  <c r="H78" i="4"/>
  <c r="H77" i="4"/>
  <c r="H79" i="4"/>
  <c r="H134" i="6"/>
  <c r="H137" i="5"/>
  <c r="H85" i="5"/>
  <c r="H69" i="4"/>
  <c r="H71" i="4" s="1"/>
  <c r="H87" i="4"/>
  <c r="I137" i="3"/>
  <c r="I85" i="3"/>
  <c r="H81" i="3"/>
  <c r="H93" i="5" l="1"/>
  <c r="H88" i="5"/>
  <c r="H90" i="5"/>
  <c r="H89" i="5"/>
  <c r="H92" i="5"/>
  <c r="H91" i="5"/>
  <c r="H68" i="7"/>
  <c r="H70" i="7" s="1"/>
  <c r="H86" i="7"/>
  <c r="H136" i="4"/>
  <c r="H85" i="4"/>
  <c r="H84" i="6"/>
  <c r="H137" i="3"/>
  <c r="H85" i="3"/>
  <c r="H75" i="7"/>
  <c r="H80" i="7" s="1"/>
  <c r="H135" i="7" s="1"/>
  <c r="H77" i="7"/>
  <c r="H76" i="7"/>
  <c r="H78" i="7"/>
  <c r="I93" i="3"/>
  <c r="I90" i="3"/>
  <c r="I92" i="3"/>
  <c r="I88" i="3"/>
  <c r="I91" i="3"/>
  <c r="I89" i="3"/>
  <c r="H93" i="4" l="1"/>
  <c r="H91" i="4"/>
  <c r="H89" i="4"/>
  <c r="H92" i="4"/>
  <c r="H90" i="4"/>
  <c r="H88" i="4"/>
  <c r="H94" i="4" s="1"/>
  <c r="H102" i="4" s="1"/>
  <c r="H104" i="4" s="1"/>
  <c r="H134" i="7"/>
  <c r="H84" i="7"/>
  <c r="H93" i="3"/>
  <c r="H90" i="3"/>
  <c r="H91" i="3"/>
  <c r="H89" i="3"/>
  <c r="H88" i="3"/>
  <c r="H92" i="3"/>
  <c r="I94" i="3"/>
  <c r="I102" i="3" s="1"/>
  <c r="I104" i="3" s="1"/>
  <c r="H87" i="6"/>
  <c r="H90" i="6"/>
  <c r="H89" i="6"/>
  <c r="H88" i="6"/>
  <c r="H91" i="6"/>
  <c r="H94" i="5"/>
  <c r="H102" i="5" s="1"/>
  <c r="H104" i="5" s="1"/>
  <c r="H93" i="6" l="1"/>
  <c r="H101" i="6" s="1"/>
  <c r="H103" i="6" s="1"/>
  <c r="H87" i="7"/>
  <c r="H88" i="7"/>
  <c r="H89" i="7"/>
  <c r="H91" i="7"/>
  <c r="I138" i="3"/>
  <c r="I115" i="3"/>
  <c r="H138" i="4"/>
  <c r="H115" i="4"/>
  <c r="H94" i="3"/>
  <c r="H102" i="3" s="1"/>
  <c r="H104" i="3" s="1"/>
  <c r="H138" i="5"/>
  <c r="H115" i="5"/>
  <c r="H138" i="3" l="1"/>
  <c r="H115" i="3"/>
  <c r="H109" i="4"/>
  <c r="H112" i="4" s="1"/>
  <c r="H139" i="4" s="1"/>
  <c r="H140" i="4" s="1"/>
  <c r="H119" i="4"/>
  <c r="H132" i="4" s="1"/>
  <c r="I120" i="3"/>
  <c r="I109" i="3"/>
  <c r="I112" i="3" s="1"/>
  <c r="I139" i="3" s="1"/>
  <c r="I140" i="3" s="1"/>
  <c r="I130" i="3"/>
  <c r="I119" i="3"/>
  <c r="I142" i="3" s="1"/>
  <c r="H93" i="7"/>
  <c r="H101" i="7" s="1"/>
  <c r="H103" i="7" s="1"/>
  <c r="H109" i="5"/>
  <c r="H112" i="5" s="1"/>
  <c r="H139" i="5" s="1"/>
  <c r="H140" i="5" s="1"/>
  <c r="H119" i="5"/>
  <c r="H132" i="5" s="1"/>
  <c r="H120" i="5"/>
  <c r="H130" i="5" s="1"/>
  <c r="H136" i="6"/>
  <c r="H114" i="6"/>
  <c r="H121" i="5" l="1"/>
  <c r="H141" i="5"/>
  <c r="I141" i="3"/>
  <c r="I121" i="3"/>
  <c r="H108" i="6"/>
  <c r="H111" i="6" s="1"/>
  <c r="H137" i="6" s="1"/>
  <c r="H118" i="6"/>
  <c r="H129" i="6" s="1"/>
  <c r="H119" i="6"/>
  <c r="H138" i="6"/>
  <c r="H142" i="5"/>
  <c r="F15" i="8" s="1"/>
  <c r="G15" i="8" s="1"/>
  <c r="H120" i="4"/>
  <c r="H142" i="4"/>
  <c r="E61" i="8" s="1"/>
  <c r="G61" i="8" s="1"/>
  <c r="H130" i="4"/>
  <c r="H136" i="7"/>
  <c r="H114" i="7"/>
  <c r="H109" i="3"/>
  <c r="H112" i="3" s="1"/>
  <c r="H139" i="3" s="1"/>
  <c r="H140" i="3" s="1"/>
  <c r="H119" i="3"/>
  <c r="H139" i="6" l="1"/>
  <c r="H120" i="6"/>
  <c r="D46" i="8"/>
  <c r="G46" i="8" s="1"/>
  <c r="I15" i="8"/>
  <c r="H120" i="3"/>
  <c r="H130" i="3" s="1"/>
  <c r="H132" i="3"/>
  <c r="H140" i="6"/>
  <c r="H108" i="7"/>
  <c r="H111" i="7" s="1"/>
  <c r="H137" i="7" s="1"/>
  <c r="H138" i="7" s="1"/>
  <c r="H119" i="7"/>
  <c r="H129" i="7" s="1"/>
  <c r="H118" i="7"/>
  <c r="H141" i="4"/>
  <c r="H121" i="4"/>
  <c r="H120" i="7" l="1"/>
  <c r="H139" i="7"/>
  <c r="H140" i="7"/>
  <c r="E76" i="8"/>
  <c r="G76" i="8" s="1"/>
  <c r="F29" i="8"/>
  <c r="G29" i="8" s="1"/>
  <c r="H141" i="3"/>
  <c r="H121" i="3"/>
  <c r="H142" i="3"/>
  <c r="F23" i="8" l="1"/>
  <c r="G23" i="8" s="1"/>
  <c r="F20" i="8"/>
  <c r="G20" i="8" s="1"/>
  <c r="F11" i="8"/>
  <c r="G11" i="8" s="1"/>
  <c r="F8" i="8"/>
  <c r="G8" i="8" s="1"/>
  <c r="F14" i="8"/>
  <c r="G14" i="8" s="1"/>
  <c r="F22" i="8"/>
  <c r="G22" i="8" s="1"/>
  <c r="F19" i="8"/>
  <c r="G19" i="8" s="1"/>
  <c r="F10" i="8"/>
  <c r="G10" i="8" s="1"/>
  <c r="F7" i="8"/>
  <c r="G7" i="8" s="1"/>
  <c r="F24" i="8"/>
  <c r="G24" i="8" s="1"/>
  <c r="F21" i="8"/>
  <c r="G21" i="8" s="1"/>
  <c r="F12" i="8"/>
  <c r="G12" i="8" s="1"/>
  <c r="F9" i="8"/>
  <c r="G9" i="8" s="1"/>
  <c r="H144" i="3"/>
  <c r="I29" i="8"/>
  <c r="J29" i="8" s="1"/>
  <c r="D54" i="8"/>
  <c r="G54" i="8" s="1"/>
  <c r="E78" i="8"/>
  <c r="G78" i="8" s="1"/>
  <c r="G80" i="8" s="1"/>
  <c r="F34" i="8"/>
  <c r="G34" i="8" s="1"/>
  <c r="I10" i="8" l="1"/>
  <c r="D42" i="8"/>
  <c r="G42" i="8" s="1"/>
  <c r="I24" i="8"/>
  <c r="D52" i="8"/>
  <c r="G52" i="8" s="1"/>
  <c r="D40" i="8"/>
  <c r="G40" i="8" s="1"/>
  <c r="I8" i="8"/>
  <c r="D44" i="8"/>
  <c r="G44" i="8" s="1"/>
  <c r="I12" i="8"/>
  <c r="D49" i="8"/>
  <c r="G49" i="8" s="1"/>
  <c r="I21" i="8"/>
  <c r="D39" i="8"/>
  <c r="G39" i="8" s="1"/>
  <c r="I7" i="8"/>
  <c r="J15" i="8" s="1"/>
  <c r="D55" i="8"/>
  <c r="G55" i="8" s="1"/>
  <c r="I34" i="8"/>
  <c r="J34" i="8" s="1"/>
  <c r="D47" i="8"/>
  <c r="G47" i="8" s="1"/>
  <c r="I19" i="8"/>
  <c r="D50" i="8"/>
  <c r="G50" i="8" s="1"/>
  <c r="I22" i="8"/>
  <c r="I14" i="8"/>
  <c r="D45" i="8"/>
  <c r="G45" i="8" s="1"/>
  <c r="D43" i="8"/>
  <c r="G43" i="8" s="1"/>
  <c r="I11" i="8"/>
  <c r="I20" i="8"/>
  <c r="D48" i="8"/>
  <c r="G48" i="8" s="1"/>
  <c r="D41" i="8"/>
  <c r="G41" i="8" s="1"/>
  <c r="I9" i="8"/>
  <c r="D51" i="8"/>
  <c r="G51" i="8" s="1"/>
  <c r="I23" i="8"/>
  <c r="G56" i="8" l="1"/>
  <c r="G83" i="8" s="1"/>
  <c r="G92" i="8" s="1"/>
  <c r="G95" i="8" s="1"/>
  <c r="J24" i="8"/>
  <c r="K3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Claudia Kazuko Iwai Moraes Bueno</author>
  </authors>
  <commentList>
    <comment ref="A181" authorId="0" shapeId="0" xr:uid="{2543793D-C633-4F19-AD5C-72642D5ABA27}">
      <text>
        <r>
          <rPr>
            <b/>
            <sz val="9"/>
            <color indexed="81"/>
            <rFont val="Segoe UI"/>
            <charset val="1"/>
          </rPr>
          <t>O laudo deverá ser emitido nos 3 primeiros meses da contratação. Ver itens 5.16.25 a 5.16.30 do TR.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B0589529-E071-43EF-9BCF-BD89EBB31B87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A48201AA-C306-422F-92FC-49DA55FBB58C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E4230443-11ED-4499-9E20-86CD4A8A2D15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CD7DBED8-C6FA-4846-B863-769B68889D2F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C2F60F95-D094-4733-8C13-37F44B84207D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2E9D50EC-E014-4C0A-86E4-372A2A305E6E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sharedStrings.xml><?xml version="1.0" encoding="utf-8"?>
<sst xmlns="http://schemas.openxmlformats.org/spreadsheetml/2006/main" count="1648" uniqueCount="476">
  <si>
    <r>
      <t xml:space="preserve">Planilhas auxiliares para preenchimento pelo licitante </t>
    </r>
    <r>
      <rPr>
        <b/>
        <sz val="11"/>
        <color rgb="FFFF3333"/>
        <rFont val="Arial1"/>
      </rPr>
      <t>(Apenas preencher células fundo amarelo – valores transportados para planilhas principais. ATENÇÃO: Não alterar fórmulas de cálculo)</t>
    </r>
  </si>
  <si>
    <t>Data da proposta</t>
  </si>
  <si>
    <t>Local da prestação dos serviços:</t>
  </si>
  <si>
    <t>Guaratinguetá / SP</t>
  </si>
  <si>
    <t>Nº de meses de execução contratual:</t>
  </si>
  <si>
    <t>Valor do Salário Mínimo</t>
  </si>
  <si>
    <t>Nº da Licitação:</t>
  </si>
  <si>
    <t>Unidade de prestação dos serviços:</t>
  </si>
  <si>
    <t>ARF Guaratinguetá</t>
  </si>
  <si>
    <t>Remuneração</t>
  </si>
  <si>
    <t>Remuneração servente 40 horas</t>
  </si>
  <si>
    <t>Remuneração servente líder</t>
  </si>
  <si>
    <t>Remuneração servente 20 horas</t>
  </si>
  <si>
    <t>Remuneração limpador de vidros</t>
  </si>
  <si>
    <t>Módulo 2</t>
  </si>
  <si>
    <t>Submódulo 2.2</t>
  </si>
  <si>
    <t>RAT</t>
  </si>
  <si>
    <t>FAP</t>
  </si>
  <si>
    <t>Benefícios legais acordados (auxiliar para submódulo 2.3)</t>
  </si>
  <si>
    <t>Tíquete Refeição</t>
  </si>
  <si>
    <t>Dias</t>
  </si>
  <si>
    <t>Valor unitário</t>
  </si>
  <si>
    <t>Empregado</t>
  </si>
  <si>
    <t>Custo total mensal</t>
  </si>
  <si>
    <t>Cesta Básica</t>
  </si>
  <si>
    <t>Quantidade</t>
  </si>
  <si>
    <t>Benefício Social Sindical</t>
  </si>
  <si>
    <t>Seguro de Vida em grupo</t>
  </si>
  <si>
    <t>Valor anual</t>
  </si>
  <si>
    <t>Valor mensal</t>
  </si>
  <si>
    <t>Auxílio creche</t>
  </si>
  <si>
    <t>Salário mínimo</t>
  </si>
  <si>
    <t>Valor unitário (30% sal. Mínimo)</t>
  </si>
  <si>
    <t>Ocorrência anual %</t>
  </si>
  <si>
    <t>Auxílio Saúde</t>
  </si>
  <si>
    <t>Benefício Assiduidade</t>
  </si>
  <si>
    <t>Outros</t>
  </si>
  <si>
    <t>Vale – transporte - servente 40 horas</t>
  </si>
  <si>
    <t>bilhete/dia</t>
  </si>
  <si>
    <t>nº dias/mês</t>
  </si>
  <si>
    <t>Valor tarifa</t>
  </si>
  <si>
    <t>Custo total</t>
  </si>
  <si>
    <t>Custo empregado</t>
  </si>
  <si>
    <t>Vale – transporte – servente líder</t>
  </si>
  <si>
    <t>Vale – transporte - servente 20 horas</t>
  </si>
  <si>
    <t>Vale – transporte – limpador de vidros</t>
  </si>
  <si>
    <t>Uniforme (servente e limpador de vidros)</t>
  </si>
  <si>
    <t>Item</t>
  </si>
  <si>
    <t>Custo unitário</t>
  </si>
  <si>
    <t>Vida útil (meses)</t>
  </si>
  <si>
    <t>Custo mensal</t>
  </si>
  <si>
    <t>Camiseta manga curtade algodão</t>
  </si>
  <si>
    <t>Calça de brim com elástico</t>
  </si>
  <si>
    <t xml:space="preserve">Jaqueta de nylon forrada </t>
  </si>
  <si>
    <t>Meia de algodão(par)</t>
  </si>
  <si>
    <t>Sapato de borracha antiderrapante</t>
  </si>
  <si>
    <t>Bota de borracha, impermeável, antiderrapante</t>
  </si>
  <si>
    <t>Capa de chuva (PVC)</t>
  </si>
  <si>
    <t>Crachá c/identificação da Empresa</t>
  </si>
  <si>
    <t>Custo total mensal:</t>
  </si>
  <si>
    <r>
      <t>Provisão para Rescisão –</t>
    </r>
    <r>
      <rPr>
        <sz val="11"/>
        <color rgb="FFFF3333"/>
        <rFont val="Arial1"/>
      </rPr>
      <t xml:space="preserve"> ATENÇÃO: Não alterar fórmulas</t>
    </r>
  </si>
  <si>
    <t>Descrição</t>
  </si>
  <si>
    <t>Dias de aviso prévio</t>
  </si>
  <si>
    <t>% de ocorrência</t>
  </si>
  <si>
    <t>%</t>
  </si>
  <si>
    <t>A</t>
  </si>
  <si>
    <t>Aviso Prévio Indenizado</t>
  </si>
  <si>
    <t>B</t>
  </si>
  <si>
    <t>Incidência do FGTS sobre o Aviso Prévio Indenizado</t>
  </si>
  <si>
    <t>Cálculo = 8% * % API</t>
  </si>
  <si>
    <t>C</t>
  </si>
  <si>
    <t>Aviso Prévio Trabalhado</t>
  </si>
  <si>
    <t>Cálculo = 7 /30 / vigência inicial contrato (24)</t>
  </si>
  <si>
    <t>D</t>
  </si>
  <si>
    <t>Incidência dos encargos do submódulo 2.2 sobre o Aviso Prévio Trabalhado</t>
  </si>
  <si>
    <t>Cálculo = 36,8% * % APT</t>
  </si>
  <si>
    <t>E</t>
  </si>
  <si>
    <t>Multa do FGTS - Conta Vinculada</t>
  </si>
  <si>
    <t>Módulo 4 - Custo de Reposição do Profissional Ausente</t>
  </si>
  <si>
    <t>SM 4.1</t>
  </si>
  <si>
    <t>Ausências Legais</t>
  </si>
  <si>
    <t>Número ausências por ano</t>
  </si>
  <si>
    <t>Substituto na cobertura de férias</t>
  </si>
  <si>
    <t>Cálculo = 1/11. Provisão para conta vinculada</t>
  </si>
  <si>
    <t>Substituto na cobertura de Ausências Legais</t>
  </si>
  <si>
    <t>Número ausências /365,25 *% ocorrência</t>
  </si>
  <si>
    <t>Substituto na cobertura de Licença Paternidade</t>
  </si>
  <si>
    <t>Substituto na cobertura de Ausência por acidente de trabalho</t>
  </si>
  <si>
    <t>Substituto na cobertura de Afastamento Maternidade</t>
  </si>
  <si>
    <t>F</t>
  </si>
  <si>
    <t>Substituto na cobertura de Auxilio Doença</t>
  </si>
  <si>
    <t>G</t>
  </si>
  <si>
    <t>Outros (especificar)</t>
  </si>
  <si>
    <t xml:space="preserve"> </t>
  </si>
  <si>
    <t>Planilha auxiliar para módulo 6</t>
  </si>
  <si>
    <t>Custos Indiretos / Despesas Administrativas</t>
  </si>
  <si>
    <t>Lucro</t>
  </si>
  <si>
    <t>Regime Tributário (Selecione abaixo)</t>
  </si>
  <si>
    <t>Lucro Real</t>
  </si>
  <si>
    <t>Tributos</t>
  </si>
  <si>
    <t>PIS</t>
  </si>
  <si>
    <t>COFINS</t>
  </si>
  <si>
    <t>CPRB</t>
  </si>
  <si>
    <t>ISS</t>
  </si>
  <si>
    <t>Material de limpeza (serventes) – lista exemplificativa</t>
  </si>
  <si>
    <t>Unidade</t>
  </si>
  <si>
    <t>Reposição a cada quantos meses?</t>
  </si>
  <si>
    <t>Agua Sanitária</t>
  </si>
  <si>
    <t>Galão 5 litros</t>
  </si>
  <si>
    <t>Álcool, de 1ª qualidade</t>
  </si>
  <si>
    <t>Litro</t>
  </si>
  <si>
    <t>Cera líquida branca (galão 5 litros)</t>
  </si>
  <si>
    <t>Balde plástico – Grande (20 litros)</t>
  </si>
  <si>
    <t>Balde plástico – Médio (8 litros)</t>
  </si>
  <si>
    <t>Desentupidor de pia</t>
  </si>
  <si>
    <t>Desentupidor de vaso sanitário</t>
  </si>
  <si>
    <t>Desinfetante de uso geral (galão 5 litros)</t>
  </si>
  <si>
    <t>Detergente líquido p/ limpeza de pisos (galão 5 litros)</t>
  </si>
  <si>
    <t>Detergente para lavar louça, 500ml</t>
  </si>
  <si>
    <t>Desodorizador de ambiente, 360 ml</t>
  </si>
  <si>
    <t>Escova de mão</t>
  </si>
  <si>
    <t>Esponja de fibra  dupla face (verde e amarelo)</t>
  </si>
  <si>
    <t>Flanela branca de 1ª qualidade, 40 x 60 cm</t>
  </si>
  <si>
    <t>Lã de aço, pacote 8 unidades</t>
  </si>
  <si>
    <t>Pacote</t>
  </si>
  <si>
    <t>Limpador multiuso (500 ml)</t>
  </si>
  <si>
    <t>Lustra móveis lavanda (200 ml)</t>
  </si>
  <si>
    <t>Luva látex forrada</t>
  </si>
  <si>
    <t>Par</t>
  </si>
  <si>
    <t>Pá de Lixo, com cabo longo</t>
  </si>
  <si>
    <t>Pedra sanitária (25 g)</t>
  </si>
  <si>
    <t>Rodo com  2 borrachas - 40cm de largura com cabo</t>
  </si>
  <si>
    <t>Sabão em barra, pacote 5 unidades</t>
  </si>
  <si>
    <t>Sabão em pó, 1 kg</t>
  </si>
  <si>
    <t>Saco de pano alvejado para limpeza</t>
  </si>
  <si>
    <t>Saco de lixo 100L, pacote com 100un</t>
  </si>
  <si>
    <t>Saco de lixo 60L, pacote com 100un</t>
  </si>
  <si>
    <t>Saco de lixo 20L, pacote com 100un</t>
  </si>
  <si>
    <t>Saponáceo cremoso</t>
  </si>
  <si>
    <t>300 ml</t>
  </si>
  <si>
    <t>Vassoura de nylon</t>
  </si>
  <si>
    <t>Vassoura de pelo</t>
  </si>
  <si>
    <t>Vassoura de piaçava</t>
  </si>
  <si>
    <t>Vassoura palha</t>
  </si>
  <si>
    <t>Vassourinha p/ limpar vaso com suporte</t>
  </si>
  <si>
    <t>Vassoura para limpeza de teto</t>
  </si>
  <si>
    <t>Refil Mop</t>
  </si>
  <si>
    <t>Placas sinalizadoras "Piso molhado"</t>
  </si>
  <si>
    <t>Pulverizador manual spray para líquidos</t>
  </si>
  <si>
    <t>Rodo específico para limpeza de vidros</t>
  </si>
  <si>
    <t>Percentual do custo do servente</t>
  </si>
  <si>
    <t>Equipamentos (serventes)– lista exemplificativa</t>
  </si>
  <si>
    <t>Vida útil</t>
  </si>
  <si>
    <t>Aspirador de pó 1300 W</t>
  </si>
  <si>
    <t>Escada de alumínio de 5 degraus</t>
  </si>
  <si>
    <t>Mangueira de 30 metros</t>
  </si>
  <si>
    <t>Carrinho para limpeza de banheiro</t>
  </si>
  <si>
    <t>Rodo tipo Mop</t>
  </si>
  <si>
    <t>Lavadora de alta pressão, com mangueira</t>
  </si>
  <si>
    <t>Enceradeira industrial</t>
  </si>
  <si>
    <t>Material de limpeza de vidros (limpador de vidros) – lista exemplificativa</t>
  </si>
  <si>
    <t>Rodo específico para limpeza de vidros com cabo extensível</t>
  </si>
  <si>
    <t>Limpa vidros – 5 litros</t>
  </si>
  <si>
    <t>Flanela, 40 x 60 cm</t>
  </si>
  <si>
    <r>
      <t xml:space="preserve">Material de higiene (custo variável) – lista completa. </t>
    </r>
    <r>
      <rPr>
        <sz val="11"/>
        <color rgb="FFFF3333"/>
        <rFont val="Arial1"/>
      </rPr>
      <t>ATENÇÃO! Informar marca e preço unitário</t>
    </r>
  </si>
  <si>
    <t>Marca</t>
  </si>
  <si>
    <t>Preço unitário</t>
  </si>
  <si>
    <t>Forro para assento sanitário (fibras 100% virgens, não reciclado, biodegradável)</t>
  </si>
  <si>
    <t>Kimberly Clark ou superior</t>
  </si>
  <si>
    <t>Caixa com 86 unidades</t>
  </si>
  <si>
    <t>Papel higiênico branco de 1ª qualidade, folha dupla, 10 x 30</t>
  </si>
  <si>
    <t>Qualité ou superior</t>
  </si>
  <si>
    <t>Fardo com 64 unidades</t>
  </si>
  <si>
    <t>Papel higiênico branco de 1ª qualidade, extra luxo, rolão 300m</t>
  </si>
  <si>
    <t>Panda Free ou superior</t>
  </si>
  <si>
    <t>Fardo 8 rolos</t>
  </si>
  <si>
    <t>Papel toalha branco de 1ª qualidade, interfolhado, 100% celulose virgem, alta absorção, com dimensões aprox. 21,5 x 22,5 cm</t>
  </si>
  <si>
    <t>Pop Pop ou superior</t>
  </si>
  <si>
    <t>Pacote com 2.000 folhas</t>
  </si>
  <si>
    <t>Saquinhos para absorventes higiênicos</t>
  </si>
  <si>
    <t>Pacote com 25 unidades</t>
  </si>
  <si>
    <t>Sabonete líquido, fragrância erva – doce</t>
  </si>
  <si>
    <t>Mollis, Sandomis, Agipro ou superior</t>
  </si>
  <si>
    <t>Galão com 5 litros</t>
  </si>
  <si>
    <t>Álcool gel para uso nas mãos, dermatologicamente testado, aroma agradável, devendo ter sua viscosidade adequada</t>
  </si>
  <si>
    <t>Asseptgel ou superior</t>
  </si>
  <si>
    <t>Dispenser para papel toalha</t>
  </si>
  <si>
    <t>Trilha ou superior</t>
  </si>
  <si>
    <t>Dispenser para papel higiênico rolão 300m</t>
  </si>
  <si>
    <t>Dispenser para sabonete líquido/álcool gel</t>
  </si>
  <si>
    <t>Dispenser/suporte para coletor de absorvente higiênico</t>
  </si>
  <si>
    <t>Dispenser/suporte para papael/forro assento sanitário</t>
  </si>
  <si>
    <t>Total</t>
  </si>
  <si>
    <t>OUTROS SERVIÇOS</t>
  </si>
  <si>
    <t>Desinsetização/desratização</t>
  </si>
  <si>
    <t>Área interna total (Delegacia) – m2</t>
  </si>
  <si>
    <t>Valor do metro quadrado</t>
  </si>
  <si>
    <t>Valor total por aplicação</t>
  </si>
  <si>
    <t>Periodicidade</t>
  </si>
  <si>
    <t>Total por ano</t>
  </si>
  <si>
    <t>Semestral</t>
  </si>
  <si>
    <t>Limpeza de caixa d'água</t>
  </si>
  <si>
    <t>Quantidade m³</t>
  </si>
  <si>
    <t>Capinagem, poda, roçagem e retirada dos resíduos de áreas verdes</t>
  </si>
  <si>
    <t>Área verde (Delegacia) – m2</t>
  </si>
  <si>
    <t>Bimestral</t>
  </si>
  <si>
    <t>Emissão de laudos</t>
  </si>
  <si>
    <t>Valor por edifício</t>
  </si>
  <si>
    <t>Valor total no primeiro ano</t>
  </si>
  <si>
    <t>Quinquenal</t>
  </si>
  <si>
    <t>Valor total de OUTROS SERVIÇOS</t>
  </si>
  <si>
    <t>Quantidade total a contratar em função da unidade de medida – Área em m2</t>
  </si>
  <si>
    <t>Quantitativo de mão de obra</t>
  </si>
  <si>
    <t>Áreas internas</t>
  </si>
  <si>
    <t>Área m²</t>
  </si>
  <si>
    <t>Produtividade adotada – Portaria RFB nº 894, de 15 de maio de 2019</t>
  </si>
  <si>
    <t>Piso acarpetado</t>
  </si>
  <si>
    <t>Piso frio</t>
  </si>
  <si>
    <t>Laboratórios</t>
  </si>
  <si>
    <t>Almoxarifados/galpões</t>
  </si>
  <si>
    <t>Oficinas</t>
  </si>
  <si>
    <t>Áreas com espaços livres - Saguão /Hall /Salão</t>
  </si>
  <si>
    <t xml:space="preserve">Banheiros SEM adicional de insalubridade </t>
  </si>
  <si>
    <t>Banheiros COM adicional de insalubridade 40%</t>
  </si>
  <si>
    <t>Áreas externas</t>
  </si>
  <si>
    <t>Pisos pavimentados adjacentes/contíguos às edificações</t>
  </si>
  <si>
    <t>Varrição de passeios de arruamentos</t>
  </si>
  <si>
    <t>Pátios e áreas verdes de ALTA frequência</t>
  </si>
  <si>
    <t>Pátios e áreas verdes de MÉDIA frequência</t>
  </si>
  <si>
    <t>Pátios e áreas verdes de BAIXA frequência</t>
  </si>
  <si>
    <t>Coleta de detritos em pátios e áreas verdes com frequência diária</t>
  </si>
  <si>
    <t>Quantitativo total de mão de obra por local</t>
  </si>
  <si>
    <t xml:space="preserve">Quantitativo de serventes 40h semanais sem insalubridade </t>
  </si>
  <si>
    <t>Quantitativo de serventes 20h semanais sem insalubridade</t>
  </si>
  <si>
    <t>Quantitativo de serventes 40h semanais COM insalubridade (agente de higienização)</t>
  </si>
  <si>
    <t>Esquadrias</t>
  </si>
  <si>
    <t>Frequência no mês/semestre (horas)</t>
  </si>
  <si>
    <t>Jornada de trabalho no mês/semestre (horas)</t>
  </si>
  <si>
    <t>Coeficiente k</t>
  </si>
  <si>
    <t>Face externa COM exposição à situação de risco (semestral)</t>
  </si>
  <si>
    <t>Face externa SEM exposição à situação de risco (mensal)</t>
  </si>
  <si>
    <t>Face interna (mensal)</t>
  </si>
  <si>
    <t>Fachada envidraçada (semestral)</t>
  </si>
  <si>
    <t>Quantitativo de mão de obra por local</t>
  </si>
  <si>
    <t>Planilha de custos e formação de preços – Posto de Servente</t>
  </si>
  <si>
    <t>Nº Processo:</t>
  </si>
  <si>
    <t xml:space="preserve">Licitação nº :  </t>
  </si>
  <si>
    <t>Dia:</t>
  </si>
  <si>
    <t>às</t>
  </si>
  <si>
    <t>DISCRIMINAÇÃO DOS SERVIÇOS (DADOS REFERENTES À CONTRATAÇÃO)</t>
  </si>
  <si>
    <t>Data de apresentação da proposta (dia/mês/ano)</t>
  </si>
  <si>
    <t>Município/UF</t>
  </si>
  <si>
    <t>Ano do Acordo, Convenção ou Dissídio Coletivo</t>
  </si>
  <si>
    <t>SIEMACO- SEAC</t>
  </si>
  <si>
    <t>Nº de meses de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</si>
  <si>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</si>
  <si>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</si>
  <si>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</si>
  <si>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</si>
  <si>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Servente</t>
  </si>
  <si>
    <t>Área interna e externa – m2</t>
  </si>
  <si>
    <t>1 . MÓDULOS</t>
  </si>
  <si>
    <t>Mão de obra</t>
  </si>
  <si>
    <t>Mão de obra vinculada à execução contratual</t>
  </si>
  <si>
    <t>Dados  para composição dos custos referente à mão de obra</t>
  </si>
  <si>
    <t>Tipo de serviço (mesmo serviço com características distintas)</t>
  </si>
  <si>
    <t>Classificação Brasileira de Ocupações (CBO)</t>
  </si>
  <si>
    <t>5143-20</t>
  </si>
  <si>
    <t>Salário Normativo da Categoria Profissional</t>
  </si>
  <si>
    <t>Categoria Profissional (vinculada à execução contratual)</t>
  </si>
  <si>
    <t>Data base da categoria (dia/mês/ano)</t>
  </si>
  <si>
    <t>Módulo 1 – Composição da Remuneração</t>
  </si>
  <si>
    <t>Composição da Remuneração</t>
  </si>
  <si>
    <t xml:space="preserve"> Servente líder</t>
  </si>
  <si>
    <t>Salário-Base</t>
  </si>
  <si>
    <t>Adicional de Periculosidade 30%</t>
  </si>
  <si>
    <t>Adicional de insalubridade – Súmula TST 448</t>
  </si>
  <si>
    <t>Adicional Noturno</t>
  </si>
  <si>
    <t>Adicional de Hora Noturna Reduzida</t>
  </si>
  <si>
    <t>Módulo 2 – Encargos e Benefícios Anuais, Mensais e Diários</t>
  </si>
  <si>
    <t>Submódulo 2.1 – 13º (décimo terceiro) Salário, Férias e Adicional de Férias</t>
  </si>
  <si>
    <t>2.1</t>
  </si>
  <si>
    <t>13º (décimo terceiro) Salário, Férias e Adicional de Férias</t>
  </si>
  <si>
    <t>13º (décimo terceiro) salário (cálculo = 1/12)</t>
  </si>
  <si>
    <t>Adicional de Férias (cálculo = 1/11/3).  Provisão para conta vinculada</t>
  </si>
  <si>
    <t>Submódulo 2.2 – Encargos Previdenciários (GPS), Fundo de Garantia por Tempo de Serviço (FGTS) e outras contribuições</t>
  </si>
  <si>
    <t>Base de cálculo: (Modulo 1 + Submódulo 2.1)</t>
  </si>
  <si>
    <t>2.2</t>
  </si>
  <si>
    <t>GPS, FGTS e outras contribuições</t>
  </si>
  <si>
    <t>INSS</t>
  </si>
  <si>
    <t>Salário Educação</t>
  </si>
  <si>
    <t>SESC ou SESI</t>
  </si>
  <si>
    <t>SENAI – SENAC</t>
  </si>
  <si>
    <t>SEBRAE</t>
  </si>
  <si>
    <t>INCRA</t>
  </si>
  <si>
    <t>H</t>
  </si>
  <si>
    <t>FGTS</t>
  </si>
  <si>
    <t>Submódulo 2.3 – Benefícios Mensais e Diários</t>
  </si>
  <si>
    <t>2.3</t>
  </si>
  <si>
    <t>Benefícios Mensais e Diários</t>
  </si>
  <si>
    <t>Transporte</t>
  </si>
  <si>
    <t>Vale Alimentação</t>
  </si>
  <si>
    <t>Cesta básica</t>
  </si>
  <si>
    <t>Assistência Social Familiar Sindical</t>
  </si>
  <si>
    <t>Auxílio Cheche</t>
  </si>
  <si>
    <t>Seguro de vida em grupo</t>
  </si>
  <si>
    <t>Benefício médico ambulatorial e odontológico</t>
  </si>
  <si>
    <t>Benefício natalidade</t>
  </si>
  <si>
    <t>I</t>
  </si>
  <si>
    <t>Prêmio por assiduidade</t>
  </si>
  <si>
    <t>J</t>
  </si>
  <si>
    <t>Quadro-Resumo do Módulo 2 – Encargos e Benefício anuais, mensais e diários</t>
  </si>
  <si>
    <t>Encargos e Benefícios Anuais, Mensais e Diários</t>
  </si>
  <si>
    <t>13º (décimo terceiro) Salário  e Adicional de Férias</t>
  </si>
  <si>
    <t>Módulo 3 – Provisão para Rescisão</t>
  </si>
  <si>
    <t>Base de cálculo: (Módulo 1 + Submódulo 2.1)</t>
  </si>
  <si>
    <t>Provisão para Rescisão</t>
  </si>
  <si>
    <t>Aviso prévio indenizado</t>
  </si>
  <si>
    <t>Incidência do FGTS sobre o  Aviso Prévio Indenizado</t>
  </si>
  <si>
    <t>Aviso prévio trabalhado</t>
  </si>
  <si>
    <t>Incidência de GPS, FGTS e outras contribuições sobre o Aviso Prévio Trabalhado</t>
  </si>
  <si>
    <t>Multa FGTS – Conta Vinculada: base de cálculo: (Módulo 1)</t>
  </si>
  <si>
    <t>Módulo 4 – Custo de Reposição do Profissional Ausente</t>
  </si>
  <si>
    <t>Submódulo 4.1 – Ausências Legais</t>
  </si>
  <si>
    <t>Base de cálculo  = Módulo 1 + Módulo 2 – (VT + VA + Benef. Assid.) + Módulo 3</t>
  </si>
  <si>
    <t>4.1</t>
  </si>
  <si>
    <t>Substituto nas Ausências legais</t>
  </si>
  <si>
    <t>Substituto na cobertura de Férias:  Base de cálculo: (Módulo 1 + submódulo 2.2). Provisão para  conta vinculada</t>
  </si>
  <si>
    <t>Substituto na cobertura de Ausências legais</t>
  </si>
  <si>
    <t>Substituto na cobertura de Ausência por acidentes de trabalho</t>
  </si>
  <si>
    <t>Substituto na cobertura de Afastamento maternidade</t>
  </si>
  <si>
    <t>Substituto na cobertura de Auxílio Doença</t>
  </si>
  <si>
    <t>Submódulo 4.2 –Substituto na  Intrajornada</t>
  </si>
  <si>
    <t>4.2</t>
  </si>
  <si>
    <t>Substituto na Intrajornada</t>
  </si>
  <si>
    <t>Substituto na cobertura de Intervalo para repouso ou alimentação</t>
  </si>
  <si>
    <t>Quadro-Resumo do Módulo 4 – Custo de Reposição do Profissional Ausente</t>
  </si>
  <si>
    <t>Custo de reposição do profissional ausente</t>
  </si>
  <si>
    <t>Módulo 5 – Insumos Diversos</t>
  </si>
  <si>
    <t>Insumos Diversos</t>
  </si>
  <si>
    <t>Uniformes</t>
  </si>
  <si>
    <t>Materiais e equipamentos</t>
  </si>
  <si>
    <t>Custo direto: Somatório dos Módulos 1+2+3+4+5</t>
  </si>
  <si>
    <t>MÓDULO 6 – Custos indiretos, Tributos e Lucro</t>
  </si>
  <si>
    <t>Custos Indiretos, Tributos e Lucro</t>
  </si>
  <si>
    <t>Custos Indiretos</t>
  </si>
  <si>
    <t>C.1 Tributos Federais</t>
  </si>
  <si>
    <t>Total dos Tributos Federais (%)</t>
  </si>
  <si>
    <t xml:space="preserve"> PIS</t>
  </si>
  <si>
    <t xml:space="preserve"> COFINS</t>
  </si>
  <si>
    <t xml:space="preserve"> Outros (especificar)</t>
  </si>
  <si>
    <t>C.2 Tributos Estaduais</t>
  </si>
  <si>
    <t>(Especificar)</t>
  </si>
  <si>
    <t>Total dos tributos (%)</t>
  </si>
  <si>
    <t>C.3 Tributos Municipais</t>
  </si>
  <si>
    <t>2. QUADRO-RESUMO DO CUSTO POR EMPREGADO</t>
  </si>
  <si>
    <t>Mão de obra vinculada à execução contratual (valor por empregado)</t>
  </si>
  <si>
    <t>Módulo 1 - Composição da Remuneração</t>
  </si>
  <si>
    <t>Módulo 3 – Previsão para Rescisão</t>
  </si>
  <si>
    <t>Subtotal (A + B + C + D + E)</t>
  </si>
  <si>
    <t>Módulo 6 - Custos Indiretos, Tributos e Lucro</t>
  </si>
  <si>
    <t>Valor Total por Empregado</t>
  </si>
  <si>
    <t>Acréscimo ao contrato para o posto de servente com função de líder</t>
  </si>
  <si>
    <t>Prêmio assiduidade</t>
  </si>
  <si>
    <t>Planilha de custos e formação de preços – Posto de Limpador de vidros sem risco</t>
  </si>
  <si>
    <t>09:30 horas</t>
  </si>
  <si>
    <t>SIEMACO -SEAC</t>
  </si>
  <si>
    <t>Limpador de vidros sem risco</t>
  </si>
  <si>
    <t>Esquadrias – m2</t>
  </si>
  <si>
    <t>5143-05</t>
  </si>
  <si>
    <t>13º (décimo terceiro) Salário e Adicional de Férias</t>
  </si>
  <si>
    <t xml:space="preserve">ISS </t>
  </si>
  <si>
    <t>Planilha de custos e formação de preços – Posto de Limpador de vidros com risco</t>
  </si>
  <si>
    <t>SIEMACO – SEAC</t>
  </si>
  <si>
    <t>Limpador de vídros com risco</t>
  </si>
  <si>
    <t>Face externa com exposição à risco</t>
  </si>
  <si>
    <t>Limpador de vidros com risco</t>
  </si>
  <si>
    <t>Base de cálculo: (Modulo 1 + Submodulo 2.1)</t>
  </si>
  <si>
    <t>Substituto na cobertura de Férias (conta vinculada – cálculo 1/11 + 1/3 * 1/11)</t>
  </si>
  <si>
    <t>Item 7 – Valor mensal do serviços</t>
  </si>
  <si>
    <t>I - PREÇO MENSAL UNITÁRIO POR M2</t>
  </si>
  <si>
    <t>ÁREA INTERNA (Servente)</t>
  </si>
  <si>
    <t>Área interna</t>
  </si>
  <si>
    <t>Total   Área   interna</t>
  </si>
  <si>
    <t>Tipo de Piso</t>
  </si>
  <si>
    <t>Produtividade (m²)</t>
  </si>
  <si>
    <t>Preço Homem/mês</t>
  </si>
  <si>
    <t>Subtotal R$/m² por mês</t>
  </si>
  <si>
    <t>Laboratório</t>
  </si>
  <si>
    <r>
      <rPr>
        <sz val="10"/>
        <color rgb="FF000000"/>
        <rFont val="Arial"/>
        <family val="2"/>
      </rPr>
      <t>Acréscimo a ser pago para o posto de servente líder</t>
    </r>
    <r>
      <rPr>
        <sz val="11"/>
        <color rgb="FF000000"/>
        <rFont val="Arial1"/>
      </rPr>
  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  </r>
  </si>
  <si>
    <t>Banheiros sem insalubridade</t>
  </si>
  <si>
    <t>Banheiros com insalubridade 40%</t>
  </si>
  <si>
    <t>Servente com insalubridade</t>
  </si>
  <si>
    <t>ÁREA EXTERNA (Servente)</t>
  </si>
  <si>
    <t>Área externa</t>
  </si>
  <si>
    <t>Total Área externa</t>
  </si>
  <si>
    <t>Tipo de piso</t>
  </si>
  <si>
    <t>Pisos pavimentados</t>
  </si>
  <si>
    <t>ESQUADRIA EXTERNA - FACE INTERNA/EXTERNA (Limpador de Vidros sem Risco)</t>
  </si>
  <si>
    <t>Área esquadria</t>
  </si>
  <si>
    <t>Total   Esquadria</t>
  </si>
  <si>
    <t>Produtividade</t>
  </si>
  <si>
    <t>(m²)</t>
  </si>
  <si>
    <t>Unidade da Receita Federal</t>
  </si>
  <si>
    <t>Frequência no mês (horas)</t>
  </si>
  <si>
    <t>Jornada de trabalho no mês (horas)</t>
  </si>
  <si>
    <t xml:space="preserve"> Ki</t>
  </si>
  <si>
    <t>Preço Homem/Mês</t>
  </si>
  <si>
    <t>Subtotal</t>
  </si>
  <si>
    <t>ESQUADRIA EXTERNA – Limpador de Vidros com Risco</t>
  </si>
  <si>
    <t>Área fachada</t>
  </si>
  <si>
    <t>Total  Fachada</t>
  </si>
  <si>
    <t>Frequência no semestre (horas)</t>
  </si>
  <si>
    <t>Jornada de trabalho no semestre (horas)</t>
  </si>
  <si>
    <t xml:space="preserve"> Ke</t>
  </si>
  <si>
    <t>II - VALOR MENSAL DOS SERVIÇOS POR M2</t>
  </si>
  <si>
    <t>Total   geral</t>
  </si>
  <si>
    <t>Tipo de área</t>
  </si>
  <si>
    <t>Preço Mensal Unitário (R$ / (m²)</t>
  </si>
  <si>
    <t>Área (m²)</t>
  </si>
  <si>
    <t>Subtotal (R$)</t>
  </si>
  <si>
    <r>
      <rPr>
        <b/>
        <u/>
        <sz val="10"/>
        <color rgb="FF000000"/>
        <rFont val="Arial"/>
        <family val="2"/>
      </rPr>
      <t>Acréscimo a ser pago para o posto de servent</t>
    </r>
    <r>
      <rPr>
        <u/>
        <sz val="11"/>
        <color rgb="FF000000"/>
        <rFont val="Arial1"/>
      </rPr>
      <t>e líder</t>
    </r>
    <r>
      <rPr>
        <sz val="11"/>
        <color rgb="FF000000"/>
        <rFont val="Arial1"/>
      </rPr>
      <t>……………………………………………………………………………………………………………………………………….</t>
    </r>
  </si>
  <si>
    <t>Face interna + face externa (mensal)</t>
  </si>
  <si>
    <t>Esquadria externa com risco e Fachada envidraçada</t>
  </si>
  <si>
    <t>III - VALOR MENSAL DOS SERVIÇOS POR POSTO (posto de 20h)</t>
  </si>
  <si>
    <t>Tipo de posto</t>
  </si>
  <si>
    <t>Preço homem-mês</t>
  </si>
  <si>
    <t>Quantidade de Postos</t>
  </si>
  <si>
    <t>Subtotal Mensal</t>
  </si>
  <si>
    <t>ÁREAS INTERNAS</t>
  </si>
  <si>
    <t>Servente 20h</t>
  </si>
  <si>
    <t>ÁREAS EXTERNAS</t>
  </si>
  <si>
    <t>ESQUADRIAS</t>
  </si>
  <si>
    <t>Limpadores de Vidro sem Risco</t>
  </si>
  <si>
    <t>Limpadores de Vidro COM Risco</t>
  </si>
  <si>
    <t>Subtotal das áreas da Unidade</t>
  </si>
  <si>
    <t>Valor mensal dos serviços (Área interna + Área externa + Esquadria externa) – (A)</t>
  </si>
  <si>
    <t>Valor estimado dos materiais de higiene (custo variável – pago apenas na ocorrência) – (B)</t>
  </si>
  <si>
    <t>Valor mensal total de OUTROS SERVIÇOS (pagos apenas na ocorrência) – (C)</t>
  </si>
  <si>
    <t>Valor mensal serviços + valor estimado dos materiais de higiene (pagos apenas nas ocorrências)+ valor OUTROS SERVIÇOS (pagos apenas nas ocorrências) – (D) = (A) + (B) + (C)</t>
  </si>
  <si>
    <t>Valor total da proposta (24 meses) – A ser lançado no compras.gov.br – (E) = (D) x 24</t>
  </si>
  <si>
    <t>ANEXO IV DA LEI COMPLEMENTAR Nº 123, DE 14 DE DEZEMBRO DE 2006</t>
  </si>
  <si>
    <t>(Vigência: 01.01.2018) Alíquotas e Partilha do Simples Nacional - Receitas decorrentes da prestação de serviços relacionados no § 5º-C do art. 18 desta Lei Complementar </t>
  </si>
  <si>
    <t>Faixa</t>
  </si>
  <si>
    <t>Receita Bruta em 12 Meses (em R$)</t>
  </si>
  <si>
    <t>Alíquota</t>
  </si>
  <si>
    <t>Valor a deduzir (em R$)</t>
  </si>
  <si>
    <t>Receita Bruta em 12 meses (em R$)</t>
  </si>
  <si>
    <t>Alíquota Efetiva</t>
  </si>
  <si>
    <t>De</t>
  </si>
  <si>
    <t>Até</t>
  </si>
  <si>
    <t>1ª Faixa</t>
  </si>
  <si>
    <t>2ª Faixa</t>
  </si>
  <si>
    <t>3ª Faixa</t>
  </si>
  <si>
    <t>4ª Faixa</t>
  </si>
  <si>
    <t>5ª Faixa</t>
  </si>
  <si>
    <t>6ª Faixa</t>
  </si>
  <si>
    <t>Faixas</t>
  </si>
  <si>
    <t>Percentual de Repartição dos Tributos</t>
  </si>
  <si>
    <t>IRPJ</t>
  </si>
  <si>
    <t>CSLL</t>
  </si>
  <si>
    <t>Cofins</t>
  </si>
  <si>
    <t>PIS/Pasep</t>
  </si>
  <si>
    <t>ISS (*)</t>
  </si>
  <si>
    <t>(*) O percentual efetivo máximo devido ao ISS será de 5%, transferindo-se a diferença, de forma proporcional, aos tributos federais da mesma faixa de receita bruta anual. Sendo assim, na 5ª faixa, quando a alíquota efetiva for superior a 12,5%, a repartição será:</t>
  </si>
  <si>
    <t xml:space="preserve">IRPJ
Alíquota efetiva – 5%) x </t>
  </si>
  <si>
    <t>CSLL
Alíquota efetiva – 5%) x</t>
  </si>
  <si>
    <t>Cofins
Alíquota efetiva – 5%) x</t>
  </si>
  <si>
    <t>PIS/Pasep
Alíquota efetiva – 5%) x</t>
  </si>
  <si>
    <t>5ª Faixa, com alíquota efetiva superior a 12,5%</t>
  </si>
  <si>
    <t>Cálculo dos Percentuais Efetivos dos optantes pelo Simples Nacional</t>
  </si>
  <si>
    <t>ISS &lt;&gt; SN</t>
  </si>
  <si>
    <t>5ª Faixa, c/ Alíq. Efet. &gt; 12,5%</t>
  </si>
  <si>
    <t>Percentuais Efetivos</t>
  </si>
  <si>
    <t>Valor m2 ou por Posto</t>
  </si>
  <si>
    <t>Posto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</si>
</sst>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(&quot;R$&quot;* #,##0.00_);_(&quot;R$&quot;* \(#,##0.00\);_(&quot;R$&quot;* &quot;-&quot;??_);_(@_)"/>
    <numFmt numFmtId="43" formatCode="_(* #,##0.00_);_(* \(#,##0.00\);_(* &quot;-&quot;??_);_(@_)"/>
    <numFmt numFmtId="164" formatCode="d&quot; de &quot;mmmm&quot; de &quot;yyyy"/>
    <numFmt numFmtId="165" formatCode="&quot;R$&quot;\ #,##0.00"/>
    <numFmt numFmtId="166" formatCode="[$R$-416]&quot; &quot;#,##0.00;[Red]&quot;-&quot;[$R$-416]&quot; &quot;#,##0.00"/>
    <numFmt numFmtId="167" formatCode="0.000000"/>
    <numFmt numFmtId="168" formatCode="&quot;R$ &quot;#,##0.00"/>
    <numFmt numFmtId="169" formatCode="#,##0.000"/>
    <numFmt numFmtId="170" formatCode="&quot;R$ &quot;#,##0.00&quot; &quot;;&quot;(R$ &quot;#,##0.00&quot;)&quot;"/>
    <numFmt numFmtId="171" formatCode="#,##0;&quot;-&quot;#,##0"/>
    <numFmt numFmtId="172" formatCode="0.000%"/>
    <numFmt numFmtId="173" formatCode="#,##0.00_ ;\-#,##0.00\ "/>
    <numFmt numFmtId="174" formatCode="[$R$-416]\ #,##0.00;[Red][$R$-416]\ #,##0.00"/>
    <numFmt numFmtId="175" formatCode="0.0000"/>
    <numFmt numFmtId="176" formatCode="0.0000000"/>
    <numFmt numFmtId="177" formatCode="d&quot;  &quot;mmmm&quot;, &quot;yyyy"/>
    <numFmt numFmtId="178" formatCode="&quot;R$ &quot;#,##0.00;[Red]&quot;R$ &quot;#,##0.00"/>
    <numFmt numFmtId="179" formatCode="dd/mm/yy;@"/>
    <numFmt numFmtId="180" formatCode="d/m/yy"/>
    <numFmt numFmtId="181" formatCode="&quot; R$* &quot;#,##0.00&quot; &quot;;&quot; R$* (&quot;#,##0.00&quot;)&quot;;&quot; R$* -&quot;#&quot; &quot;;@&quot; &quot;"/>
    <numFmt numFmtId="182" formatCode="[$R$ -416]#,##0.00"/>
    <numFmt numFmtId="183" formatCode="&quot;R$&quot;#,##0.00;[Red]&quot;-R$&quot;#,##0.00"/>
    <numFmt numFmtId="184" formatCode="0.00000_ ;[Red]\-0.00000\ "/>
    <numFmt numFmtId="185" formatCode="&quot; R$ &quot;#,##0.00\ ;&quot; R$ (&quot;#,##0.00\);&quot; R$ -&quot;#\ ;@\ "/>
    <numFmt numFmtId="186" formatCode="[$R$-416]\ #,##0.00;[Red]\-[$R$-416]\ #,##0.00"/>
    <numFmt numFmtId="187" formatCode="_-* #,##0.00_-;\-* #,##0.00_-;_-* \-??_-;_-@_-"/>
  </numFmts>
  <fonts count="35">
    <font>
      <sz val="11"/>
      <color rgb="FF000000"/>
      <name val="Arial1"/>
    </font>
    <font>
      <sz val="11"/>
      <color rgb="FF000000"/>
      <name val="Arial1"/>
    </font>
    <font>
      <u/>
      <sz val="10"/>
      <color rgb="FF000000"/>
      <name val="Arial"/>
      <family val="2"/>
    </font>
    <font>
      <b/>
      <sz val="11"/>
      <color rgb="FFFF3333"/>
      <name val="Arial1"/>
    </font>
    <font>
      <u/>
      <sz val="10"/>
      <color rgb="FF000000"/>
      <name val="Arial1"/>
    </font>
    <font>
      <sz val="10"/>
      <color rgb="FF000000"/>
      <name val="Arial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4"/>
    </font>
    <font>
      <sz val="10"/>
      <color rgb="FF000000"/>
      <name val="Arial4"/>
    </font>
    <font>
      <b/>
      <u/>
      <sz val="10"/>
      <color rgb="FF000000"/>
      <name val="Arial4"/>
    </font>
    <font>
      <sz val="10"/>
      <color rgb="FF000000"/>
      <name val="Arial1"/>
    </font>
    <font>
      <b/>
      <sz val="10"/>
      <color rgb="FF000000"/>
      <name val="Arial1"/>
    </font>
    <font>
      <sz val="11"/>
      <color rgb="FFFF3333"/>
      <name val="Arial1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u/>
      <sz val="11"/>
      <color rgb="FF000000"/>
      <name val="Arial"/>
      <family val="2"/>
    </font>
    <font>
      <b/>
      <u/>
      <sz val="11"/>
      <color rgb="FF000000"/>
      <name val="Arial3"/>
    </font>
    <font>
      <sz val="11"/>
      <color rgb="FF000000"/>
      <name val="Arial"/>
      <family val="2"/>
    </font>
    <font>
      <sz val="12"/>
      <color rgb="FF000000"/>
      <name val="Arial1"/>
    </font>
    <font>
      <sz val="9"/>
      <color rgb="FF000000"/>
      <name val="Arial4"/>
    </font>
    <font>
      <b/>
      <sz val="9"/>
      <color rgb="FF000000"/>
      <name val="Arial4"/>
    </font>
    <font>
      <b/>
      <sz val="11"/>
      <color rgb="FF000000"/>
      <name val="Arial4"/>
    </font>
    <font>
      <sz val="11"/>
      <color rgb="FF000000"/>
      <name val="Arial4"/>
    </font>
    <font>
      <b/>
      <sz val="11"/>
      <color rgb="FF000000"/>
      <name val="Arial1"/>
    </font>
    <font>
      <u/>
      <sz val="11"/>
      <color rgb="FF000000"/>
      <name val="Arial1"/>
    </font>
    <font>
      <b/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808080"/>
      <name val="Arial"/>
      <family val="2"/>
      <charset val="1"/>
    </font>
    <font>
      <sz val="10"/>
      <color rgb="FF000000"/>
      <name val="Arial"/>
      <family val="2"/>
      <charset val="1"/>
    </font>
    <font>
      <u/>
      <sz val="11"/>
      <color rgb="FF000000"/>
      <name val="Arial"/>
      <family val="2"/>
    </font>
    <font>
      <sz val="11"/>
      <color rgb="FF00000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rgb="FFEEEEEE"/>
        <bgColor rgb="FFEEEEEE"/>
      </patternFill>
    </fill>
    <fill>
      <patternFill patternType="solid">
        <fgColor rgb="FFCCFFFF"/>
        <bgColor rgb="FFCCEC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3333"/>
      </left>
      <right style="thin">
        <color rgb="FFFF3333"/>
      </right>
      <top style="thin">
        <color rgb="FFFF3333"/>
      </top>
      <bottom style="thin">
        <color rgb="FFFF3333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FF3333"/>
      </left>
      <right style="thin">
        <color indexed="64"/>
      </right>
      <top style="thin">
        <color rgb="FFFF3333"/>
      </top>
      <bottom style="thin">
        <color rgb="FFFF333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3333"/>
      </left>
      <right style="medium">
        <color rgb="FFFF3333"/>
      </right>
      <top style="medium">
        <color rgb="FFFF3333"/>
      </top>
      <bottom style="medium">
        <color rgb="FFFF3333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/>
    <xf numFmtId="9" fontId="1" fillId="0" borderId="0"/>
    <xf numFmtId="0" fontId="12" fillId="0" borderId="0"/>
    <xf numFmtId="9" fontId="1" fillId="0" borderId="0"/>
    <xf numFmtId="0" fontId="7" fillId="0" borderId="0"/>
    <xf numFmtId="181" fontId="7" fillId="0" borderId="0"/>
    <xf numFmtId="185" fontId="32" fillId="0" borderId="0" applyBorder="0" applyProtection="0"/>
    <xf numFmtId="0" fontId="34" fillId="0" borderId="0"/>
  </cellStyleXfs>
  <cellXfs count="48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7" fillId="0" borderId="5" xfId="2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10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7" fillId="4" borderId="1" xfId="0" applyFont="1" applyFill="1" applyBorder="1" applyAlignment="1">
      <alignment horizontal="center" vertical="center"/>
    </xf>
    <xf numFmtId="9" fontId="7" fillId="3" borderId="1" xfId="4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7" fontId="7" fillId="3" borderId="1" xfId="0" applyNumberFormat="1" applyFont="1" applyFill="1" applyBorder="1" applyAlignment="1">
      <alignment horizontal="center" vertical="center"/>
    </xf>
    <xf numFmtId="168" fontId="11" fillId="2" borderId="1" xfId="0" applyNumberFormat="1" applyFont="1" applyFill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 wrapText="1"/>
    </xf>
    <xf numFmtId="169" fontId="10" fillId="0" borderId="1" xfId="0" applyNumberFormat="1" applyFont="1" applyBorder="1" applyAlignment="1">
      <alignment horizontal="center" vertical="center" wrapText="1"/>
    </xf>
    <xf numFmtId="168" fontId="10" fillId="3" borderId="1" xfId="0" applyNumberFormat="1" applyFont="1" applyFill="1" applyBorder="1" applyAlignment="1">
      <alignment horizontal="center" vertical="center"/>
    </xf>
    <xf numFmtId="168" fontId="1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0" fontId="11" fillId="0" borderId="1" xfId="5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8" fontId="7" fillId="3" borderId="1" xfId="0" applyNumberFormat="1" applyFont="1" applyFill="1" applyBorder="1" applyAlignment="1">
      <alignment horizontal="center" vertical="center"/>
    </xf>
    <xf numFmtId="170" fontId="8" fillId="0" borderId="1" xfId="5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8" fontId="7" fillId="3" borderId="1" xfId="0" applyNumberFormat="1" applyFont="1" applyFill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68" fontId="6" fillId="0" borderId="3" xfId="0" applyNumberFormat="1" applyFont="1" applyBorder="1" applyAlignment="1">
      <alignment horizontal="center" vertical="center"/>
    </xf>
    <xf numFmtId="168" fontId="6" fillId="0" borderId="5" xfId="0" applyNumberFormat="1" applyFont="1" applyBorder="1" applyAlignment="1">
      <alignment horizontal="center" vertical="center"/>
    </xf>
    <xf numFmtId="170" fontId="6" fillId="0" borderId="1" xfId="5" applyNumberFormat="1" applyFont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70" fontId="7" fillId="0" borderId="1" xfId="0" applyNumberFormat="1" applyFont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170" fontId="9" fillId="0" borderId="1" xfId="5" applyNumberFormat="1" applyFont="1" applyBorder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0" fillId="0" borderId="9" xfId="0" applyBorder="1"/>
    <xf numFmtId="168" fontId="8" fillId="2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70" fontId="7" fillId="0" borderId="1" xfId="5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70" fontId="7" fillId="3" borderId="1" xfId="5" applyNumberFormat="1" applyFont="1" applyFill="1" applyBorder="1" applyAlignment="1">
      <alignment horizontal="center" vertical="center"/>
    </xf>
    <xf numFmtId="171" fontId="7" fillId="0" borderId="1" xfId="5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170" fontId="6" fillId="0" borderId="1" xfId="0" applyNumberFormat="1" applyFont="1" applyBorder="1" applyAlignment="1">
      <alignment horizontal="center" vertical="center"/>
    </xf>
    <xf numFmtId="0" fontId="0" fillId="0" borderId="10" xfId="0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" fontId="7" fillId="4" borderId="1" xfId="6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/>
    </xf>
    <xf numFmtId="10" fontId="7" fillId="0" borderId="1" xfId="6" applyNumberFormat="1" applyFont="1" applyBorder="1" applyAlignment="1">
      <alignment horizontal="center" vertical="center"/>
    </xf>
    <xf numFmtId="10" fontId="7" fillId="4" borderId="1" xfId="6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1" fontId="7" fillId="4" borderId="1" xfId="6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3" xfId="0" applyFill="1" applyBorder="1"/>
    <xf numFmtId="10" fontId="8" fillId="0" borderId="1" xfId="0" applyNumberFormat="1" applyFont="1" applyBorder="1" applyAlignment="1">
      <alignment horizontal="center" vertical="center"/>
    </xf>
    <xf numFmtId="9" fontId="7" fillId="4" borderId="1" xfId="6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0" fontId="8" fillId="0" borderId="1" xfId="6" applyNumberFormat="1" applyFont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9" fontId="7" fillId="0" borderId="1" xfId="6" applyFont="1" applyBorder="1" applyAlignment="1">
      <alignment horizontal="center" vertical="center" wrapText="1"/>
    </xf>
    <xf numFmtId="0" fontId="0" fillId="3" borderId="1" xfId="0" applyFill="1" applyBorder="1"/>
    <xf numFmtId="0" fontId="0" fillId="4" borderId="1" xfId="0" applyFill="1" applyBorder="1"/>
    <xf numFmtId="172" fontId="7" fillId="3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165" fontId="6" fillId="0" borderId="3" xfId="1" applyNumberFormat="1" applyFont="1" applyFill="1" applyBorder="1" applyAlignment="1">
      <alignment horizontal="center" vertical="center"/>
    </xf>
    <xf numFmtId="165" fontId="6" fillId="0" borderId="9" xfId="1" applyNumberFormat="1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10" fontId="8" fillId="0" borderId="10" xfId="0" applyNumberFormat="1" applyFont="1" applyBorder="1" applyAlignment="1">
      <alignment horizontal="center" vertical="center"/>
    </xf>
    <xf numFmtId="10" fontId="8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0" fontId="8" fillId="0" borderId="13" xfId="0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0" fontId="8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0" fontId="8" fillId="0" borderId="15" xfId="0" applyNumberFormat="1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10" fontId="8" fillId="0" borderId="8" xfId="0" applyNumberFormat="1" applyFont="1" applyBorder="1" applyAlignment="1">
      <alignment horizontal="center" vertical="center"/>
    </xf>
    <xf numFmtId="10" fontId="8" fillId="0" borderId="16" xfId="6" applyNumberFormat="1" applyFont="1" applyBorder="1" applyAlignment="1">
      <alignment horizontal="center" vertical="center"/>
    </xf>
    <xf numFmtId="10" fontId="8" fillId="0" borderId="9" xfId="6" applyNumberFormat="1" applyFont="1" applyBorder="1" applyAlignment="1">
      <alignment horizontal="center" vertical="center"/>
    </xf>
    <xf numFmtId="10" fontId="8" fillId="0" borderId="5" xfId="6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0" fontId="8" fillId="0" borderId="10" xfId="6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70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/>
    <xf numFmtId="166" fontId="12" fillId="0" borderId="3" xfId="0" applyNumberFormat="1" applyFont="1" applyBorder="1" applyAlignment="1">
      <alignment horizontal="center" vertical="center"/>
    </xf>
    <xf numFmtId="166" fontId="12" fillId="0" borderId="9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9" fontId="1" fillId="5" borderId="17" xfId="3" applyFill="1" applyBorder="1" applyAlignment="1">
      <alignment horizontal="center" vertical="center"/>
    </xf>
    <xf numFmtId="9" fontId="1" fillId="5" borderId="18" xfId="3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166" fontId="8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16" fillId="2" borderId="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4" fontId="0" fillId="5" borderId="5" xfId="0" applyNumberFormat="1" applyFill="1" applyBorder="1" applyAlignment="1">
      <alignment horizontal="center" vertical="center"/>
    </xf>
    <xf numFmtId="173" fontId="0" fillId="0" borderId="1" xfId="2" applyNumberFormat="1" applyFont="1" applyBorder="1" applyAlignment="1">
      <alignment horizontal="center" vertical="center"/>
    </xf>
    <xf numFmtId="174" fontId="1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75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5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5" fontId="7" fillId="0" borderId="0" xfId="0" applyNumberFormat="1" applyFont="1" applyAlignment="1">
      <alignment horizontal="center" vertical="center"/>
    </xf>
    <xf numFmtId="175" fontId="19" fillId="0" borderId="0" xfId="0" applyNumberFormat="1" applyFont="1" applyAlignment="1">
      <alignment horizontal="center" vertical="center"/>
    </xf>
    <xf numFmtId="175" fontId="7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175" fontId="7" fillId="0" borderId="1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75" fontId="19" fillId="0" borderId="4" xfId="0" applyNumberFormat="1" applyFont="1" applyBorder="1" applyAlignment="1">
      <alignment horizontal="center" vertical="center"/>
    </xf>
    <xf numFmtId="175" fontId="20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175" fontId="16" fillId="0" borderId="4" xfId="0" applyNumberFormat="1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2" fillId="0" borderId="0" xfId="0" applyFont="1"/>
    <xf numFmtId="0" fontId="6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77" fontId="10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3" fontId="23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6" fillId="0" borderId="2" xfId="0" applyFont="1" applyBorder="1" applyAlignment="1">
      <alignment horizontal="left" vertical="center"/>
    </xf>
    <xf numFmtId="0" fontId="13" fillId="0" borderId="0" xfId="0" applyFont="1"/>
    <xf numFmtId="0" fontId="6" fillId="0" borderId="22" xfId="0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70" fontId="10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70" fontId="9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0" fontId="10" fillId="0" borderId="1" xfId="0" applyNumberFormat="1" applyFont="1" applyBorder="1" applyAlignment="1">
      <alignment horizontal="center" vertical="center"/>
    </xf>
    <xf numFmtId="175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10" fontId="10" fillId="4" borderId="1" xfId="0" applyNumberFormat="1" applyFont="1" applyFill="1" applyBorder="1" applyAlignment="1">
      <alignment horizontal="center" vertical="center"/>
    </xf>
    <xf numFmtId="10" fontId="10" fillId="4" borderId="5" xfId="0" applyNumberFormat="1" applyFont="1" applyFill="1" applyBorder="1" applyAlignment="1">
      <alignment horizontal="center" vertical="center"/>
    </xf>
    <xf numFmtId="10" fontId="10" fillId="0" borderId="5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168" fontId="10" fillId="4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 vertical="center"/>
    </xf>
    <xf numFmtId="170" fontId="11" fillId="0" borderId="3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 applyProtection="1">
      <alignment horizontal="center" vertical="center"/>
      <protection locked="0"/>
    </xf>
    <xf numFmtId="168" fontId="10" fillId="0" borderId="1" xfId="0" applyNumberFormat="1" applyFont="1" applyBorder="1" applyAlignment="1">
      <alignment horizontal="center" vertical="center"/>
    </xf>
    <xf numFmtId="10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0" fontId="10" fillId="0" borderId="3" xfId="0" applyNumberFormat="1" applyFont="1" applyBorder="1" applyAlignment="1">
      <alignment horizontal="center" vertical="center"/>
    </xf>
    <xf numFmtId="0" fontId="26" fillId="6" borderId="10" xfId="0" applyFont="1" applyFill="1" applyBorder="1"/>
    <xf numFmtId="0" fontId="10" fillId="0" borderId="0" xfId="0" applyFont="1"/>
    <xf numFmtId="166" fontId="10" fillId="0" borderId="0" xfId="0" applyNumberFormat="1" applyFont="1"/>
    <xf numFmtId="168" fontId="11" fillId="0" borderId="23" xfId="0" applyNumberFormat="1" applyFont="1" applyBorder="1" applyAlignment="1">
      <alignment horizontal="center" vertical="center"/>
    </xf>
    <xf numFmtId="166" fontId="8" fillId="0" borderId="23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3" fontId="24" fillId="0" borderId="25" xfId="0" applyNumberFormat="1" applyFont="1" applyBorder="1" applyAlignment="1">
      <alignment horizontal="center" vertical="center" wrapText="1"/>
    </xf>
    <xf numFmtId="170" fontId="10" fillId="0" borderId="25" xfId="0" applyNumberFormat="1" applyFont="1" applyBorder="1" applyAlignment="1">
      <alignment horizontal="center" vertical="center"/>
    </xf>
    <xf numFmtId="170" fontId="9" fillId="0" borderId="25" xfId="0" applyNumberFormat="1" applyFont="1" applyBorder="1" applyAlignment="1">
      <alignment horizontal="center" vertical="center"/>
    </xf>
    <xf numFmtId="166" fontId="10" fillId="0" borderId="25" xfId="0" applyNumberFormat="1" applyFont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168" fontId="10" fillId="0" borderId="25" xfId="0" applyNumberFormat="1" applyFont="1" applyBorder="1" applyAlignment="1">
      <alignment horizontal="center" vertical="center"/>
    </xf>
    <xf numFmtId="168" fontId="9" fillId="0" borderId="25" xfId="0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left" vertical="center"/>
    </xf>
    <xf numFmtId="168" fontId="10" fillId="4" borderId="25" xfId="0" applyNumberFormat="1" applyFont="1" applyFill="1" applyBorder="1" applyAlignment="1">
      <alignment horizontal="center" vertical="center"/>
    </xf>
    <xf numFmtId="166" fontId="10" fillId="0" borderId="25" xfId="0" applyNumberFormat="1" applyFont="1" applyBorder="1" applyAlignment="1">
      <alignment horizontal="center"/>
    </xf>
    <xf numFmtId="166" fontId="9" fillId="0" borderId="25" xfId="0" applyNumberFormat="1" applyFont="1" applyBorder="1" applyAlignment="1">
      <alignment horizontal="center" vertical="center"/>
    </xf>
    <xf numFmtId="170" fontId="11" fillId="0" borderId="25" xfId="0" applyNumberFormat="1" applyFont="1" applyBorder="1" applyAlignment="1">
      <alignment horizontal="center" vertical="center"/>
    </xf>
    <xf numFmtId="166" fontId="10" fillId="0" borderId="25" xfId="0" applyNumberFormat="1" applyFont="1" applyBorder="1" applyAlignment="1" applyProtection="1">
      <alignment horizontal="center" vertical="center"/>
      <protection locked="0"/>
    </xf>
    <xf numFmtId="168" fontId="10" fillId="0" borderId="25" xfId="0" applyNumberFormat="1" applyFont="1" applyBorder="1" applyAlignment="1">
      <alignment horizontal="center" vertical="center"/>
    </xf>
    <xf numFmtId="166" fontId="10" fillId="0" borderId="28" xfId="0" applyNumberFormat="1" applyFont="1" applyBorder="1"/>
    <xf numFmtId="168" fontId="11" fillId="0" borderId="29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2" xfId="0" applyFont="1" applyBorder="1" applyAlignment="1">
      <alignment vertical="center"/>
    </xf>
    <xf numFmtId="0" fontId="10" fillId="0" borderId="30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168" fontId="9" fillId="0" borderId="2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2" fillId="0" borderId="9" xfId="0" applyFont="1" applyBorder="1"/>
    <xf numFmtId="0" fontId="12" fillId="0" borderId="1" xfId="0" applyFont="1" applyBorder="1"/>
    <xf numFmtId="0" fontId="25" fillId="0" borderId="1" xfId="0" applyFont="1" applyBorder="1" applyAlignment="1">
      <alignment horizontal="left" vertical="center"/>
    </xf>
    <xf numFmtId="170" fontId="11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6" fillId="2" borderId="1" xfId="7" applyFont="1" applyFill="1" applyBorder="1" applyAlignment="1">
      <alignment horizontal="center" vertical="center"/>
    </xf>
    <xf numFmtId="0" fontId="8" fillId="2" borderId="1" xfId="7" applyFont="1" applyFill="1" applyBorder="1" applyAlignment="1">
      <alignment horizontal="center" vertical="center"/>
    </xf>
    <xf numFmtId="0" fontId="8" fillId="2" borderId="3" xfId="7" applyFont="1" applyFill="1" applyBorder="1" applyAlignment="1">
      <alignment horizontal="right" vertical="center"/>
    </xf>
    <xf numFmtId="0" fontId="8" fillId="2" borderId="9" xfId="7" applyFont="1" applyFill="1" applyBorder="1" applyAlignment="1">
      <alignment horizontal="right" vertical="center"/>
    </xf>
    <xf numFmtId="0" fontId="8" fillId="2" borderId="9" xfId="7" applyFont="1" applyFill="1" applyBorder="1" applyAlignment="1">
      <alignment horizontal="left" vertical="center"/>
    </xf>
    <xf numFmtId="0" fontId="8" fillId="2" borderId="5" xfId="7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center" vertical="center" textRotation="90"/>
    </xf>
    <xf numFmtId="0" fontId="6" fillId="2" borderId="1" xfId="7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7" fillId="7" borderId="1" xfId="7" applyFill="1" applyBorder="1" applyAlignment="1">
      <alignment horizontal="center" vertical="center"/>
    </xf>
    <xf numFmtId="3" fontId="7" fillId="7" borderId="1" xfId="7" applyNumberFormat="1" applyFill="1" applyBorder="1" applyAlignment="1">
      <alignment horizontal="center" vertical="center"/>
    </xf>
    <xf numFmtId="182" fontId="7" fillId="7" borderId="1" xfId="8" applyNumberFormat="1" applyFill="1" applyBorder="1" applyAlignment="1">
      <alignment horizontal="center" vertical="center"/>
    </xf>
    <xf numFmtId="168" fontId="6" fillId="7" borderId="1" xfId="8" applyNumberFormat="1" applyFont="1" applyFill="1" applyBorder="1" applyAlignment="1">
      <alignment horizontal="center" vertical="center"/>
    </xf>
    <xf numFmtId="4" fontId="7" fillId="7" borderId="1" xfId="7" applyNumberFormat="1" applyFill="1" applyBorder="1" applyAlignment="1">
      <alignment horizontal="center" vertical="center"/>
    </xf>
    <xf numFmtId="166" fontId="21" fillId="7" borderId="3" xfId="0" applyNumberFormat="1" applyFont="1" applyFill="1" applyBorder="1" applyAlignment="1">
      <alignment horizontal="center" vertical="center"/>
    </xf>
    <xf numFmtId="0" fontId="7" fillId="7" borderId="1" xfId="7" applyFill="1" applyBorder="1" applyAlignment="1">
      <alignment horizontal="left" vertical="center"/>
    </xf>
    <xf numFmtId="182" fontId="19" fillId="0" borderId="30" xfId="0" applyNumberFormat="1" applyFont="1" applyBorder="1" applyAlignment="1">
      <alignment horizontal="center" vertical="center"/>
    </xf>
    <xf numFmtId="0" fontId="8" fillId="2" borderId="3" xfId="7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center" vertical="center" textRotation="90"/>
    </xf>
    <xf numFmtId="3" fontId="7" fillId="0" borderId="0" xfId="0" applyNumberFormat="1" applyFont="1" applyAlignment="1">
      <alignment horizontal="center" vertical="center"/>
    </xf>
    <xf numFmtId="0" fontId="8" fillId="2" borderId="31" xfId="0" applyFont="1" applyFill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82" fontId="7" fillId="0" borderId="1" xfId="8" applyNumberFormat="1" applyBorder="1" applyAlignment="1">
      <alignment horizontal="center" vertical="center"/>
    </xf>
    <xf numFmtId="182" fontId="6" fillId="0" borderId="1" xfId="8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165" fontId="21" fillId="0" borderId="3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2" borderId="32" xfId="0" applyFont="1" applyFill="1" applyBorder="1" applyAlignment="1">
      <alignment horizontal="center" vertical="center" textRotation="90"/>
    </xf>
    <xf numFmtId="0" fontId="8" fillId="2" borderId="32" xfId="0" applyFont="1" applyFill="1" applyBorder="1" applyAlignment="1">
      <alignment horizontal="center" vertical="center" textRotation="90"/>
    </xf>
    <xf numFmtId="182" fontId="19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2" borderId="2" xfId="0" applyFont="1" applyFill="1" applyBorder="1" applyAlignment="1">
      <alignment horizontal="center" vertical="center" textRotation="90"/>
    </xf>
    <xf numFmtId="0" fontId="6" fillId="2" borderId="1" xfId="7" applyFont="1" applyFill="1" applyBorder="1" applyAlignment="1">
      <alignment horizontal="right" vertical="center"/>
    </xf>
    <xf numFmtId="0" fontId="6" fillId="2" borderId="1" xfId="7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 textRotation="90"/>
    </xf>
    <xf numFmtId="0" fontId="19" fillId="2" borderId="30" xfId="0" applyFont="1" applyFill="1" applyBorder="1" applyAlignment="1">
      <alignment horizontal="center" vertical="center" textRotation="90"/>
    </xf>
    <xf numFmtId="0" fontId="7" fillId="7" borderId="1" xfId="7" applyFill="1" applyBorder="1" applyAlignment="1">
      <alignment horizontal="center" vertical="center"/>
    </xf>
    <xf numFmtId="2" fontId="7" fillId="7" borderId="1" xfId="7" applyNumberFormat="1" applyFill="1" applyBorder="1" applyAlignment="1">
      <alignment horizontal="center" vertical="center"/>
    </xf>
    <xf numFmtId="176" fontId="7" fillId="7" borderId="1" xfId="7" applyNumberFormat="1" applyFill="1" applyBorder="1" applyAlignment="1">
      <alignment horizontal="center" vertical="center"/>
    </xf>
    <xf numFmtId="182" fontId="6" fillId="7" borderId="1" xfId="8" applyNumberFormat="1" applyFont="1" applyFill="1" applyBorder="1" applyAlignment="1">
      <alignment horizontal="center" vertical="center"/>
    </xf>
    <xf numFmtId="4" fontId="21" fillId="7" borderId="1" xfId="0" applyNumberFormat="1" applyFont="1" applyFill="1" applyBorder="1" applyAlignment="1">
      <alignment horizontal="center" vertical="center"/>
    </xf>
    <xf numFmtId="182" fontId="21" fillId="7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2" borderId="1" xfId="0" applyFont="1" applyFill="1" applyBorder="1" applyAlignment="1">
      <alignment horizontal="center" vertical="center" textRotation="90"/>
    </xf>
    <xf numFmtId="0" fontId="6" fillId="2" borderId="1" xfId="8" applyNumberFormat="1" applyFont="1" applyFill="1" applyBorder="1" applyAlignment="1">
      <alignment horizontal="center" vertical="center"/>
    </xf>
    <xf numFmtId="176" fontId="6" fillId="2" borderId="1" xfId="7" applyNumberFormat="1" applyFont="1" applyFill="1" applyBorder="1" applyAlignment="1">
      <alignment horizontal="center" vertical="center"/>
    </xf>
    <xf numFmtId="0" fontId="7" fillId="0" borderId="1" xfId="7" applyBorder="1" applyAlignment="1">
      <alignment horizontal="center" vertical="center"/>
    </xf>
    <xf numFmtId="0" fontId="7" fillId="0" borderId="1" xfId="7" applyBorder="1" applyAlignment="1">
      <alignment horizontal="center" vertical="center"/>
    </xf>
    <xf numFmtId="4" fontId="7" fillId="0" borderId="1" xfId="7" applyNumberFormat="1" applyBorder="1" applyAlignment="1">
      <alignment horizontal="center" vertical="center"/>
    </xf>
    <xf numFmtId="176" fontId="7" fillId="0" borderId="1" xfId="7" applyNumberFormat="1" applyBorder="1" applyAlignment="1">
      <alignment horizontal="center" vertical="center"/>
    </xf>
    <xf numFmtId="182" fontId="21" fillId="0" borderId="1" xfId="0" applyNumberFormat="1" applyFont="1" applyBorder="1" applyAlignment="1">
      <alignment horizontal="center" vertical="center"/>
    </xf>
    <xf numFmtId="182" fontId="19" fillId="0" borderId="1" xfId="0" applyNumberFormat="1" applyFont="1" applyBorder="1" applyAlignment="1">
      <alignment horizontal="center" vertical="center"/>
    </xf>
    <xf numFmtId="182" fontId="19" fillId="2" borderId="4" xfId="0" applyNumberFormat="1" applyFont="1" applyFill="1" applyBorder="1" applyAlignment="1">
      <alignment horizontal="center" vertical="center"/>
    </xf>
    <xf numFmtId="165" fontId="27" fillId="0" borderId="33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182" fontId="19" fillId="0" borderId="0" xfId="0" applyNumberFormat="1" applyFont="1" applyAlignment="1">
      <alignment vertical="center" textRotation="90"/>
    </xf>
    <xf numFmtId="0" fontId="6" fillId="2" borderId="2" xfId="7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168" fontId="7" fillId="0" borderId="3" xfId="7" applyNumberFormat="1" applyBorder="1" applyAlignment="1">
      <alignment horizontal="center" vertical="center"/>
    </xf>
    <xf numFmtId="168" fontId="7" fillId="0" borderId="5" xfId="7" applyNumberFormat="1" applyBorder="1" applyAlignment="1">
      <alignment horizontal="center" vertical="center"/>
    </xf>
    <xf numFmtId="182" fontId="7" fillId="0" borderId="1" xfId="7" applyNumberFormat="1" applyBorder="1" applyAlignment="1">
      <alignment horizontal="center" vertical="center"/>
    </xf>
    <xf numFmtId="182" fontId="16" fillId="0" borderId="0" xfId="0" applyNumberFormat="1" applyFont="1" applyAlignment="1">
      <alignment horizontal="center" vertical="center"/>
    </xf>
    <xf numFmtId="0" fontId="8" fillId="0" borderId="22" xfId="7" applyFont="1" applyBorder="1" applyAlignment="1">
      <alignment horizontal="center" vertical="center"/>
    </xf>
    <xf numFmtId="0" fontId="7" fillId="0" borderId="0" xfId="7" applyAlignment="1">
      <alignment vertical="center"/>
    </xf>
    <xf numFmtId="0" fontId="8" fillId="0" borderId="35" xfId="7" applyFont="1" applyBorder="1" applyAlignment="1">
      <alignment horizontal="center" vertical="center"/>
    </xf>
    <xf numFmtId="0" fontId="8" fillId="0" borderId="30" xfId="7" applyFont="1" applyBorder="1" applyAlignment="1">
      <alignment horizontal="center" vertical="center"/>
    </xf>
    <xf numFmtId="0" fontId="7" fillId="0" borderId="1" xfId="7" applyBorder="1" applyAlignment="1">
      <alignment horizontal="center" vertical="center" wrapText="1"/>
    </xf>
    <xf numFmtId="0" fontId="8" fillId="0" borderId="3" xfId="7" applyFont="1" applyBorder="1" applyAlignment="1">
      <alignment horizontal="left" vertical="center"/>
    </xf>
    <xf numFmtId="0" fontId="8" fillId="0" borderId="9" xfId="7" applyFont="1" applyBorder="1" applyAlignment="1">
      <alignment horizontal="left" vertical="center"/>
    </xf>
    <xf numFmtId="0" fontId="8" fillId="0" borderId="5" xfId="7" applyFont="1" applyBorder="1" applyAlignment="1">
      <alignment horizontal="left" vertical="center"/>
    </xf>
    <xf numFmtId="168" fontId="7" fillId="0" borderId="1" xfId="7" applyNumberFormat="1" applyBorder="1" applyAlignment="1">
      <alignment horizontal="center" vertical="center"/>
    </xf>
    <xf numFmtId="182" fontId="8" fillId="2" borderId="1" xfId="7" applyNumberFormat="1" applyFont="1" applyFill="1" applyBorder="1" applyAlignment="1">
      <alignment horizontal="center" vertical="center"/>
    </xf>
    <xf numFmtId="0" fontId="0" fillId="0" borderId="10" xfId="0" applyBorder="1"/>
    <xf numFmtId="0" fontId="29" fillId="8" borderId="3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9" fillId="8" borderId="4" xfId="0" applyFont="1" applyFill="1" applyBorder="1" applyAlignment="1">
      <alignment horizontal="center" vertical="center"/>
    </xf>
    <xf numFmtId="0" fontId="29" fillId="8" borderId="34" xfId="0" applyFont="1" applyFill="1" applyBorder="1" applyAlignment="1">
      <alignment horizontal="center" vertical="center" wrapText="1"/>
    </xf>
    <xf numFmtId="183" fontId="29" fillId="8" borderId="34" xfId="0" applyNumberFormat="1" applyFont="1" applyFill="1" applyBorder="1" applyAlignment="1">
      <alignment horizontal="center" vertical="center" wrapText="1"/>
    </xf>
    <xf numFmtId="184" fontId="29" fillId="8" borderId="34" xfId="0" applyNumberFormat="1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83" fontId="0" fillId="0" borderId="4" xfId="0" applyNumberFormat="1" applyBorder="1" applyAlignment="1">
      <alignment horizontal="center" vertical="center" wrapText="1"/>
    </xf>
    <xf numFmtId="184" fontId="0" fillId="0" borderId="4" xfId="0" applyNumberFormat="1" applyBorder="1" applyAlignment="1">
      <alignment horizontal="center" vertical="center" wrapText="1"/>
    </xf>
    <xf numFmtId="183" fontId="0" fillId="0" borderId="4" xfId="0" applyNumberFormat="1" applyBorder="1" applyAlignment="1">
      <alignment horizontal="right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7" fillId="9" borderId="4" xfId="0" applyFont="1" applyFill="1" applyBorder="1" applyAlignment="1">
      <alignment vertical="center" wrapText="1"/>
    </xf>
    <xf numFmtId="0" fontId="0" fillId="9" borderId="33" xfId="0" applyFill="1" applyBorder="1" applyAlignment="1">
      <alignment horizontal="center" vertical="center" wrapText="1"/>
    </xf>
    <xf numFmtId="0" fontId="0" fillId="9" borderId="36" xfId="0" applyFill="1" applyBorder="1" applyAlignment="1">
      <alignment vertical="center" wrapText="1"/>
    </xf>
    <xf numFmtId="4" fontId="30" fillId="9" borderId="36" xfId="0" applyNumberFormat="1" applyFont="1" applyFill="1" applyBorder="1" applyAlignment="1">
      <alignment horizontal="center" vertical="center"/>
    </xf>
    <xf numFmtId="0" fontId="0" fillId="9" borderId="36" xfId="0" applyFill="1" applyBorder="1" applyAlignment="1">
      <alignment horizontal="center" vertical="center" wrapText="1"/>
    </xf>
    <xf numFmtId="183" fontId="0" fillId="9" borderId="36" xfId="0" applyNumberFormat="1" applyFill="1" applyBorder="1" applyAlignment="1">
      <alignment horizontal="center" vertical="center" wrapText="1"/>
    </xf>
    <xf numFmtId="184" fontId="0" fillId="9" borderId="36" xfId="0" applyNumberFormat="1" applyFill="1" applyBorder="1" applyAlignment="1">
      <alignment horizontal="center" vertical="center" wrapText="1"/>
    </xf>
    <xf numFmtId="183" fontId="30" fillId="9" borderId="34" xfId="0" applyNumberFormat="1" applyFont="1" applyFill="1" applyBorder="1" applyAlignment="1">
      <alignment horizontal="right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29" fillId="0" borderId="38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183" fontId="0" fillId="0" borderId="19" xfId="0" applyNumberFormat="1" applyBorder="1" applyAlignment="1">
      <alignment horizontal="center" vertical="center" wrapText="1"/>
    </xf>
    <xf numFmtId="184" fontId="0" fillId="0" borderId="19" xfId="0" applyNumberForma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183" fontId="0" fillId="0" borderId="32" xfId="0" applyNumberFormat="1" applyBorder="1" applyAlignment="1">
      <alignment horizontal="center" vertical="center" wrapText="1"/>
    </xf>
    <xf numFmtId="184" fontId="0" fillId="0" borderId="32" xfId="0" applyNumberFormat="1" applyBorder="1" applyAlignment="1">
      <alignment horizontal="center" vertical="center" wrapText="1"/>
    </xf>
    <xf numFmtId="0" fontId="29" fillId="0" borderId="33" xfId="0" applyFont="1" applyBorder="1" applyAlignment="1">
      <alignment horizontal="left" vertical="center"/>
    </xf>
    <xf numFmtId="0" fontId="29" fillId="9" borderId="36" xfId="0" applyFont="1" applyFill="1" applyBorder="1" applyAlignment="1">
      <alignment vertical="center" wrapText="1"/>
    </xf>
    <xf numFmtId="4" fontId="31" fillId="0" borderId="4" xfId="0" applyNumberFormat="1" applyFont="1" applyBorder="1" applyAlignment="1">
      <alignment horizontal="center" vertical="center"/>
    </xf>
    <xf numFmtId="0" fontId="29" fillId="9" borderId="36" xfId="0" applyFont="1" applyFill="1" applyBorder="1" applyAlignment="1">
      <alignment horizontal="center" vertical="center" wrapText="1"/>
    </xf>
    <xf numFmtId="183" fontId="29" fillId="9" borderId="36" xfId="0" applyNumberFormat="1" applyFont="1" applyFill="1" applyBorder="1" applyAlignment="1">
      <alignment horizontal="center" vertical="center" wrapText="1"/>
    </xf>
    <xf numFmtId="184" fontId="29" fillId="9" borderId="4" xfId="0" applyNumberFormat="1" applyFont="1" applyFill="1" applyBorder="1" applyAlignment="1">
      <alignment horizontal="center" vertical="center" wrapText="1"/>
    </xf>
    <xf numFmtId="183" fontId="29" fillId="0" borderId="4" xfId="9" applyNumberFormat="1" applyFont="1" applyBorder="1" applyAlignment="1" applyProtection="1">
      <alignment horizontal="right" vertical="center"/>
    </xf>
    <xf numFmtId="0" fontId="0" fillId="0" borderId="7" xfId="0" applyBorder="1"/>
    <xf numFmtId="0" fontId="19" fillId="2" borderId="1" xfId="7" applyFont="1" applyFill="1" applyBorder="1" applyAlignment="1">
      <alignment horizontal="center" vertical="center"/>
    </xf>
    <xf numFmtId="182" fontId="19" fillId="2" borderId="1" xfId="7" applyNumberFormat="1" applyFont="1" applyFill="1" applyBorder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33" fillId="2" borderId="1" xfId="7" applyFont="1" applyFill="1" applyBorder="1" applyAlignment="1">
      <alignment horizontal="center" vertical="center"/>
    </xf>
    <xf numFmtId="0" fontId="28" fillId="2" borderId="1" xfId="7" applyFont="1" applyFill="1" applyBorder="1" applyAlignment="1">
      <alignment horizontal="center" vertical="center"/>
    </xf>
    <xf numFmtId="182" fontId="19" fillId="2" borderId="40" xfId="7" applyNumberFormat="1" applyFont="1" applyFill="1" applyBorder="1" applyAlignment="1">
      <alignment horizontal="center" vertical="center"/>
    </xf>
    <xf numFmtId="0" fontId="6" fillId="0" borderId="33" xfId="10" applyFont="1" applyBorder="1" applyAlignment="1">
      <alignment horizontal="center" vertical="center" wrapText="1"/>
    </xf>
    <xf numFmtId="0" fontId="6" fillId="0" borderId="36" xfId="10" applyFont="1" applyBorder="1" applyAlignment="1">
      <alignment horizontal="center" vertical="center" wrapText="1"/>
    </xf>
    <xf numFmtId="0" fontId="6" fillId="0" borderId="34" xfId="10" applyFont="1" applyBorder="1" applyAlignment="1">
      <alignment horizontal="center" vertical="center" wrapText="1"/>
    </xf>
    <xf numFmtId="0" fontId="0" fillId="10" borderId="0" xfId="0" applyFill="1"/>
    <xf numFmtId="186" fontId="7" fillId="10" borderId="0" xfId="10" applyNumberFormat="1" applyFont="1" applyFill="1" applyAlignment="1">
      <alignment vertical="center"/>
    </xf>
    <xf numFmtId="0" fontId="7" fillId="0" borderId="33" xfId="10" applyFont="1" applyBorder="1" applyAlignment="1">
      <alignment horizontal="center" vertical="center" wrapText="1"/>
    </xf>
    <xf numFmtId="0" fontId="7" fillId="0" borderId="36" xfId="10" applyFont="1" applyBorder="1" applyAlignment="1">
      <alignment horizontal="center" vertical="center" wrapText="1"/>
    </xf>
    <xf numFmtId="0" fontId="7" fillId="0" borderId="34" xfId="10" applyFont="1" applyBorder="1" applyAlignment="1">
      <alignment horizontal="center" vertical="center" wrapText="1"/>
    </xf>
    <xf numFmtId="186" fontId="6" fillId="10" borderId="0" xfId="10" applyNumberFormat="1" applyFont="1" applyFill="1" applyAlignment="1">
      <alignment horizontal="right" vertical="center"/>
    </xf>
    <xf numFmtId="10" fontId="7" fillId="10" borderId="0" xfId="10" applyNumberFormat="1" applyFont="1" applyFill="1" applyAlignment="1">
      <alignment vertical="center"/>
    </xf>
    <xf numFmtId="0" fontId="6" fillId="0" borderId="19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 wrapText="1"/>
    </xf>
    <xf numFmtId="0" fontId="6" fillId="0" borderId="19" xfId="10" applyFont="1" applyBorder="1" applyAlignment="1">
      <alignment horizontal="center" vertical="center" wrapText="1"/>
    </xf>
    <xf numFmtId="0" fontId="6" fillId="0" borderId="32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 wrapText="1"/>
    </xf>
    <xf numFmtId="0" fontId="6" fillId="0" borderId="32" xfId="10" applyFont="1" applyBorder="1" applyAlignment="1">
      <alignment horizontal="center" vertical="center" wrapText="1"/>
    </xf>
    <xf numFmtId="0" fontId="7" fillId="0" borderId="4" xfId="10" applyFont="1" applyBorder="1" applyAlignment="1">
      <alignment horizontal="center" vertical="center" wrapText="1"/>
    </xf>
    <xf numFmtId="187" fontId="7" fillId="0" borderId="4" xfId="10" applyNumberFormat="1" applyFont="1" applyBorder="1" applyAlignment="1">
      <alignment horizontal="center" vertical="center" wrapText="1"/>
    </xf>
    <xf numFmtId="187" fontId="7" fillId="0" borderId="4" xfId="10" applyNumberFormat="1" applyFont="1" applyBorder="1" applyAlignment="1">
      <alignment horizontal="center" vertical="center"/>
    </xf>
    <xf numFmtId="10" fontId="7" fillId="0" borderId="4" xfId="10" applyNumberFormat="1" applyFont="1" applyBorder="1" applyAlignment="1">
      <alignment horizontal="center" vertical="center" wrapText="1"/>
    </xf>
    <xf numFmtId="173" fontId="7" fillId="0" borderId="19" xfId="10" applyNumberFormat="1" applyFont="1" applyBorder="1" applyAlignment="1">
      <alignment horizontal="center" vertical="center" wrapText="1"/>
    </xf>
    <xf numFmtId="10" fontId="7" fillId="0" borderId="4" xfId="10" applyNumberFormat="1" applyFont="1" applyBorder="1" applyAlignment="1">
      <alignment horizontal="center" vertical="center"/>
    </xf>
    <xf numFmtId="173" fontId="7" fillId="0" borderId="31" xfId="10" applyNumberFormat="1" applyFont="1" applyBorder="1" applyAlignment="1">
      <alignment horizontal="center" vertical="center" wrapText="1"/>
    </xf>
    <xf numFmtId="173" fontId="7" fillId="0" borderId="32" xfId="10" applyNumberFormat="1" applyFont="1" applyBorder="1" applyAlignment="1">
      <alignment horizontal="center" vertical="center" wrapText="1"/>
    </xf>
    <xf numFmtId="43" fontId="0" fillId="10" borderId="0" xfId="0" applyNumberFormat="1" applyFill="1"/>
    <xf numFmtId="186" fontId="6" fillId="0" borderId="4" xfId="10" applyNumberFormat="1" applyFont="1" applyBorder="1" applyAlignment="1">
      <alignment horizontal="center" vertical="center" wrapText="1"/>
    </xf>
    <xf numFmtId="0" fontId="7" fillId="10" borderId="0" xfId="10" applyFont="1" applyFill="1" applyAlignment="1">
      <alignment vertical="center"/>
    </xf>
    <xf numFmtId="0" fontId="6" fillId="0" borderId="33" xfId="10" applyFont="1" applyBorder="1" applyAlignment="1">
      <alignment horizontal="center" vertical="center"/>
    </xf>
    <xf numFmtId="0" fontId="6" fillId="0" borderId="36" xfId="10" applyFont="1" applyBorder="1" applyAlignment="1">
      <alignment horizontal="center" vertical="center"/>
    </xf>
    <xf numFmtId="0" fontId="6" fillId="0" borderId="34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/>
    </xf>
    <xf numFmtId="0" fontId="7" fillId="10" borderId="4" xfId="10" applyFont="1" applyFill="1" applyBorder="1" applyAlignment="1">
      <alignment vertical="center"/>
    </xf>
    <xf numFmtId="0" fontId="6" fillId="11" borderId="4" xfId="10" applyFont="1" applyFill="1" applyBorder="1" applyAlignment="1">
      <alignment horizontal="center" vertical="center"/>
    </xf>
    <xf numFmtId="10" fontId="6" fillId="11" borderId="4" xfId="10" applyNumberFormat="1" applyFont="1" applyFill="1" applyBorder="1" applyAlignment="1">
      <alignment horizontal="center" vertical="center"/>
    </xf>
    <xf numFmtId="0" fontId="0" fillId="0" borderId="4" xfId="0" applyBorder="1"/>
  </cellXfs>
  <cellStyles count="11">
    <cellStyle name="Excel Built-in Explanatory Text" xfId="9" xr:uid="{D562470B-B803-4AB7-AA90-C29B2B33A954}"/>
    <cellStyle name="Excel Built-in Percent" xfId="4" xr:uid="{87D8C59A-F91D-42DD-9EDC-22A1E04103D3}"/>
    <cellStyle name="Excel Built-in Percent 2" xfId="6" xr:uid="{CF32D6F3-3454-4820-9C3A-520CB1467525}"/>
    <cellStyle name="Excel_BuiltIn_Currency" xfId="5" xr:uid="{92A4EF2D-6D1A-4A54-BE3D-D98EC0B44BDC}"/>
    <cellStyle name="Moeda" xfId="2" builtinId="4"/>
    <cellStyle name="Moeda_Plan1_1_Limpeza2011- Planilhas" xfId="8" xr:uid="{C9B74225-CA1C-4C2E-93C8-006C27DDF27C}"/>
    <cellStyle name="Normal" xfId="0" builtinId="0"/>
    <cellStyle name="Normal 2" xfId="10" xr:uid="{7E494C84-7F32-49E4-9DA2-2B0DA279F486}"/>
    <cellStyle name="Normal_Limpeza2011- Planilhas" xfId="7" xr:uid="{D68BD576-A435-4273-9ACA-E898D71B6B63}"/>
    <cellStyle name="Porcentagem" xfId="3" builtinId="5"/>
    <cellStyle name="Vírgula" xfId="1" builtinId="3"/>
  </cellStyles>
  <dxfs count="11">
    <dxf>
      <font>
        <color theme="0" tint="-4.9989318521683403E-2"/>
      </font>
    </dxf>
    <dxf>
      <font>
        <color theme="0" tint="-4.9989318521683403E-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290C5-CAF1-4DB0-A14D-1598C57484A2}">
  <sheetPr codeName="Planilha1"/>
  <dimension ref="A1:S185"/>
  <sheetViews>
    <sheetView tabSelected="1" zoomScale="70" zoomScaleNormal="70" workbookViewId="0">
      <selection activeCell="M190" sqref="M190"/>
    </sheetView>
  </sheetViews>
  <sheetFormatPr defaultRowHeight="13.85"/>
  <cols>
    <col min="1" max="1" width="43.08984375" customWidth="1"/>
    <col min="2" max="2" width="29.36328125" customWidth="1"/>
    <col min="3" max="3" width="28.36328125" customWidth="1"/>
    <col min="4" max="4" width="22.6328125" style="165" customWidth="1"/>
    <col min="5" max="5" width="16.26953125" customWidth="1"/>
    <col min="6" max="6" width="15.36328125" customWidth="1"/>
    <col min="7" max="7" width="28.08984375" customWidth="1"/>
    <col min="8" max="8" width="20.08984375" customWidth="1"/>
    <col min="9" max="9" width="22.08984375" style="166" customWidth="1"/>
    <col min="10" max="10" width="4.453125" customWidth="1"/>
    <col min="11" max="1023" width="8.36328125" customWidth="1"/>
    <col min="1024" max="1024" width="9" customWidth="1"/>
  </cols>
  <sheetData>
    <row r="1" spans="1:19" ht="34.85" customHeight="1">
      <c r="A1" s="1" t="s">
        <v>0</v>
      </c>
      <c r="B1" s="1"/>
      <c r="C1" s="1"/>
      <c r="D1" s="2"/>
      <c r="E1" s="2"/>
      <c r="F1" s="2"/>
      <c r="G1" s="1"/>
      <c r="H1" s="3" t="s">
        <v>1</v>
      </c>
      <c r="I1" s="4"/>
      <c r="J1" s="4"/>
      <c r="K1" s="5"/>
      <c r="L1" s="5"/>
      <c r="M1" s="5"/>
      <c r="N1" s="5"/>
      <c r="O1" s="5"/>
      <c r="P1" s="5"/>
      <c r="Q1" s="5"/>
      <c r="R1" s="5"/>
      <c r="S1" s="5"/>
    </row>
    <row r="2" spans="1:19" ht="34.85" customHeight="1">
      <c r="A2" s="6" t="s">
        <v>2</v>
      </c>
      <c r="B2" s="7" t="s">
        <v>3</v>
      </c>
      <c r="C2" s="8" t="s">
        <v>4</v>
      </c>
      <c r="D2" s="7">
        <v>24</v>
      </c>
      <c r="E2" s="9" t="s">
        <v>5</v>
      </c>
      <c r="F2" s="9"/>
      <c r="G2" s="10">
        <v>1518</v>
      </c>
      <c r="H2" s="3" t="s">
        <v>6</v>
      </c>
      <c r="I2" s="11"/>
      <c r="J2" s="12"/>
      <c r="K2" s="5"/>
      <c r="L2" s="5"/>
      <c r="M2" s="5"/>
      <c r="N2" s="5"/>
      <c r="O2" s="5"/>
      <c r="P2" s="5"/>
      <c r="Q2" s="5"/>
      <c r="R2" s="5"/>
      <c r="S2" s="5"/>
    </row>
    <row r="3" spans="1:19" ht="34.85" customHeight="1">
      <c r="A3" s="6" t="s">
        <v>7</v>
      </c>
      <c r="B3" s="7" t="s">
        <v>8</v>
      </c>
      <c r="C3" s="13"/>
      <c r="D3" s="14"/>
      <c r="E3" s="14"/>
      <c r="F3" s="14"/>
      <c r="G3" s="14"/>
      <c r="H3" s="14"/>
      <c r="I3" s="14"/>
      <c r="J3" s="15"/>
      <c r="K3" s="5"/>
      <c r="L3" s="5"/>
      <c r="M3" s="5"/>
      <c r="N3" s="5"/>
      <c r="O3" s="5"/>
      <c r="P3" s="5"/>
      <c r="Q3" s="5"/>
      <c r="R3" s="5"/>
      <c r="S3" s="5"/>
    </row>
    <row r="4" spans="1:19" ht="29.95" customHeight="1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5"/>
      <c r="L4" s="5"/>
      <c r="M4" s="5"/>
      <c r="N4" s="5"/>
      <c r="O4" s="5"/>
      <c r="P4" s="5"/>
      <c r="Q4" s="5"/>
      <c r="R4" s="5"/>
      <c r="S4" s="5"/>
    </row>
    <row r="5" spans="1:19" ht="34.15" customHeight="1">
      <c r="A5" s="17" t="s">
        <v>10</v>
      </c>
      <c r="B5" s="17"/>
      <c r="C5" s="17"/>
      <c r="D5" s="17"/>
      <c r="E5" s="17"/>
      <c r="F5" s="18">
        <v>1717.2</v>
      </c>
      <c r="G5" s="18"/>
      <c r="H5" s="18"/>
      <c r="I5" s="18"/>
      <c r="J5" s="18"/>
      <c r="K5" s="5"/>
      <c r="L5" s="5"/>
      <c r="M5" s="5"/>
      <c r="N5" s="5"/>
      <c r="O5" s="5"/>
      <c r="P5" s="5"/>
      <c r="Q5" s="5"/>
      <c r="R5" s="5"/>
      <c r="S5" s="5"/>
    </row>
    <row r="6" spans="1:19" ht="29.1" customHeight="1">
      <c r="A6" s="17" t="s">
        <v>11</v>
      </c>
      <c r="B6" s="17"/>
      <c r="C6" s="17"/>
      <c r="D6" s="17"/>
      <c r="E6" s="17"/>
      <c r="F6" s="18">
        <v>1872.8</v>
      </c>
      <c r="G6" s="18"/>
      <c r="H6" s="18"/>
      <c r="I6" s="18"/>
      <c r="J6" s="18"/>
      <c r="K6" s="5"/>
      <c r="L6" s="5"/>
      <c r="M6" s="5"/>
      <c r="N6" s="5"/>
      <c r="O6" s="5"/>
      <c r="P6" s="5"/>
      <c r="Q6" s="5"/>
      <c r="R6" s="5"/>
      <c r="S6" s="5"/>
    </row>
    <row r="7" spans="1:19" ht="29.1" customHeight="1">
      <c r="A7" s="17" t="s">
        <v>12</v>
      </c>
      <c r="B7" s="17"/>
      <c r="C7" s="17"/>
      <c r="D7" s="17"/>
      <c r="E7" s="17"/>
      <c r="F7" s="18">
        <f>0.6*F5</f>
        <v>1030.32</v>
      </c>
      <c r="G7" s="18"/>
      <c r="H7" s="18"/>
      <c r="I7" s="18"/>
      <c r="J7" s="18"/>
      <c r="K7" s="5"/>
      <c r="L7" s="5"/>
      <c r="M7" s="5"/>
      <c r="N7" s="5"/>
      <c r="O7" s="5"/>
      <c r="P7" s="5"/>
      <c r="Q7" s="5"/>
      <c r="R7" s="5"/>
      <c r="S7" s="5"/>
    </row>
    <row r="8" spans="1:19" ht="29.1" customHeight="1">
      <c r="A8" s="17" t="s">
        <v>13</v>
      </c>
      <c r="B8" s="17"/>
      <c r="C8" s="17"/>
      <c r="D8" s="17"/>
      <c r="E8" s="17"/>
      <c r="F8" s="18">
        <v>1882.34</v>
      </c>
      <c r="G8" s="18"/>
      <c r="H8" s="18"/>
      <c r="I8" s="18"/>
      <c r="J8" s="18"/>
      <c r="K8" s="5"/>
      <c r="L8" s="5"/>
      <c r="M8" s="5"/>
      <c r="N8" s="5"/>
      <c r="O8" s="5"/>
      <c r="P8" s="5"/>
      <c r="Q8" s="5"/>
      <c r="R8" s="5"/>
      <c r="S8" s="5"/>
    </row>
    <row r="9" spans="1:19" ht="13.1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5"/>
      <c r="L9" s="5"/>
      <c r="M9" s="5"/>
      <c r="N9" s="5"/>
      <c r="O9" s="5"/>
      <c r="P9" s="5"/>
      <c r="Q9" s="5"/>
      <c r="R9" s="5"/>
      <c r="S9" s="5"/>
    </row>
    <row r="10" spans="1:19" ht="24.05" customHeight="1">
      <c r="A10" s="16" t="s">
        <v>14</v>
      </c>
      <c r="B10" s="16"/>
      <c r="C10" s="16"/>
      <c r="D10" s="16"/>
      <c r="E10" s="16"/>
      <c r="F10" s="16"/>
      <c r="G10" s="16"/>
      <c r="H10" s="16"/>
      <c r="I10" s="16"/>
      <c r="J10" s="16"/>
      <c r="K10" s="5"/>
      <c r="L10" s="5"/>
      <c r="M10" s="5"/>
      <c r="N10" s="5"/>
      <c r="O10" s="5"/>
      <c r="P10" s="5"/>
      <c r="Q10" s="5"/>
      <c r="R10" s="5"/>
      <c r="S10" s="5"/>
    </row>
    <row r="11" spans="1:19" ht="25.35" customHeight="1">
      <c r="A11" s="16" t="s">
        <v>15</v>
      </c>
      <c r="B11" s="16"/>
      <c r="C11" s="16"/>
      <c r="D11" s="16"/>
      <c r="E11" s="16"/>
      <c r="F11" s="16"/>
      <c r="G11" s="16"/>
      <c r="H11" s="16"/>
      <c r="I11" s="16"/>
      <c r="J11" s="16"/>
      <c r="K11" s="5"/>
      <c r="L11" s="5"/>
      <c r="M11" s="5"/>
      <c r="N11" s="5"/>
      <c r="O11" s="5"/>
      <c r="P11" s="5"/>
      <c r="Q11" s="5"/>
      <c r="R11" s="5"/>
      <c r="S11" s="5"/>
    </row>
    <row r="12" spans="1:19" ht="29.1" customHeight="1">
      <c r="A12" s="20" t="s">
        <v>16</v>
      </c>
      <c r="B12" s="21">
        <v>0.03</v>
      </c>
      <c r="C12" s="22" t="s">
        <v>17</v>
      </c>
      <c r="D12" s="22"/>
      <c r="E12" s="23">
        <v>1</v>
      </c>
      <c r="F12" s="23"/>
      <c r="G12" s="23"/>
      <c r="H12" s="23"/>
      <c r="I12" s="23"/>
      <c r="J12" s="23"/>
      <c r="K12" s="5"/>
      <c r="L12" s="5"/>
      <c r="M12" s="5"/>
      <c r="N12" s="5"/>
      <c r="O12" s="5"/>
      <c r="P12" s="5"/>
      <c r="Q12" s="5"/>
      <c r="R12" s="5"/>
      <c r="S12" s="5"/>
    </row>
    <row r="13" spans="1:19" ht="13.1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5"/>
      <c r="L13" s="5"/>
      <c r="M13" s="5"/>
      <c r="N13" s="5"/>
      <c r="O13" s="5"/>
      <c r="P13" s="5"/>
      <c r="Q13" s="5"/>
      <c r="R13" s="5"/>
      <c r="S13" s="5"/>
    </row>
    <row r="14" spans="1:19" ht="31.4" customHeight="1">
      <c r="A14" s="2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5"/>
      <c r="L14" s="5"/>
      <c r="M14" s="5"/>
      <c r="N14" s="5"/>
      <c r="O14" s="5"/>
      <c r="P14" s="5"/>
      <c r="Q14" s="5"/>
      <c r="R14" s="5"/>
      <c r="S14" s="5"/>
    </row>
    <row r="15" spans="1:19" ht="29.95" customHeight="1">
      <c r="A15" s="25" t="s">
        <v>19</v>
      </c>
      <c r="B15" s="25"/>
      <c r="C15" s="25"/>
      <c r="D15" s="26" t="s">
        <v>20</v>
      </c>
      <c r="E15" s="25" t="s">
        <v>21</v>
      </c>
      <c r="F15" s="25"/>
      <c r="G15" s="25" t="s">
        <v>22</v>
      </c>
      <c r="H15" s="25"/>
      <c r="I15" s="25" t="s">
        <v>23</v>
      </c>
      <c r="J15" s="25"/>
      <c r="K15" s="5"/>
      <c r="L15" s="5"/>
      <c r="M15" s="5"/>
      <c r="N15" s="5"/>
      <c r="O15" s="5"/>
      <c r="P15" s="5"/>
      <c r="Q15" s="5"/>
      <c r="R15" s="5"/>
      <c r="S15" s="5"/>
    </row>
    <row r="16" spans="1:19" ht="31" customHeight="1">
      <c r="A16" s="25"/>
      <c r="B16" s="25"/>
      <c r="C16" s="25"/>
      <c r="D16" s="27">
        <v>21.725999999999999</v>
      </c>
      <c r="E16" s="28">
        <v>20.76</v>
      </c>
      <c r="F16" s="28"/>
      <c r="G16" s="18">
        <v>1.39</v>
      </c>
      <c r="H16" s="18"/>
      <c r="I16" s="29">
        <f>ROUND((E16-G16)*D16,2)</f>
        <v>420.83</v>
      </c>
      <c r="J16" s="29"/>
      <c r="K16" s="5"/>
      <c r="L16" s="5"/>
      <c r="M16" s="5"/>
      <c r="N16" s="5"/>
      <c r="O16" s="5"/>
      <c r="P16" s="5"/>
      <c r="Q16" s="5"/>
      <c r="R16" s="5"/>
      <c r="S16" s="5"/>
    </row>
    <row r="17" spans="1:19" ht="28.4" customHeight="1">
      <c r="A17" s="25" t="s">
        <v>24</v>
      </c>
      <c r="B17" s="25"/>
      <c r="C17" s="25"/>
      <c r="D17" s="26" t="s">
        <v>25</v>
      </c>
      <c r="E17" s="25" t="s">
        <v>21</v>
      </c>
      <c r="F17" s="25"/>
      <c r="G17" s="25"/>
      <c r="H17" s="25"/>
      <c r="I17" s="25" t="s">
        <v>23</v>
      </c>
      <c r="J17" s="25"/>
      <c r="K17" s="5"/>
      <c r="L17" s="5"/>
      <c r="M17" s="5"/>
      <c r="N17" s="5"/>
      <c r="O17" s="5"/>
      <c r="P17" s="5"/>
      <c r="Q17" s="5"/>
      <c r="R17" s="5"/>
      <c r="S17" s="5"/>
    </row>
    <row r="18" spans="1:19" ht="24.2" customHeight="1">
      <c r="A18" s="25"/>
      <c r="B18" s="25"/>
      <c r="C18" s="25"/>
      <c r="D18" s="30">
        <v>1</v>
      </c>
      <c r="E18" s="18">
        <v>144.68</v>
      </c>
      <c r="F18" s="18"/>
      <c r="G18" s="18"/>
      <c r="H18" s="18"/>
      <c r="I18" s="31">
        <f>E18</f>
        <v>144.68</v>
      </c>
      <c r="J18" s="31"/>
      <c r="K18" s="5"/>
      <c r="L18" s="5"/>
      <c r="M18" s="5"/>
      <c r="N18" s="5"/>
      <c r="O18" s="5"/>
      <c r="P18" s="5"/>
      <c r="Q18" s="5"/>
      <c r="R18" s="5"/>
      <c r="S18" s="5"/>
    </row>
    <row r="19" spans="1:19" ht="25.05" customHeight="1">
      <c r="A19" s="32" t="s">
        <v>26</v>
      </c>
      <c r="B19" s="32"/>
      <c r="C19" s="32"/>
      <c r="D19" s="26" t="s">
        <v>25</v>
      </c>
      <c r="E19" s="17" t="s">
        <v>21</v>
      </c>
      <c r="F19" s="17"/>
      <c r="G19" s="17"/>
      <c r="H19" s="17"/>
      <c r="I19" s="33" t="s">
        <v>23</v>
      </c>
      <c r="J19" s="33"/>
      <c r="K19" s="5"/>
      <c r="L19" s="5"/>
      <c r="M19" s="5"/>
      <c r="N19" s="5"/>
      <c r="O19" s="5"/>
      <c r="P19" s="5"/>
      <c r="Q19" s="5"/>
      <c r="R19" s="5"/>
      <c r="S19" s="5"/>
    </row>
    <row r="20" spans="1:19" ht="29.1" customHeight="1">
      <c r="A20" s="32"/>
      <c r="B20" s="32"/>
      <c r="C20" s="32"/>
      <c r="D20" s="30">
        <v>1</v>
      </c>
      <c r="E20" s="34">
        <v>15.96</v>
      </c>
      <c r="F20" s="34"/>
      <c r="G20" s="34"/>
      <c r="H20" s="34"/>
      <c r="I20" s="35">
        <f>E20</f>
        <v>15.96</v>
      </c>
      <c r="J20" s="35"/>
      <c r="K20" s="5"/>
      <c r="L20" s="5"/>
      <c r="M20" s="5"/>
      <c r="N20" s="5"/>
      <c r="O20" s="5"/>
      <c r="P20" s="5"/>
      <c r="Q20" s="5"/>
      <c r="R20" s="5"/>
      <c r="S20" s="5"/>
    </row>
    <row r="21" spans="1:19" ht="29.95" customHeight="1">
      <c r="A21" s="25" t="s">
        <v>27</v>
      </c>
      <c r="B21" s="25"/>
      <c r="C21" s="25"/>
      <c r="D21" s="36" t="s">
        <v>28</v>
      </c>
      <c r="E21" s="37" t="s">
        <v>29</v>
      </c>
      <c r="F21" s="37"/>
      <c r="G21" s="32" t="s">
        <v>22</v>
      </c>
      <c r="H21" s="32"/>
      <c r="I21" s="33" t="s">
        <v>23</v>
      </c>
      <c r="J21" s="33"/>
      <c r="K21" s="5"/>
      <c r="L21" s="5"/>
      <c r="M21" s="5"/>
      <c r="N21" s="5"/>
      <c r="O21" s="5"/>
      <c r="P21" s="5"/>
      <c r="Q21" s="5"/>
      <c r="R21" s="5"/>
      <c r="S21" s="5"/>
    </row>
    <row r="22" spans="1:19" ht="29.95" customHeight="1">
      <c r="A22" s="25"/>
      <c r="B22" s="25"/>
      <c r="C22" s="25"/>
      <c r="D22" s="38"/>
      <c r="E22" s="39">
        <f>ROUND(D22/12,2)</f>
        <v>0</v>
      </c>
      <c r="F22" s="39"/>
      <c r="G22" s="39">
        <f>E22*0.1</f>
        <v>0</v>
      </c>
      <c r="H22" s="39"/>
      <c r="I22" s="35">
        <f>ROUND(E22-G22,2)</f>
        <v>0</v>
      </c>
      <c r="J22" s="35"/>
      <c r="K22" s="5"/>
      <c r="L22" s="5"/>
      <c r="M22" s="5"/>
      <c r="N22" s="5"/>
      <c r="O22" s="5"/>
      <c r="P22" s="5"/>
      <c r="Q22" s="5"/>
      <c r="R22" s="5"/>
      <c r="S22" s="5"/>
    </row>
    <row r="23" spans="1:19" ht="31.7" customHeight="1">
      <c r="A23" s="25" t="s">
        <v>30</v>
      </c>
      <c r="B23" s="25"/>
      <c r="C23" s="25"/>
      <c r="D23" s="36" t="s">
        <v>31</v>
      </c>
      <c r="E23" s="37" t="s">
        <v>32</v>
      </c>
      <c r="F23" s="37"/>
      <c r="G23" s="40" t="s">
        <v>33</v>
      </c>
      <c r="H23" s="41"/>
      <c r="I23" s="42" t="s">
        <v>23</v>
      </c>
      <c r="J23" s="42"/>
      <c r="K23" s="5"/>
      <c r="L23" s="5"/>
      <c r="M23" s="5"/>
      <c r="N23" s="5"/>
      <c r="O23" s="5"/>
      <c r="P23" s="5"/>
      <c r="Q23" s="5"/>
      <c r="R23" s="5"/>
      <c r="S23" s="5"/>
    </row>
    <row r="24" spans="1:19" ht="28.4" customHeight="1">
      <c r="A24" s="25"/>
      <c r="B24" s="25"/>
      <c r="C24" s="25"/>
      <c r="D24" s="43">
        <f>G2</f>
        <v>1518</v>
      </c>
      <c r="E24" s="44">
        <f>D24*0.3</f>
        <v>455.4</v>
      </c>
      <c r="F24" s="44"/>
      <c r="G24" s="45">
        <v>6.1000000000000004E-3</v>
      </c>
      <c r="H24" s="45"/>
      <c r="I24" s="35">
        <f>ROUND(E24*G24,2)</f>
        <v>2.78</v>
      </c>
      <c r="J24" s="35"/>
      <c r="K24" s="5"/>
      <c r="L24" s="5"/>
      <c r="M24" s="5"/>
      <c r="N24" s="5"/>
      <c r="O24" s="5"/>
      <c r="P24" s="5"/>
      <c r="Q24" s="5"/>
      <c r="R24" s="5"/>
      <c r="S24" s="5"/>
    </row>
    <row r="25" spans="1:19" s="47" customFormat="1" ht="29.95" customHeight="1">
      <c r="A25" s="25" t="s">
        <v>34</v>
      </c>
      <c r="B25" s="25"/>
      <c r="C25" s="25"/>
      <c r="D25" s="26" t="s">
        <v>25</v>
      </c>
      <c r="E25" s="17" t="s">
        <v>21</v>
      </c>
      <c r="F25" s="17"/>
      <c r="G25" s="17"/>
      <c r="H25" s="17"/>
      <c r="I25" s="46" t="s">
        <v>23</v>
      </c>
      <c r="J25" s="46"/>
      <c r="K25" s="5"/>
      <c r="L25" s="5"/>
      <c r="M25" s="5"/>
      <c r="N25" s="5"/>
      <c r="O25" s="5"/>
      <c r="P25" s="5"/>
      <c r="Q25" s="5"/>
      <c r="R25" s="5"/>
      <c r="S25" s="5"/>
    </row>
    <row r="26" spans="1:19" ht="29.1" customHeight="1">
      <c r="A26" s="25"/>
      <c r="B26" s="25"/>
      <c r="C26" s="25"/>
      <c r="D26" s="48">
        <v>1</v>
      </c>
      <c r="E26" s="28">
        <v>35.33</v>
      </c>
      <c r="F26" s="28"/>
      <c r="G26" s="28"/>
      <c r="H26" s="28"/>
      <c r="I26" s="31">
        <f>E26</f>
        <v>35.33</v>
      </c>
      <c r="J26" s="31"/>
      <c r="K26" s="5"/>
      <c r="L26" s="5"/>
      <c r="M26" s="5"/>
      <c r="N26" s="5"/>
      <c r="O26" s="5"/>
      <c r="P26" s="5"/>
      <c r="Q26" s="5"/>
      <c r="R26" s="5"/>
      <c r="S26" s="5"/>
    </row>
    <row r="27" spans="1:19" ht="25.05" customHeight="1">
      <c r="A27" s="25" t="s">
        <v>35</v>
      </c>
      <c r="B27" s="25"/>
      <c r="C27" s="25"/>
      <c r="D27" s="26" t="s">
        <v>25</v>
      </c>
      <c r="E27" s="17" t="s">
        <v>21</v>
      </c>
      <c r="F27" s="17"/>
      <c r="G27" s="17"/>
      <c r="H27" s="17"/>
      <c r="I27" s="46" t="s">
        <v>23</v>
      </c>
      <c r="J27" s="46"/>
      <c r="K27" s="5"/>
      <c r="L27" s="5"/>
      <c r="M27" s="5"/>
      <c r="N27" s="5"/>
      <c r="O27" s="5"/>
      <c r="P27" s="5"/>
      <c r="Q27" s="5"/>
      <c r="R27" s="5"/>
      <c r="S27" s="5"/>
    </row>
    <row r="28" spans="1:19" ht="25.05" customHeight="1">
      <c r="A28" s="25"/>
      <c r="B28" s="25"/>
      <c r="C28" s="25"/>
      <c r="D28" s="48">
        <v>1</v>
      </c>
      <c r="E28" s="28">
        <v>300</v>
      </c>
      <c r="F28" s="28"/>
      <c r="G28" s="28"/>
      <c r="H28" s="28"/>
      <c r="I28" s="31">
        <f>E28</f>
        <v>300</v>
      </c>
      <c r="J28" s="31"/>
      <c r="K28" s="5"/>
      <c r="L28" s="5"/>
      <c r="M28" s="5"/>
      <c r="N28" s="5"/>
      <c r="O28" s="5"/>
      <c r="P28" s="5"/>
      <c r="Q28" s="5"/>
      <c r="R28" s="5"/>
      <c r="S28" s="5"/>
    </row>
    <row r="29" spans="1:19" ht="25.05" customHeight="1">
      <c r="A29" s="25" t="s">
        <v>36</v>
      </c>
      <c r="B29" s="25"/>
      <c r="C29" s="25"/>
      <c r="D29" s="26" t="s">
        <v>25</v>
      </c>
      <c r="E29" s="17" t="s">
        <v>21</v>
      </c>
      <c r="F29" s="17"/>
      <c r="G29" s="17"/>
      <c r="H29" s="17"/>
      <c r="I29" s="46" t="s">
        <v>23</v>
      </c>
      <c r="J29" s="46"/>
      <c r="K29" s="5"/>
      <c r="L29" s="5"/>
      <c r="M29" s="5"/>
      <c r="N29" s="5"/>
      <c r="O29" s="5"/>
      <c r="P29" s="5"/>
      <c r="Q29" s="5"/>
      <c r="R29" s="5"/>
      <c r="S29" s="5"/>
    </row>
    <row r="30" spans="1:19" ht="27.4" customHeight="1">
      <c r="A30" s="25"/>
      <c r="B30" s="25"/>
      <c r="C30" s="25"/>
      <c r="D30" s="48">
        <v>1</v>
      </c>
      <c r="E30" s="28">
        <v>0</v>
      </c>
      <c r="F30" s="28"/>
      <c r="G30" s="28"/>
      <c r="H30" s="28"/>
      <c r="I30" s="31">
        <f>E30</f>
        <v>0</v>
      </c>
      <c r="J30" s="31"/>
      <c r="K30" s="5"/>
      <c r="L30" s="5"/>
      <c r="M30" s="5"/>
      <c r="N30" s="5"/>
      <c r="O30" s="5"/>
      <c r="P30" s="5"/>
      <c r="Q30" s="5"/>
      <c r="R30" s="5"/>
      <c r="S30" s="5"/>
    </row>
    <row r="31" spans="1:19" ht="21.05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5"/>
      <c r="L31" s="5"/>
      <c r="M31" s="5"/>
      <c r="N31" s="5"/>
      <c r="O31" s="5"/>
      <c r="P31" s="5"/>
      <c r="Q31" s="5"/>
      <c r="R31" s="5"/>
      <c r="S31" s="5"/>
    </row>
    <row r="32" spans="1:19" ht="29.55" customHeight="1">
      <c r="A32" s="50" t="s">
        <v>37</v>
      </c>
      <c r="B32" s="50"/>
      <c r="C32" s="50"/>
      <c r="D32" s="50"/>
      <c r="E32" s="50"/>
      <c r="F32" s="50"/>
      <c r="G32" s="50"/>
      <c r="H32" s="50"/>
      <c r="I32" s="50"/>
      <c r="J32" s="50"/>
      <c r="K32" s="5"/>
      <c r="L32" s="5"/>
      <c r="M32" s="5"/>
      <c r="N32" s="5"/>
      <c r="O32" s="5"/>
      <c r="P32" s="5"/>
      <c r="Q32" s="5"/>
      <c r="R32" s="5"/>
      <c r="S32" s="5"/>
    </row>
    <row r="33" spans="1:19" ht="25.05" customHeight="1">
      <c r="A33" s="51" t="str">
        <f>B2</f>
        <v>Guaratinguetá / SP</v>
      </c>
      <c r="B33" s="43" t="s">
        <v>38</v>
      </c>
      <c r="C33" s="43" t="s">
        <v>39</v>
      </c>
      <c r="D33" s="52" t="s">
        <v>40</v>
      </c>
      <c r="E33" s="43" t="s">
        <v>41</v>
      </c>
      <c r="F33" s="53" t="s">
        <v>42</v>
      </c>
      <c r="G33" s="53"/>
      <c r="H33" s="53"/>
      <c r="I33" s="54">
        <f>E34-F34</f>
        <v>135.95400000000001</v>
      </c>
      <c r="J33" s="54"/>
      <c r="K33" s="5"/>
      <c r="L33" s="5"/>
      <c r="M33" s="5"/>
      <c r="N33" s="5"/>
      <c r="O33" s="5"/>
      <c r="P33" s="5"/>
      <c r="Q33" s="5"/>
      <c r="R33" s="5"/>
      <c r="S33" s="5"/>
    </row>
    <row r="34" spans="1:19" ht="25.05" customHeight="1">
      <c r="A34" s="51"/>
      <c r="B34" s="55">
        <v>2</v>
      </c>
      <c r="C34" s="56">
        <v>21.725999999999999</v>
      </c>
      <c r="D34" s="38">
        <v>5.5</v>
      </c>
      <c r="E34" s="43">
        <f>B34*C34*D34</f>
        <v>238.98599999999999</v>
      </c>
      <c r="F34" s="39">
        <f>0.06*F5</f>
        <v>103.032</v>
      </c>
      <c r="G34" s="39"/>
      <c r="H34" s="39"/>
      <c r="I34" s="54"/>
      <c r="J34" s="54"/>
      <c r="K34" s="5"/>
      <c r="L34" s="5"/>
      <c r="M34" s="5"/>
      <c r="N34" s="5"/>
      <c r="O34" s="5"/>
      <c r="P34" s="5"/>
      <c r="Q34" s="5"/>
      <c r="R34" s="5"/>
      <c r="S34" s="5"/>
    </row>
    <row r="35" spans="1:19" ht="31" customHeight="1">
      <c r="A35" s="50" t="s">
        <v>43</v>
      </c>
      <c r="B35" s="50"/>
      <c r="C35" s="50"/>
      <c r="D35" s="50"/>
      <c r="E35" s="50"/>
      <c r="F35" s="50"/>
      <c r="G35" s="50"/>
      <c r="H35" s="50"/>
      <c r="I35" s="50"/>
      <c r="J35" s="50"/>
      <c r="K35" s="5"/>
      <c r="L35" s="5"/>
      <c r="M35" s="5"/>
      <c r="N35" s="5"/>
      <c r="O35" s="5"/>
      <c r="P35" s="5"/>
      <c r="Q35" s="5"/>
      <c r="R35" s="5"/>
      <c r="S35" s="5"/>
    </row>
    <row r="36" spans="1:19" ht="22.9" customHeight="1">
      <c r="A36" s="51" t="str">
        <f>B2</f>
        <v>Guaratinguetá / SP</v>
      </c>
      <c r="B36" s="43" t="s">
        <v>38</v>
      </c>
      <c r="C36" s="43" t="s">
        <v>39</v>
      </c>
      <c r="D36" s="52" t="s">
        <v>40</v>
      </c>
      <c r="E36" s="43" t="s">
        <v>41</v>
      </c>
      <c r="F36" s="53" t="s">
        <v>42</v>
      </c>
      <c r="G36" s="53"/>
      <c r="H36" s="53"/>
      <c r="I36" s="54">
        <f>E37-F37</f>
        <v>126.61799999999999</v>
      </c>
      <c r="J36" s="54"/>
      <c r="K36" s="5"/>
      <c r="L36" s="5"/>
      <c r="M36" s="5"/>
      <c r="N36" s="5"/>
      <c r="O36" s="5"/>
      <c r="P36" s="5"/>
      <c r="Q36" s="5"/>
      <c r="R36" s="5"/>
      <c r="S36" s="5"/>
    </row>
    <row r="37" spans="1:19" ht="22.9" customHeight="1">
      <c r="A37" s="51"/>
      <c r="B37" s="55">
        <v>2</v>
      </c>
      <c r="C37" s="56">
        <v>21.725999999999999</v>
      </c>
      <c r="D37" s="38">
        <f>D34</f>
        <v>5.5</v>
      </c>
      <c r="E37" s="43">
        <f>B37*C37*D37</f>
        <v>238.98599999999999</v>
      </c>
      <c r="F37" s="39">
        <f>0.06*F6</f>
        <v>112.36799999999999</v>
      </c>
      <c r="G37" s="39"/>
      <c r="H37" s="39"/>
      <c r="I37" s="54"/>
      <c r="J37" s="54"/>
      <c r="K37" s="5"/>
      <c r="L37" s="5"/>
      <c r="M37" s="5"/>
      <c r="N37" s="5"/>
      <c r="O37" s="5"/>
      <c r="P37" s="5"/>
      <c r="Q37" s="5"/>
      <c r="R37" s="5"/>
      <c r="S37" s="5"/>
    </row>
    <row r="38" spans="1:19" ht="22.9" customHeight="1">
      <c r="A38" s="50" t="s">
        <v>44</v>
      </c>
      <c r="B38" s="50"/>
      <c r="C38" s="50"/>
      <c r="D38" s="50"/>
      <c r="E38" s="50"/>
      <c r="F38" s="50"/>
      <c r="G38" s="50"/>
      <c r="H38" s="50"/>
      <c r="I38" s="50"/>
      <c r="J38" s="50"/>
      <c r="K38" s="5"/>
      <c r="L38" s="5"/>
      <c r="M38" s="5"/>
      <c r="N38" s="5"/>
      <c r="O38" s="5"/>
      <c r="P38" s="5"/>
      <c r="Q38" s="5"/>
      <c r="R38" s="5"/>
      <c r="S38" s="5"/>
    </row>
    <row r="39" spans="1:19" ht="22.9" customHeight="1">
      <c r="A39" s="51" t="str">
        <f>B2</f>
        <v>Guaratinguetá / SP</v>
      </c>
      <c r="B39" s="43" t="s">
        <v>38</v>
      </c>
      <c r="C39" s="43" t="s">
        <v>39</v>
      </c>
      <c r="D39" s="52" t="s">
        <v>40</v>
      </c>
      <c r="E39" s="43" t="s">
        <v>41</v>
      </c>
      <c r="F39" s="53" t="s">
        <v>42</v>
      </c>
      <c r="G39" s="53"/>
      <c r="H39" s="53"/>
      <c r="I39" s="54">
        <f>E40-F40</f>
        <v>177.16679999999999</v>
      </c>
      <c r="J39" s="54"/>
      <c r="K39" s="5"/>
      <c r="L39" s="5"/>
      <c r="M39" s="5"/>
      <c r="N39" s="5"/>
      <c r="O39" s="5"/>
      <c r="P39" s="5"/>
      <c r="Q39" s="5"/>
      <c r="R39" s="5"/>
      <c r="S39" s="5"/>
    </row>
    <row r="40" spans="1:19" ht="22.9" customHeight="1">
      <c r="A40" s="51"/>
      <c r="B40" s="55">
        <v>2</v>
      </c>
      <c r="C40" s="56">
        <v>21.725999999999999</v>
      </c>
      <c r="D40" s="38">
        <f>vtt</f>
        <v>5.5</v>
      </c>
      <c r="E40" s="43">
        <f>B40*C40*D40</f>
        <v>238.98599999999999</v>
      </c>
      <c r="F40" s="39">
        <f>0.06*F7</f>
        <v>61.819199999999995</v>
      </c>
      <c r="G40" s="39"/>
      <c r="H40" s="39"/>
      <c r="I40" s="54"/>
      <c r="J40" s="54"/>
      <c r="K40" s="5"/>
      <c r="L40" s="5"/>
      <c r="M40" s="5"/>
      <c r="N40" s="5"/>
      <c r="O40" s="5"/>
      <c r="P40" s="5"/>
      <c r="Q40" s="5"/>
      <c r="R40" s="5"/>
      <c r="S40" s="5"/>
    </row>
    <row r="41" spans="1:19" ht="22.9" customHeight="1">
      <c r="A41" s="50" t="s">
        <v>45</v>
      </c>
      <c r="B41" s="50"/>
      <c r="C41" s="50"/>
      <c r="D41" s="50"/>
      <c r="E41" s="50"/>
      <c r="F41" s="50"/>
      <c r="G41" s="50"/>
      <c r="H41" s="50"/>
      <c r="I41" s="50"/>
      <c r="J41" s="50"/>
      <c r="K41" s="5"/>
      <c r="L41" s="5"/>
      <c r="M41" s="5"/>
      <c r="N41" s="5"/>
      <c r="O41" s="5"/>
      <c r="P41" s="5"/>
      <c r="Q41" s="5"/>
      <c r="R41" s="5"/>
      <c r="S41" s="5"/>
    </row>
    <row r="42" spans="1:19" ht="22.9" customHeight="1">
      <c r="A42" s="51" t="str">
        <f>B2</f>
        <v>Guaratinguetá / SP</v>
      </c>
      <c r="B42" s="43" t="s">
        <v>38</v>
      </c>
      <c r="C42" s="43" t="s">
        <v>39</v>
      </c>
      <c r="D42" s="52" t="s">
        <v>40</v>
      </c>
      <c r="E42" s="43" t="s">
        <v>41</v>
      </c>
      <c r="F42" s="53" t="s">
        <v>42</v>
      </c>
      <c r="G42" s="53"/>
      <c r="H42" s="53"/>
      <c r="I42" s="54">
        <f>E43-F43</f>
        <v>126.04559999999999</v>
      </c>
      <c r="J42" s="54"/>
      <c r="K42" s="5"/>
      <c r="L42" s="5"/>
      <c r="M42" s="5"/>
      <c r="N42" s="5"/>
      <c r="O42" s="5"/>
      <c r="P42" s="5"/>
      <c r="Q42" s="5"/>
      <c r="R42" s="5"/>
      <c r="S42" s="5"/>
    </row>
    <row r="43" spans="1:19" ht="22.9" customHeight="1">
      <c r="A43" s="51"/>
      <c r="B43" s="55">
        <v>2</v>
      </c>
      <c r="C43" s="56">
        <v>21.725999999999999</v>
      </c>
      <c r="D43" s="38">
        <f>vtt</f>
        <v>5.5</v>
      </c>
      <c r="E43" s="43">
        <f>B43*C43*D43</f>
        <v>238.98599999999999</v>
      </c>
      <c r="F43" s="39">
        <f>0.06*F8</f>
        <v>112.9404</v>
      </c>
      <c r="G43" s="39"/>
      <c r="H43" s="39"/>
      <c r="I43" s="54"/>
      <c r="J43" s="54"/>
      <c r="K43" s="5"/>
      <c r="L43" s="5"/>
      <c r="M43" s="5"/>
      <c r="N43" s="5"/>
      <c r="O43" s="5"/>
      <c r="P43" s="5"/>
      <c r="Q43" s="5"/>
      <c r="R43" s="5"/>
      <c r="S43" s="5"/>
    </row>
    <row r="44" spans="1:19" ht="21.6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5"/>
      <c r="L44" s="5"/>
      <c r="M44" s="5"/>
      <c r="N44" s="5"/>
      <c r="O44" s="5"/>
      <c r="P44" s="5"/>
      <c r="Q44" s="5"/>
      <c r="R44" s="5"/>
      <c r="S44" s="5"/>
    </row>
    <row r="45" spans="1:19" ht="29.1" customHeight="1">
      <c r="A45" s="16" t="s">
        <v>46</v>
      </c>
      <c r="B45" s="16"/>
      <c r="C45" s="16"/>
      <c r="D45" s="16"/>
      <c r="E45" s="16"/>
      <c r="F45" s="16"/>
      <c r="G45" s="16"/>
      <c r="H45" s="16"/>
      <c r="I45" s="16"/>
      <c r="J45" s="16"/>
      <c r="K45" s="5"/>
      <c r="L45" s="5"/>
      <c r="M45" s="5"/>
      <c r="N45" s="5"/>
      <c r="O45" s="5"/>
      <c r="P45" s="5"/>
      <c r="Q45" s="5"/>
      <c r="R45" s="5"/>
      <c r="S45" s="5"/>
    </row>
    <row r="46" spans="1:19" ht="22.9" customHeight="1">
      <c r="A46" s="37" t="s">
        <v>47</v>
      </c>
      <c r="B46" s="37"/>
      <c r="C46" s="37" t="s">
        <v>48</v>
      </c>
      <c r="D46" s="37"/>
      <c r="E46" s="42" t="s">
        <v>49</v>
      </c>
      <c r="F46" s="42"/>
      <c r="G46" s="57" t="s">
        <v>25</v>
      </c>
      <c r="H46" s="37" t="s">
        <v>50</v>
      </c>
      <c r="I46" s="37"/>
      <c r="J46" s="37"/>
      <c r="K46" s="5"/>
      <c r="L46" s="5"/>
      <c r="M46" s="5"/>
      <c r="N46" s="5"/>
      <c r="O46" s="5"/>
      <c r="P46" s="5"/>
      <c r="Q46" s="5"/>
      <c r="R46" s="5"/>
      <c r="S46" s="5"/>
    </row>
    <row r="47" spans="1:19" ht="22.9" customHeight="1">
      <c r="A47" s="58" t="s">
        <v>51</v>
      </c>
      <c r="B47" s="58"/>
      <c r="C47" s="59">
        <v>28.13</v>
      </c>
      <c r="D47" s="59"/>
      <c r="E47" s="60">
        <v>6</v>
      </c>
      <c r="F47" s="60"/>
      <c r="G47" s="61">
        <v>5</v>
      </c>
      <c r="H47" s="54">
        <f t="shared" ref="H47:H54" si="0">C47*G47/E47</f>
        <v>23.441666666666666</v>
      </c>
      <c r="I47" s="54"/>
      <c r="J47" s="54"/>
      <c r="K47" s="5"/>
      <c r="L47" s="5"/>
      <c r="M47" s="5"/>
      <c r="N47" s="5"/>
      <c r="O47" s="5"/>
      <c r="P47" s="5"/>
      <c r="Q47" s="5"/>
      <c r="R47" s="5"/>
      <c r="S47" s="5"/>
    </row>
    <row r="48" spans="1:19" ht="22.9" customHeight="1">
      <c r="A48" s="58" t="s">
        <v>52</v>
      </c>
      <c r="B48" s="58"/>
      <c r="C48" s="59">
        <v>50.14</v>
      </c>
      <c r="D48" s="59"/>
      <c r="E48" s="60">
        <v>6</v>
      </c>
      <c r="F48" s="60"/>
      <c r="G48" s="61">
        <v>2</v>
      </c>
      <c r="H48" s="54">
        <f t="shared" si="0"/>
        <v>16.713333333333335</v>
      </c>
      <c r="I48" s="54"/>
      <c r="J48" s="54"/>
      <c r="K48" s="5"/>
      <c r="L48" s="5"/>
      <c r="M48" s="5"/>
      <c r="N48" s="5"/>
      <c r="O48" s="5"/>
      <c r="P48" s="5"/>
      <c r="Q48" s="5"/>
      <c r="R48" s="5"/>
      <c r="S48" s="5"/>
    </row>
    <row r="49" spans="1:19" ht="22.9" customHeight="1">
      <c r="A49" s="58" t="s">
        <v>53</v>
      </c>
      <c r="B49" s="58"/>
      <c r="C49" s="59">
        <v>137.09</v>
      </c>
      <c r="D49" s="59"/>
      <c r="E49" s="60">
        <v>24</v>
      </c>
      <c r="F49" s="60"/>
      <c r="G49" s="61">
        <v>1</v>
      </c>
      <c r="H49" s="54">
        <f t="shared" si="0"/>
        <v>5.7120833333333332</v>
      </c>
      <c r="I49" s="54"/>
      <c r="J49" s="54"/>
      <c r="K49" s="5"/>
      <c r="L49" s="5"/>
      <c r="M49" s="5"/>
      <c r="N49" s="5"/>
      <c r="O49" s="5"/>
      <c r="P49" s="5"/>
      <c r="Q49" s="5"/>
      <c r="R49" s="5"/>
      <c r="S49" s="5"/>
    </row>
    <row r="50" spans="1:19" ht="22.9" customHeight="1">
      <c r="A50" s="58" t="s">
        <v>54</v>
      </c>
      <c r="B50" s="58"/>
      <c r="C50" s="59">
        <v>12.37</v>
      </c>
      <c r="D50" s="59"/>
      <c r="E50" s="60">
        <v>6</v>
      </c>
      <c r="F50" s="60"/>
      <c r="G50" s="61">
        <v>5</v>
      </c>
      <c r="H50" s="54">
        <f t="shared" si="0"/>
        <v>10.308333333333332</v>
      </c>
      <c r="I50" s="54"/>
      <c r="J50" s="54"/>
      <c r="K50" s="5"/>
      <c r="L50" s="5"/>
      <c r="M50" s="5"/>
      <c r="N50" s="5"/>
      <c r="O50" s="5"/>
      <c r="P50" s="5"/>
      <c r="Q50" s="5"/>
      <c r="R50" s="5"/>
      <c r="S50" s="5"/>
    </row>
    <row r="51" spans="1:19" ht="22.9" customHeight="1">
      <c r="A51" s="58" t="s">
        <v>55</v>
      </c>
      <c r="B51" s="58"/>
      <c r="C51" s="59">
        <v>66.56</v>
      </c>
      <c r="D51" s="59"/>
      <c r="E51" s="60">
        <v>12</v>
      </c>
      <c r="F51" s="60"/>
      <c r="G51" s="61">
        <v>1</v>
      </c>
      <c r="H51" s="54">
        <f t="shared" si="0"/>
        <v>5.5466666666666669</v>
      </c>
      <c r="I51" s="54"/>
      <c r="J51" s="54"/>
      <c r="K51" s="5"/>
      <c r="L51" s="5"/>
      <c r="M51" s="5"/>
      <c r="N51" s="5"/>
      <c r="O51" s="5"/>
      <c r="P51" s="5"/>
      <c r="Q51" s="5"/>
      <c r="R51" s="5"/>
      <c r="S51" s="5"/>
    </row>
    <row r="52" spans="1:19" ht="22.9" customHeight="1">
      <c r="A52" s="58" t="s">
        <v>56</v>
      </c>
      <c r="B52" s="58"/>
      <c r="C52" s="59">
        <v>73.22</v>
      </c>
      <c r="D52" s="59"/>
      <c r="E52" s="60">
        <v>12</v>
      </c>
      <c r="F52" s="60"/>
      <c r="G52" s="61">
        <v>1</v>
      </c>
      <c r="H52" s="54">
        <f t="shared" si="0"/>
        <v>6.1016666666666666</v>
      </c>
      <c r="I52" s="54"/>
      <c r="J52" s="54"/>
      <c r="K52" s="5"/>
      <c r="L52" s="5"/>
      <c r="M52" s="5"/>
      <c r="N52" s="5"/>
      <c r="O52" s="5"/>
      <c r="P52" s="5"/>
      <c r="Q52" s="5"/>
      <c r="R52" s="5"/>
      <c r="S52" s="5"/>
    </row>
    <row r="53" spans="1:19" ht="22.9" customHeight="1">
      <c r="A53" s="58" t="s">
        <v>57</v>
      </c>
      <c r="B53" s="58"/>
      <c r="C53" s="59">
        <v>18.25</v>
      </c>
      <c r="D53" s="59"/>
      <c r="E53" s="60">
        <v>12</v>
      </c>
      <c r="F53" s="60"/>
      <c r="G53" s="61">
        <v>1</v>
      </c>
      <c r="H53" s="54">
        <f t="shared" si="0"/>
        <v>1.5208333333333333</v>
      </c>
      <c r="I53" s="54"/>
      <c r="J53" s="54"/>
      <c r="K53" s="5"/>
      <c r="L53" s="5"/>
      <c r="M53" s="5"/>
      <c r="N53" s="5"/>
      <c r="O53" s="5"/>
      <c r="P53" s="5"/>
      <c r="Q53" s="5"/>
      <c r="R53" s="5"/>
      <c r="S53" s="5"/>
    </row>
    <row r="54" spans="1:19" ht="22.9" customHeight="1">
      <c r="A54" s="58" t="s">
        <v>58</v>
      </c>
      <c r="B54" s="58"/>
      <c r="C54" s="59">
        <v>10.53</v>
      </c>
      <c r="D54" s="59"/>
      <c r="E54" s="60">
        <v>12</v>
      </c>
      <c r="F54" s="60"/>
      <c r="G54" s="61">
        <v>1</v>
      </c>
      <c r="H54" s="54">
        <f t="shared" si="0"/>
        <v>0.87749999999999995</v>
      </c>
      <c r="I54" s="54"/>
      <c r="J54" s="54"/>
      <c r="K54" s="5"/>
      <c r="L54" s="5"/>
      <c r="M54" s="5"/>
      <c r="N54" s="5"/>
      <c r="O54" s="5"/>
      <c r="P54" s="5"/>
      <c r="Q54" s="5"/>
      <c r="R54" s="5"/>
      <c r="S54" s="5"/>
    </row>
    <row r="55" spans="1:19" ht="22.9" customHeight="1">
      <c r="A55" s="62" t="s">
        <v>59</v>
      </c>
      <c r="B55" s="62"/>
      <c r="C55" s="62"/>
      <c r="D55" s="62"/>
      <c r="E55" s="62"/>
      <c r="F55" s="62"/>
      <c r="G55" s="62"/>
      <c r="H55" s="63">
        <f>SUM(H47:H54)</f>
        <v>70.222083333333316</v>
      </c>
      <c r="I55" s="63"/>
      <c r="J55" s="63"/>
      <c r="K55" s="5"/>
      <c r="L55" s="5"/>
      <c r="M55" s="5"/>
      <c r="N55" s="5"/>
      <c r="O55" s="5"/>
      <c r="P55" s="5"/>
      <c r="Q55" s="5"/>
      <c r="R55" s="5"/>
      <c r="S55" s="5"/>
    </row>
    <row r="56" spans="1:19" ht="15" customHeight="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5"/>
      <c r="L56" s="5"/>
      <c r="M56" s="5"/>
      <c r="N56" s="5"/>
      <c r="O56" s="5"/>
      <c r="P56" s="5"/>
      <c r="Q56" s="5"/>
      <c r="R56" s="5"/>
      <c r="S56" s="5"/>
    </row>
    <row r="57" spans="1:19" ht="22.9" customHeight="1">
      <c r="A57" s="65">
        <v>3</v>
      </c>
      <c r="B57" s="66" t="s">
        <v>60</v>
      </c>
      <c r="C57" s="66"/>
      <c r="D57" s="66"/>
      <c r="E57" s="66"/>
      <c r="F57" s="66"/>
      <c r="G57" s="66"/>
      <c r="H57" s="66"/>
      <c r="I57" s="66"/>
      <c r="J57" s="66"/>
      <c r="K57" s="5"/>
      <c r="L57" s="5"/>
      <c r="M57" s="5"/>
      <c r="N57" s="5"/>
      <c r="O57" s="5"/>
      <c r="P57" s="5"/>
      <c r="Q57" s="5"/>
      <c r="R57" s="5"/>
      <c r="S57" s="5"/>
    </row>
    <row r="58" spans="1:19" ht="36.75" customHeight="1">
      <c r="A58" s="67" t="s">
        <v>47</v>
      </c>
      <c r="B58" s="67" t="s">
        <v>61</v>
      </c>
      <c r="C58" s="67" t="s">
        <v>62</v>
      </c>
      <c r="D58" s="68" t="s">
        <v>63</v>
      </c>
      <c r="E58" s="69" t="s">
        <v>64</v>
      </c>
      <c r="F58" s="69"/>
      <c r="G58" s="69"/>
      <c r="H58" s="69"/>
      <c r="I58" s="69"/>
      <c r="J58" s="69"/>
      <c r="K58" s="5"/>
      <c r="L58" s="5"/>
      <c r="M58" s="5"/>
      <c r="N58" s="5"/>
      <c r="O58" s="5"/>
      <c r="P58" s="5"/>
      <c r="Q58" s="5"/>
      <c r="R58" s="5"/>
      <c r="S58" s="5"/>
    </row>
    <row r="59" spans="1:19" ht="22.5" customHeight="1">
      <c r="A59" s="70" t="s">
        <v>65</v>
      </c>
      <c r="B59" s="71" t="s">
        <v>66</v>
      </c>
      <c r="C59" s="72">
        <v>30</v>
      </c>
      <c r="D59" s="73">
        <v>0.05</v>
      </c>
      <c r="E59" s="74">
        <f>C59/365.25*D59</f>
        <v>4.1067761806981521E-3</v>
      </c>
      <c r="F59" s="74"/>
      <c r="G59" s="74"/>
      <c r="H59" s="74"/>
      <c r="I59" s="74"/>
      <c r="J59" s="74"/>
      <c r="K59" s="5"/>
      <c r="L59" s="5"/>
      <c r="M59" s="5"/>
      <c r="N59" s="5"/>
      <c r="O59" s="5"/>
      <c r="P59" s="5"/>
      <c r="Q59" s="5"/>
      <c r="R59" s="5"/>
      <c r="S59" s="5"/>
    </row>
    <row r="60" spans="1:19" ht="34.85" customHeight="1">
      <c r="A60" s="70" t="s">
        <v>67</v>
      </c>
      <c r="B60" s="71" t="s">
        <v>68</v>
      </c>
      <c r="C60" s="75" t="s">
        <v>69</v>
      </c>
      <c r="D60" s="75"/>
      <c r="E60" s="76">
        <f>0.08*E59</f>
        <v>3.2854209445585218E-4</v>
      </c>
      <c r="F60" s="76"/>
      <c r="G60" s="76"/>
      <c r="H60" s="76"/>
      <c r="I60" s="76"/>
      <c r="J60" s="76"/>
      <c r="K60" s="5"/>
      <c r="L60" s="5"/>
      <c r="M60" s="5"/>
      <c r="N60" s="5"/>
      <c r="O60" s="5"/>
      <c r="P60" s="5"/>
      <c r="Q60" s="5"/>
      <c r="R60" s="5"/>
      <c r="S60" s="5"/>
    </row>
    <row r="61" spans="1:19" ht="32.4" customHeight="1">
      <c r="A61" s="70" t="s">
        <v>70</v>
      </c>
      <c r="B61" s="71" t="s">
        <v>71</v>
      </c>
      <c r="C61" s="77" t="s">
        <v>72</v>
      </c>
      <c r="D61" s="77"/>
      <c r="E61" s="74">
        <f>7/30/D2</f>
        <v>9.7222222222222224E-3</v>
      </c>
      <c r="F61" s="74"/>
      <c r="G61" s="74"/>
      <c r="H61" s="74"/>
      <c r="I61" s="74"/>
      <c r="J61" s="74"/>
      <c r="K61" s="5"/>
      <c r="L61" s="5"/>
      <c r="M61" s="5"/>
      <c r="N61" s="5"/>
      <c r="O61" s="5"/>
      <c r="P61" s="5"/>
      <c r="Q61" s="5"/>
      <c r="R61" s="5"/>
      <c r="S61" s="5"/>
    </row>
    <row r="62" spans="1:19" ht="36.75" customHeight="1">
      <c r="A62" s="70" t="s">
        <v>73</v>
      </c>
      <c r="B62" s="71" t="s">
        <v>74</v>
      </c>
      <c r="C62" s="77" t="s">
        <v>75</v>
      </c>
      <c r="D62" s="77"/>
      <c r="E62" s="74">
        <f>0.368*E61</f>
        <v>3.5777777777777778E-3</v>
      </c>
      <c r="F62" s="74"/>
      <c r="G62" s="74"/>
      <c r="H62" s="74"/>
      <c r="I62" s="74"/>
      <c r="J62" s="74"/>
      <c r="K62" s="5"/>
      <c r="L62" s="5"/>
      <c r="M62" s="5"/>
      <c r="N62" s="5"/>
      <c r="O62" s="5"/>
      <c r="P62" s="5"/>
      <c r="Q62" s="5"/>
      <c r="R62" s="5"/>
      <c r="S62" s="5"/>
    </row>
    <row r="63" spans="1:19" ht="24.2" customHeight="1">
      <c r="A63" s="70" t="s">
        <v>76</v>
      </c>
      <c r="B63" s="78" t="s">
        <v>77</v>
      </c>
      <c r="C63" s="78"/>
      <c r="D63" s="78"/>
      <c r="E63" s="76">
        <v>0.04</v>
      </c>
      <c r="F63" s="76"/>
      <c r="G63" s="76"/>
      <c r="H63" s="76"/>
      <c r="I63" s="76"/>
      <c r="J63" s="76"/>
      <c r="K63" s="5"/>
      <c r="L63" s="5"/>
      <c r="M63" s="5"/>
      <c r="N63" s="5"/>
      <c r="O63" s="5"/>
      <c r="P63" s="5"/>
      <c r="Q63" s="5"/>
      <c r="R63" s="5"/>
      <c r="S63" s="5"/>
    </row>
    <row r="64" spans="1:19" ht="14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5"/>
      <c r="L64" s="5"/>
      <c r="M64" s="5"/>
      <c r="N64" s="5"/>
      <c r="O64" s="5"/>
      <c r="P64" s="5"/>
      <c r="Q64" s="5"/>
      <c r="R64" s="5"/>
      <c r="S64" s="5"/>
    </row>
    <row r="65" spans="1:19" ht="37.299999999999997" customHeight="1">
      <c r="A65" s="16" t="s">
        <v>78</v>
      </c>
      <c r="B65" s="16"/>
      <c r="C65" s="16"/>
      <c r="D65" s="16"/>
      <c r="E65" s="16"/>
      <c r="F65" s="16"/>
      <c r="G65" s="16"/>
      <c r="H65" s="16"/>
      <c r="I65" s="16"/>
      <c r="J65" s="16"/>
      <c r="K65" s="5"/>
      <c r="L65" s="5"/>
      <c r="M65" s="5"/>
      <c r="N65" s="5"/>
      <c r="O65" s="5"/>
      <c r="P65" s="5"/>
      <c r="Q65" s="5"/>
      <c r="R65" s="5"/>
      <c r="S65" s="5"/>
    </row>
    <row r="66" spans="1:19" ht="29.95" customHeight="1">
      <c r="A66" s="67" t="s">
        <v>79</v>
      </c>
      <c r="B66" s="78" t="s">
        <v>80</v>
      </c>
      <c r="C66" s="78"/>
      <c r="D66" s="78"/>
      <c r="E66" s="52" t="s">
        <v>81</v>
      </c>
      <c r="F66" s="52" t="s">
        <v>63</v>
      </c>
      <c r="G66" s="37" t="s">
        <v>64</v>
      </c>
      <c r="H66" s="37"/>
      <c r="I66" s="37"/>
      <c r="J66" s="37"/>
      <c r="K66" s="5"/>
      <c r="L66" s="5"/>
      <c r="M66" s="5"/>
      <c r="N66" s="5"/>
      <c r="O66" s="5"/>
      <c r="P66" s="5"/>
      <c r="Q66" s="5"/>
      <c r="R66" s="5"/>
      <c r="S66" s="5"/>
    </row>
    <row r="67" spans="1:19" ht="25.05" customHeight="1">
      <c r="A67" s="70" t="s">
        <v>65</v>
      </c>
      <c r="B67" s="70" t="s">
        <v>82</v>
      </c>
      <c r="C67" s="75" t="s">
        <v>83</v>
      </c>
      <c r="D67" s="75"/>
      <c r="E67" s="75"/>
      <c r="F67" s="75"/>
      <c r="G67" s="80">
        <f>1/11</f>
        <v>9.0909090909090912E-2</v>
      </c>
      <c r="H67" s="80"/>
      <c r="I67" s="80"/>
      <c r="J67" s="80"/>
      <c r="K67" s="5"/>
      <c r="L67" s="5"/>
      <c r="M67" s="5"/>
      <c r="N67" s="5"/>
      <c r="O67" s="5"/>
      <c r="P67" s="5"/>
      <c r="Q67" s="5"/>
      <c r="R67" s="5"/>
      <c r="S67" s="5"/>
    </row>
    <row r="68" spans="1:19" ht="29.1" customHeight="1">
      <c r="A68" s="70" t="s">
        <v>67</v>
      </c>
      <c r="B68" s="70" t="s">
        <v>84</v>
      </c>
      <c r="C68" s="81" t="s">
        <v>85</v>
      </c>
      <c r="D68" s="81"/>
      <c r="E68" s="82">
        <v>1</v>
      </c>
      <c r="F68" s="73">
        <v>1</v>
      </c>
      <c r="G68" s="83">
        <f>E68/365.25*F68</f>
        <v>2.7378507871321013E-3</v>
      </c>
      <c r="H68" s="83"/>
      <c r="I68" s="83"/>
      <c r="J68" s="83"/>
      <c r="K68" s="5"/>
      <c r="L68" s="5"/>
      <c r="M68" s="5"/>
      <c r="N68" s="5"/>
      <c r="O68" s="5"/>
      <c r="P68" s="5"/>
      <c r="Q68" s="5"/>
      <c r="R68" s="5"/>
      <c r="S68" s="5"/>
    </row>
    <row r="69" spans="1:19" ht="29.1" customHeight="1">
      <c r="A69" s="70" t="s">
        <v>70</v>
      </c>
      <c r="B69" s="70" t="s">
        <v>86</v>
      </c>
      <c r="C69" s="81" t="s">
        <v>85</v>
      </c>
      <c r="D69" s="81"/>
      <c r="E69" s="82">
        <v>5</v>
      </c>
      <c r="F69" s="84">
        <v>1.4999999999999999E-2</v>
      </c>
      <c r="G69" s="83">
        <f>E69/365.25*F69</f>
        <v>2.0533880903490757E-4</v>
      </c>
      <c r="H69" s="83"/>
      <c r="I69" s="83"/>
      <c r="J69" s="83"/>
      <c r="K69" s="5"/>
      <c r="L69" s="5"/>
      <c r="M69" s="5"/>
      <c r="N69" s="5"/>
      <c r="O69" s="5"/>
      <c r="P69" s="5"/>
      <c r="Q69" s="5"/>
      <c r="R69" s="5"/>
      <c r="S69" s="5"/>
    </row>
    <row r="70" spans="1:19" ht="32.4" customHeight="1">
      <c r="A70" s="70" t="s">
        <v>73</v>
      </c>
      <c r="B70" s="70" t="s">
        <v>87</v>
      </c>
      <c r="C70" s="81" t="s">
        <v>85</v>
      </c>
      <c r="D70" s="81"/>
      <c r="E70" s="82">
        <v>15</v>
      </c>
      <c r="F70" s="84">
        <v>7.7999999999999996E-3</v>
      </c>
      <c r="G70" s="83">
        <f>E70/365.25*F70</f>
        <v>3.2032854209445585E-4</v>
      </c>
      <c r="H70" s="83"/>
      <c r="I70" s="83"/>
      <c r="J70" s="83"/>
      <c r="K70" s="5"/>
      <c r="L70" s="5"/>
      <c r="M70" s="5"/>
      <c r="N70" s="5"/>
      <c r="O70" s="5"/>
      <c r="P70" s="5"/>
      <c r="Q70" s="5"/>
      <c r="R70" s="5"/>
      <c r="S70" s="5"/>
    </row>
    <row r="71" spans="1:19" ht="32.4" customHeight="1">
      <c r="A71" s="52" t="s">
        <v>76</v>
      </c>
      <c r="B71" s="70" t="s">
        <v>88</v>
      </c>
      <c r="C71" s="85" t="s">
        <v>85</v>
      </c>
      <c r="D71" s="85"/>
      <c r="E71" s="82">
        <v>120</v>
      </c>
      <c r="F71" s="84">
        <v>0.02</v>
      </c>
      <c r="G71" s="83">
        <f>E71/365.25*F71</f>
        <v>6.570841889117043E-3</v>
      </c>
      <c r="H71" s="83"/>
      <c r="I71" s="83"/>
      <c r="J71" s="83"/>
      <c r="K71" s="5"/>
      <c r="L71" s="5"/>
      <c r="M71" s="5"/>
      <c r="N71" s="5"/>
      <c r="O71" s="5"/>
      <c r="P71" s="5"/>
      <c r="Q71" s="5"/>
      <c r="R71" s="5"/>
      <c r="S71" s="5"/>
    </row>
    <row r="72" spans="1:19" ht="33.549999999999997" customHeight="1">
      <c r="A72" s="52" t="s">
        <v>89</v>
      </c>
      <c r="B72" s="52" t="s">
        <v>90</v>
      </c>
      <c r="C72" s="81" t="s">
        <v>85</v>
      </c>
      <c r="D72" s="81"/>
      <c r="E72" s="82">
        <v>3</v>
      </c>
      <c r="F72" s="73">
        <v>1</v>
      </c>
      <c r="G72" s="83">
        <f>E72/365.25*F72</f>
        <v>8.2135523613963042E-3</v>
      </c>
      <c r="H72" s="83"/>
      <c r="I72" s="83"/>
      <c r="J72" s="83"/>
      <c r="K72" s="5"/>
      <c r="L72" s="5"/>
      <c r="M72" s="5"/>
      <c r="N72" s="5"/>
      <c r="O72" s="5"/>
      <c r="P72" s="5"/>
      <c r="Q72" s="5"/>
      <c r="R72" s="5"/>
      <c r="S72" s="5"/>
    </row>
    <row r="73" spans="1:19" ht="25.05" customHeight="1">
      <c r="A73" s="70" t="s">
        <v>91</v>
      </c>
      <c r="B73" s="70" t="s">
        <v>92</v>
      </c>
      <c r="C73" s="86"/>
      <c r="D73" s="86"/>
      <c r="E73" s="82" t="s">
        <v>93</v>
      </c>
      <c r="F73" s="82" t="s">
        <v>93</v>
      </c>
      <c r="G73" s="86"/>
      <c r="H73" s="86"/>
      <c r="I73" s="86"/>
      <c r="J73" s="86"/>
      <c r="K73" s="5"/>
      <c r="L73" s="5"/>
      <c r="M73" s="5"/>
      <c r="N73" s="5"/>
      <c r="O73" s="5"/>
      <c r="P73" s="5"/>
      <c r="Q73" s="5"/>
      <c r="R73" s="5"/>
      <c r="S73" s="5"/>
    </row>
    <row r="74" spans="1:19" ht="16.149999999999999" customHeight="1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5"/>
      <c r="L74" s="5"/>
      <c r="M74" s="5"/>
      <c r="N74" s="5"/>
      <c r="O74" s="5"/>
      <c r="P74" s="5"/>
      <c r="Q74" s="5"/>
      <c r="R74" s="5"/>
      <c r="S74" s="5"/>
    </row>
    <row r="75" spans="1:19" ht="26.5" customHeight="1">
      <c r="A75" s="16" t="s">
        <v>94</v>
      </c>
      <c r="B75" s="16"/>
      <c r="C75" s="16"/>
      <c r="D75" s="16"/>
      <c r="E75" s="16"/>
      <c r="F75" s="16"/>
      <c r="G75" s="16"/>
      <c r="H75" s="16"/>
      <c r="I75" s="16"/>
      <c r="J75" s="16"/>
      <c r="K75" s="5"/>
      <c r="L75" s="5"/>
      <c r="M75" s="5"/>
      <c r="N75" s="5"/>
      <c r="O75" s="5"/>
      <c r="P75" s="5"/>
      <c r="Q75" s="5"/>
      <c r="R75" s="5"/>
      <c r="S75" s="5"/>
    </row>
    <row r="76" spans="1:19" ht="32.4" customHeight="1">
      <c r="A76" s="69" t="s">
        <v>95</v>
      </c>
      <c r="B76" s="69"/>
      <c r="C76" s="69"/>
      <c r="D76" s="88">
        <v>0.05</v>
      </c>
      <c r="E76" s="88"/>
      <c r="F76" s="88"/>
      <c r="G76" s="88"/>
      <c r="H76" s="88"/>
      <c r="I76" s="88"/>
      <c r="J76" s="88"/>
      <c r="K76" s="5"/>
      <c r="L76" s="5"/>
      <c r="M76" s="5"/>
      <c r="N76" s="5"/>
      <c r="O76" s="5"/>
      <c r="P76" s="5"/>
      <c r="Q76" s="5"/>
      <c r="R76" s="5"/>
      <c r="S76" s="5"/>
    </row>
    <row r="77" spans="1:19" ht="33.549999999999997" customHeight="1">
      <c r="A77" s="69" t="s">
        <v>96</v>
      </c>
      <c r="B77" s="69"/>
      <c r="C77" s="69"/>
      <c r="D77" s="45">
        <v>0.1</v>
      </c>
      <c r="E77" s="45"/>
      <c r="F77" s="45"/>
      <c r="G77" s="45"/>
      <c r="H77" s="45"/>
      <c r="I77" s="45"/>
      <c r="J77" s="45"/>
      <c r="K77" s="5"/>
      <c r="L77" s="5"/>
      <c r="M77" s="5"/>
      <c r="N77" s="5"/>
      <c r="O77" s="5"/>
      <c r="P77" s="5"/>
      <c r="Q77" s="5"/>
      <c r="R77" s="5"/>
      <c r="S77" s="5"/>
    </row>
    <row r="78" spans="1:19" ht="33.549999999999997" customHeight="1">
      <c r="A78" s="89" t="s">
        <v>97</v>
      </c>
      <c r="B78" s="90"/>
      <c r="C78" s="91"/>
      <c r="D78" s="92" t="str">
        <f>IF(A79="Simples Nacional","ATENÇÃO!! informe o faturamento ANUAL na célula D79 para o cálculo automático dos percentuais dos tributos",IF(A79="Lucro Real com PIS/COFINS não cumulativos", "ATENÇÃO!! PIS/COFINS não cumulativo - encaminhar cópias dos EFD e planilha para comprovação dos percentuais",IF(A79="Lucro Presumido","Regime Tributário escolhido- LUCRO PRESUMIDO"," ")))</f>
        <v xml:space="preserve"> </v>
      </c>
      <c r="E78" s="93"/>
      <c r="F78" s="93"/>
      <c r="G78" s="93"/>
      <c r="H78" s="93"/>
      <c r="I78" s="93"/>
      <c r="J78" s="94"/>
      <c r="K78" s="5"/>
      <c r="L78" s="5"/>
      <c r="M78" s="5"/>
      <c r="N78" s="5"/>
      <c r="O78" s="5"/>
      <c r="P78" s="5"/>
      <c r="Q78" s="5"/>
      <c r="R78" s="5"/>
      <c r="S78" s="5"/>
    </row>
    <row r="79" spans="1:19" ht="33.549999999999997" customHeight="1">
      <c r="A79" s="95" t="s">
        <v>98</v>
      </c>
      <c r="B79" s="96"/>
      <c r="C79" s="97"/>
      <c r="D79" s="98"/>
      <c r="E79" s="99"/>
      <c r="F79" s="99"/>
      <c r="G79" s="99"/>
      <c r="H79" s="99"/>
      <c r="I79" s="99"/>
      <c r="J79" s="100"/>
      <c r="K79" s="5"/>
      <c r="L79" s="5"/>
      <c r="M79" s="5"/>
      <c r="N79" s="5"/>
      <c r="O79" s="5"/>
      <c r="P79" s="5"/>
      <c r="Q79" s="5"/>
      <c r="R79" s="5"/>
      <c r="S79" s="5"/>
    </row>
    <row r="80" spans="1:19" ht="27.4" customHeight="1">
      <c r="A80" s="101" t="s">
        <v>99</v>
      </c>
      <c r="B80" s="102"/>
      <c r="C80" s="30" t="s">
        <v>100</v>
      </c>
      <c r="D80" s="84">
        <f>IF(A79="Lucro Real",0.0165,IF(A79="Lucro Presumido",0.0065,IF(A79="Lucro Real com PIS/COFINS não cumulativos",N108,IF(A79="Simples Nacional",'CALCULO SIMPLES'!B35))))</f>
        <v>1.6500000000000001E-2</v>
      </c>
      <c r="E80" s="103">
        <f>D80+D81+D82</f>
        <v>9.2499999999999999E-2</v>
      </c>
      <c r="F80" s="104"/>
      <c r="G80" s="104"/>
      <c r="H80" s="104"/>
      <c r="I80" s="104"/>
      <c r="J80" s="105"/>
      <c r="K80" s="5"/>
      <c r="L80" s="5"/>
      <c r="M80" s="5"/>
      <c r="N80" s="5"/>
      <c r="O80" s="5"/>
      <c r="P80" s="5"/>
      <c r="Q80" s="5"/>
      <c r="R80" s="5"/>
      <c r="S80" s="5"/>
    </row>
    <row r="81" spans="1:19" ht="23.2" customHeight="1">
      <c r="A81" s="106"/>
      <c r="B81" s="107"/>
      <c r="C81" s="30" t="s">
        <v>101</v>
      </c>
      <c r="D81" s="84">
        <f>IF(A79="Lucro Real",0.076,IF(A79="Lucro Real com PIS/COFINS não cumulativos",Q94,IF(A79="Lucro Presumido",0.03,IF(A79="Simples Nacional",'CALCULO SIMPLES'!C35))))</f>
        <v>7.5999999999999998E-2</v>
      </c>
      <c r="E81" s="108"/>
      <c r="F81" s="109"/>
      <c r="G81" s="109"/>
      <c r="H81" s="109"/>
      <c r="I81" s="109"/>
      <c r="J81" s="110"/>
      <c r="K81" s="5"/>
      <c r="L81" s="5"/>
      <c r="M81" s="5"/>
      <c r="N81" s="5"/>
      <c r="O81" s="5"/>
      <c r="P81" s="5"/>
      <c r="Q81" s="5"/>
      <c r="R81" s="5"/>
      <c r="S81" s="5"/>
    </row>
    <row r="82" spans="1:19" ht="23.2" customHeight="1">
      <c r="A82" s="111"/>
      <c r="B82" s="112"/>
      <c r="C82" s="30" t="s">
        <v>102</v>
      </c>
      <c r="D82" s="84"/>
      <c r="E82" s="113"/>
      <c r="F82" s="114"/>
      <c r="G82" s="114"/>
      <c r="H82" s="114"/>
      <c r="I82" s="114"/>
      <c r="J82" s="115"/>
      <c r="K82" s="5"/>
      <c r="L82" s="5"/>
      <c r="M82" s="5"/>
      <c r="N82" s="5"/>
      <c r="O82" s="5"/>
      <c r="P82" s="5"/>
      <c r="Q82" s="5"/>
      <c r="R82" s="5"/>
      <c r="S82" s="5"/>
    </row>
    <row r="83" spans="1:19" ht="26.65" customHeight="1">
      <c r="A83" s="37" t="str">
        <f>B2</f>
        <v>Guaratinguetá / SP</v>
      </c>
      <c r="B83" s="37"/>
      <c r="C83" s="30" t="s">
        <v>103</v>
      </c>
      <c r="D83" s="84">
        <f>IF(A79="Simples Nacional",'CALCULO SIMPLES'!D35,IF(A79="Lucro Presumido",'CALCULO SIMPLES'!E28,IF(A79="Lucro Real",'CALCULO SIMPLES'!E28,IF(A79="Lucro Real com PIS/COFINS não cumulativos",'CALCULO SIMPLES'!E28))))</f>
        <v>0.03</v>
      </c>
      <c r="E83" s="116">
        <f>D83+$E$80</f>
        <v>0.1225</v>
      </c>
      <c r="F83" s="117"/>
      <c r="G83" s="117"/>
      <c r="H83" s="117"/>
      <c r="I83" s="117"/>
      <c r="J83" s="118"/>
      <c r="K83" s="5"/>
      <c r="L83" s="5"/>
      <c r="M83" s="5"/>
      <c r="N83" s="5"/>
      <c r="O83" s="5"/>
      <c r="P83" s="5"/>
      <c r="Q83" s="5"/>
      <c r="R83" s="5"/>
      <c r="S83" s="5"/>
    </row>
    <row r="84" spans="1:19" ht="26.65" customHeight="1">
      <c r="A84" s="119"/>
      <c r="B84" s="119"/>
      <c r="C84" s="120"/>
      <c r="D84" s="121"/>
      <c r="E84" s="122" t="str">
        <f>IF(D79&gt;3600000,"6ª FAIXA SIMPLES NACIONAL - INFORME O PERCENTUAL DE ISS RELATIVO AO MUNICÍPIO"," ")</f>
        <v xml:space="preserve"> </v>
      </c>
      <c r="F84" s="122"/>
      <c r="G84" s="122"/>
      <c r="H84" s="122"/>
      <c r="I84" s="122"/>
      <c r="J84" s="122"/>
      <c r="K84" s="5"/>
      <c r="L84" s="5"/>
      <c r="M84" s="5"/>
      <c r="N84" s="5"/>
      <c r="O84" s="5"/>
      <c r="P84" s="5"/>
      <c r="Q84" s="5"/>
      <c r="R84" s="5"/>
      <c r="S84" s="5"/>
    </row>
    <row r="85" spans="1:19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ht="28.4" customHeight="1">
      <c r="A86" s="16" t="s">
        <v>104</v>
      </c>
      <c r="B86" s="16"/>
      <c r="C86" s="16"/>
      <c r="D86" s="16"/>
      <c r="E86" s="16"/>
      <c r="F86" s="16"/>
      <c r="G86" s="16"/>
      <c r="H86" s="16"/>
      <c r="I86" s="16"/>
      <c r="J86" s="16"/>
      <c r="K86" s="5"/>
      <c r="L86" s="5"/>
      <c r="M86" s="5"/>
      <c r="N86" s="5"/>
      <c r="O86" s="5"/>
      <c r="P86" s="5"/>
      <c r="Q86" s="5"/>
      <c r="R86" s="5"/>
      <c r="S86" s="5"/>
    </row>
    <row r="87" spans="1:19" ht="39.35" customHeight="1">
      <c r="A87" s="123" t="s">
        <v>61</v>
      </c>
      <c r="B87" s="123"/>
      <c r="C87" s="123"/>
      <c r="D87" s="65" t="s">
        <v>105</v>
      </c>
      <c r="E87" s="124"/>
      <c r="F87" s="124" t="s">
        <v>25</v>
      </c>
      <c r="G87" s="65" t="s">
        <v>106</v>
      </c>
      <c r="H87" s="123"/>
      <c r="I87" s="123"/>
      <c r="J87" s="123"/>
      <c r="K87" s="5"/>
      <c r="L87" s="5"/>
      <c r="M87" s="5"/>
      <c r="N87" s="5"/>
      <c r="O87" s="5"/>
      <c r="P87" s="5"/>
      <c r="Q87" s="5"/>
      <c r="R87" s="5"/>
      <c r="S87" s="5"/>
    </row>
    <row r="88" spans="1:19" ht="25.65" customHeight="1">
      <c r="A88" s="125" t="s">
        <v>107</v>
      </c>
      <c r="B88" s="125"/>
      <c r="C88" s="125"/>
      <c r="D88" s="126" t="s">
        <v>108</v>
      </c>
      <c r="E88" s="127"/>
      <c r="F88" s="128">
        <v>2</v>
      </c>
      <c r="G88" s="128">
        <v>1</v>
      </c>
      <c r="H88" s="129"/>
      <c r="I88" s="129"/>
      <c r="J88" s="129"/>
      <c r="K88" s="5"/>
      <c r="L88" s="5"/>
      <c r="M88" s="5"/>
      <c r="N88" s="5"/>
      <c r="O88" s="5"/>
      <c r="P88" s="5"/>
      <c r="Q88" s="5"/>
      <c r="R88" s="5"/>
      <c r="S88" s="5"/>
    </row>
    <row r="89" spans="1:19" ht="24.2" customHeight="1">
      <c r="A89" s="125" t="s">
        <v>109</v>
      </c>
      <c r="B89" s="125"/>
      <c r="C89" s="125"/>
      <c r="D89" s="126" t="s">
        <v>110</v>
      </c>
      <c r="E89" s="130"/>
      <c r="F89" s="128">
        <v>2</v>
      </c>
      <c r="G89" s="128">
        <v>1</v>
      </c>
      <c r="H89" s="129"/>
      <c r="I89" s="129"/>
      <c r="J89" s="129"/>
      <c r="K89" s="5"/>
      <c r="L89" s="5"/>
      <c r="M89" s="5"/>
      <c r="N89" s="5"/>
      <c r="O89" s="5"/>
      <c r="P89" s="5"/>
      <c r="Q89" s="5"/>
      <c r="R89" s="5"/>
      <c r="S89" s="5"/>
    </row>
    <row r="90" spans="1:19" ht="25.05" customHeight="1">
      <c r="A90" s="125" t="s">
        <v>111</v>
      </c>
      <c r="B90" s="125"/>
      <c r="C90" s="125"/>
      <c r="D90" s="126" t="s">
        <v>105</v>
      </c>
      <c r="E90" s="130"/>
      <c r="F90" s="128">
        <v>0</v>
      </c>
      <c r="G90" s="128">
        <v>1</v>
      </c>
      <c r="H90" s="129"/>
      <c r="I90" s="129"/>
      <c r="J90" s="129"/>
      <c r="K90" s="5"/>
      <c r="L90" s="5"/>
      <c r="M90" s="5"/>
      <c r="N90" s="5"/>
      <c r="O90" s="5"/>
      <c r="P90" s="5"/>
      <c r="Q90" s="5"/>
      <c r="R90" s="5"/>
      <c r="S90" s="5"/>
    </row>
    <row r="91" spans="1:19" ht="27.4" customHeight="1">
      <c r="A91" s="125" t="s">
        <v>112</v>
      </c>
      <c r="B91" s="125"/>
      <c r="C91" s="125"/>
      <c r="D91" s="126" t="s">
        <v>105</v>
      </c>
      <c r="E91" s="130"/>
      <c r="F91" s="128">
        <v>1</v>
      </c>
      <c r="G91" s="128">
        <v>3</v>
      </c>
      <c r="H91" s="129"/>
      <c r="I91" s="129"/>
      <c r="J91" s="129"/>
      <c r="K91" s="5"/>
      <c r="L91" s="5"/>
      <c r="M91" s="5"/>
      <c r="N91" s="5"/>
      <c r="O91" s="5"/>
      <c r="P91" s="5"/>
      <c r="Q91" s="5"/>
      <c r="R91" s="5"/>
      <c r="S91" s="5"/>
    </row>
    <row r="92" spans="1:19" ht="26.65" customHeight="1">
      <c r="A92" s="125" t="s">
        <v>113</v>
      </c>
      <c r="B92" s="125"/>
      <c r="C92" s="125"/>
      <c r="D92" s="126" t="s">
        <v>105</v>
      </c>
      <c r="E92" s="130"/>
      <c r="F92" s="128">
        <v>1</v>
      </c>
      <c r="G92" s="128">
        <v>3</v>
      </c>
      <c r="H92" s="129"/>
      <c r="I92" s="129"/>
      <c r="J92" s="129"/>
      <c r="K92" s="5"/>
      <c r="L92" s="5"/>
      <c r="M92" s="5"/>
      <c r="N92" s="5"/>
      <c r="O92" s="5"/>
      <c r="P92" s="5"/>
      <c r="Q92" s="5"/>
      <c r="R92" s="5"/>
      <c r="S92" s="5"/>
    </row>
    <row r="93" spans="1:19" ht="23.2" customHeight="1">
      <c r="A93" s="125" t="s">
        <v>114</v>
      </c>
      <c r="B93" s="125"/>
      <c r="C93" s="125"/>
      <c r="D93" s="126" t="s">
        <v>105</v>
      </c>
      <c r="E93" s="130"/>
      <c r="F93" s="128">
        <v>1</v>
      </c>
      <c r="G93" s="128">
        <v>12</v>
      </c>
      <c r="H93" s="129"/>
      <c r="I93" s="129"/>
      <c r="J93" s="129"/>
      <c r="K93" s="5"/>
      <c r="L93" s="5"/>
      <c r="M93" s="5"/>
      <c r="N93" s="5"/>
      <c r="O93" s="5"/>
      <c r="P93" s="5"/>
      <c r="Q93" s="5"/>
      <c r="R93" s="5"/>
      <c r="S93" s="5"/>
    </row>
    <row r="94" spans="1:19" ht="25.05" customHeight="1">
      <c r="A94" s="125" t="s">
        <v>115</v>
      </c>
      <c r="B94" s="125"/>
      <c r="C94" s="125"/>
      <c r="D94" s="126" t="s">
        <v>105</v>
      </c>
      <c r="E94" s="130"/>
      <c r="F94" s="128">
        <v>1</v>
      </c>
      <c r="G94" s="128">
        <v>12</v>
      </c>
      <c r="H94" s="129"/>
      <c r="I94" s="129"/>
      <c r="J94" s="129"/>
      <c r="K94" s="5"/>
      <c r="L94" s="5"/>
      <c r="M94" s="5"/>
      <c r="N94" s="5"/>
      <c r="O94" s="5"/>
      <c r="P94" s="5"/>
      <c r="Q94" s="5"/>
      <c r="R94" s="5"/>
      <c r="S94" s="5"/>
    </row>
    <row r="95" spans="1:19" ht="25.05" customHeight="1">
      <c r="A95" s="125" t="s">
        <v>116</v>
      </c>
      <c r="B95" s="125"/>
      <c r="C95" s="125"/>
      <c r="D95" s="126" t="s">
        <v>105</v>
      </c>
      <c r="E95" s="130"/>
      <c r="F95" s="128">
        <v>2</v>
      </c>
      <c r="G95" s="128">
        <v>1</v>
      </c>
      <c r="H95" s="129"/>
      <c r="I95" s="129"/>
      <c r="J95" s="129"/>
      <c r="K95" s="5"/>
      <c r="L95" s="5"/>
      <c r="M95" s="5"/>
      <c r="N95" s="5"/>
      <c r="O95" s="5"/>
      <c r="P95" s="5"/>
      <c r="Q95" s="5"/>
      <c r="R95" s="5"/>
      <c r="S95" s="5"/>
    </row>
    <row r="96" spans="1:19" ht="26.65" customHeight="1">
      <c r="A96" s="125" t="s">
        <v>117</v>
      </c>
      <c r="B96" s="125"/>
      <c r="C96" s="125"/>
      <c r="D96" s="126" t="s">
        <v>105</v>
      </c>
      <c r="E96" s="130"/>
      <c r="F96" s="128">
        <v>0</v>
      </c>
      <c r="G96" s="128">
        <v>1</v>
      </c>
      <c r="H96" s="129"/>
      <c r="I96" s="129"/>
      <c r="J96" s="129"/>
      <c r="K96" s="5"/>
      <c r="L96" s="5"/>
      <c r="M96" s="5"/>
      <c r="N96" s="5"/>
      <c r="O96" s="5"/>
      <c r="P96" s="5"/>
      <c r="Q96" s="5"/>
      <c r="R96" s="5"/>
      <c r="S96" s="5"/>
    </row>
    <row r="97" spans="1:19" ht="26.65" customHeight="1">
      <c r="A97" s="125" t="s">
        <v>118</v>
      </c>
      <c r="B97" s="125"/>
      <c r="C97" s="125"/>
      <c r="D97" s="126" t="s">
        <v>105</v>
      </c>
      <c r="E97" s="130"/>
      <c r="F97" s="128">
        <v>3</v>
      </c>
      <c r="G97" s="128">
        <v>1</v>
      </c>
      <c r="H97" s="129"/>
      <c r="I97" s="129"/>
      <c r="J97" s="129"/>
      <c r="K97" s="5"/>
      <c r="L97" s="5"/>
      <c r="M97" s="5"/>
      <c r="N97" s="5"/>
      <c r="O97" s="5"/>
      <c r="P97" s="5"/>
      <c r="Q97" s="5"/>
      <c r="R97" s="5"/>
      <c r="S97" s="5"/>
    </row>
    <row r="98" spans="1:19" ht="25.05" customHeight="1">
      <c r="A98" s="125" t="s">
        <v>119</v>
      </c>
      <c r="B98" s="125"/>
      <c r="C98" s="125"/>
      <c r="D98" s="126" t="s">
        <v>105</v>
      </c>
      <c r="E98" s="130"/>
      <c r="F98" s="128">
        <v>1</v>
      </c>
      <c r="G98" s="128">
        <v>1</v>
      </c>
      <c r="H98" s="129"/>
      <c r="I98" s="129"/>
      <c r="J98" s="129"/>
      <c r="K98" s="5"/>
      <c r="L98" s="5"/>
      <c r="M98" s="5"/>
      <c r="N98" s="5"/>
      <c r="O98" s="5"/>
      <c r="P98" s="5"/>
      <c r="Q98" s="5"/>
      <c r="R98" s="5"/>
      <c r="S98" s="5"/>
    </row>
    <row r="99" spans="1:19" ht="25.05" customHeight="1">
      <c r="A99" s="125" t="s">
        <v>120</v>
      </c>
      <c r="B99" s="125"/>
      <c r="C99" s="125"/>
      <c r="D99" s="126" t="s">
        <v>105</v>
      </c>
      <c r="E99" s="130"/>
      <c r="F99" s="128">
        <v>2</v>
      </c>
      <c r="G99" s="128">
        <v>3</v>
      </c>
      <c r="H99" s="129"/>
      <c r="I99" s="129"/>
      <c r="J99" s="129"/>
      <c r="K99" s="5"/>
      <c r="L99" s="5"/>
      <c r="M99" s="5"/>
      <c r="N99" s="5"/>
      <c r="O99" s="5"/>
      <c r="P99" s="5"/>
      <c r="Q99" s="5"/>
      <c r="R99" s="5"/>
      <c r="S99" s="5"/>
    </row>
    <row r="100" spans="1:19" ht="26.65" customHeight="1">
      <c r="A100" s="125" t="s">
        <v>121</v>
      </c>
      <c r="B100" s="125"/>
      <c r="C100" s="125"/>
      <c r="D100" s="126" t="s">
        <v>105</v>
      </c>
      <c r="E100" s="130"/>
      <c r="F100" s="128">
        <v>5</v>
      </c>
      <c r="G100" s="128">
        <v>1</v>
      </c>
      <c r="H100" s="129"/>
      <c r="I100" s="129"/>
      <c r="J100" s="129"/>
      <c r="K100" s="5"/>
      <c r="L100" s="5"/>
      <c r="M100" s="5"/>
      <c r="N100" s="5"/>
      <c r="O100" s="5"/>
      <c r="P100" s="5"/>
      <c r="Q100" s="5"/>
      <c r="R100" s="5"/>
      <c r="S100" s="5"/>
    </row>
    <row r="101" spans="1:19" ht="26.65" customHeight="1">
      <c r="A101" s="125" t="s">
        <v>122</v>
      </c>
      <c r="B101" s="125"/>
      <c r="C101" s="125"/>
      <c r="D101" s="126" t="s">
        <v>105</v>
      </c>
      <c r="E101" s="130"/>
      <c r="F101" s="128">
        <v>2</v>
      </c>
      <c r="G101" s="128">
        <v>1</v>
      </c>
      <c r="H101" s="129"/>
      <c r="I101" s="129"/>
      <c r="J101" s="129"/>
      <c r="K101" s="5"/>
      <c r="L101" s="5"/>
      <c r="M101" s="5"/>
      <c r="N101" s="5"/>
      <c r="O101" s="5"/>
      <c r="P101" s="5"/>
      <c r="Q101" s="5"/>
      <c r="R101" s="5"/>
      <c r="S101" s="5"/>
    </row>
    <row r="102" spans="1:19" ht="31" customHeight="1">
      <c r="A102" s="125" t="s">
        <v>123</v>
      </c>
      <c r="B102" s="125"/>
      <c r="C102" s="125"/>
      <c r="D102" s="126" t="s">
        <v>124</v>
      </c>
      <c r="E102" s="130"/>
      <c r="F102" s="128">
        <v>1</v>
      </c>
      <c r="G102" s="128">
        <v>1</v>
      </c>
      <c r="H102" s="129"/>
      <c r="I102" s="129"/>
      <c r="J102" s="129"/>
      <c r="K102" s="5"/>
      <c r="L102" s="5"/>
      <c r="M102" s="5"/>
      <c r="N102" s="5"/>
      <c r="O102" s="5"/>
      <c r="P102" s="5"/>
      <c r="Q102" s="5"/>
      <c r="R102" s="5"/>
      <c r="S102" s="5"/>
    </row>
    <row r="103" spans="1:19" ht="27.4" customHeight="1">
      <c r="A103" s="125" t="s">
        <v>125</v>
      </c>
      <c r="B103" s="125"/>
      <c r="C103" s="125"/>
      <c r="D103" s="126" t="s">
        <v>105</v>
      </c>
      <c r="E103" s="130"/>
      <c r="F103" s="128">
        <v>2</v>
      </c>
      <c r="G103" s="128">
        <v>1</v>
      </c>
      <c r="H103" s="129"/>
      <c r="I103" s="129"/>
      <c r="J103" s="129"/>
      <c r="K103" s="5"/>
      <c r="L103" s="5"/>
      <c r="M103" s="5"/>
      <c r="N103" s="5"/>
      <c r="O103" s="5"/>
      <c r="P103" s="5"/>
      <c r="Q103" s="5"/>
      <c r="R103" s="5"/>
      <c r="S103" s="5"/>
    </row>
    <row r="104" spans="1:19" ht="26.65" customHeight="1">
      <c r="A104" s="125" t="s">
        <v>126</v>
      </c>
      <c r="B104" s="125"/>
      <c r="C104" s="125"/>
      <c r="D104" s="126" t="s">
        <v>105</v>
      </c>
      <c r="E104" s="130"/>
      <c r="F104" s="128">
        <v>1</v>
      </c>
      <c r="G104" s="128">
        <v>1</v>
      </c>
      <c r="H104" s="129"/>
      <c r="I104" s="129"/>
      <c r="J104" s="129"/>
      <c r="K104" s="5"/>
      <c r="L104" s="5"/>
      <c r="M104" s="5"/>
      <c r="N104" s="5"/>
      <c r="O104" s="5"/>
      <c r="P104" s="5"/>
      <c r="Q104" s="5"/>
      <c r="R104" s="5"/>
      <c r="S104" s="5"/>
    </row>
    <row r="105" spans="1:19" ht="29.95" customHeight="1">
      <c r="A105" s="125" t="s">
        <v>127</v>
      </c>
      <c r="B105" s="125"/>
      <c r="C105" s="125"/>
      <c r="D105" s="126" t="s">
        <v>128</v>
      </c>
      <c r="E105" s="130"/>
      <c r="F105" s="128">
        <v>2</v>
      </c>
      <c r="G105" s="128">
        <v>1</v>
      </c>
      <c r="H105" s="129"/>
      <c r="I105" s="129"/>
      <c r="J105" s="129"/>
      <c r="K105" s="5"/>
      <c r="L105" s="5"/>
      <c r="M105" s="5"/>
      <c r="N105" s="5"/>
      <c r="O105" s="5"/>
      <c r="P105" s="5"/>
      <c r="Q105" s="5"/>
      <c r="R105" s="5"/>
      <c r="S105" s="5"/>
    </row>
    <row r="106" spans="1:19" ht="27.4" customHeight="1">
      <c r="A106" s="125" t="s">
        <v>129</v>
      </c>
      <c r="B106" s="125"/>
      <c r="C106" s="125"/>
      <c r="D106" s="126" t="s">
        <v>105</v>
      </c>
      <c r="E106" s="130"/>
      <c r="F106" s="128">
        <v>1</v>
      </c>
      <c r="G106" s="128">
        <v>12</v>
      </c>
      <c r="H106" s="129"/>
      <c r="I106" s="129"/>
      <c r="J106" s="129"/>
      <c r="K106" s="5"/>
      <c r="L106" s="5"/>
      <c r="M106" s="5"/>
      <c r="N106" s="5"/>
      <c r="O106" s="5"/>
      <c r="P106" s="5"/>
      <c r="Q106" s="5"/>
      <c r="R106" s="5"/>
      <c r="S106" s="5"/>
    </row>
    <row r="107" spans="1:19" ht="28.4" customHeight="1">
      <c r="A107" s="125" t="s">
        <v>130</v>
      </c>
      <c r="B107" s="125"/>
      <c r="C107" s="125"/>
      <c r="D107" s="126" t="s">
        <v>105</v>
      </c>
      <c r="E107" s="130"/>
      <c r="F107" s="128">
        <v>4</v>
      </c>
      <c r="G107" s="128">
        <v>1</v>
      </c>
      <c r="H107" s="129"/>
      <c r="I107" s="129"/>
      <c r="J107" s="129"/>
      <c r="K107" s="5"/>
      <c r="L107" s="5"/>
      <c r="M107" s="5"/>
      <c r="N107" s="5"/>
      <c r="O107" s="5"/>
      <c r="P107" s="5"/>
      <c r="Q107" s="5"/>
      <c r="R107" s="5"/>
      <c r="S107" s="5"/>
    </row>
    <row r="108" spans="1:19" ht="28.4" customHeight="1">
      <c r="A108" s="125" t="s">
        <v>131</v>
      </c>
      <c r="B108" s="125"/>
      <c r="C108" s="125"/>
      <c r="D108" s="126" t="s">
        <v>105</v>
      </c>
      <c r="E108" s="130"/>
      <c r="F108" s="128">
        <v>2</v>
      </c>
      <c r="G108" s="128">
        <v>6</v>
      </c>
      <c r="H108" s="129"/>
      <c r="I108" s="129"/>
      <c r="J108" s="129"/>
      <c r="K108" s="5"/>
      <c r="L108" s="5"/>
      <c r="M108" s="5"/>
      <c r="N108" s="5"/>
      <c r="O108" s="5"/>
      <c r="P108" s="5"/>
      <c r="Q108" s="5"/>
      <c r="R108" s="5"/>
      <c r="S108" s="5"/>
    </row>
    <row r="109" spans="1:19" ht="27.4" customHeight="1">
      <c r="A109" s="125" t="s">
        <v>132</v>
      </c>
      <c r="B109" s="125"/>
      <c r="C109" s="125"/>
      <c r="D109" s="126" t="s">
        <v>124</v>
      </c>
      <c r="E109" s="130"/>
      <c r="F109" s="128">
        <v>1</v>
      </c>
      <c r="G109" s="128">
        <v>1</v>
      </c>
      <c r="H109" s="129"/>
      <c r="I109" s="129"/>
      <c r="J109" s="129"/>
      <c r="K109" s="5"/>
      <c r="L109" s="5"/>
      <c r="M109" s="5"/>
      <c r="N109" s="5"/>
      <c r="O109" s="5"/>
      <c r="P109" s="5"/>
      <c r="Q109" s="5"/>
      <c r="R109" s="5"/>
      <c r="S109" s="5"/>
    </row>
    <row r="110" spans="1:19" ht="26.65" customHeight="1">
      <c r="A110" s="125" t="s">
        <v>133</v>
      </c>
      <c r="B110" s="125"/>
      <c r="C110" s="125"/>
      <c r="D110" s="126" t="s">
        <v>105</v>
      </c>
      <c r="E110" s="130"/>
      <c r="F110" s="128">
        <v>2</v>
      </c>
      <c r="G110" s="128">
        <v>1</v>
      </c>
      <c r="H110" s="129"/>
      <c r="I110" s="129"/>
      <c r="J110" s="129"/>
      <c r="K110" s="5"/>
      <c r="L110" s="5"/>
      <c r="M110" s="5"/>
      <c r="N110" s="5"/>
      <c r="O110" s="5"/>
      <c r="P110" s="5"/>
      <c r="Q110" s="5"/>
      <c r="R110" s="5"/>
      <c r="S110" s="5"/>
    </row>
    <row r="111" spans="1:19" ht="28.4" customHeight="1">
      <c r="A111" s="125" t="s">
        <v>134</v>
      </c>
      <c r="B111" s="125"/>
      <c r="C111" s="125"/>
      <c r="D111" s="126" t="s">
        <v>105</v>
      </c>
      <c r="E111" s="130"/>
      <c r="F111" s="128">
        <v>5</v>
      </c>
      <c r="G111" s="128">
        <v>1</v>
      </c>
      <c r="H111" s="129"/>
      <c r="I111" s="129"/>
      <c r="J111" s="129"/>
      <c r="K111" s="5"/>
      <c r="L111" s="5"/>
      <c r="M111" s="5"/>
      <c r="N111" s="5"/>
      <c r="O111" s="5"/>
      <c r="P111" s="5"/>
      <c r="Q111" s="5"/>
      <c r="R111" s="5"/>
      <c r="S111" s="5"/>
    </row>
    <row r="112" spans="1:19" ht="25.65" customHeight="1">
      <c r="A112" s="125" t="s">
        <v>135</v>
      </c>
      <c r="B112" s="125"/>
      <c r="C112" s="125"/>
      <c r="D112" s="126" t="s">
        <v>124</v>
      </c>
      <c r="E112" s="130"/>
      <c r="F112" s="128">
        <v>2</v>
      </c>
      <c r="G112" s="128">
        <v>1</v>
      </c>
      <c r="H112" s="129"/>
      <c r="I112" s="129"/>
      <c r="J112" s="129"/>
      <c r="K112" s="5"/>
      <c r="L112" s="5"/>
      <c r="M112" s="5"/>
      <c r="N112" s="5"/>
      <c r="O112" s="5"/>
      <c r="P112" s="5"/>
      <c r="Q112" s="5"/>
      <c r="R112" s="5"/>
      <c r="S112" s="5"/>
    </row>
    <row r="113" spans="1:19" ht="29.1" customHeight="1">
      <c r="A113" s="125" t="s">
        <v>136</v>
      </c>
      <c r="B113" s="125"/>
      <c r="C113" s="125"/>
      <c r="D113" s="126" t="s">
        <v>124</v>
      </c>
      <c r="E113" s="130"/>
      <c r="F113" s="128">
        <v>2</v>
      </c>
      <c r="G113" s="128">
        <v>1</v>
      </c>
      <c r="H113" s="129"/>
      <c r="I113" s="129"/>
      <c r="J113" s="129"/>
      <c r="K113" s="5"/>
      <c r="L113" s="5"/>
      <c r="M113" s="5"/>
      <c r="N113" s="5"/>
      <c r="O113" s="5"/>
      <c r="P113" s="5"/>
      <c r="Q113" s="5"/>
      <c r="R113" s="5"/>
      <c r="S113" s="5"/>
    </row>
    <row r="114" spans="1:19" ht="29.95" customHeight="1">
      <c r="A114" s="125" t="s">
        <v>137</v>
      </c>
      <c r="B114" s="125"/>
      <c r="C114" s="125"/>
      <c r="D114" s="126" t="s">
        <v>124</v>
      </c>
      <c r="E114" s="130"/>
      <c r="F114" s="128">
        <v>2</v>
      </c>
      <c r="G114" s="128">
        <v>1</v>
      </c>
      <c r="H114" s="129"/>
      <c r="I114" s="129"/>
      <c r="J114" s="129"/>
      <c r="K114" s="5"/>
      <c r="L114" s="5"/>
      <c r="M114" s="5"/>
      <c r="N114" s="5"/>
      <c r="O114" s="5"/>
      <c r="P114" s="5"/>
      <c r="Q114" s="5"/>
      <c r="R114" s="5"/>
      <c r="S114" s="5"/>
    </row>
    <row r="115" spans="1:19" ht="29.1" customHeight="1">
      <c r="A115" s="125" t="s">
        <v>138</v>
      </c>
      <c r="B115" s="125"/>
      <c r="C115" s="125"/>
      <c r="D115" s="126" t="s">
        <v>139</v>
      </c>
      <c r="E115" s="130"/>
      <c r="F115" s="128">
        <v>2</v>
      </c>
      <c r="G115" s="128">
        <v>1</v>
      </c>
      <c r="H115" s="129"/>
      <c r="I115" s="129"/>
      <c r="J115" s="129"/>
      <c r="K115" s="5"/>
      <c r="L115" s="5"/>
      <c r="M115" s="5"/>
      <c r="N115" s="5"/>
      <c r="O115" s="5"/>
      <c r="P115" s="5"/>
      <c r="Q115" s="5"/>
      <c r="R115" s="5"/>
      <c r="S115" s="5"/>
    </row>
    <row r="116" spans="1:19" ht="31" customHeight="1">
      <c r="A116" s="125" t="s">
        <v>140</v>
      </c>
      <c r="B116" s="125"/>
      <c r="C116" s="125"/>
      <c r="D116" s="126" t="s">
        <v>105</v>
      </c>
      <c r="E116" s="130"/>
      <c r="F116" s="128">
        <v>1</v>
      </c>
      <c r="G116" s="128">
        <v>3</v>
      </c>
      <c r="H116" s="129"/>
      <c r="I116" s="129"/>
      <c r="J116" s="129"/>
      <c r="K116" s="5"/>
      <c r="L116" s="5"/>
      <c r="M116" s="5"/>
      <c r="N116" s="5"/>
      <c r="O116" s="5"/>
      <c r="P116" s="5"/>
      <c r="Q116" s="5"/>
      <c r="R116" s="5"/>
      <c r="S116" s="5"/>
    </row>
    <row r="117" spans="1:19" ht="27.4" customHeight="1">
      <c r="A117" s="125" t="s">
        <v>141</v>
      </c>
      <c r="B117" s="125"/>
      <c r="C117" s="125"/>
      <c r="D117" s="126" t="s">
        <v>105</v>
      </c>
      <c r="E117" s="130"/>
      <c r="F117" s="128">
        <v>1</v>
      </c>
      <c r="G117" s="128">
        <v>3</v>
      </c>
      <c r="H117" s="129"/>
      <c r="I117" s="129"/>
      <c r="J117" s="129"/>
      <c r="K117" s="5"/>
      <c r="L117" s="5"/>
      <c r="M117" s="5"/>
      <c r="N117" s="5"/>
      <c r="O117" s="5"/>
      <c r="P117" s="5"/>
      <c r="Q117" s="5"/>
      <c r="R117" s="5"/>
      <c r="S117" s="5"/>
    </row>
    <row r="118" spans="1:19" ht="29.95" customHeight="1">
      <c r="A118" s="125" t="s">
        <v>142</v>
      </c>
      <c r="B118" s="125"/>
      <c r="C118" s="125"/>
      <c r="D118" s="126" t="s">
        <v>105</v>
      </c>
      <c r="E118" s="130"/>
      <c r="F118" s="128">
        <v>1</v>
      </c>
      <c r="G118" s="128">
        <v>3</v>
      </c>
      <c r="H118" s="129"/>
      <c r="I118" s="129"/>
      <c r="J118" s="129"/>
      <c r="K118" s="5"/>
      <c r="L118" s="5"/>
      <c r="M118" s="5"/>
      <c r="N118" s="5"/>
      <c r="O118" s="5"/>
      <c r="P118" s="5"/>
      <c r="Q118" s="5"/>
      <c r="R118" s="5"/>
      <c r="S118" s="5"/>
    </row>
    <row r="119" spans="1:19" ht="25.65" customHeight="1">
      <c r="A119" s="125" t="s">
        <v>143</v>
      </c>
      <c r="B119" s="125"/>
      <c r="C119" s="125"/>
      <c r="D119" s="126" t="s">
        <v>105</v>
      </c>
      <c r="E119" s="130"/>
      <c r="F119" s="128">
        <v>1</v>
      </c>
      <c r="G119" s="128">
        <v>3</v>
      </c>
      <c r="H119" s="129"/>
      <c r="I119" s="129"/>
      <c r="J119" s="129"/>
      <c r="K119" s="5"/>
      <c r="L119" s="5"/>
      <c r="M119" s="5"/>
      <c r="N119" s="5"/>
      <c r="O119" s="5"/>
      <c r="P119" s="5"/>
      <c r="Q119" s="5"/>
      <c r="R119" s="5"/>
      <c r="S119" s="5"/>
    </row>
    <row r="120" spans="1:19" ht="29.95" customHeight="1">
      <c r="A120" s="125" t="s">
        <v>144</v>
      </c>
      <c r="B120" s="125"/>
      <c r="C120" s="125"/>
      <c r="D120" s="126" t="s">
        <v>105</v>
      </c>
      <c r="E120" s="130"/>
      <c r="F120" s="128">
        <v>1</v>
      </c>
      <c r="G120" s="128">
        <v>6</v>
      </c>
      <c r="H120" s="129"/>
      <c r="I120" s="129"/>
      <c r="J120" s="129"/>
      <c r="K120" s="5"/>
      <c r="L120" s="5"/>
      <c r="M120" s="5"/>
      <c r="N120" s="5"/>
      <c r="O120" s="5"/>
      <c r="P120" s="5"/>
      <c r="Q120" s="5"/>
      <c r="R120" s="5"/>
      <c r="S120" s="5"/>
    </row>
    <row r="121" spans="1:19" ht="26.65" customHeight="1">
      <c r="A121" s="125" t="s">
        <v>145</v>
      </c>
      <c r="B121" s="125"/>
      <c r="C121" s="125"/>
      <c r="D121" s="126" t="s">
        <v>105</v>
      </c>
      <c r="E121" s="130"/>
      <c r="F121" s="128">
        <v>1</v>
      </c>
      <c r="G121" s="128">
        <v>12</v>
      </c>
      <c r="H121" s="129"/>
      <c r="I121" s="129"/>
      <c r="J121" s="129"/>
      <c r="K121" s="5"/>
      <c r="L121" s="5"/>
      <c r="M121" s="5"/>
      <c r="N121" s="5"/>
      <c r="O121" s="5"/>
      <c r="P121" s="5"/>
      <c r="Q121" s="5"/>
      <c r="R121" s="5"/>
      <c r="S121" s="5"/>
    </row>
    <row r="122" spans="1:19" ht="25.05" customHeight="1">
      <c r="A122" s="125" t="s">
        <v>146</v>
      </c>
      <c r="B122" s="125"/>
      <c r="C122" s="125"/>
      <c r="D122" s="126" t="s">
        <v>105</v>
      </c>
      <c r="E122" s="130"/>
      <c r="F122" s="128">
        <v>1</v>
      </c>
      <c r="G122" s="128">
        <v>1</v>
      </c>
      <c r="H122" s="129"/>
      <c r="I122" s="129"/>
      <c r="J122" s="129"/>
      <c r="K122" s="5"/>
      <c r="L122" s="5"/>
      <c r="M122" s="5"/>
      <c r="N122" s="5"/>
      <c r="O122" s="5"/>
      <c r="P122" s="5"/>
      <c r="Q122" s="5"/>
      <c r="R122" s="5"/>
      <c r="S122" s="5"/>
    </row>
    <row r="123" spans="1:19" ht="25.05" customHeight="1">
      <c r="A123" s="125" t="s">
        <v>147</v>
      </c>
      <c r="B123" s="125"/>
      <c r="C123" s="125"/>
      <c r="D123" s="126" t="s">
        <v>105</v>
      </c>
      <c r="E123" s="130"/>
      <c r="F123" s="128">
        <v>1</v>
      </c>
      <c r="G123" s="128">
        <v>12</v>
      </c>
      <c r="H123" s="129"/>
      <c r="I123" s="129"/>
      <c r="J123" s="129"/>
      <c r="K123" s="5"/>
      <c r="L123" s="5"/>
      <c r="M123" s="5"/>
      <c r="N123" s="5"/>
      <c r="O123" s="5"/>
      <c r="P123" s="5"/>
      <c r="Q123" s="5"/>
      <c r="R123" s="5"/>
      <c r="S123" s="5"/>
    </row>
    <row r="124" spans="1:19" ht="25.05" customHeight="1">
      <c r="A124" s="125" t="s">
        <v>148</v>
      </c>
      <c r="B124" s="125"/>
      <c r="C124" s="125"/>
      <c r="D124" s="126" t="s">
        <v>105</v>
      </c>
      <c r="E124" s="130"/>
      <c r="F124" s="128">
        <v>2</v>
      </c>
      <c r="G124" s="128">
        <v>12</v>
      </c>
      <c r="H124" s="129"/>
      <c r="I124" s="129"/>
      <c r="J124" s="129"/>
      <c r="K124" s="5"/>
      <c r="L124" s="5"/>
      <c r="M124" s="5"/>
      <c r="N124" s="5"/>
      <c r="O124" s="5"/>
      <c r="P124" s="5"/>
      <c r="Q124" s="5"/>
      <c r="R124" s="5"/>
      <c r="S124" s="5"/>
    </row>
    <row r="125" spans="1:19" ht="25.05" customHeight="1">
      <c r="A125" s="125" t="s">
        <v>149</v>
      </c>
      <c r="B125" s="125"/>
      <c r="C125" s="125"/>
      <c r="D125" s="126" t="s">
        <v>105</v>
      </c>
      <c r="E125" s="130"/>
      <c r="F125" s="128">
        <v>1</v>
      </c>
      <c r="G125" s="128">
        <v>12</v>
      </c>
      <c r="H125" s="129"/>
      <c r="I125" s="129"/>
      <c r="J125" s="129"/>
      <c r="K125" s="5"/>
      <c r="L125" s="5"/>
      <c r="M125" s="5"/>
      <c r="N125" s="5"/>
      <c r="O125" s="5"/>
      <c r="P125" s="5"/>
      <c r="Q125" s="5"/>
      <c r="R125" s="5"/>
      <c r="S125" s="5"/>
    </row>
    <row r="126" spans="1:19" ht="27.4" customHeight="1">
      <c r="A126" s="131" t="s">
        <v>92</v>
      </c>
      <c r="B126" s="131"/>
      <c r="C126" s="131"/>
      <c r="D126" s="132"/>
      <c r="E126" s="133"/>
      <c r="F126" s="133"/>
      <c r="G126" s="133"/>
      <c r="H126" s="134"/>
      <c r="I126" s="135"/>
      <c r="J126" s="136"/>
      <c r="K126" s="5"/>
      <c r="L126" s="5"/>
      <c r="M126" s="5"/>
      <c r="N126" s="5"/>
      <c r="O126" s="5"/>
      <c r="P126" s="5"/>
      <c r="Q126" s="5"/>
      <c r="R126" s="5"/>
      <c r="S126" s="5"/>
    </row>
    <row r="127" spans="1:19" ht="34.85" customHeight="1">
      <c r="A127" s="69" t="s">
        <v>150</v>
      </c>
      <c r="B127" s="69"/>
      <c r="C127" s="69"/>
      <c r="D127" s="69"/>
      <c r="E127" s="69"/>
      <c r="F127" s="69"/>
      <c r="G127" s="69"/>
      <c r="H127" s="137">
        <v>0.1</v>
      </c>
      <c r="I127" s="138"/>
      <c r="J127" s="138"/>
      <c r="K127" s="5"/>
      <c r="L127" s="5"/>
      <c r="M127" s="5"/>
      <c r="N127" s="5"/>
      <c r="O127" s="5"/>
      <c r="P127" s="5"/>
      <c r="Q127" s="5"/>
      <c r="R127" s="5"/>
      <c r="S127" s="5"/>
    </row>
    <row r="128" spans="1:1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1:1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1:19" ht="33.549999999999997" customHeight="1">
      <c r="A130" s="16" t="s">
        <v>151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5"/>
      <c r="L130" s="5"/>
      <c r="M130" s="5"/>
      <c r="N130" s="5"/>
      <c r="O130" s="5"/>
      <c r="P130" s="5"/>
      <c r="Q130" s="5"/>
      <c r="R130" s="5"/>
      <c r="S130" s="5"/>
    </row>
    <row r="131" spans="1:19" ht="23.2" customHeight="1">
      <c r="A131" s="123" t="s">
        <v>61</v>
      </c>
      <c r="B131" s="123"/>
      <c r="C131" s="123"/>
      <c r="D131" s="65" t="s">
        <v>105</v>
      </c>
      <c r="E131" s="124"/>
      <c r="F131" s="124" t="s">
        <v>25</v>
      </c>
      <c r="G131" s="124" t="s">
        <v>152</v>
      </c>
      <c r="H131" s="123"/>
      <c r="I131" s="123"/>
      <c r="J131" s="123"/>
      <c r="K131" s="5"/>
      <c r="L131" s="5"/>
      <c r="M131" s="5"/>
      <c r="N131" s="5"/>
      <c r="O131" s="5"/>
      <c r="P131" s="5"/>
      <c r="Q131" s="5"/>
      <c r="R131" s="5"/>
      <c r="S131" s="5"/>
    </row>
    <row r="132" spans="1:19" ht="27.4" customHeight="1">
      <c r="A132" s="125" t="s">
        <v>153</v>
      </c>
      <c r="B132" s="125"/>
      <c r="C132" s="125"/>
      <c r="D132" s="126" t="s">
        <v>105</v>
      </c>
      <c r="E132" s="127"/>
      <c r="F132" s="128">
        <v>1</v>
      </c>
      <c r="G132" s="128">
        <v>60</v>
      </c>
      <c r="H132" s="129"/>
      <c r="I132" s="129"/>
      <c r="J132" s="129"/>
      <c r="K132" s="5"/>
      <c r="L132" s="5"/>
      <c r="M132" s="5"/>
      <c r="N132" s="5"/>
      <c r="O132" s="5"/>
      <c r="P132" s="5"/>
      <c r="Q132" s="5"/>
      <c r="R132" s="5"/>
      <c r="S132" s="5"/>
    </row>
    <row r="133" spans="1:19" ht="29.1" customHeight="1">
      <c r="A133" s="125" t="s">
        <v>154</v>
      </c>
      <c r="B133" s="125"/>
      <c r="C133" s="125"/>
      <c r="D133" s="126" t="s">
        <v>105</v>
      </c>
      <c r="E133" s="130"/>
      <c r="F133" s="128">
        <v>1</v>
      </c>
      <c r="G133" s="128">
        <v>60</v>
      </c>
      <c r="H133" s="129"/>
      <c r="I133" s="129"/>
      <c r="J133" s="129"/>
      <c r="K133" s="5"/>
      <c r="L133" s="5"/>
      <c r="M133" s="5"/>
      <c r="N133" s="5"/>
      <c r="O133" s="5"/>
      <c r="P133" s="5"/>
      <c r="Q133" s="5"/>
      <c r="R133" s="5"/>
      <c r="S133" s="5"/>
    </row>
    <row r="134" spans="1:19" ht="27.4" customHeight="1">
      <c r="A134" s="125" t="s">
        <v>155</v>
      </c>
      <c r="B134" s="125"/>
      <c r="C134" s="125"/>
      <c r="D134" s="126" t="s">
        <v>105</v>
      </c>
      <c r="E134" s="130"/>
      <c r="F134" s="128">
        <v>1</v>
      </c>
      <c r="G134" s="128">
        <v>60</v>
      </c>
      <c r="H134" s="129"/>
      <c r="I134" s="129"/>
      <c r="J134" s="129"/>
      <c r="K134" s="5"/>
      <c r="L134" s="5"/>
      <c r="M134" s="5"/>
      <c r="N134" s="5"/>
      <c r="O134" s="5"/>
      <c r="P134" s="5"/>
      <c r="Q134" s="5"/>
      <c r="R134" s="5"/>
      <c r="S134" s="5"/>
    </row>
    <row r="135" spans="1:19" ht="25.05" customHeight="1">
      <c r="A135" s="125" t="s">
        <v>156</v>
      </c>
      <c r="B135" s="125"/>
      <c r="C135" s="125"/>
      <c r="D135" s="126" t="s">
        <v>105</v>
      </c>
      <c r="E135" s="130"/>
      <c r="F135" s="128">
        <v>0</v>
      </c>
      <c r="G135" s="128">
        <v>60</v>
      </c>
      <c r="H135" s="129"/>
      <c r="I135" s="129"/>
      <c r="J135" s="129"/>
      <c r="K135" s="5"/>
      <c r="L135" s="5"/>
      <c r="M135" s="5"/>
      <c r="N135" s="5"/>
      <c r="O135" s="5"/>
      <c r="P135" s="5"/>
      <c r="Q135" s="5"/>
      <c r="R135" s="5"/>
      <c r="S135" s="5"/>
    </row>
    <row r="136" spans="1:19" ht="23.2" customHeight="1">
      <c r="A136" s="125" t="s">
        <v>157</v>
      </c>
      <c r="B136" s="125"/>
      <c r="C136" s="125"/>
      <c r="D136" s="126" t="s">
        <v>105</v>
      </c>
      <c r="E136" s="130"/>
      <c r="F136" s="128">
        <v>1</v>
      </c>
      <c r="G136" s="128">
        <v>60</v>
      </c>
      <c r="H136" s="129"/>
      <c r="I136" s="129"/>
      <c r="J136" s="129"/>
      <c r="K136" s="5"/>
      <c r="L136" s="5"/>
      <c r="M136" s="5"/>
      <c r="N136" s="5"/>
      <c r="O136" s="5"/>
      <c r="P136" s="5"/>
      <c r="Q136" s="5"/>
      <c r="R136" s="5"/>
      <c r="S136" s="5"/>
    </row>
    <row r="137" spans="1:19" ht="23.2" customHeight="1">
      <c r="A137" s="125" t="s">
        <v>158</v>
      </c>
      <c r="B137" s="125"/>
      <c r="C137" s="125"/>
      <c r="D137" s="126" t="s">
        <v>105</v>
      </c>
      <c r="E137" s="130"/>
      <c r="F137" s="128">
        <v>1</v>
      </c>
      <c r="G137" s="128">
        <v>60</v>
      </c>
      <c r="H137" s="129"/>
      <c r="I137" s="129"/>
      <c r="J137" s="129"/>
      <c r="K137" s="5"/>
      <c r="L137" s="5"/>
      <c r="M137" s="5"/>
      <c r="N137" s="5"/>
      <c r="O137" s="5"/>
      <c r="P137" s="5"/>
      <c r="Q137" s="5"/>
      <c r="R137" s="5"/>
      <c r="S137" s="5"/>
    </row>
    <row r="138" spans="1:19" ht="23.2" customHeight="1">
      <c r="A138" s="139" t="s">
        <v>159</v>
      </c>
      <c r="B138" s="140"/>
      <c r="C138" s="141"/>
      <c r="D138" s="126" t="s">
        <v>105</v>
      </c>
      <c r="E138" s="130"/>
      <c r="F138" s="128">
        <v>0</v>
      </c>
      <c r="G138" s="128">
        <v>60</v>
      </c>
      <c r="H138" s="129"/>
      <c r="I138" s="129"/>
      <c r="J138" s="129"/>
      <c r="K138" s="5"/>
      <c r="L138" s="5"/>
      <c r="M138" s="5"/>
      <c r="N138" s="5"/>
      <c r="O138" s="5"/>
      <c r="P138" s="5"/>
      <c r="Q138" s="5"/>
      <c r="R138" s="5"/>
      <c r="S138" s="5"/>
    </row>
    <row r="139" spans="1:19" ht="23.2" customHeight="1">
      <c r="A139" s="131" t="s">
        <v>92</v>
      </c>
      <c r="B139" s="131"/>
      <c r="C139" s="131"/>
      <c r="D139" s="142"/>
      <c r="E139" s="130"/>
      <c r="F139" s="128">
        <v>0</v>
      </c>
      <c r="G139" s="128">
        <v>60</v>
      </c>
      <c r="H139" s="129"/>
      <c r="I139" s="129"/>
      <c r="J139" s="129"/>
      <c r="K139" s="5"/>
      <c r="L139" s="5"/>
      <c r="M139" s="5"/>
      <c r="N139" s="5"/>
      <c r="O139" s="5"/>
      <c r="P139" s="5"/>
      <c r="Q139" s="5"/>
      <c r="R139" s="5"/>
      <c r="S139" s="5"/>
    </row>
    <row r="140" spans="1:19" ht="23.2" customHeight="1">
      <c r="A140" s="69" t="s">
        <v>150</v>
      </c>
      <c r="B140" s="69"/>
      <c r="C140" s="69"/>
      <c r="D140" s="69"/>
      <c r="E140" s="69"/>
      <c r="F140" s="69"/>
      <c r="G140" s="69"/>
      <c r="H140" s="137">
        <v>0.1</v>
      </c>
      <c r="I140" s="138"/>
      <c r="J140" s="138"/>
      <c r="K140" s="5"/>
      <c r="L140" s="5"/>
      <c r="M140" s="5"/>
      <c r="N140" s="5"/>
      <c r="O140" s="5"/>
      <c r="P140" s="5"/>
      <c r="Q140" s="5"/>
      <c r="R140" s="5"/>
      <c r="S140" s="5"/>
    </row>
    <row r="141" spans="1:1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1:1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1:19" ht="34.85" customHeight="1">
      <c r="A143" s="16" t="s">
        <v>160</v>
      </c>
      <c r="B143" s="16"/>
      <c r="C143" s="16"/>
      <c r="D143" s="16"/>
      <c r="E143" s="16"/>
      <c r="F143" s="16"/>
      <c r="G143" s="16"/>
      <c r="H143" s="16"/>
      <c r="I143" s="16"/>
      <c r="J143" s="16"/>
      <c r="K143" s="5"/>
      <c r="L143" s="5"/>
      <c r="M143" s="5"/>
      <c r="N143" s="5"/>
      <c r="O143" s="5"/>
      <c r="P143" s="5"/>
      <c r="Q143" s="5"/>
      <c r="R143" s="5"/>
      <c r="S143" s="5"/>
    </row>
    <row r="144" spans="1:19" ht="27.4" customHeight="1">
      <c r="A144" s="123" t="s">
        <v>61</v>
      </c>
      <c r="B144" s="123"/>
      <c r="C144" s="123"/>
      <c r="D144" s="65" t="s">
        <v>105</v>
      </c>
      <c r="E144" s="124"/>
      <c r="F144" s="124" t="s">
        <v>25</v>
      </c>
      <c r="G144" s="124" t="s">
        <v>152</v>
      </c>
      <c r="H144" s="123"/>
      <c r="I144" s="123"/>
      <c r="J144" s="123"/>
      <c r="K144" s="5"/>
      <c r="L144" s="5"/>
      <c r="M144" s="5"/>
      <c r="N144" s="5"/>
      <c r="O144" s="5"/>
      <c r="P144" s="5"/>
      <c r="Q144" s="5"/>
      <c r="R144" s="5"/>
      <c r="S144" s="5"/>
    </row>
    <row r="145" spans="1:19" ht="22.5" customHeight="1">
      <c r="A145" s="125" t="s">
        <v>161</v>
      </c>
      <c r="B145" s="125"/>
      <c r="C145" s="125"/>
      <c r="D145" s="126" t="s">
        <v>105</v>
      </c>
      <c r="E145" s="127"/>
      <c r="F145" s="128">
        <v>1</v>
      </c>
      <c r="G145" s="128">
        <v>12</v>
      </c>
      <c r="H145" s="129"/>
      <c r="I145" s="129"/>
      <c r="J145" s="129"/>
      <c r="K145" s="5"/>
      <c r="L145" s="5"/>
      <c r="M145" s="5"/>
      <c r="N145" s="5"/>
      <c r="O145" s="5"/>
      <c r="P145" s="5"/>
      <c r="Q145" s="5"/>
      <c r="R145" s="5"/>
      <c r="S145" s="5"/>
    </row>
    <row r="146" spans="1:19" ht="25.05" customHeight="1">
      <c r="A146" s="125" t="s">
        <v>162</v>
      </c>
      <c r="B146" s="125"/>
      <c r="C146" s="125"/>
      <c r="D146" s="126" t="s">
        <v>105</v>
      </c>
      <c r="E146" s="130"/>
      <c r="F146" s="128">
        <v>2</v>
      </c>
      <c r="G146" s="128">
        <v>1</v>
      </c>
      <c r="H146" s="129"/>
      <c r="I146" s="129"/>
      <c r="J146" s="129"/>
      <c r="K146" s="5"/>
      <c r="L146" s="5"/>
      <c r="M146" s="5"/>
      <c r="N146" s="5"/>
      <c r="O146" s="5"/>
      <c r="P146" s="5"/>
      <c r="Q146" s="5"/>
      <c r="R146" s="5"/>
      <c r="S146" s="5"/>
    </row>
    <row r="147" spans="1:19" ht="25.05" customHeight="1">
      <c r="A147" s="125" t="s">
        <v>163</v>
      </c>
      <c r="B147" s="125"/>
      <c r="C147" s="125"/>
      <c r="D147" s="126" t="s">
        <v>105</v>
      </c>
      <c r="E147" s="130"/>
      <c r="F147" s="128">
        <v>2</v>
      </c>
      <c r="G147" s="128">
        <v>2</v>
      </c>
      <c r="H147" s="129"/>
      <c r="I147" s="129"/>
      <c r="J147" s="129"/>
      <c r="K147" s="5"/>
      <c r="L147" s="5"/>
      <c r="M147" s="5"/>
      <c r="N147" s="5"/>
      <c r="O147" s="5"/>
      <c r="P147" s="5"/>
      <c r="Q147" s="5"/>
      <c r="R147" s="5"/>
      <c r="S147" s="5"/>
    </row>
    <row r="148" spans="1:19" ht="24.2" customHeight="1">
      <c r="A148" s="131" t="s">
        <v>92</v>
      </c>
      <c r="B148" s="131"/>
      <c r="C148" s="131"/>
      <c r="D148" s="142"/>
      <c r="E148" s="143"/>
      <c r="F148" s="143"/>
      <c r="G148" s="143"/>
      <c r="H148" s="129"/>
      <c r="I148" s="129"/>
      <c r="J148" s="129"/>
      <c r="K148" s="5"/>
      <c r="L148" s="5"/>
      <c r="M148" s="5"/>
      <c r="N148" s="5"/>
      <c r="O148" s="5"/>
      <c r="P148" s="5"/>
      <c r="Q148" s="5"/>
      <c r="R148" s="5"/>
      <c r="S148" s="5"/>
    </row>
    <row r="149" spans="1:19" ht="33.549999999999997" customHeight="1">
      <c r="A149" s="69" t="s">
        <v>150</v>
      </c>
      <c r="B149" s="69"/>
      <c r="C149" s="69"/>
      <c r="D149" s="69"/>
      <c r="E149" s="69"/>
      <c r="F149" s="69"/>
      <c r="G149" s="69"/>
      <c r="H149" s="137">
        <v>0.1</v>
      </c>
      <c r="I149" s="138"/>
      <c r="J149" s="138"/>
      <c r="K149" s="5"/>
      <c r="L149" s="5"/>
      <c r="M149" s="5"/>
      <c r="N149" s="5"/>
      <c r="O149" s="5"/>
      <c r="P149" s="5"/>
      <c r="Q149" s="5"/>
      <c r="R149" s="5"/>
      <c r="S149" s="5"/>
    </row>
    <row r="150" spans="1:1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1:19" ht="34.85" customHeight="1">
      <c r="A152" s="16" t="s">
        <v>164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5"/>
      <c r="L152" s="5"/>
      <c r="M152" s="5"/>
      <c r="N152" s="5"/>
      <c r="O152" s="5"/>
      <c r="P152" s="5"/>
      <c r="Q152" s="5"/>
      <c r="R152" s="5"/>
      <c r="S152" s="5"/>
    </row>
    <row r="153" spans="1:19" ht="28.4" customHeight="1">
      <c r="A153" s="123" t="s">
        <v>61</v>
      </c>
      <c r="B153" s="123"/>
      <c r="C153" s="124" t="s">
        <v>165</v>
      </c>
      <c r="D153" s="65" t="s">
        <v>105</v>
      </c>
      <c r="E153" s="124" t="s">
        <v>166</v>
      </c>
      <c r="F153" s="124" t="s">
        <v>25</v>
      </c>
      <c r="G153" s="65" t="s">
        <v>106</v>
      </c>
      <c r="H153" s="123" t="s">
        <v>50</v>
      </c>
      <c r="I153" s="123"/>
      <c r="J153" s="123"/>
      <c r="K153" s="5"/>
      <c r="L153" s="5"/>
      <c r="M153" s="5"/>
      <c r="N153" s="5"/>
      <c r="O153" s="5"/>
      <c r="P153" s="5"/>
      <c r="Q153" s="5"/>
      <c r="R153" s="5"/>
      <c r="S153" s="5"/>
    </row>
    <row r="154" spans="1:19" ht="28.4" customHeight="1">
      <c r="A154" s="144" t="s">
        <v>167</v>
      </c>
      <c r="B154" s="144"/>
      <c r="C154" s="145" t="s">
        <v>168</v>
      </c>
      <c r="D154" s="126" t="s">
        <v>169</v>
      </c>
      <c r="E154" s="127">
        <v>9.5</v>
      </c>
      <c r="F154" s="146">
        <v>1</v>
      </c>
      <c r="G154" s="146">
        <v>1</v>
      </c>
      <c r="H154" s="129">
        <f t="shared" ref="H154:H165" si="1">E154*F154/G154</f>
        <v>9.5</v>
      </c>
      <c r="I154" s="129"/>
      <c r="J154" s="129"/>
      <c r="K154" s="5"/>
      <c r="L154" s="5"/>
      <c r="M154" s="5"/>
      <c r="N154" s="5"/>
      <c r="O154" s="5"/>
      <c r="P154" s="5"/>
      <c r="Q154" s="5"/>
      <c r="R154" s="5"/>
      <c r="S154" s="5"/>
    </row>
    <row r="155" spans="1:19" ht="32.4" customHeight="1">
      <c r="A155" s="144" t="s">
        <v>170</v>
      </c>
      <c r="B155" s="144"/>
      <c r="C155" s="145" t="s">
        <v>171</v>
      </c>
      <c r="D155" s="126" t="s">
        <v>172</v>
      </c>
      <c r="E155" s="130">
        <v>61.45</v>
      </c>
      <c r="F155" s="146">
        <v>1</v>
      </c>
      <c r="G155" s="146">
        <v>1</v>
      </c>
      <c r="H155" s="129">
        <f t="shared" si="1"/>
        <v>61.45</v>
      </c>
      <c r="I155" s="129"/>
      <c r="J155" s="129"/>
      <c r="K155" s="5"/>
      <c r="L155" s="5"/>
      <c r="M155" s="5"/>
      <c r="N155" s="5"/>
      <c r="O155" s="5"/>
      <c r="P155" s="5"/>
      <c r="Q155" s="5"/>
      <c r="R155" s="5"/>
      <c r="S155" s="5"/>
    </row>
    <row r="156" spans="1:19" ht="31" customHeight="1">
      <c r="A156" s="144" t="s">
        <v>173</v>
      </c>
      <c r="B156" s="144"/>
      <c r="C156" s="145" t="s">
        <v>174</v>
      </c>
      <c r="D156" s="126" t="s">
        <v>175</v>
      </c>
      <c r="E156" s="130">
        <v>53.99</v>
      </c>
      <c r="F156" s="146">
        <v>1</v>
      </c>
      <c r="G156" s="146">
        <v>1</v>
      </c>
      <c r="H156" s="129">
        <f t="shared" si="1"/>
        <v>53.99</v>
      </c>
      <c r="I156" s="129"/>
      <c r="J156" s="129"/>
      <c r="K156" s="5"/>
      <c r="L156" s="5"/>
      <c r="M156" s="5"/>
      <c r="N156" s="5"/>
      <c r="O156" s="5"/>
      <c r="P156" s="5"/>
      <c r="Q156" s="5"/>
      <c r="R156" s="5"/>
      <c r="S156" s="5"/>
    </row>
    <row r="157" spans="1:19" ht="40.9" customHeight="1">
      <c r="A157" s="147" t="s">
        <v>176</v>
      </c>
      <c r="B157" s="147"/>
      <c r="C157" s="145" t="s">
        <v>177</v>
      </c>
      <c r="D157" s="126" t="s">
        <v>178</v>
      </c>
      <c r="E157" s="130">
        <v>19.46</v>
      </c>
      <c r="F157" s="146">
        <v>12</v>
      </c>
      <c r="G157" s="146">
        <v>1</v>
      </c>
      <c r="H157" s="129">
        <f t="shared" si="1"/>
        <v>233.52</v>
      </c>
      <c r="I157" s="129"/>
      <c r="J157" s="129"/>
      <c r="K157" s="5"/>
      <c r="L157" s="5"/>
      <c r="M157" s="5"/>
      <c r="N157" s="5"/>
      <c r="O157" s="5"/>
      <c r="P157" s="5"/>
      <c r="Q157" s="5"/>
      <c r="R157" s="5"/>
      <c r="S157" s="5"/>
    </row>
    <row r="158" spans="1:19" ht="27.4" customHeight="1">
      <c r="A158" s="144" t="s">
        <v>179</v>
      </c>
      <c r="B158" s="144"/>
      <c r="C158" s="145" t="s">
        <v>168</v>
      </c>
      <c r="D158" s="126" t="s">
        <v>180</v>
      </c>
      <c r="E158" s="130">
        <v>8.65</v>
      </c>
      <c r="F158" s="146">
        <v>2</v>
      </c>
      <c r="G158" s="146">
        <v>1</v>
      </c>
      <c r="H158" s="129">
        <f t="shared" si="1"/>
        <v>17.3</v>
      </c>
      <c r="I158" s="129"/>
      <c r="J158" s="129"/>
      <c r="K158" s="5"/>
      <c r="L158" s="5"/>
      <c r="M158" s="5"/>
      <c r="N158" s="5"/>
      <c r="O158" s="5"/>
      <c r="P158" s="5"/>
      <c r="Q158" s="5"/>
      <c r="R158" s="5"/>
      <c r="S158" s="5"/>
    </row>
    <row r="159" spans="1:19" ht="27.4" customHeight="1">
      <c r="A159" s="144" t="s">
        <v>181</v>
      </c>
      <c r="B159" s="144"/>
      <c r="C159" s="145" t="s">
        <v>182</v>
      </c>
      <c r="D159" s="126" t="s">
        <v>183</v>
      </c>
      <c r="E159" s="130">
        <v>18.100000000000001</v>
      </c>
      <c r="F159" s="146">
        <v>2</v>
      </c>
      <c r="G159" s="146">
        <v>1</v>
      </c>
      <c r="H159" s="129">
        <f t="shared" si="1"/>
        <v>36.200000000000003</v>
      </c>
      <c r="I159" s="129"/>
      <c r="J159" s="129"/>
      <c r="K159" s="5"/>
      <c r="L159" s="5"/>
      <c r="M159" s="5"/>
      <c r="N159" s="5"/>
      <c r="O159" s="5"/>
      <c r="P159" s="5"/>
      <c r="Q159" s="5"/>
      <c r="R159" s="5"/>
      <c r="S159" s="5"/>
    </row>
    <row r="160" spans="1:19" ht="39.75" customHeight="1">
      <c r="A160" s="147" t="s">
        <v>184</v>
      </c>
      <c r="B160" s="147"/>
      <c r="C160" s="145" t="s">
        <v>185</v>
      </c>
      <c r="D160" s="126" t="s">
        <v>183</v>
      </c>
      <c r="E160" s="130">
        <v>59.99</v>
      </c>
      <c r="F160" s="146">
        <v>2</v>
      </c>
      <c r="G160" s="146">
        <v>1</v>
      </c>
      <c r="H160" s="129">
        <f t="shared" si="1"/>
        <v>119.98</v>
      </c>
      <c r="I160" s="129"/>
      <c r="J160" s="129"/>
      <c r="K160" s="5"/>
      <c r="L160" s="5"/>
      <c r="M160" s="5"/>
      <c r="N160" s="5"/>
      <c r="O160" s="5"/>
      <c r="P160" s="5"/>
      <c r="Q160" s="5"/>
      <c r="R160" s="5"/>
      <c r="S160" s="5"/>
    </row>
    <row r="161" spans="1:19" ht="27.4" customHeight="1">
      <c r="A161" s="144" t="s">
        <v>186</v>
      </c>
      <c r="B161" s="144"/>
      <c r="C161" s="145" t="s">
        <v>187</v>
      </c>
      <c r="D161" s="126" t="s">
        <v>105</v>
      </c>
      <c r="E161" s="130">
        <v>24.25</v>
      </c>
      <c r="F161" s="146">
        <v>4</v>
      </c>
      <c r="G161" s="146">
        <v>24</v>
      </c>
      <c r="H161" s="129">
        <f t="shared" si="1"/>
        <v>4.041666666666667</v>
      </c>
      <c r="I161" s="129"/>
      <c r="J161" s="129"/>
      <c r="K161" s="5"/>
      <c r="L161" s="5"/>
      <c r="M161" s="5"/>
      <c r="N161" s="5"/>
      <c r="O161" s="5"/>
      <c r="P161" s="5"/>
      <c r="Q161" s="5"/>
      <c r="R161" s="5"/>
      <c r="S161" s="5"/>
    </row>
    <row r="162" spans="1:19" ht="27.4" customHeight="1">
      <c r="A162" s="144" t="s">
        <v>188</v>
      </c>
      <c r="B162" s="144"/>
      <c r="C162" s="145" t="s">
        <v>187</v>
      </c>
      <c r="D162" s="126" t="s">
        <v>105</v>
      </c>
      <c r="E162" s="130">
        <v>24.85</v>
      </c>
      <c r="F162" s="146">
        <v>2</v>
      </c>
      <c r="G162" s="146">
        <v>24</v>
      </c>
      <c r="H162" s="129">
        <f t="shared" si="1"/>
        <v>2.0708333333333333</v>
      </c>
      <c r="I162" s="129"/>
      <c r="J162" s="129"/>
      <c r="K162" s="5"/>
      <c r="L162" s="5"/>
      <c r="M162" s="5"/>
      <c r="N162" s="5"/>
      <c r="O162" s="5"/>
      <c r="P162" s="5"/>
      <c r="Q162" s="5"/>
      <c r="R162" s="5"/>
      <c r="S162" s="5"/>
    </row>
    <row r="163" spans="1:19" ht="27.4" customHeight="1">
      <c r="A163" s="144" t="s">
        <v>189</v>
      </c>
      <c r="B163" s="144"/>
      <c r="C163" s="145" t="s">
        <v>187</v>
      </c>
      <c r="D163" s="126" t="s">
        <v>105</v>
      </c>
      <c r="E163" s="130">
        <v>22.96</v>
      </c>
      <c r="F163" s="146">
        <v>4</v>
      </c>
      <c r="G163" s="146">
        <v>24</v>
      </c>
      <c r="H163" s="129">
        <f t="shared" si="1"/>
        <v>3.8266666666666667</v>
      </c>
      <c r="I163" s="129"/>
      <c r="J163" s="129"/>
      <c r="K163" s="5"/>
      <c r="L163" s="5"/>
      <c r="M163" s="5"/>
      <c r="N163" s="5"/>
      <c r="O163" s="5"/>
      <c r="P163" s="5"/>
      <c r="Q163" s="5"/>
      <c r="R163" s="5"/>
      <c r="S163" s="5"/>
    </row>
    <row r="164" spans="1:19" ht="27.4" customHeight="1">
      <c r="A164" s="144" t="s">
        <v>190</v>
      </c>
      <c r="B164" s="144"/>
      <c r="C164" s="145" t="s">
        <v>187</v>
      </c>
      <c r="D164" s="126" t="s">
        <v>105</v>
      </c>
      <c r="E164" s="130">
        <v>20.22</v>
      </c>
      <c r="F164" s="146">
        <v>2</v>
      </c>
      <c r="G164" s="146">
        <v>24</v>
      </c>
      <c r="H164" s="129">
        <f t="shared" si="1"/>
        <v>1.6849999999999998</v>
      </c>
      <c r="I164" s="129"/>
      <c r="J164" s="129"/>
      <c r="K164" s="5"/>
      <c r="L164" s="5"/>
      <c r="M164" s="5"/>
      <c r="N164" s="5"/>
      <c r="O164" s="5"/>
      <c r="P164" s="5"/>
      <c r="Q164" s="5"/>
      <c r="R164" s="5"/>
      <c r="S164" s="5"/>
    </row>
    <row r="165" spans="1:19" ht="27.4" customHeight="1">
      <c r="A165" s="144" t="s">
        <v>191</v>
      </c>
      <c r="B165" s="144"/>
      <c r="C165" s="145" t="s">
        <v>187</v>
      </c>
      <c r="D165" s="126" t="s">
        <v>105</v>
      </c>
      <c r="E165" s="130">
        <v>22.2</v>
      </c>
      <c r="F165" s="146">
        <v>2</v>
      </c>
      <c r="G165" s="146">
        <v>24</v>
      </c>
      <c r="H165" s="129">
        <f t="shared" si="1"/>
        <v>1.8499999999999999</v>
      </c>
      <c r="I165" s="129"/>
      <c r="J165" s="129"/>
      <c r="K165" s="5"/>
      <c r="L165" s="5"/>
      <c r="M165" s="5"/>
      <c r="N165" s="5"/>
      <c r="O165" s="5"/>
      <c r="P165" s="5"/>
      <c r="Q165" s="5"/>
      <c r="R165" s="5"/>
      <c r="S165" s="5"/>
    </row>
    <row r="166" spans="1:19" ht="33.549999999999997" customHeight="1">
      <c r="A166" s="69" t="s">
        <v>192</v>
      </c>
      <c r="B166" s="69"/>
      <c r="C166" s="69"/>
      <c r="D166" s="69"/>
      <c r="E166" s="69"/>
      <c r="F166" s="69"/>
      <c r="G166" s="69"/>
      <c r="H166" s="148">
        <f>SUM(H154:H165)</f>
        <v>545.41416666666669</v>
      </c>
      <c r="I166" s="148"/>
      <c r="J166" s="148"/>
      <c r="K166" s="5"/>
      <c r="L166" s="5"/>
      <c r="M166" s="5"/>
      <c r="N166" s="5"/>
      <c r="O166" s="5"/>
      <c r="P166" s="5"/>
      <c r="Q166" s="5"/>
      <c r="R166" s="5"/>
      <c r="S166" s="5"/>
    </row>
    <row r="167" spans="1:1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1:19" ht="47.25" customHeight="1">
      <c r="A168" s="16" t="s">
        <v>193</v>
      </c>
      <c r="B168" s="16"/>
      <c r="C168" s="16"/>
      <c r="D168" s="16"/>
      <c r="E168" s="16"/>
      <c r="F168" s="16"/>
      <c r="G168" s="16"/>
      <c r="H168" s="16"/>
      <c r="I168" s="16"/>
      <c r="J168" s="16"/>
      <c r="K168" s="5"/>
      <c r="L168" s="5"/>
      <c r="M168" s="5"/>
      <c r="N168" s="5"/>
      <c r="O168" s="5"/>
      <c r="P168" s="5"/>
      <c r="Q168" s="5"/>
      <c r="R168" s="5"/>
      <c r="S168" s="5"/>
    </row>
    <row r="169" spans="1:19" ht="35.85" customHeight="1">
      <c r="A169" s="16" t="s">
        <v>194</v>
      </c>
      <c r="B169" s="16"/>
      <c r="C169" s="16"/>
      <c r="D169" s="16"/>
      <c r="E169" s="16"/>
      <c r="F169" s="16"/>
      <c r="G169" s="16"/>
      <c r="H169" s="16"/>
      <c r="I169" s="16"/>
      <c r="J169" s="16"/>
      <c r="K169" s="5"/>
      <c r="L169" s="5"/>
      <c r="M169" s="5"/>
      <c r="N169" s="5"/>
      <c r="O169" s="5"/>
      <c r="P169" s="5"/>
      <c r="Q169" s="5"/>
      <c r="R169" s="5"/>
      <c r="S169" s="5"/>
    </row>
    <row r="170" spans="1:19" ht="29.95" customHeight="1">
      <c r="A170" s="149" t="s">
        <v>195</v>
      </c>
      <c r="B170" s="149" t="s">
        <v>196</v>
      </c>
      <c r="C170" s="149" t="s">
        <v>197</v>
      </c>
      <c r="D170" s="150" t="s">
        <v>198</v>
      </c>
      <c r="E170" s="150"/>
      <c r="F170" s="150"/>
      <c r="G170" s="150"/>
      <c r="H170" s="151" t="s">
        <v>199</v>
      </c>
      <c r="I170" s="151"/>
      <c r="J170" s="151"/>
      <c r="K170" s="5"/>
      <c r="L170" s="5"/>
      <c r="M170" s="5"/>
      <c r="N170" s="5"/>
      <c r="O170" s="5"/>
      <c r="P170" s="5"/>
      <c r="Q170" s="5"/>
      <c r="R170" s="5"/>
      <c r="S170" s="5"/>
    </row>
    <row r="171" spans="1:19" ht="46.65" customHeight="1">
      <c r="A171" s="152">
        <v>830</v>
      </c>
      <c r="B171" s="153">
        <v>0.11</v>
      </c>
      <c r="C171" s="154">
        <f>A171*B171</f>
        <v>91.3</v>
      </c>
      <c r="D171" s="155" t="s">
        <v>200</v>
      </c>
      <c r="E171" s="155"/>
      <c r="F171" s="155"/>
      <c r="G171" s="155"/>
      <c r="H171" s="156">
        <f>C171*2</f>
        <v>182.6</v>
      </c>
      <c r="I171" s="156"/>
      <c r="J171" s="156"/>
      <c r="K171" s="5"/>
      <c r="L171" s="5"/>
      <c r="M171" s="5"/>
      <c r="N171" s="5"/>
      <c r="O171" s="5"/>
      <c r="P171" s="5"/>
      <c r="Q171" s="5"/>
      <c r="R171" s="5"/>
      <c r="S171" s="5"/>
    </row>
    <row r="172" spans="1:1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1:19">
      <c r="A173" s="16" t="s">
        <v>201</v>
      </c>
      <c r="B173" s="16"/>
      <c r="C173" s="16"/>
      <c r="D173" s="16"/>
      <c r="E173" s="16"/>
      <c r="F173" s="16"/>
      <c r="G173" s="16"/>
      <c r="H173" s="16"/>
      <c r="I173" s="16"/>
      <c r="J173" s="16"/>
      <c r="K173" s="5"/>
      <c r="L173" s="5"/>
      <c r="M173" s="5"/>
      <c r="N173" s="5"/>
      <c r="O173" s="5"/>
      <c r="P173" s="5"/>
      <c r="Q173" s="5"/>
      <c r="R173" s="5"/>
      <c r="S173" s="5"/>
    </row>
    <row r="174" spans="1:19">
      <c r="A174" s="149" t="s">
        <v>202</v>
      </c>
      <c r="B174" s="149" t="s">
        <v>196</v>
      </c>
      <c r="C174" s="149" t="s">
        <v>197</v>
      </c>
      <c r="D174" s="150" t="s">
        <v>198</v>
      </c>
      <c r="E174" s="150"/>
      <c r="F174" s="150"/>
      <c r="G174" s="150"/>
      <c r="H174" s="151" t="s">
        <v>199</v>
      </c>
      <c r="I174" s="151"/>
      <c r="J174" s="151"/>
      <c r="K174" s="5"/>
      <c r="L174" s="5"/>
      <c r="M174" s="5"/>
      <c r="N174" s="5"/>
      <c r="O174" s="5"/>
      <c r="P174" s="5"/>
      <c r="Q174" s="5"/>
      <c r="R174" s="5"/>
      <c r="S174" s="5"/>
    </row>
    <row r="175" spans="1:19" ht="45.25" customHeight="1">
      <c r="A175" s="152">
        <v>2</v>
      </c>
      <c r="B175" s="153">
        <v>18.899999999999999</v>
      </c>
      <c r="C175" s="154">
        <f>A175*B175</f>
        <v>37.799999999999997</v>
      </c>
      <c r="D175" s="155" t="s">
        <v>200</v>
      </c>
      <c r="E175" s="155"/>
      <c r="F175" s="155"/>
      <c r="G175" s="155"/>
      <c r="H175" s="156">
        <f>C175*2</f>
        <v>75.599999999999994</v>
      </c>
      <c r="I175" s="156"/>
      <c r="J175" s="156"/>
      <c r="K175" s="5"/>
      <c r="L175" s="5"/>
      <c r="M175" s="5"/>
      <c r="N175" s="5"/>
      <c r="O175" s="5"/>
      <c r="P175" s="5"/>
      <c r="Q175" s="5"/>
      <c r="R175" s="5"/>
      <c r="S175" s="5"/>
    </row>
    <row r="176" spans="1:19">
      <c r="A176" s="157"/>
      <c r="B176" s="157"/>
      <c r="C176" s="157"/>
      <c r="D176" s="157"/>
      <c r="E176" s="157"/>
      <c r="F176" s="157"/>
      <c r="G176" s="157"/>
      <c r="H176" s="157"/>
      <c r="I176" s="157"/>
      <c r="J176" s="157"/>
      <c r="K176" s="5"/>
      <c r="L176" s="5"/>
      <c r="M176" s="5"/>
      <c r="N176" s="5"/>
      <c r="O176" s="5"/>
      <c r="P176" s="5"/>
      <c r="Q176" s="5"/>
      <c r="R176" s="5"/>
      <c r="S176" s="5"/>
    </row>
    <row r="177" spans="1:19">
      <c r="A177" s="16" t="s">
        <v>203</v>
      </c>
      <c r="B177" s="16"/>
      <c r="C177" s="16"/>
      <c r="D177" s="16"/>
      <c r="E177" s="16"/>
      <c r="F177" s="16"/>
      <c r="G177" s="16"/>
      <c r="H177" s="16"/>
      <c r="I177" s="16"/>
      <c r="J177" s="16"/>
      <c r="K177" s="5"/>
      <c r="L177" s="5"/>
      <c r="M177" s="5"/>
      <c r="N177" s="5"/>
      <c r="O177" s="5"/>
      <c r="P177" s="5"/>
      <c r="Q177" s="5"/>
      <c r="R177" s="5"/>
      <c r="S177" s="5"/>
    </row>
    <row r="178" spans="1:19">
      <c r="A178" s="149" t="s">
        <v>204</v>
      </c>
      <c r="B178" s="149" t="s">
        <v>196</v>
      </c>
      <c r="C178" s="149" t="s">
        <v>197</v>
      </c>
      <c r="D178" s="150" t="s">
        <v>198</v>
      </c>
      <c r="E178" s="150"/>
      <c r="F178" s="150"/>
      <c r="G178" s="150"/>
      <c r="H178" s="151" t="s">
        <v>199</v>
      </c>
      <c r="I178" s="151"/>
      <c r="J178" s="151"/>
      <c r="K178" s="158"/>
      <c r="L178" s="158"/>
      <c r="M178" s="158"/>
      <c r="N178" s="158"/>
      <c r="O178" s="158"/>
      <c r="P178" s="158"/>
      <c r="Q178" s="158"/>
      <c r="R178" s="158"/>
      <c r="S178" s="158"/>
    </row>
    <row r="179" spans="1:19" ht="50.25" customHeight="1">
      <c r="A179" s="152">
        <v>100</v>
      </c>
      <c r="B179" s="153">
        <v>0.23</v>
      </c>
      <c r="C179" s="154">
        <f>A179*B179</f>
        <v>23</v>
      </c>
      <c r="D179" s="155" t="s">
        <v>205</v>
      </c>
      <c r="E179" s="155"/>
      <c r="F179" s="155"/>
      <c r="G179" s="155"/>
      <c r="H179" s="156">
        <f>C179*6</f>
        <v>138</v>
      </c>
      <c r="I179" s="156"/>
      <c r="J179" s="156"/>
      <c r="K179" s="158"/>
      <c r="L179" s="158"/>
      <c r="M179" s="158"/>
      <c r="N179" s="158"/>
      <c r="O179" s="158"/>
      <c r="P179" s="158"/>
      <c r="Q179" s="158"/>
      <c r="R179" s="158"/>
      <c r="S179" s="158"/>
    </row>
    <row r="180" spans="1:19">
      <c r="A180" s="157"/>
      <c r="B180" s="157"/>
      <c r="C180" s="157"/>
      <c r="D180" s="157"/>
      <c r="E180" s="157"/>
      <c r="F180" s="157"/>
      <c r="G180" s="157"/>
      <c r="H180" s="157"/>
      <c r="I180" s="157"/>
      <c r="J180" s="157"/>
      <c r="K180" s="158"/>
      <c r="L180" s="158"/>
      <c r="M180" s="158"/>
      <c r="N180" s="158"/>
      <c r="O180" s="158"/>
      <c r="P180" s="158"/>
      <c r="Q180" s="158"/>
      <c r="R180" s="158"/>
      <c r="S180" s="158"/>
    </row>
    <row r="181" spans="1:19">
      <c r="A181" s="16" t="s">
        <v>206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58"/>
      <c r="L181" s="158"/>
      <c r="M181" s="158"/>
      <c r="N181" s="158"/>
      <c r="O181" s="158"/>
      <c r="P181" s="158"/>
      <c r="Q181" s="158"/>
      <c r="R181" s="158"/>
      <c r="S181" s="158"/>
    </row>
    <row r="182" spans="1:19">
      <c r="A182" s="159" t="s">
        <v>207</v>
      </c>
      <c r="B182" s="160"/>
      <c r="C182" s="149" t="s">
        <v>25</v>
      </c>
      <c r="D182" s="150" t="s">
        <v>198</v>
      </c>
      <c r="E182" s="150"/>
      <c r="F182" s="150"/>
      <c r="G182" s="150"/>
      <c r="H182" s="151" t="s">
        <v>208</v>
      </c>
      <c r="I182" s="151"/>
      <c r="J182" s="151"/>
      <c r="K182" s="158"/>
      <c r="L182" s="158"/>
      <c r="M182" s="158"/>
      <c r="N182" s="158"/>
      <c r="O182" s="158"/>
      <c r="P182" s="158"/>
      <c r="Q182" s="158"/>
      <c r="R182" s="158"/>
      <c r="S182" s="158"/>
    </row>
    <row r="183" spans="1:19" ht="31" customHeight="1">
      <c r="A183" s="161">
        <v>1531.5</v>
      </c>
      <c r="B183" s="162"/>
      <c r="C183" s="163">
        <v>1</v>
      </c>
      <c r="D183" s="155" t="s">
        <v>209</v>
      </c>
      <c r="E183" s="155"/>
      <c r="F183" s="155"/>
      <c r="G183" s="155"/>
      <c r="H183" s="156">
        <f>A183*C183</f>
        <v>1531.5</v>
      </c>
      <c r="I183" s="156"/>
      <c r="J183" s="156"/>
      <c r="K183" s="158"/>
      <c r="L183" s="158"/>
      <c r="M183" s="158"/>
      <c r="N183" s="158"/>
      <c r="O183" s="158"/>
      <c r="P183" s="158"/>
      <c r="Q183" s="158"/>
      <c r="R183" s="158"/>
      <c r="S183" s="158"/>
    </row>
    <row r="184" spans="1:19">
      <c r="D184"/>
      <c r="I184"/>
      <c r="K184" s="158"/>
      <c r="L184" s="158"/>
      <c r="M184" s="158"/>
      <c r="N184" s="158"/>
      <c r="O184" s="158"/>
      <c r="P184" s="158"/>
      <c r="Q184" s="158"/>
      <c r="R184" s="158"/>
      <c r="S184" s="158"/>
    </row>
    <row r="185" spans="1:19">
      <c r="A185" s="16" t="s">
        <v>210</v>
      </c>
      <c r="B185" s="16"/>
      <c r="C185" s="16"/>
      <c r="D185" s="16"/>
      <c r="E185" s="16"/>
      <c r="F185" s="16"/>
      <c r="G185" s="16"/>
      <c r="H185" s="164">
        <f>H171+H175+H179+H183</f>
        <v>1927.7</v>
      </c>
      <c r="I185" s="151"/>
      <c r="J185" s="151"/>
    </row>
  </sheetData>
  <mergeCells count="357">
    <mergeCell ref="H183:J183"/>
    <mergeCell ref="A185:G185"/>
    <mergeCell ref="H185:J185"/>
    <mergeCell ref="K178:S184"/>
    <mergeCell ref="D179:G179"/>
    <mergeCell ref="H179:J179"/>
    <mergeCell ref="A180:J180"/>
    <mergeCell ref="A181:J181"/>
    <mergeCell ref="A182:B182"/>
    <mergeCell ref="D182:G182"/>
    <mergeCell ref="H182:J182"/>
    <mergeCell ref="A183:B183"/>
    <mergeCell ref="D183:G183"/>
    <mergeCell ref="D175:G175"/>
    <mergeCell ref="H175:J175"/>
    <mergeCell ref="A176:J176"/>
    <mergeCell ref="A177:J177"/>
    <mergeCell ref="D178:G178"/>
    <mergeCell ref="H178:J178"/>
    <mergeCell ref="D171:G171"/>
    <mergeCell ref="H171:J171"/>
    <mergeCell ref="A172:J172"/>
    <mergeCell ref="A173:J173"/>
    <mergeCell ref="D174:G174"/>
    <mergeCell ref="H174:J174"/>
    <mergeCell ref="A166:G166"/>
    <mergeCell ref="H166:J166"/>
    <mergeCell ref="A167:J167"/>
    <mergeCell ref="A168:J168"/>
    <mergeCell ref="A169:J169"/>
    <mergeCell ref="D170:G170"/>
    <mergeCell ref="H170:J170"/>
    <mergeCell ref="A163:B163"/>
    <mergeCell ref="H163:J163"/>
    <mergeCell ref="A164:B164"/>
    <mergeCell ref="H164:J164"/>
    <mergeCell ref="A165:B165"/>
    <mergeCell ref="H165:J165"/>
    <mergeCell ref="A160:B160"/>
    <mergeCell ref="H160:J160"/>
    <mergeCell ref="A161:B161"/>
    <mergeCell ref="H161:J161"/>
    <mergeCell ref="A162:B162"/>
    <mergeCell ref="H162:J162"/>
    <mergeCell ref="A157:B157"/>
    <mergeCell ref="H157:J157"/>
    <mergeCell ref="A158:B158"/>
    <mergeCell ref="H158:J158"/>
    <mergeCell ref="A159:B159"/>
    <mergeCell ref="H159:J159"/>
    <mergeCell ref="A154:B154"/>
    <mergeCell ref="H154:J154"/>
    <mergeCell ref="A155:B155"/>
    <mergeCell ref="H155:J155"/>
    <mergeCell ref="A156:B156"/>
    <mergeCell ref="H156:J156"/>
    <mergeCell ref="A149:G149"/>
    <mergeCell ref="H149:J149"/>
    <mergeCell ref="A150:J150"/>
    <mergeCell ref="A151:J151"/>
    <mergeCell ref="A152:J152"/>
    <mergeCell ref="A153:B153"/>
    <mergeCell ref="H153:J153"/>
    <mergeCell ref="A146:C146"/>
    <mergeCell ref="H146:J146"/>
    <mergeCell ref="A147:C147"/>
    <mergeCell ref="H147:J147"/>
    <mergeCell ref="A148:C148"/>
    <mergeCell ref="H148:J148"/>
    <mergeCell ref="A141:J141"/>
    <mergeCell ref="A142:J142"/>
    <mergeCell ref="A143:J143"/>
    <mergeCell ref="A144:C144"/>
    <mergeCell ref="H144:J144"/>
    <mergeCell ref="A145:C145"/>
    <mergeCell ref="H145:J145"/>
    <mergeCell ref="A138:C138"/>
    <mergeCell ref="H138:J138"/>
    <mergeCell ref="A139:C139"/>
    <mergeCell ref="H139:J139"/>
    <mergeCell ref="A140:G140"/>
    <mergeCell ref="H140:J140"/>
    <mergeCell ref="A135:C135"/>
    <mergeCell ref="H135:J135"/>
    <mergeCell ref="A136:C136"/>
    <mergeCell ref="H136:J136"/>
    <mergeCell ref="A137:C137"/>
    <mergeCell ref="H137:J137"/>
    <mergeCell ref="A132:C132"/>
    <mergeCell ref="H132:J132"/>
    <mergeCell ref="A133:C133"/>
    <mergeCell ref="H133:J133"/>
    <mergeCell ref="A134:C134"/>
    <mergeCell ref="H134:J134"/>
    <mergeCell ref="A127:G127"/>
    <mergeCell ref="H127:J127"/>
    <mergeCell ref="A128:J128"/>
    <mergeCell ref="A129:J129"/>
    <mergeCell ref="A130:J130"/>
    <mergeCell ref="A131:C131"/>
    <mergeCell ref="H131:J131"/>
    <mergeCell ref="A124:C124"/>
    <mergeCell ref="H124:J124"/>
    <mergeCell ref="A125:C125"/>
    <mergeCell ref="H125:J125"/>
    <mergeCell ref="A126:C126"/>
    <mergeCell ref="H126:J126"/>
    <mergeCell ref="A121:C121"/>
    <mergeCell ref="H121:J121"/>
    <mergeCell ref="A122:C122"/>
    <mergeCell ref="H122:J122"/>
    <mergeCell ref="A123:C123"/>
    <mergeCell ref="H123:J123"/>
    <mergeCell ref="A118:C118"/>
    <mergeCell ref="H118:J118"/>
    <mergeCell ref="A119:C119"/>
    <mergeCell ref="H119:J119"/>
    <mergeCell ref="A120:C120"/>
    <mergeCell ref="H120:J120"/>
    <mergeCell ref="A115:C115"/>
    <mergeCell ref="H115:J115"/>
    <mergeCell ref="A116:C116"/>
    <mergeCell ref="H116:J116"/>
    <mergeCell ref="A117:C117"/>
    <mergeCell ref="H117:J117"/>
    <mergeCell ref="A112:C112"/>
    <mergeCell ref="H112:J112"/>
    <mergeCell ref="A113:C113"/>
    <mergeCell ref="H113:J113"/>
    <mergeCell ref="A114:C114"/>
    <mergeCell ref="H114:J114"/>
    <mergeCell ref="A109:C109"/>
    <mergeCell ref="H109:J109"/>
    <mergeCell ref="A110:C110"/>
    <mergeCell ref="H110:J110"/>
    <mergeCell ref="A111:C111"/>
    <mergeCell ref="H111:J111"/>
    <mergeCell ref="A106:C106"/>
    <mergeCell ref="H106:J106"/>
    <mergeCell ref="A107:C107"/>
    <mergeCell ref="H107:J107"/>
    <mergeCell ref="A108:C108"/>
    <mergeCell ref="H108:J108"/>
    <mergeCell ref="A103:C103"/>
    <mergeCell ref="H103:J103"/>
    <mergeCell ref="A104:C104"/>
    <mergeCell ref="H104:J104"/>
    <mergeCell ref="A105:C105"/>
    <mergeCell ref="H105:J105"/>
    <mergeCell ref="A100:C100"/>
    <mergeCell ref="H100:J100"/>
    <mergeCell ref="A101:C101"/>
    <mergeCell ref="H101:J101"/>
    <mergeCell ref="A102:C102"/>
    <mergeCell ref="H102:J102"/>
    <mergeCell ref="A97:C97"/>
    <mergeCell ref="H97:J97"/>
    <mergeCell ref="A98:C98"/>
    <mergeCell ref="H98:J98"/>
    <mergeCell ref="A99:C99"/>
    <mergeCell ref="H99:J99"/>
    <mergeCell ref="A94:C94"/>
    <mergeCell ref="H94:J94"/>
    <mergeCell ref="A95:C95"/>
    <mergeCell ref="H95:J95"/>
    <mergeCell ref="A96:C96"/>
    <mergeCell ref="H96:J96"/>
    <mergeCell ref="A91:C91"/>
    <mergeCell ref="H91:J91"/>
    <mergeCell ref="A92:C92"/>
    <mergeCell ref="H92:J92"/>
    <mergeCell ref="A93:C93"/>
    <mergeCell ref="H93:J93"/>
    <mergeCell ref="A88:C88"/>
    <mergeCell ref="H88:J88"/>
    <mergeCell ref="A89:C89"/>
    <mergeCell ref="H89:J89"/>
    <mergeCell ref="A90:C90"/>
    <mergeCell ref="H90:J90"/>
    <mergeCell ref="A83:B83"/>
    <mergeCell ref="E83:J83"/>
    <mergeCell ref="E84:J84"/>
    <mergeCell ref="A85:J85"/>
    <mergeCell ref="A86:J86"/>
    <mergeCell ref="A87:C87"/>
    <mergeCell ref="H87:J87"/>
    <mergeCell ref="A78:C78"/>
    <mergeCell ref="D78:J78"/>
    <mergeCell ref="A79:C79"/>
    <mergeCell ref="D79:J79"/>
    <mergeCell ref="A80:B82"/>
    <mergeCell ref="E80:J82"/>
    <mergeCell ref="A74:J74"/>
    <mergeCell ref="A75:J75"/>
    <mergeCell ref="A76:C76"/>
    <mergeCell ref="D76:J76"/>
    <mergeCell ref="A77:C77"/>
    <mergeCell ref="D77:J77"/>
    <mergeCell ref="C71:D71"/>
    <mergeCell ref="G71:J71"/>
    <mergeCell ref="C72:D72"/>
    <mergeCell ref="G72:J72"/>
    <mergeCell ref="C73:D73"/>
    <mergeCell ref="G73:J73"/>
    <mergeCell ref="C68:D68"/>
    <mergeCell ref="G68:J68"/>
    <mergeCell ref="C69:D69"/>
    <mergeCell ref="G69:J69"/>
    <mergeCell ref="C70:D70"/>
    <mergeCell ref="G70:J70"/>
    <mergeCell ref="A64:J64"/>
    <mergeCell ref="A65:J65"/>
    <mergeCell ref="B66:D66"/>
    <mergeCell ref="G66:J66"/>
    <mergeCell ref="C67:F67"/>
    <mergeCell ref="G67:J67"/>
    <mergeCell ref="C61:D61"/>
    <mergeCell ref="E61:J61"/>
    <mergeCell ref="C62:D62"/>
    <mergeCell ref="E62:J62"/>
    <mergeCell ref="B63:D63"/>
    <mergeCell ref="E63:J63"/>
    <mergeCell ref="A56:J56"/>
    <mergeCell ref="B57:J57"/>
    <mergeCell ref="E58:J58"/>
    <mergeCell ref="E59:J59"/>
    <mergeCell ref="C60:D60"/>
    <mergeCell ref="E60:J60"/>
    <mergeCell ref="A54:B54"/>
    <mergeCell ref="C54:D54"/>
    <mergeCell ref="E54:F54"/>
    <mergeCell ref="H54:J54"/>
    <mergeCell ref="A55:G55"/>
    <mergeCell ref="H55:J55"/>
    <mergeCell ref="A52:B52"/>
    <mergeCell ref="C52:D52"/>
    <mergeCell ref="E52:F52"/>
    <mergeCell ref="H52:J52"/>
    <mergeCell ref="A53:B53"/>
    <mergeCell ref="C53:D53"/>
    <mergeCell ref="E53:F53"/>
    <mergeCell ref="H53:J53"/>
    <mergeCell ref="A50:B50"/>
    <mergeCell ref="C50:D50"/>
    <mergeCell ref="E50:F50"/>
    <mergeCell ref="H50:J50"/>
    <mergeCell ref="A51:B51"/>
    <mergeCell ref="C51:D51"/>
    <mergeCell ref="E51:F51"/>
    <mergeCell ref="H51:J51"/>
    <mergeCell ref="A48:B48"/>
    <mergeCell ref="C48:D48"/>
    <mergeCell ref="E48:F48"/>
    <mergeCell ref="H48:J48"/>
    <mergeCell ref="A49:B49"/>
    <mergeCell ref="C49:D49"/>
    <mergeCell ref="E49:F49"/>
    <mergeCell ref="H49:J49"/>
    <mergeCell ref="A45:J45"/>
    <mergeCell ref="A46:B46"/>
    <mergeCell ref="C46:D46"/>
    <mergeCell ref="E46:F46"/>
    <mergeCell ref="H46:J46"/>
    <mergeCell ref="A47:B47"/>
    <mergeCell ref="C47:D47"/>
    <mergeCell ref="E47:F47"/>
    <mergeCell ref="H47:J47"/>
    <mergeCell ref="A41:J41"/>
    <mergeCell ref="A42:A43"/>
    <mergeCell ref="F42:H42"/>
    <mergeCell ref="I42:J43"/>
    <mergeCell ref="F43:H43"/>
    <mergeCell ref="A44:J44"/>
    <mergeCell ref="A36:A37"/>
    <mergeCell ref="F36:H36"/>
    <mergeCell ref="I36:J37"/>
    <mergeCell ref="F37:H37"/>
    <mergeCell ref="A38:J38"/>
    <mergeCell ref="A39:A40"/>
    <mergeCell ref="F39:H39"/>
    <mergeCell ref="I39:J40"/>
    <mergeCell ref="F40:H40"/>
    <mergeCell ref="A32:J32"/>
    <mergeCell ref="A33:A34"/>
    <mergeCell ref="F33:H33"/>
    <mergeCell ref="I33:J34"/>
    <mergeCell ref="F34:H34"/>
    <mergeCell ref="A35:J35"/>
    <mergeCell ref="A29:C30"/>
    <mergeCell ref="E29:H29"/>
    <mergeCell ref="I29:J29"/>
    <mergeCell ref="E30:H30"/>
    <mergeCell ref="I30:J30"/>
    <mergeCell ref="A31:J31"/>
    <mergeCell ref="A25:C26"/>
    <mergeCell ref="E25:H25"/>
    <mergeCell ref="I25:J25"/>
    <mergeCell ref="E26:H26"/>
    <mergeCell ref="I26:J26"/>
    <mergeCell ref="A27:C28"/>
    <mergeCell ref="E27:H27"/>
    <mergeCell ref="I27:J27"/>
    <mergeCell ref="E28:H28"/>
    <mergeCell ref="I28:J28"/>
    <mergeCell ref="A23:C24"/>
    <mergeCell ref="E23:F23"/>
    <mergeCell ref="G23:H23"/>
    <mergeCell ref="I23:J23"/>
    <mergeCell ref="E24:F24"/>
    <mergeCell ref="G24:H24"/>
    <mergeCell ref="I24:J24"/>
    <mergeCell ref="A21:C22"/>
    <mergeCell ref="E21:F21"/>
    <mergeCell ref="G21:H21"/>
    <mergeCell ref="I21:J21"/>
    <mergeCell ref="E22:F22"/>
    <mergeCell ref="G22:H22"/>
    <mergeCell ref="I22:J22"/>
    <mergeCell ref="A17:C18"/>
    <mergeCell ref="E17:H17"/>
    <mergeCell ref="I17:J17"/>
    <mergeCell ref="E18:H18"/>
    <mergeCell ref="I18:J18"/>
    <mergeCell ref="A19:C20"/>
    <mergeCell ref="E19:H19"/>
    <mergeCell ref="I19:J19"/>
    <mergeCell ref="E20:H20"/>
    <mergeCell ref="I20:J20"/>
    <mergeCell ref="A15:C16"/>
    <mergeCell ref="E15:F15"/>
    <mergeCell ref="G15:H15"/>
    <mergeCell ref="I15:J15"/>
    <mergeCell ref="E16:F16"/>
    <mergeCell ref="G16:H16"/>
    <mergeCell ref="I16:J16"/>
    <mergeCell ref="A10:J10"/>
    <mergeCell ref="A11:J11"/>
    <mergeCell ref="C12:D12"/>
    <mergeCell ref="E12:J12"/>
    <mergeCell ref="A13:J13"/>
    <mergeCell ref="A14:J14"/>
    <mergeCell ref="F6:J6"/>
    <mergeCell ref="A7:E7"/>
    <mergeCell ref="F7:J7"/>
    <mergeCell ref="A8:E8"/>
    <mergeCell ref="F8:J8"/>
    <mergeCell ref="A9:J9"/>
    <mergeCell ref="A1:G1"/>
    <mergeCell ref="I1:J1"/>
    <mergeCell ref="K1:S177"/>
    <mergeCell ref="E2:F2"/>
    <mergeCell ref="I2:J2"/>
    <mergeCell ref="C3:J3"/>
    <mergeCell ref="A4:J4"/>
    <mergeCell ref="A5:E5"/>
    <mergeCell ref="F5:J5"/>
    <mergeCell ref="A6:E6"/>
  </mergeCells>
  <conditionalFormatting sqref="D80">
    <cfRule type="expression" dxfId="10" priority="6">
      <formula>A79="Lucro Real com PIS/COFINS não cumulativos"</formula>
    </cfRule>
    <cfRule type="expression" dxfId="9" priority="7">
      <formula>A79="Simples Nacional"</formula>
    </cfRule>
  </conditionalFormatting>
  <conditionalFormatting sqref="D81:D82">
    <cfRule type="expression" dxfId="8" priority="8">
      <formula>A79="Simples Nacional"</formula>
    </cfRule>
    <cfRule type="expression" dxfId="7" priority="9">
      <formula>A79="Lucro Real com PIS/COFINS não cumulativos"</formula>
    </cfRule>
  </conditionalFormatting>
  <conditionalFormatting sqref="D83:D84">
    <cfRule type="expression" dxfId="6" priority="4">
      <formula>D79&gt;3600000</formula>
    </cfRule>
    <cfRule type="expression" dxfId="5" priority="5">
      <formula>A79="Simples Nacional"</formula>
    </cfRule>
  </conditionalFormatting>
  <conditionalFormatting sqref="D78:J78">
    <cfRule type="expression" dxfId="4" priority="2">
      <formula>A79="Simples Nacional"</formula>
    </cfRule>
    <cfRule type="expression" dxfId="3" priority="3">
      <formula>A79="Lucro Real com PIS/COFINS não cumulativos"</formula>
    </cfRule>
  </conditionalFormatting>
  <conditionalFormatting sqref="E84:J84">
    <cfRule type="expression" dxfId="2" priority="1">
      <formula>D79&gt;3600000</formula>
    </cfRule>
  </conditionalFormatting>
  <dataValidations count="3">
    <dataValidation type="list" errorStyle="warning" allowBlank="1" showInputMessage="1" showErrorMessage="1" promptTitle="SELECIONAR O REGIME TRIBUTÁRIO" sqref="A79:C79" xr:uid="{BFD251A0-4F10-4826-8C77-E95765CDC093}">
      <formula1>"Lucro Real,Lucro Real com PIS/COFINS não cumulativos,Lucro Presumido,Simples Nacional"</formula1>
    </dataValidation>
    <dataValidation operator="equal" allowBlank="1" showErrorMessage="1" errorTitle="Atenção!!!" error="Exclusivamente para os regimes do lucro real e lucro presumido!" sqref="D83:D84" xr:uid="{6BFD4253-F2A6-4EE9-A1FC-C11CD0CC3E90}">
      <formula1>0</formula1>
      <formula2>0</formula2>
    </dataValidation>
    <dataValidation errorStyle="warning" allowBlank="1" showInputMessage="1" showErrorMessage="1" errorTitle="OK" error="Atingiu o valor desejado." sqref="B12 E12 E68:F72" xr:uid="{0DEA4EA6-93F3-4E0A-9811-EC722B56FF08}"/>
  </dataValidations>
  <pageMargins left="0.78740157480314954" right="0.78740157480314954" top="1.1811023622047243" bottom="1.1811023622047243" header="0.78740157480314954" footer="0.78740157480314954"/>
  <pageSetup paperSize="0" scale="58" fitToWidth="0" fitToHeight="0" pageOrder="overThenDown" orientation="portrait" horizontalDpi="0" verticalDpi="0" copies="0"/>
  <headerFooter alignWithMargins="0">
    <oddHeader>&amp;C&amp;10&amp;A</oddHeader>
    <oddFooter>&amp;C&amp;10Página &amp;P</oddFooter>
  </headerFooter>
  <colBreaks count="1" manualBreakCount="1">
    <brk id="10" man="1"/>
  </colBreak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E2B80-9CE9-4107-A412-6366092C3040}">
  <sheetPr codeName="Planilha2"/>
  <dimension ref="A2:S32"/>
  <sheetViews>
    <sheetView topLeftCell="A12" zoomScale="90" zoomScaleNormal="90" workbookViewId="0">
      <selection activeCell="B56" sqref="B56"/>
    </sheetView>
  </sheetViews>
  <sheetFormatPr defaultRowHeight="13.85"/>
  <cols>
    <col min="1" max="1" width="48.6328125" customWidth="1"/>
    <col min="2" max="2" width="18.26953125" customWidth="1"/>
    <col min="3" max="3" width="13.7265625" customWidth="1"/>
    <col min="4" max="4" width="18.26953125" customWidth="1"/>
    <col min="5" max="5" width="12.453125" customWidth="1"/>
    <col min="6" max="6" width="26.36328125" bestFit="1" customWidth="1"/>
    <col min="7" max="7" width="11.26953125" bestFit="1" customWidth="1"/>
    <col min="8" max="8" width="26.36328125" bestFit="1" customWidth="1"/>
    <col min="9" max="9" width="9.7265625" bestFit="1" customWidth="1"/>
    <col min="10" max="10" width="8.26953125" bestFit="1" customWidth="1"/>
  </cols>
  <sheetData>
    <row r="2" spans="1:19" ht="34.15" customHeight="1">
      <c r="A2" s="151" t="s">
        <v>211</v>
      </c>
      <c r="B2" s="151"/>
      <c r="C2" s="151"/>
      <c r="D2" s="151"/>
      <c r="E2" s="151"/>
      <c r="F2" s="149" t="s">
        <v>212</v>
      </c>
      <c r="J2" s="167"/>
      <c r="K2" s="167"/>
      <c r="L2" s="167"/>
      <c r="M2" s="167"/>
      <c r="N2" s="167"/>
      <c r="O2" s="167"/>
      <c r="P2" s="167"/>
      <c r="Q2" s="168"/>
      <c r="R2" s="169"/>
      <c r="S2" s="169"/>
    </row>
    <row r="3" spans="1:19" ht="37.299999999999997" customHeight="1">
      <c r="A3" s="124" t="s">
        <v>213</v>
      </c>
      <c r="B3" s="124" t="s">
        <v>214</v>
      </c>
      <c r="C3" s="170" t="s">
        <v>215</v>
      </c>
      <c r="D3" s="170"/>
      <c r="E3" s="170"/>
      <c r="F3" s="124" t="str">
        <f>Licitante!$B$2</f>
        <v>Guaratinguetá / SP</v>
      </c>
      <c r="J3" s="167"/>
      <c r="K3" s="167"/>
      <c r="L3" s="167"/>
      <c r="M3" s="167"/>
      <c r="N3" s="167"/>
      <c r="O3" s="167"/>
      <c r="P3" s="167"/>
      <c r="Q3" s="168"/>
      <c r="R3" s="169"/>
      <c r="S3" s="169"/>
    </row>
    <row r="4" spans="1:19" ht="31.7" customHeight="1">
      <c r="A4" s="30" t="s">
        <v>216</v>
      </c>
      <c r="B4" s="171"/>
      <c r="C4" s="172">
        <v>1200</v>
      </c>
      <c r="D4" s="173"/>
      <c r="E4" s="174"/>
      <c r="F4" s="175">
        <f>B4/C4</f>
        <v>0</v>
      </c>
      <c r="J4" s="119"/>
      <c r="K4" s="119"/>
      <c r="L4" s="176"/>
      <c r="M4" s="176"/>
      <c r="N4" s="177"/>
      <c r="O4" s="177"/>
      <c r="P4" s="119"/>
      <c r="Q4" s="119"/>
      <c r="R4" s="178"/>
      <c r="S4" s="179"/>
    </row>
    <row r="5" spans="1:19" ht="31.7" customHeight="1">
      <c r="A5" s="30" t="s">
        <v>217</v>
      </c>
      <c r="B5" s="171">
        <v>550</v>
      </c>
      <c r="C5" s="180">
        <v>1200</v>
      </c>
      <c r="D5" s="180"/>
      <c r="E5" s="180"/>
      <c r="F5" s="175">
        <f t="shared" ref="F5:F11" si="0">B5/C5</f>
        <v>0.45833333333333331</v>
      </c>
      <c r="H5" s="181"/>
      <c r="J5" s="120"/>
      <c r="K5" s="182"/>
      <c r="L5" s="183"/>
      <c r="M5" s="183"/>
      <c r="N5" s="120"/>
      <c r="O5" s="182"/>
      <c r="P5" s="184"/>
      <c r="Q5" s="185"/>
      <c r="R5" s="186"/>
      <c r="S5" s="186"/>
    </row>
    <row r="6" spans="1:19" ht="31.7" customHeight="1">
      <c r="A6" s="30" t="s">
        <v>218</v>
      </c>
      <c r="B6" s="171"/>
      <c r="C6" s="180">
        <v>450</v>
      </c>
      <c r="D6" s="180"/>
      <c r="E6" s="180"/>
      <c r="F6" s="175">
        <f t="shared" si="0"/>
        <v>0</v>
      </c>
      <c r="H6" s="181"/>
      <c r="J6" s="120"/>
      <c r="K6" s="182"/>
      <c r="L6" s="120"/>
      <c r="M6" s="120"/>
      <c r="N6" s="120"/>
      <c r="O6" s="182"/>
      <c r="P6" s="184"/>
      <c r="Q6" s="185"/>
      <c r="R6" s="186"/>
      <c r="S6" s="186"/>
    </row>
    <row r="7" spans="1:19" ht="34.15" customHeight="1">
      <c r="A7" s="30" t="s">
        <v>219</v>
      </c>
      <c r="B7" s="171"/>
      <c r="C7" s="180">
        <v>2500</v>
      </c>
      <c r="D7" s="180"/>
      <c r="E7" s="180"/>
      <c r="F7" s="175">
        <f t="shared" si="0"/>
        <v>0</v>
      </c>
      <c r="J7" s="120"/>
      <c r="K7" s="182"/>
      <c r="L7" s="183"/>
      <c r="M7" s="183"/>
      <c r="N7" s="120"/>
      <c r="O7" s="182"/>
      <c r="P7" s="184"/>
      <c r="Q7" s="185"/>
      <c r="R7" s="186"/>
      <c r="S7" s="186"/>
    </row>
    <row r="8" spans="1:19" ht="34.15" customHeight="1">
      <c r="A8" s="30" t="s">
        <v>220</v>
      </c>
      <c r="B8" s="171"/>
      <c r="C8" s="180">
        <v>1800</v>
      </c>
      <c r="D8" s="180"/>
      <c r="E8" s="180"/>
      <c r="F8" s="175">
        <f t="shared" si="0"/>
        <v>0</v>
      </c>
      <c r="J8" s="120"/>
      <c r="K8" s="182"/>
      <c r="L8" s="120"/>
      <c r="M8" s="120"/>
      <c r="N8" s="120"/>
      <c r="O8" s="182"/>
      <c r="P8" s="184"/>
      <c r="Q8" s="185"/>
      <c r="R8" s="186"/>
      <c r="S8" s="186"/>
    </row>
    <row r="9" spans="1:19" ht="34.15" customHeight="1">
      <c r="A9" s="30" t="s">
        <v>221</v>
      </c>
      <c r="B9" s="171"/>
      <c r="C9" s="180">
        <v>1500</v>
      </c>
      <c r="D9" s="180"/>
      <c r="E9" s="180"/>
      <c r="F9" s="175">
        <f t="shared" si="0"/>
        <v>0</v>
      </c>
      <c r="J9" s="120"/>
      <c r="K9" s="182"/>
      <c r="L9" s="120"/>
      <c r="M9" s="120"/>
      <c r="N9" s="120"/>
      <c r="O9" s="182"/>
      <c r="P9" s="184"/>
      <c r="Q9" s="185"/>
      <c r="R9" s="186"/>
      <c r="S9" s="186"/>
    </row>
    <row r="10" spans="1:19" ht="34.15" customHeight="1">
      <c r="A10" s="30" t="s">
        <v>222</v>
      </c>
      <c r="B10" s="171">
        <v>80</v>
      </c>
      <c r="C10" s="180">
        <v>300</v>
      </c>
      <c r="D10" s="180"/>
      <c r="E10" s="180"/>
      <c r="F10" s="175">
        <f t="shared" si="0"/>
        <v>0.26666666666666666</v>
      </c>
      <c r="J10" s="120"/>
      <c r="K10" s="182"/>
      <c r="L10" s="120"/>
      <c r="M10" s="120"/>
      <c r="N10" s="120"/>
      <c r="O10" s="182"/>
      <c r="P10" s="184"/>
      <c r="Q10" s="185"/>
      <c r="R10" s="186"/>
      <c r="S10" s="186"/>
    </row>
    <row r="11" spans="1:19" ht="36.75" customHeight="1">
      <c r="A11" s="30" t="s">
        <v>223</v>
      </c>
      <c r="B11" s="171"/>
      <c r="C11" s="180">
        <v>300</v>
      </c>
      <c r="D11" s="180"/>
      <c r="E11" s="180"/>
      <c r="F11" s="175">
        <f t="shared" si="0"/>
        <v>0</v>
      </c>
      <c r="J11" s="120"/>
      <c r="K11" s="182"/>
      <c r="L11" s="183"/>
      <c r="M11" s="183"/>
      <c r="N11" s="120"/>
      <c r="O11" s="182"/>
      <c r="P11" s="184"/>
      <c r="Q11" s="185"/>
      <c r="R11" s="186"/>
      <c r="S11" s="186"/>
    </row>
    <row r="12" spans="1:19" ht="36.75" customHeight="1">
      <c r="A12" s="124" t="s">
        <v>224</v>
      </c>
      <c r="B12" s="124" t="s">
        <v>214</v>
      </c>
      <c r="C12" s="170" t="s">
        <v>215</v>
      </c>
      <c r="D12" s="170"/>
      <c r="E12" s="170"/>
      <c r="F12" s="124" t="str">
        <f>Licitante!$B$2</f>
        <v>Guaratinguetá / SP</v>
      </c>
      <c r="J12" s="167"/>
      <c r="K12" s="167"/>
      <c r="L12" s="167"/>
      <c r="M12" s="167"/>
      <c r="N12" s="167"/>
      <c r="O12" s="167"/>
      <c r="P12" s="167"/>
      <c r="Q12" s="178"/>
      <c r="R12" s="186"/>
      <c r="S12" s="186"/>
    </row>
    <row r="13" spans="1:19" ht="31.7" customHeight="1">
      <c r="A13" s="30" t="s">
        <v>225</v>
      </c>
      <c r="B13" s="171">
        <v>100</v>
      </c>
      <c r="C13" s="180">
        <v>2700</v>
      </c>
      <c r="D13" s="180"/>
      <c r="E13" s="172"/>
      <c r="F13" s="187">
        <f t="shared" ref="F13:F18" si="1">B13/C13</f>
        <v>3.7037037037037035E-2</v>
      </c>
    </row>
    <row r="14" spans="1:19" ht="31.7" customHeight="1">
      <c r="A14" s="188" t="s">
        <v>226</v>
      </c>
      <c r="B14" s="189">
        <v>100</v>
      </c>
      <c r="C14" s="190">
        <v>9000</v>
      </c>
      <c r="D14" s="190"/>
      <c r="E14" s="191"/>
      <c r="F14" s="192">
        <f t="shared" si="1"/>
        <v>1.1111111111111112E-2</v>
      </c>
    </row>
    <row r="15" spans="1:19" ht="31.7" customHeight="1">
      <c r="A15" s="188" t="s">
        <v>227</v>
      </c>
      <c r="B15" s="189"/>
      <c r="C15" s="190">
        <v>2700</v>
      </c>
      <c r="D15" s="190"/>
      <c r="E15" s="191"/>
      <c r="F15" s="192">
        <f t="shared" si="1"/>
        <v>0</v>
      </c>
    </row>
    <row r="16" spans="1:19" ht="31.7" customHeight="1">
      <c r="A16" s="188" t="s">
        <v>228</v>
      </c>
      <c r="B16" s="189"/>
      <c r="C16" s="190">
        <v>2700</v>
      </c>
      <c r="D16" s="190"/>
      <c r="E16" s="191"/>
      <c r="F16" s="192">
        <f t="shared" si="1"/>
        <v>0</v>
      </c>
    </row>
    <row r="17" spans="1:19" ht="31.7" customHeight="1">
      <c r="A17" s="188" t="s">
        <v>229</v>
      </c>
      <c r="B17" s="189"/>
      <c r="C17" s="190">
        <v>2700</v>
      </c>
      <c r="D17" s="190"/>
      <c r="E17" s="191"/>
      <c r="F17" s="192">
        <f t="shared" si="1"/>
        <v>0</v>
      </c>
    </row>
    <row r="18" spans="1:19" ht="33.549999999999997" customHeight="1">
      <c r="A18" s="188" t="s">
        <v>230</v>
      </c>
      <c r="B18" s="189"/>
      <c r="C18" s="190">
        <v>100000</v>
      </c>
      <c r="D18" s="190"/>
      <c r="E18" s="191"/>
      <c r="F18" s="192">
        <f t="shared" si="1"/>
        <v>0</v>
      </c>
      <c r="G18" s="193"/>
      <c r="J18" s="168"/>
      <c r="K18" s="168"/>
      <c r="L18" s="168"/>
      <c r="M18" s="168"/>
      <c r="N18" s="168"/>
      <c r="O18" s="168"/>
      <c r="P18" s="168"/>
      <c r="Q18" s="168"/>
      <c r="R18" s="169"/>
      <c r="S18" s="169"/>
    </row>
    <row r="19" spans="1:19" ht="25.05" customHeight="1">
      <c r="A19" s="194" t="s">
        <v>231</v>
      </c>
      <c r="B19" s="194"/>
      <c r="C19" s="194"/>
      <c r="D19" s="194"/>
      <c r="E19" s="194"/>
      <c r="F19" s="195">
        <f>SUM(F4:F11)+SUM(F13:F18)</f>
        <v>0.77314814814814814</v>
      </c>
      <c r="G19" s="196"/>
      <c r="J19" s="168"/>
      <c r="K19" s="168"/>
      <c r="L19" s="168"/>
      <c r="M19" s="168"/>
      <c r="N19" s="168"/>
      <c r="O19" s="168"/>
      <c r="P19" s="168"/>
      <c r="Q19" s="168"/>
      <c r="R19" s="169"/>
      <c r="S19" s="169"/>
    </row>
    <row r="20" spans="1:19" ht="33" customHeight="1">
      <c r="A20" s="197"/>
      <c r="B20" s="197"/>
      <c r="C20" s="197"/>
      <c r="D20" s="197"/>
      <c r="E20" s="197"/>
      <c r="F20" s="197"/>
      <c r="J20" s="119"/>
      <c r="K20" s="119"/>
      <c r="L20" s="176"/>
      <c r="M20" s="176"/>
      <c r="N20" s="177"/>
      <c r="O20" s="177"/>
      <c r="P20" s="119"/>
      <c r="Q20" s="119"/>
      <c r="R20" s="186"/>
      <c r="S20" s="186"/>
    </row>
    <row r="21" spans="1:19" ht="21.6" customHeight="1">
      <c r="A21" s="198" t="s">
        <v>232</v>
      </c>
      <c r="B21" s="198"/>
      <c r="C21" s="198"/>
      <c r="D21" s="198"/>
      <c r="E21" s="198"/>
      <c r="F21" s="199"/>
      <c r="J21" s="120"/>
      <c r="K21" s="182"/>
      <c r="L21" s="183"/>
      <c r="M21" s="183"/>
      <c r="N21" s="120"/>
      <c r="O21" s="182"/>
      <c r="P21" s="184"/>
      <c r="Q21" s="185"/>
      <c r="R21" s="186"/>
      <c r="S21" s="186"/>
    </row>
    <row r="22" spans="1:19" ht="21.6" customHeight="1">
      <c r="A22" s="198" t="s">
        <v>233</v>
      </c>
      <c r="B22" s="198"/>
      <c r="C22" s="198"/>
      <c r="D22" s="198"/>
      <c r="E22" s="198"/>
      <c r="F22" s="199">
        <v>1</v>
      </c>
      <c r="J22" s="120"/>
      <c r="K22" s="182"/>
      <c r="L22" s="120"/>
      <c r="M22" s="120"/>
      <c r="N22" s="120"/>
      <c r="O22" s="182"/>
      <c r="P22" s="184"/>
      <c r="Q22" s="185"/>
      <c r="R22" s="186"/>
      <c r="S22" s="186"/>
    </row>
    <row r="23" spans="1:19" ht="21.6" customHeight="1">
      <c r="A23" s="198" t="s">
        <v>234</v>
      </c>
      <c r="B23" s="198"/>
      <c r="C23" s="198"/>
      <c r="D23" s="198"/>
      <c r="E23" s="198"/>
      <c r="F23" s="199"/>
      <c r="J23" s="120"/>
      <c r="K23" s="182"/>
      <c r="L23" s="120"/>
      <c r="M23" s="120"/>
      <c r="N23" s="120"/>
      <c r="O23" s="182"/>
      <c r="P23" s="184"/>
      <c r="Q23" s="185"/>
      <c r="R23" s="186"/>
      <c r="S23" s="186"/>
    </row>
    <row r="24" spans="1:19" ht="23.2" customHeight="1">
      <c r="A24" s="200"/>
      <c r="B24" s="200"/>
      <c r="C24" s="200"/>
      <c r="D24" s="200"/>
      <c r="E24" s="200"/>
      <c r="F24" s="201"/>
      <c r="J24" s="167"/>
      <c r="K24" s="167"/>
      <c r="L24" s="167"/>
      <c r="M24" s="167"/>
      <c r="N24" s="167"/>
      <c r="O24" s="167"/>
      <c r="P24" s="167"/>
      <c r="Q24" s="178"/>
      <c r="R24" s="186"/>
      <c r="S24" s="186"/>
    </row>
    <row r="25" spans="1:19" ht="25.65" customHeight="1">
      <c r="A25" s="202" t="s">
        <v>211</v>
      </c>
      <c r="B25" s="202"/>
      <c r="C25" s="202"/>
      <c r="D25" s="202"/>
      <c r="E25" s="202"/>
      <c r="F25" s="202"/>
      <c r="G25" s="203"/>
      <c r="H25" s="204" t="s">
        <v>212</v>
      </c>
      <c r="I25" s="169"/>
      <c r="J25" s="169"/>
    </row>
    <row r="26" spans="1:19">
      <c r="A26" s="202"/>
      <c r="B26" s="202"/>
      <c r="C26" s="202"/>
      <c r="D26" s="202"/>
      <c r="E26" s="202"/>
      <c r="F26" s="202"/>
      <c r="G26" s="203"/>
      <c r="H26" s="204"/>
      <c r="I26" s="169"/>
      <c r="J26" s="169"/>
    </row>
    <row r="27" spans="1:19" ht="38.049999999999997">
      <c r="A27" s="124" t="s">
        <v>235</v>
      </c>
      <c r="B27" s="124" t="s">
        <v>214</v>
      </c>
      <c r="C27" s="170" t="s">
        <v>215</v>
      </c>
      <c r="D27" s="170"/>
      <c r="E27" s="65" t="s">
        <v>236</v>
      </c>
      <c r="F27" s="65" t="s">
        <v>237</v>
      </c>
      <c r="G27" s="205" t="s">
        <v>238</v>
      </c>
      <c r="H27" s="124" t="str">
        <f>Licitante!$B$2</f>
        <v>Guaratinguetá / SP</v>
      </c>
      <c r="I27" s="178"/>
      <c r="J27" s="179"/>
    </row>
    <row r="28" spans="1:19" ht="24.8" customHeight="1">
      <c r="A28" s="30" t="s">
        <v>239</v>
      </c>
      <c r="B28" s="171"/>
      <c r="C28" s="58">
        <v>160</v>
      </c>
      <c r="D28" s="58"/>
      <c r="E28" s="30">
        <v>8</v>
      </c>
      <c r="F28" s="171">
        <v>1132.5999999999999</v>
      </c>
      <c r="G28" s="206">
        <f>(1/C28)*E28*(1/F28)</f>
        <v>4.4146212254988529E-5</v>
      </c>
      <c r="H28" s="187">
        <f>B28*G28</f>
        <v>0</v>
      </c>
      <c r="I28" s="186"/>
      <c r="J28" s="186"/>
    </row>
    <row r="29" spans="1:19" ht="27.4" customHeight="1">
      <c r="A29" s="30" t="s">
        <v>240</v>
      </c>
      <c r="B29" s="171">
        <v>105</v>
      </c>
      <c r="C29" s="58">
        <v>380</v>
      </c>
      <c r="D29" s="58"/>
      <c r="E29" s="30">
        <v>16</v>
      </c>
      <c r="F29" s="171">
        <v>188.76</v>
      </c>
      <c r="G29" s="206">
        <f>(1/C29)*E29*(1/F29)</f>
        <v>2.2306242401936183E-4</v>
      </c>
      <c r="H29" s="187">
        <f>B29*G29</f>
        <v>2.3421554522032994E-2</v>
      </c>
      <c r="I29" s="186"/>
      <c r="J29" s="186"/>
    </row>
    <row r="30" spans="1:19" ht="27.25" customHeight="1">
      <c r="A30" s="30" t="s">
        <v>241</v>
      </c>
      <c r="B30" s="171">
        <v>105</v>
      </c>
      <c r="C30" s="58">
        <v>380</v>
      </c>
      <c r="D30" s="58"/>
      <c r="E30" s="30">
        <v>16</v>
      </c>
      <c r="F30" s="171">
        <v>188.76</v>
      </c>
      <c r="G30" s="206">
        <f>(1/C30)*E30*(1/F30)</f>
        <v>2.2306242401936183E-4</v>
      </c>
      <c r="H30" s="187">
        <f>B30*G30</f>
        <v>2.3421554522032994E-2</v>
      </c>
      <c r="I30" s="186"/>
      <c r="J30" s="186"/>
    </row>
    <row r="31" spans="1:19" ht="27.25" customHeight="1">
      <c r="A31" s="30" t="s">
        <v>242</v>
      </c>
      <c r="B31" s="171"/>
      <c r="C31" s="58">
        <v>160</v>
      </c>
      <c r="D31" s="58"/>
      <c r="E31" s="30">
        <v>8</v>
      </c>
      <c r="F31" s="171">
        <v>1132.5999999999999</v>
      </c>
      <c r="G31" s="206">
        <f>(1/C31)*E31*(1/F31)</f>
        <v>4.4146212254988529E-5</v>
      </c>
      <c r="H31" s="187">
        <f>B31*G31</f>
        <v>0</v>
      </c>
      <c r="I31" s="186"/>
      <c r="J31" s="186"/>
    </row>
    <row r="32" spans="1:19" ht="28.4" customHeight="1">
      <c r="A32" s="207" t="s">
        <v>243</v>
      </c>
      <c r="B32" s="207"/>
      <c r="C32" s="207"/>
      <c r="D32" s="207"/>
      <c r="E32" s="207"/>
      <c r="F32" s="207"/>
      <c r="G32" s="208"/>
      <c r="H32" s="195">
        <f>SUM(H28:H31)</f>
        <v>4.6843109044065988E-2</v>
      </c>
      <c r="I32" s="186"/>
      <c r="J32" s="186"/>
    </row>
  </sheetData>
  <mergeCells count="51">
    <mergeCell ref="C31:D31"/>
    <mergeCell ref="A32:G32"/>
    <mergeCell ref="J24:P24"/>
    <mergeCell ref="A25:G26"/>
    <mergeCell ref="H25:H26"/>
    <mergeCell ref="I25:J26"/>
    <mergeCell ref="C27:D27"/>
    <mergeCell ref="C28:D28"/>
    <mergeCell ref="I28:I32"/>
    <mergeCell ref="J28:J32"/>
    <mergeCell ref="C29:D29"/>
    <mergeCell ref="C30:D30"/>
    <mergeCell ref="R18:S19"/>
    <mergeCell ref="A19:E19"/>
    <mergeCell ref="A20:F20"/>
    <mergeCell ref="L20:M20"/>
    <mergeCell ref="R20:S24"/>
    <mergeCell ref="A21:E21"/>
    <mergeCell ref="L21:M21"/>
    <mergeCell ref="A22:E22"/>
    <mergeCell ref="A23:E23"/>
    <mergeCell ref="A24:E24"/>
    <mergeCell ref="C15:E15"/>
    <mergeCell ref="C16:E16"/>
    <mergeCell ref="C17:E17"/>
    <mergeCell ref="C18:E18"/>
    <mergeCell ref="J18:P19"/>
    <mergeCell ref="Q18:Q19"/>
    <mergeCell ref="C11:E11"/>
    <mergeCell ref="L11:M11"/>
    <mergeCell ref="C12:E12"/>
    <mergeCell ref="J12:P12"/>
    <mergeCell ref="C13:E13"/>
    <mergeCell ref="C14:E14"/>
    <mergeCell ref="C5:E5"/>
    <mergeCell ref="L5:M5"/>
    <mergeCell ref="R5:R12"/>
    <mergeCell ref="S5:S12"/>
    <mergeCell ref="C6:E6"/>
    <mergeCell ref="C7:E7"/>
    <mergeCell ref="L7:M7"/>
    <mergeCell ref="C8:E8"/>
    <mergeCell ref="C9:E9"/>
    <mergeCell ref="C10:E10"/>
    <mergeCell ref="A2:E2"/>
    <mergeCell ref="J2:P3"/>
    <mergeCell ref="Q2:Q3"/>
    <mergeCell ref="R2:S3"/>
    <mergeCell ref="C3:E3"/>
    <mergeCell ref="C4:E4"/>
    <mergeCell ref="L4:M4"/>
  </mergeCells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F879F-C9AF-43FC-86F0-7FB3AC56A4F5}">
  <sheetPr codeName="Planilha3"/>
  <dimension ref="A1:BG144"/>
  <sheetViews>
    <sheetView topLeftCell="A77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17.08984375" style="215" customWidth="1"/>
    <col min="9" max="9" width="18.36328125" style="215" customWidth="1"/>
    <col min="10" max="59" width="8.36328125" style="215" customWidth="1"/>
    <col min="60" max="1018" width="8.36328125" customWidth="1"/>
    <col min="1019" max="1019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Guaratinguetá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830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9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9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  <c r="I18" s="231"/>
    </row>
    <row r="19" spans="1:9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  <c r="I19" s="231"/>
    </row>
    <row r="20" spans="1:9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  <c r="I20" s="233"/>
    </row>
    <row r="21" spans="1:9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  <c r="I21" s="231"/>
    </row>
    <row r="22" spans="1:9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  <c r="I22" s="235"/>
    </row>
    <row r="23" spans="1:9" s="219" customFormat="1" ht="8.5" customHeight="1">
      <c r="A23" s="225"/>
      <c r="B23" s="225"/>
      <c r="C23" s="225"/>
      <c r="D23" s="225"/>
      <c r="E23" s="225"/>
      <c r="F23" s="225"/>
      <c r="G23" s="225"/>
      <c r="H23" s="225"/>
      <c r="I23" s="215"/>
    </row>
    <row r="24" spans="1:9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  <c r="I24" s="215"/>
    </row>
    <row r="25" spans="1:9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Guaratinguetá / SP</v>
      </c>
      <c r="I25" s="239" t="s">
        <v>273</v>
      </c>
    </row>
    <row r="26" spans="1:9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Licitante!F5</f>
        <v>1717.2</v>
      </c>
      <c r="I26" s="240">
        <f>Licitante!F6</f>
        <v>1872.8</v>
      </c>
    </row>
    <row r="27" spans="1:9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  <c r="I27" s="216"/>
    </row>
    <row r="28" spans="1:9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  <c r="I28" s="240"/>
    </row>
    <row r="29" spans="1:9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  <c r="I29" s="240"/>
    </row>
    <row r="30" spans="1:9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  <c r="I30" s="240"/>
    </row>
    <row r="31" spans="1:9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  <c r="I31" s="240"/>
    </row>
    <row r="32" spans="1:9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:I32" si="0">SUM(H26:H31)</f>
        <v>1717.2</v>
      </c>
      <c r="I32" s="242">
        <f t="shared" si="0"/>
        <v>1872.8</v>
      </c>
    </row>
    <row r="33" spans="1:9" s="227" customFormat="1" ht="7.65" customHeight="1">
      <c r="A33" s="243"/>
      <c r="B33" s="244"/>
      <c r="C33" s="244"/>
      <c r="D33" s="244"/>
      <c r="E33" s="244"/>
      <c r="F33" s="244"/>
      <c r="G33" s="244"/>
      <c r="H33" s="244"/>
      <c r="I33" s="245"/>
    </row>
    <row r="34" spans="1:9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47"/>
      <c r="I34" s="248"/>
    </row>
    <row r="35" spans="1:9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47"/>
      <c r="I35" s="248"/>
    </row>
    <row r="36" spans="1:9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38" t="str">
        <f>Licitante!$B$2</f>
        <v>Guaratinguetá / SP</v>
      </c>
      <c r="I36" s="239" t="s">
        <v>273</v>
      </c>
    </row>
    <row r="37" spans="1:9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143.1</v>
      </c>
      <c r="I37" s="249">
        <f>G37*I32</f>
        <v>156.06666666666666</v>
      </c>
    </row>
    <row r="38" spans="1:9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52.036363636363639</v>
      </c>
      <c r="I38" s="249">
        <f>G38*I32</f>
        <v>56.75151515151515</v>
      </c>
    </row>
    <row r="39" spans="1:9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I39" si="1">SUM(G37:G38)</f>
        <v>0.11363636363636363</v>
      </c>
      <c r="H39" s="251">
        <f t="shared" si="1"/>
        <v>195.13636363636363</v>
      </c>
      <c r="I39" s="251">
        <f t="shared" si="1"/>
        <v>212.81818181818181</v>
      </c>
    </row>
    <row r="40" spans="1:9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47"/>
      <c r="I40" s="248"/>
    </row>
    <row r="41" spans="1:9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52">
        <f t="shared" ref="H41:I41" si="2">H32+H39</f>
        <v>1912.3363636363638</v>
      </c>
      <c r="I41" s="252">
        <f t="shared" si="2"/>
        <v>2085.6181818181817</v>
      </c>
    </row>
    <row r="42" spans="1:9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38" t="str">
        <f>Licitante!$B$2</f>
        <v>Guaratinguetá / SP</v>
      </c>
      <c r="I42" s="239" t="s">
        <v>273</v>
      </c>
    </row>
    <row r="43" spans="1:9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382.46727272727276</v>
      </c>
      <c r="I43" s="249">
        <f>G43*I41</f>
        <v>417.12363636363636</v>
      </c>
    </row>
    <row r="44" spans="1:9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47.808409090909095</v>
      </c>
      <c r="I44" s="249">
        <f>G44*I41</f>
        <v>52.140454545454546</v>
      </c>
    </row>
    <row r="45" spans="1:9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57.370090909090912</v>
      </c>
      <c r="I45" s="249">
        <f>G45*I41</f>
        <v>62.56854545454545</v>
      </c>
    </row>
    <row r="46" spans="1:9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28.685045454545456</v>
      </c>
      <c r="I46" s="249">
        <f>G46*I41</f>
        <v>31.284272727272725</v>
      </c>
    </row>
    <row r="47" spans="1:9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19.123363636363639</v>
      </c>
      <c r="I47" s="249">
        <f>G47*I41</f>
        <v>20.856181818181817</v>
      </c>
    </row>
    <row r="48" spans="1:9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11.474018181818183</v>
      </c>
      <c r="I48" s="249">
        <f>G48*I41</f>
        <v>12.51370909090909</v>
      </c>
    </row>
    <row r="49" spans="1:59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3.8246727272727274</v>
      </c>
      <c r="I49" s="249">
        <f>G49*I41</f>
        <v>4.1712363636363632</v>
      </c>
    </row>
    <row r="50" spans="1:59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152.98690909090911</v>
      </c>
      <c r="I50" s="249">
        <f>G50*I41</f>
        <v>166.84945454545453</v>
      </c>
    </row>
    <row r="51" spans="1:59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703.739781818182</v>
      </c>
      <c r="I51" s="251">
        <f>G51*I41</f>
        <v>767.50749090909096</v>
      </c>
    </row>
    <row r="52" spans="1:59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47"/>
      <c r="I52" s="248"/>
    </row>
    <row r="53" spans="1:59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38" t="str">
        <f>Licitante!$B$2</f>
        <v>Guaratinguetá / SP</v>
      </c>
      <c r="I53" s="239" t="s">
        <v>273</v>
      </c>
    </row>
    <row r="54" spans="1:59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Licitante!I33</f>
        <v>135.95400000000001</v>
      </c>
      <c r="I54" s="249">
        <f>Licitante!I36</f>
        <v>126.61799999999999</v>
      </c>
    </row>
    <row r="55" spans="1:59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  <c r="I55" s="249">
        <f>Licitante!I16</f>
        <v>420.83</v>
      </c>
    </row>
    <row r="56" spans="1:59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  <c r="I56" s="249">
        <f>Licitante!I18</f>
        <v>144.68</v>
      </c>
    </row>
    <row r="57" spans="1:59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  <c r="I57" s="249">
        <f>Licitante!I20</f>
        <v>15.96</v>
      </c>
    </row>
    <row r="58" spans="1:59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  <c r="I58" s="249">
        <f>Licitante!I24</f>
        <v>2.78</v>
      </c>
    </row>
    <row r="59" spans="1:59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  <c r="I59" s="249">
        <f>Licitante!I22</f>
        <v>0</v>
      </c>
    </row>
    <row r="60" spans="1:59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  <c r="I60" s="252">
        <f>Licitante!I26</f>
        <v>35.33</v>
      </c>
    </row>
    <row r="61" spans="1:59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52">
        <f>Licitante!I30</f>
        <v>0</v>
      </c>
      <c r="I61" s="252">
        <f>Licitante!I30</f>
        <v>0</v>
      </c>
    </row>
    <row r="62" spans="1:59" ht="20.3" customHeight="1">
      <c r="A62" s="216" t="s">
        <v>308</v>
      </c>
      <c r="B62" s="256" t="s">
        <v>309</v>
      </c>
      <c r="C62" s="256"/>
      <c r="D62" s="256"/>
      <c r="E62" s="256"/>
      <c r="F62" s="256"/>
      <c r="G62" s="256"/>
      <c r="H62" s="252">
        <f>Licitante!I28</f>
        <v>300</v>
      </c>
      <c r="I62" s="252">
        <f>Licitante!I28</f>
        <v>300</v>
      </c>
    </row>
    <row r="63" spans="1:59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52">
        <f>Licitante!I30</f>
        <v>0</v>
      </c>
      <c r="I63" s="252">
        <f>Licitante!I30</f>
        <v>0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59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51">
        <f>SUM(H54:H63)</f>
        <v>1055.5340000000001</v>
      </c>
      <c r="I64" s="251">
        <f>SUM(I54:I63)</f>
        <v>1046.1979999999999</v>
      </c>
    </row>
    <row r="65" spans="1:9" s="227" customFormat="1" ht="6.05" customHeight="1">
      <c r="A65" s="243"/>
      <c r="B65" s="244"/>
      <c r="C65" s="244"/>
      <c r="D65" s="244"/>
      <c r="E65" s="244"/>
      <c r="F65" s="244"/>
      <c r="G65" s="244"/>
      <c r="H65" s="244"/>
      <c r="I65" s="245"/>
    </row>
    <row r="66" spans="1:9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47"/>
      <c r="I66" s="248"/>
    </row>
    <row r="67" spans="1:9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38" t="str">
        <f>Licitante!$B$2</f>
        <v>Guaratinguetá / SP</v>
      </c>
      <c r="I67" s="239" t="s">
        <v>273</v>
      </c>
    </row>
    <row r="68" spans="1:9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52">
        <f>H39</f>
        <v>195.13636363636363</v>
      </c>
      <c r="I68" s="252">
        <f>I39</f>
        <v>212.81818181818181</v>
      </c>
    </row>
    <row r="69" spans="1:9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52">
        <f>H51</f>
        <v>703.739781818182</v>
      </c>
      <c r="I69" s="252">
        <f>I51</f>
        <v>767.50749090909096</v>
      </c>
    </row>
    <row r="70" spans="1:9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52">
        <f t="shared" ref="H70:I70" si="3">H64</f>
        <v>1055.5340000000001</v>
      </c>
      <c r="I70" s="252">
        <f t="shared" si="3"/>
        <v>1046.1979999999999</v>
      </c>
    </row>
    <row r="71" spans="1:9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51">
        <f t="shared" ref="H71:I71" si="4">SUM(H68:H70)</f>
        <v>1954.4101454545457</v>
      </c>
      <c r="I71" s="251">
        <f t="shared" si="4"/>
        <v>2026.5236727272727</v>
      </c>
    </row>
    <row r="72" spans="1:9" s="227" customFormat="1" ht="6.05" customHeight="1">
      <c r="A72" s="243"/>
      <c r="B72" s="244"/>
      <c r="C72" s="244"/>
      <c r="D72" s="244"/>
      <c r="E72" s="244"/>
      <c r="F72" s="244"/>
      <c r="G72" s="244"/>
      <c r="H72" s="244"/>
      <c r="I72" s="245"/>
    </row>
    <row r="73" spans="1:9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261"/>
      <c r="I73" s="262"/>
    </row>
    <row r="74" spans="1:9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52">
        <f>H41</f>
        <v>1912.3363636363638</v>
      </c>
      <c r="I74" s="252">
        <f>I41</f>
        <v>2085.6181818181817</v>
      </c>
    </row>
    <row r="75" spans="1:9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38" t="str">
        <f>Licitante!$B$2</f>
        <v>Guaratinguetá / SP</v>
      </c>
      <c r="I75" s="239" t="s">
        <v>273</v>
      </c>
    </row>
    <row r="76" spans="1:9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240">
        <f>G76*H74</f>
        <v>7.8535374276647385</v>
      </c>
      <c r="I76" s="240">
        <f>G76*I74</f>
        <v>8.5651670711218966</v>
      </c>
    </row>
    <row r="77" spans="1:9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240">
        <f>G77*H74</f>
        <v>0.62828299421317912</v>
      </c>
      <c r="I77" s="240">
        <f>G77*I74</f>
        <v>0.68521336568975177</v>
      </c>
    </row>
    <row r="78" spans="1:9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240">
        <f>G78*H74</f>
        <v>18.592159090909092</v>
      </c>
      <c r="I78" s="240">
        <f>G78*I74</f>
        <v>20.276843434343434</v>
      </c>
    </row>
    <row r="79" spans="1:9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240">
        <f>G79*H74</f>
        <v>6.8419145454545465</v>
      </c>
      <c r="I79" s="240">
        <f>G79*I74</f>
        <v>7.4618783838383838</v>
      </c>
    </row>
    <row r="80" spans="1:9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240">
        <f>G80*H32</f>
        <v>68.688000000000002</v>
      </c>
      <c r="I80" s="240">
        <f>G80*I32</f>
        <v>74.912000000000006</v>
      </c>
    </row>
    <row r="81" spans="1:9" ht="20.3" customHeight="1">
      <c r="A81" s="17" t="s">
        <v>192</v>
      </c>
      <c r="B81" s="17"/>
      <c r="C81" s="17"/>
      <c r="D81" s="17"/>
      <c r="E81" s="17"/>
      <c r="F81" s="17"/>
      <c r="G81" s="17"/>
      <c r="H81" s="242">
        <f t="shared" ref="H81:I81" si="5">SUM(H76:H80)</f>
        <v>102.60389405824156</v>
      </c>
      <c r="I81" s="242">
        <f t="shared" si="5"/>
        <v>111.90110225499348</v>
      </c>
    </row>
    <row r="82" spans="1:9" ht="6.65" customHeight="1">
      <c r="A82" s="243"/>
      <c r="B82" s="244"/>
      <c r="C82" s="244"/>
      <c r="D82" s="244"/>
      <c r="E82" s="244"/>
      <c r="F82" s="244"/>
      <c r="G82" s="244"/>
      <c r="H82" s="244"/>
      <c r="I82" s="245"/>
    </row>
    <row r="83" spans="1:9" ht="20.3" customHeight="1">
      <c r="A83" s="268" t="s">
        <v>322</v>
      </c>
      <c r="B83" s="269"/>
      <c r="C83" s="269"/>
      <c r="D83" s="269"/>
      <c r="E83" s="269"/>
      <c r="F83" s="269"/>
      <c r="G83" s="269"/>
      <c r="H83" s="269"/>
      <c r="I83" s="270"/>
    </row>
    <row r="84" spans="1:9" ht="20.3" customHeight="1">
      <c r="A84" s="271" t="s">
        <v>323</v>
      </c>
      <c r="B84" s="272"/>
      <c r="C84" s="272"/>
      <c r="D84" s="272"/>
      <c r="E84" s="272"/>
      <c r="F84" s="272"/>
      <c r="G84" s="272"/>
      <c r="H84" s="272"/>
      <c r="I84" s="273"/>
    </row>
    <row r="85" spans="1:9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52">
        <f>H32+H71-(H54+H55+H62)+H81</f>
        <v>2917.4300395127875</v>
      </c>
      <c r="I85" s="252">
        <f>I32+I71-(I54+I55+I62)+I81</f>
        <v>3163.776774982266</v>
      </c>
    </row>
    <row r="86" spans="1:9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38" t="str">
        <f>Licitante!$B$2</f>
        <v>Guaratinguetá / SP</v>
      </c>
      <c r="I86" s="239" t="s">
        <v>273</v>
      </c>
    </row>
    <row r="87" spans="1:9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240">
        <f>G87*(H32+H51)</f>
        <v>220.08543471074381</v>
      </c>
      <c r="I87" s="240">
        <f>G87*(I32+H51)</f>
        <v>234.23088925619837</v>
      </c>
    </row>
    <row r="88" spans="1:9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240">
        <f>G88*H85</f>
        <v>7.9874881300829221</v>
      </c>
      <c r="I88" s="240">
        <f>G88*I85</f>
        <v>8.661948733695457</v>
      </c>
    </row>
    <row r="89" spans="1:9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240">
        <f>G89*H85</f>
        <v>0.59906160975621914</v>
      </c>
      <c r="I89" s="240">
        <f>G89*I85</f>
        <v>0.64964615502715928</v>
      </c>
    </row>
    <row r="90" spans="1:9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278">
        <f>G90*H85</f>
        <v>0.93453611121970193</v>
      </c>
      <c r="I90" s="278">
        <f>G90*I85</f>
        <v>1.0134480018423686</v>
      </c>
    </row>
    <row r="91" spans="1:9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49">
        <f>G91*H85</f>
        <v>19.169971512199012</v>
      </c>
      <c r="I91" s="249">
        <f>G91*I85</f>
        <v>20.7886769608691</v>
      </c>
    </row>
    <row r="92" spans="1:9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240">
        <f>G92*H85</f>
        <v>23.962464390248769</v>
      </c>
      <c r="I92" s="240">
        <f>G92*I85</f>
        <v>25.985846201086375</v>
      </c>
    </row>
    <row r="93" spans="1:9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278">
        <f>G93*H85</f>
        <v>0</v>
      </c>
      <c r="I93" s="278">
        <f>G93*I85</f>
        <v>0</v>
      </c>
    </row>
    <row r="94" spans="1:9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I94" si="6">SUM(G87:G93)</f>
        <v>0.10895700329786571</v>
      </c>
      <c r="H94" s="242">
        <f t="shared" si="6"/>
        <v>272.73895646425041</v>
      </c>
      <c r="I94" s="242">
        <f t="shared" si="6"/>
        <v>291.3304553087188</v>
      </c>
    </row>
    <row r="95" spans="1:9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47"/>
      <c r="I95" s="248"/>
    </row>
    <row r="96" spans="1:9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38" t="str">
        <f>Licitante!$B$2</f>
        <v>Guaratinguetá / SP</v>
      </c>
      <c r="I96" s="239" t="s">
        <v>273</v>
      </c>
    </row>
    <row r="97" spans="1:9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280">
        <v>0</v>
      </c>
      <c r="I97" s="280">
        <v>0</v>
      </c>
    </row>
    <row r="98" spans="1:9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281">
        <f t="shared" ref="H98:I98" si="7">H97</f>
        <v>0</v>
      </c>
      <c r="I98" s="281">
        <f t="shared" si="7"/>
        <v>0</v>
      </c>
    </row>
    <row r="99" spans="1:9" s="227" customFormat="1" ht="6.05" customHeight="1">
      <c r="A99" s="243"/>
      <c r="B99" s="244"/>
      <c r="C99" s="244"/>
      <c r="D99" s="244"/>
      <c r="E99" s="244"/>
      <c r="F99" s="244"/>
      <c r="G99" s="244"/>
      <c r="H99" s="244"/>
      <c r="I99" s="245"/>
    </row>
    <row r="100" spans="1:9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47"/>
      <c r="I100" s="248"/>
    </row>
    <row r="101" spans="1:9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38" t="str">
        <f>Licitante!$B$2</f>
        <v>Guaratinguetá / SP</v>
      </c>
      <c r="I101" s="239" t="s">
        <v>273</v>
      </c>
    </row>
    <row r="102" spans="1:9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49">
        <f t="shared" ref="H102:I102" si="8">H94</f>
        <v>272.73895646425041</v>
      </c>
      <c r="I102" s="249">
        <f t="shared" si="8"/>
        <v>291.3304553087188</v>
      </c>
    </row>
    <row r="103" spans="1:9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52">
        <f t="shared" ref="H103:I103" si="9">H98</f>
        <v>0</v>
      </c>
      <c r="I103" s="252">
        <f t="shared" si="9"/>
        <v>0</v>
      </c>
    </row>
    <row r="104" spans="1:9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282">
        <f t="shared" ref="H104:I104" si="10">SUM(H102:H103)</f>
        <v>272.73895646425041</v>
      </c>
      <c r="I104" s="282">
        <f t="shared" si="10"/>
        <v>291.3304553087188</v>
      </c>
    </row>
    <row r="105" spans="1:9" s="227" customFormat="1" ht="6.65" customHeight="1">
      <c r="A105" s="243"/>
      <c r="B105" s="244"/>
      <c r="C105" s="244"/>
      <c r="D105" s="244"/>
      <c r="E105" s="244"/>
      <c r="F105" s="244"/>
      <c r="G105" s="244"/>
      <c r="H105" s="244"/>
      <c r="I105" s="245"/>
    </row>
    <row r="106" spans="1:9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47"/>
      <c r="I106" s="248"/>
    </row>
    <row r="107" spans="1:9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38" t="str">
        <f>Licitante!$B$2</f>
        <v>Guaratinguetá / SP</v>
      </c>
      <c r="I107" s="239" t="s">
        <v>273</v>
      </c>
    </row>
    <row r="108" spans="1:9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49">
        <f>Licitante!H55</f>
        <v>70.222083333333316</v>
      </c>
      <c r="I108" s="249">
        <f>Licitante!H55</f>
        <v>70.222083333333316</v>
      </c>
    </row>
    <row r="109" spans="1:9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49">
        <f>H115*Licitante!H127</f>
        <v>457.46389770115229</v>
      </c>
      <c r="I109" s="249">
        <f>I115*Licitante!H127</f>
        <v>485.86414595825755</v>
      </c>
    </row>
    <row r="110" spans="1:9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283">
        <v>0</v>
      </c>
      <c r="I110" s="283">
        <v>0</v>
      </c>
    </row>
    <row r="111" spans="1:9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283">
        <v>0</v>
      </c>
      <c r="I111" s="283">
        <v>0</v>
      </c>
    </row>
    <row r="112" spans="1:9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51">
        <f t="shared" ref="H112:I112" si="11">SUM(H108:H111)</f>
        <v>527.68598103448562</v>
      </c>
      <c r="I112" s="251">
        <f t="shared" si="11"/>
        <v>556.08622929159083</v>
      </c>
    </row>
    <row r="113" spans="1:9" s="227" customFormat="1" ht="7.65" customHeight="1">
      <c r="A113" s="243"/>
      <c r="B113" s="244"/>
      <c r="C113" s="244"/>
      <c r="D113" s="244"/>
      <c r="E113" s="244"/>
      <c r="F113" s="244"/>
      <c r="G113" s="244"/>
      <c r="H113" s="244"/>
      <c r="I113" s="245"/>
    </row>
    <row r="114" spans="1:9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38" t="str">
        <f>Licitante!$B$2</f>
        <v>Guaratinguetá / SP</v>
      </c>
      <c r="I114" s="239" t="s">
        <v>273</v>
      </c>
    </row>
    <row r="115" spans="1:9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51">
        <f>(H32+H71+H81+H104+H108++H110+H111)/(1-Licitante!H127)</f>
        <v>4574.6389770115229</v>
      </c>
      <c r="I115" s="251">
        <f>(I32+I71+I81+I104+I108+I110+I111)/(1-Licitante!H127)</f>
        <v>4858.6414595825754</v>
      </c>
    </row>
    <row r="116" spans="1:9" s="227" customFormat="1" ht="7.35" customHeight="1">
      <c r="A116" s="243"/>
      <c r="B116" s="244"/>
      <c r="C116" s="244"/>
      <c r="D116" s="244"/>
      <c r="E116" s="244"/>
      <c r="F116" s="244"/>
      <c r="G116" s="244"/>
      <c r="H116" s="244"/>
      <c r="I116" s="245"/>
    </row>
    <row r="117" spans="1:9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47"/>
      <c r="I117" s="248"/>
    </row>
    <row r="118" spans="1:9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38" t="str">
        <f>Licitante!$B$2</f>
        <v>Guaratinguetá / SP</v>
      </c>
      <c r="I118" s="239" t="s">
        <v>273</v>
      </c>
    </row>
    <row r="119" spans="1:9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49">
        <f>G119*H115</f>
        <v>228.73194885057615</v>
      </c>
      <c r="I119" s="249">
        <f>G119*I115</f>
        <v>242.93207297912878</v>
      </c>
    </row>
    <row r="120" spans="1:9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240">
        <f>G120*(H115+H119)</f>
        <v>480.33709258620996</v>
      </c>
      <c r="I120" s="240">
        <f>G120*(I115+I119)</f>
        <v>510.15735325617044</v>
      </c>
    </row>
    <row r="121" spans="1:9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284">
        <f>H130*F129</f>
        <v>737.61166069506316</v>
      </c>
      <c r="I121" s="284">
        <f>I130*F129</f>
        <v>783.40402679508804</v>
      </c>
    </row>
    <row r="122" spans="1:9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284"/>
      <c r="I122" s="284"/>
    </row>
    <row r="123" spans="1:9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284"/>
      <c r="I123" s="284"/>
    </row>
    <row r="124" spans="1:9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284"/>
      <c r="I124" s="284"/>
    </row>
    <row r="125" spans="1:9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284"/>
      <c r="I125" s="284"/>
    </row>
    <row r="126" spans="1:9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284"/>
      <c r="I126" s="284"/>
    </row>
    <row r="127" spans="1:9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284"/>
      <c r="I127" s="284"/>
    </row>
    <row r="128" spans="1:9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284"/>
      <c r="I128" s="284"/>
    </row>
    <row r="129" spans="1:9" s="227" customFormat="1" ht="15" customHeight="1">
      <c r="A129" s="222"/>
      <c r="B129" s="253" t="s">
        <v>103</v>
      </c>
      <c r="C129" s="286" t="str">
        <f>H7</f>
        <v>Guaratinguetá / SP</v>
      </c>
      <c r="D129" s="287"/>
      <c r="E129" s="288">
        <f>Licitante!D83</f>
        <v>0.03</v>
      </c>
      <c r="F129" s="254">
        <f>E129+F123</f>
        <v>0.1225</v>
      </c>
      <c r="G129" s="254"/>
      <c r="H129" s="284"/>
      <c r="I129" s="284"/>
    </row>
    <row r="130" spans="1:9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51">
        <f>(H115+H119+H120)/(1-F129)</f>
        <v>6021.3196791433729</v>
      </c>
      <c r="I130" s="251">
        <f>(I115+I119+I120)/(1-F129)</f>
        <v>6395.1349126129635</v>
      </c>
    </row>
    <row r="131" spans="1:9" s="227" customFormat="1" ht="7.65" customHeight="1">
      <c r="A131" s="243"/>
      <c r="B131" s="244"/>
      <c r="C131" s="244"/>
      <c r="D131" s="244"/>
      <c r="E131" s="244"/>
      <c r="F131" s="244"/>
      <c r="G131" s="244"/>
      <c r="H131" s="244"/>
      <c r="I131" s="245"/>
    </row>
    <row r="132" spans="1:9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291">
        <f>(H115+H119)/(1-G120-G121)</f>
        <v>5337.0788065134439</v>
      </c>
      <c r="I132" s="291"/>
    </row>
    <row r="133" spans="1:9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47"/>
      <c r="I133" s="248"/>
    </row>
    <row r="134" spans="1:9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38" t="str">
        <f>Licitante!$B$2</f>
        <v>Guaratinguetá / SP</v>
      </c>
      <c r="I134" s="239" t="s">
        <v>273</v>
      </c>
    </row>
    <row r="135" spans="1:9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240">
        <f>H32</f>
        <v>1717.2</v>
      </c>
      <c r="I135" s="240">
        <f>I32</f>
        <v>1872.8</v>
      </c>
    </row>
    <row r="136" spans="1:9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49">
        <f>H71</f>
        <v>1954.4101454545457</v>
      </c>
      <c r="I136" s="249">
        <f>I71</f>
        <v>2026.5236727272727</v>
      </c>
    </row>
    <row r="137" spans="1:9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49">
        <f>H81</f>
        <v>102.60389405824156</v>
      </c>
      <c r="I137" s="249">
        <f>I81</f>
        <v>111.90110225499348</v>
      </c>
    </row>
    <row r="138" spans="1:9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49">
        <f>H104</f>
        <v>272.73895646425041</v>
      </c>
      <c r="I138" s="249">
        <f>I104</f>
        <v>291.3304553087188</v>
      </c>
    </row>
    <row r="139" spans="1:9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49">
        <f>H112</f>
        <v>527.68598103448562</v>
      </c>
      <c r="I139" s="249">
        <f>I112</f>
        <v>556.08622929159083</v>
      </c>
    </row>
    <row r="140" spans="1:9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240">
        <f t="shared" ref="H140:I140" si="12">SUM(H135:H139)</f>
        <v>4574.6389770115238</v>
      </c>
      <c r="I140" s="240">
        <f t="shared" si="12"/>
        <v>4858.6414595825754</v>
      </c>
    </row>
    <row r="141" spans="1:9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49">
        <f t="shared" ref="H141:I141" si="13">H130</f>
        <v>6021.3196791433729</v>
      </c>
      <c r="I141" s="249">
        <f t="shared" si="13"/>
        <v>6395.1349126129635</v>
      </c>
    </row>
    <row r="142" spans="1:9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292">
        <f>ROUND((H115+H119+H120)/(1-(F129)),2)</f>
        <v>6021.32</v>
      </c>
      <c r="I142" s="292">
        <f>ROUND((I115+I119+I120)/(1-(F129)),2)</f>
        <v>6395.13</v>
      </c>
    </row>
    <row r="144" spans="1:9" ht="38.299999999999997" customHeight="1">
      <c r="A144" s="69" t="s">
        <v>362</v>
      </c>
      <c r="B144" s="69"/>
      <c r="C144" s="69"/>
      <c r="D144" s="69"/>
      <c r="E144" s="69"/>
      <c r="F144" s="69"/>
      <c r="G144" s="69"/>
      <c r="H144" s="293">
        <f>I142-H142</f>
        <v>373.8100000000004</v>
      </c>
    </row>
  </sheetData>
  <mergeCells count="154">
    <mergeCell ref="A144:G144"/>
    <mergeCell ref="B137:G137"/>
    <mergeCell ref="B138:G138"/>
    <mergeCell ref="B139:G139"/>
    <mergeCell ref="A140:G140"/>
    <mergeCell ref="B141:G141"/>
    <mergeCell ref="A142:G142"/>
    <mergeCell ref="A130:G130"/>
    <mergeCell ref="A131:I131"/>
    <mergeCell ref="A133:I133"/>
    <mergeCell ref="B134:G134"/>
    <mergeCell ref="B135:G135"/>
    <mergeCell ref="B136:G136"/>
    <mergeCell ref="I121:I129"/>
    <mergeCell ref="B122:D122"/>
    <mergeCell ref="E122:G122"/>
    <mergeCell ref="B123:D123"/>
    <mergeCell ref="F123:G125"/>
    <mergeCell ref="B124:D124"/>
    <mergeCell ref="B125:D125"/>
    <mergeCell ref="B126:G126"/>
    <mergeCell ref="B127:D127"/>
    <mergeCell ref="F127:G128"/>
    <mergeCell ref="B118:F118"/>
    <mergeCell ref="B119:F119"/>
    <mergeCell ref="B120:F120"/>
    <mergeCell ref="A121:A129"/>
    <mergeCell ref="B121:G121"/>
    <mergeCell ref="H121:H129"/>
    <mergeCell ref="B128:E128"/>
    <mergeCell ref="C129:D129"/>
    <mergeCell ref="F129:G129"/>
    <mergeCell ref="A112:G112"/>
    <mergeCell ref="A113:I113"/>
    <mergeCell ref="A114:G114"/>
    <mergeCell ref="A115:G115"/>
    <mergeCell ref="A116:I116"/>
    <mergeCell ref="A117:I117"/>
    <mergeCell ref="A106:I106"/>
    <mergeCell ref="B107:G107"/>
    <mergeCell ref="B108:G108"/>
    <mergeCell ref="B109:G109"/>
    <mergeCell ref="B110:G110"/>
    <mergeCell ref="B111:G111"/>
    <mergeCell ref="A100:I100"/>
    <mergeCell ref="B101:G101"/>
    <mergeCell ref="B102:G102"/>
    <mergeCell ref="B103:G103"/>
    <mergeCell ref="A104:G104"/>
    <mergeCell ref="A105:I105"/>
    <mergeCell ref="A94:F94"/>
    <mergeCell ref="A95:I95"/>
    <mergeCell ref="B96:G96"/>
    <mergeCell ref="B97:G97"/>
    <mergeCell ref="A98:G98"/>
    <mergeCell ref="A99:I99"/>
    <mergeCell ref="B88:F88"/>
    <mergeCell ref="B89:F89"/>
    <mergeCell ref="B90:F90"/>
    <mergeCell ref="B91:F91"/>
    <mergeCell ref="B92:F92"/>
    <mergeCell ref="B93:F93"/>
    <mergeCell ref="A82:I82"/>
    <mergeCell ref="A83:I83"/>
    <mergeCell ref="A84:I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I72"/>
    <mergeCell ref="A73:I73"/>
    <mergeCell ref="A74:G74"/>
    <mergeCell ref="B75:G75"/>
    <mergeCell ref="A64:G64"/>
    <mergeCell ref="A65:I65"/>
    <mergeCell ref="A66:I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I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I40"/>
    <mergeCell ref="A41:G41"/>
    <mergeCell ref="B42:F42"/>
    <mergeCell ref="B43:F43"/>
    <mergeCell ref="B44:F44"/>
    <mergeCell ref="C45:D45"/>
    <mergeCell ref="A34:I34"/>
    <mergeCell ref="A35:I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I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78740157480314954" right="0.78740157480314954" top="1.1811023622047243" bottom="1.1811023622047243" header="0.78740157480314954" footer="0.78740157480314954"/>
  <pageSetup paperSize="0" scale="50" fitToWidth="0" fitToHeight="0" pageOrder="overThenDown" orientation="portrait" useFirstPageNumber="1" horizontalDpi="0" verticalDpi="0" copies="0"/>
  <headerFooter alignWithMargins="0">
    <oddHeader>&amp;C&amp;10&amp;A</oddHeader>
    <oddFooter>&amp;C&amp;10Página &amp;P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6E0B7-E4D6-4453-96C3-9343D4123E48}">
  <sheetPr codeName="Planilha6"/>
  <dimension ref="A1:BF142"/>
  <sheetViews>
    <sheetView topLeftCell="A46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8.7265625" style="215"/>
    <col min="8" max="8" width="17.08984375" style="215" customWidth="1"/>
    <col min="9" max="58" width="8.36328125" style="215" customWidth="1"/>
    <col min="59" max="1017" width="8.36328125" customWidth="1"/>
    <col min="1018" max="1018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Guaratinguetá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830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</row>
    <row r="19" spans="1:8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</row>
    <row r="20" spans="1:8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</row>
    <row r="21" spans="1:8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</row>
    <row r="22" spans="1:8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s="219" customFormat="1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Guaratinguetá / SP</v>
      </c>
    </row>
    <row r="26" spans="1:8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Licitante!F7</f>
        <v>1030.32</v>
      </c>
    </row>
    <row r="27" spans="1:8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/>
    </row>
    <row r="29" spans="1:8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" si="0">SUM(H26:H31)</f>
        <v>1030.32</v>
      </c>
    </row>
    <row r="33" spans="1:8" s="227" customFormat="1" ht="7.65" customHeight="1">
      <c r="A33" s="243"/>
      <c r="B33" s="244"/>
      <c r="C33" s="244"/>
      <c r="D33" s="244"/>
      <c r="E33" s="244"/>
      <c r="F33" s="244"/>
      <c r="G33" s="244"/>
      <c r="H33" s="244"/>
    </row>
    <row r="34" spans="1:8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94"/>
    </row>
    <row r="35" spans="1:8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94"/>
    </row>
    <row r="36" spans="1:8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95" t="str">
        <f>Licitante!$B$2</f>
        <v>Guaratinguetá / SP</v>
      </c>
    </row>
    <row r="37" spans="1:8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96">
        <f>G37*H32</f>
        <v>85.859999999999985</v>
      </c>
    </row>
    <row r="38" spans="1:8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96">
        <f>G38*H32</f>
        <v>31.221818181818179</v>
      </c>
    </row>
    <row r="39" spans="1:8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H39" si="1">SUM(G37:G38)</f>
        <v>0.11363636363636363</v>
      </c>
      <c r="H39" s="297">
        <f t="shared" si="1"/>
        <v>117.08181818181816</v>
      </c>
    </row>
    <row r="40" spans="1:8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94"/>
    </row>
    <row r="41" spans="1:8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98">
        <f t="shared" ref="H41" si="2">H32+H39</f>
        <v>1147.401818181818</v>
      </c>
    </row>
    <row r="42" spans="1:8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95" t="str">
        <f>Licitante!$B$2</f>
        <v>Guaratinguetá / SP</v>
      </c>
    </row>
    <row r="43" spans="1:8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96">
        <f>G43*H41</f>
        <v>229.48036363636362</v>
      </c>
    </row>
    <row r="44" spans="1:8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96">
        <f>G44*H41</f>
        <v>28.685045454545453</v>
      </c>
    </row>
    <row r="45" spans="1:8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96">
        <f>G45*H41</f>
        <v>34.422054545454543</v>
      </c>
    </row>
    <row r="46" spans="1:8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96">
        <f>G46*H41</f>
        <v>17.211027272727272</v>
      </c>
    </row>
    <row r="47" spans="1:8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96">
        <f>G47*H41</f>
        <v>11.474018181818181</v>
      </c>
    </row>
    <row r="48" spans="1:8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96">
        <f>G48*H41</f>
        <v>6.8844109090909082</v>
      </c>
    </row>
    <row r="49" spans="1:8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96">
        <f>G49*H41</f>
        <v>2.2948036363636359</v>
      </c>
    </row>
    <row r="50" spans="1:8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96">
        <f>G50*H41</f>
        <v>91.792145454545448</v>
      </c>
    </row>
    <row r="51" spans="1:8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97">
        <f>G51*H41</f>
        <v>422.24386909090907</v>
      </c>
    </row>
    <row r="52" spans="1:8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94"/>
    </row>
    <row r="53" spans="1:8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95" t="str">
        <f>Licitante!$B$2</f>
        <v>Guaratinguetá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96">
        <f>Licitante!I39</f>
        <v>177.16679999999999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96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96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96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96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96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98">
        <f>Licitante!I26</f>
        <v>35.33</v>
      </c>
    </row>
    <row r="61" spans="1:8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98">
        <f>Licitante!I30</f>
        <v>0</v>
      </c>
    </row>
    <row r="62" spans="1:8" ht="20.3" customHeight="1">
      <c r="A62" s="216" t="s">
        <v>308</v>
      </c>
      <c r="B62" s="256" t="s">
        <v>363</v>
      </c>
      <c r="C62" s="256"/>
      <c r="D62" s="256"/>
      <c r="E62" s="256"/>
      <c r="F62" s="256"/>
      <c r="G62" s="256"/>
      <c r="H62" s="298">
        <f>Licitante!I28</f>
        <v>300</v>
      </c>
    </row>
    <row r="63" spans="1:8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98">
        <f>Licitante!I30</f>
        <v>0</v>
      </c>
    </row>
    <row r="64" spans="1:8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97">
        <f>SUM(H54:H63)</f>
        <v>1096.7467999999999</v>
      </c>
    </row>
    <row r="65" spans="1:8" s="227" customFormat="1" ht="6.05" customHeight="1">
      <c r="A65" s="243"/>
      <c r="B65" s="244"/>
      <c r="C65" s="244"/>
      <c r="D65" s="244"/>
      <c r="E65" s="244"/>
      <c r="F65" s="244"/>
      <c r="G65" s="244"/>
      <c r="H65" s="299"/>
    </row>
    <row r="66" spans="1:8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94"/>
    </row>
    <row r="67" spans="1:8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95" t="str">
        <f>Licitante!$B$2</f>
        <v>Guaratinguetá / SP</v>
      </c>
    </row>
    <row r="68" spans="1:8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98">
        <f>H39</f>
        <v>117.08181818181816</v>
      </c>
    </row>
    <row r="69" spans="1:8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98">
        <f>H51</f>
        <v>422.24386909090907</v>
      </c>
    </row>
    <row r="70" spans="1:8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98">
        <f t="shared" ref="H70" si="3">H64</f>
        <v>1096.7467999999999</v>
      </c>
    </row>
    <row r="71" spans="1:8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97">
        <f t="shared" ref="H71" si="4">SUM(H68:H70)</f>
        <v>1636.0724872727271</v>
      </c>
    </row>
    <row r="72" spans="1:8" s="227" customFormat="1" ht="6.05" customHeight="1">
      <c r="A72" s="243"/>
      <c r="B72" s="244"/>
      <c r="C72" s="244"/>
      <c r="D72" s="244"/>
      <c r="E72" s="244"/>
      <c r="F72" s="244"/>
      <c r="G72" s="244"/>
      <c r="H72" s="299"/>
    </row>
    <row r="73" spans="1:8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300"/>
    </row>
    <row r="74" spans="1:8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98">
        <f>H41</f>
        <v>1147.401818181818</v>
      </c>
    </row>
    <row r="75" spans="1:8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95" t="str">
        <f>Licitante!$B$2</f>
        <v>Guaratinguetá / SP</v>
      </c>
    </row>
    <row r="76" spans="1:8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301">
        <f>G76*H74</f>
        <v>4.7121224565988422</v>
      </c>
    </row>
    <row r="77" spans="1:8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301">
        <f>G77*H74</f>
        <v>0.37696979652790741</v>
      </c>
    </row>
    <row r="78" spans="1:8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301">
        <f>G78*H74</f>
        <v>11.155295454545453</v>
      </c>
    </row>
    <row r="79" spans="1:8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301">
        <f>G79*H74</f>
        <v>4.1051487272727272</v>
      </c>
    </row>
    <row r="80" spans="1:8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301">
        <f>G80*H32</f>
        <v>41.212800000000001</v>
      </c>
    </row>
    <row r="81" spans="1:8" ht="20.3" customHeight="1">
      <c r="A81" s="17" t="s">
        <v>192</v>
      </c>
      <c r="B81" s="17"/>
      <c r="C81" s="17"/>
      <c r="D81" s="17"/>
      <c r="E81" s="17"/>
      <c r="F81" s="17"/>
      <c r="G81" s="17"/>
      <c r="H81" s="302">
        <f t="shared" ref="H81" si="5">SUM(H76:H80)</f>
        <v>61.562336434944932</v>
      </c>
    </row>
    <row r="82" spans="1:8" ht="6.65" customHeight="1">
      <c r="A82" s="243"/>
      <c r="B82" s="244"/>
      <c r="C82" s="244"/>
      <c r="D82" s="244"/>
      <c r="E82" s="244"/>
      <c r="F82" s="244"/>
      <c r="G82" s="244"/>
      <c r="H82" s="299"/>
    </row>
    <row r="83" spans="1:8" ht="20.3" customHeight="1">
      <c r="A83" s="268" t="s">
        <v>322</v>
      </c>
      <c r="B83" s="269"/>
      <c r="C83" s="269"/>
      <c r="D83" s="269"/>
      <c r="E83" s="269"/>
      <c r="F83" s="269"/>
      <c r="G83" s="269"/>
      <c r="H83" s="303"/>
    </row>
    <row r="84" spans="1:8" ht="20.3" customHeight="1">
      <c r="A84" s="271" t="s">
        <v>323</v>
      </c>
      <c r="B84" s="272"/>
      <c r="C84" s="272"/>
      <c r="D84" s="272"/>
      <c r="E84" s="272"/>
      <c r="F84" s="272"/>
      <c r="G84" s="272"/>
      <c r="H84" s="304"/>
    </row>
    <row r="85" spans="1:8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98">
        <f>H32+H71-(H54+H55+H62)+H81</f>
        <v>1829.9580237076721</v>
      </c>
    </row>
    <row r="86" spans="1:8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95" t="str">
        <f>Licitante!$B$2</f>
        <v>Guaratinguetá / SP</v>
      </c>
    </row>
    <row r="87" spans="1:8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301">
        <f>G87*(H32+H51)</f>
        <v>132.05126082644628</v>
      </c>
    </row>
    <row r="88" spans="1:8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301">
        <f>G88*H85</f>
        <v>5.0101520156267547</v>
      </c>
    </row>
    <row r="89" spans="1:8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301">
        <f>G89*H85</f>
        <v>0.37576140117200652</v>
      </c>
    </row>
    <row r="90" spans="1:8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305">
        <f>G90*H85</f>
        <v>0.58618778582833031</v>
      </c>
    </row>
    <row r="91" spans="1:8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96">
        <f>G91*H85</f>
        <v>12.02436483750421</v>
      </c>
    </row>
    <row r="92" spans="1:8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301">
        <f>G92*H85</f>
        <v>15.030456046880264</v>
      </c>
    </row>
    <row r="93" spans="1:8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305">
        <f>G93*H85</f>
        <v>0</v>
      </c>
    </row>
    <row r="94" spans="1:8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H94" si="6">SUM(G87:G93)</f>
        <v>0.10895700329786571</v>
      </c>
      <c r="H94" s="302">
        <f t="shared" si="6"/>
        <v>165.07818291345785</v>
      </c>
    </row>
    <row r="95" spans="1:8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94"/>
    </row>
    <row r="96" spans="1:8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95" t="str">
        <f>Licitante!$B$2</f>
        <v>Guaratinguetá / SP</v>
      </c>
    </row>
    <row r="97" spans="1:8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306">
        <v>0</v>
      </c>
    </row>
    <row r="98" spans="1:8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307">
        <f t="shared" ref="H98" si="7">H97</f>
        <v>0</v>
      </c>
    </row>
    <row r="99" spans="1:8" s="227" customFormat="1" ht="6.05" customHeight="1">
      <c r="A99" s="243"/>
      <c r="B99" s="244"/>
      <c r="C99" s="244"/>
      <c r="D99" s="244"/>
      <c r="E99" s="244"/>
      <c r="F99" s="244"/>
      <c r="G99" s="244"/>
      <c r="H99" s="299"/>
    </row>
    <row r="100" spans="1:8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94"/>
    </row>
    <row r="101" spans="1:8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95" t="str">
        <f>Licitante!$B$2</f>
        <v>Guaratinguetá / SP</v>
      </c>
    </row>
    <row r="102" spans="1:8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96">
        <f t="shared" ref="H102" si="8">H94</f>
        <v>165.07818291345785</v>
      </c>
    </row>
    <row r="103" spans="1:8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98">
        <f t="shared" ref="H103" si="9">H98</f>
        <v>0</v>
      </c>
    </row>
    <row r="104" spans="1:8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308">
        <f t="shared" ref="H104" si="10">SUM(H102:H103)</f>
        <v>165.07818291345785</v>
      </c>
    </row>
    <row r="105" spans="1:8" s="227" customFormat="1" ht="6.65" customHeight="1">
      <c r="A105" s="243"/>
      <c r="B105" s="244"/>
      <c r="C105" s="244"/>
      <c r="D105" s="244"/>
      <c r="E105" s="244"/>
      <c r="F105" s="244"/>
      <c r="G105" s="244"/>
      <c r="H105" s="299"/>
    </row>
    <row r="106" spans="1:8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94"/>
    </row>
    <row r="107" spans="1:8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95" t="str">
        <f>Licitante!$B$2</f>
        <v>Guaratinguetá / SP</v>
      </c>
    </row>
    <row r="108" spans="1:8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96">
        <f>Licitante!H55</f>
        <v>70.222083333333316</v>
      </c>
    </row>
    <row r="109" spans="1:8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96">
        <f>H115*Licitante!H127</f>
        <v>329.25056555049588</v>
      </c>
    </row>
    <row r="110" spans="1:8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309">
        <v>0</v>
      </c>
    </row>
    <row r="111" spans="1:8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309">
        <v>0</v>
      </c>
    </row>
    <row r="112" spans="1:8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97">
        <f t="shared" ref="H112" si="11">SUM(H108:H111)</f>
        <v>399.47264888382921</v>
      </c>
    </row>
    <row r="113" spans="1:8" s="227" customFormat="1" ht="7.65" customHeight="1">
      <c r="A113" s="243"/>
      <c r="B113" s="244"/>
      <c r="C113" s="244"/>
      <c r="D113" s="244"/>
      <c r="E113" s="244"/>
      <c r="F113" s="244"/>
      <c r="G113" s="244"/>
      <c r="H113" s="299"/>
    </row>
    <row r="114" spans="1:8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95" t="str">
        <f>Licitante!$B$2</f>
        <v>Guaratinguetá / SP</v>
      </c>
    </row>
    <row r="115" spans="1:8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97">
        <f>(H32+H71+H81+H104+H108+H110+H111)/(1-Licitante!H127)</f>
        <v>3292.5056555049587</v>
      </c>
    </row>
    <row r="116" spans="1:8" s="227" customFormat="1" ht="7.35" customHeight="1">
      <c r="A116" s="243"/>
      <c r="B116" s="244"/>
      <c r="C116" s="244"/>
      <c r="D116" s="244"/>
      <c r="E116" s="244"/>
      <c r="F116" s="244"/>
      <c r="G116" s="244"/>
      <c r="H116" s="299"/>
    </row>
    <row r="117" spans="1:8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94"/>
    </row>
    <row r="118" spans="1:8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95" t="str">
        <f>Licitante!$B$2</f>
        <v>Guaratinguetá / SP</v>
      </c>
    </row>
    <row r="119" spans="1:8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96">
        <f>G119*H115</f>
        <v>164.62528277524794</v>
      </c>
    </row>
    <row r="120" spans="1:8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301">
        <f>G120*(H115+H119)</f>
        <v>345.71309382802065</v>
      </c>
    </row>
    <row r="121" spans="1:8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310">
        <f>H130*F129</f>
        <v>530.88136060770125</v>
      </c>
    </row>
    <row r="122" spans="1:8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310"/>
    </row>
    <row r="123" spans="1:8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310"/>
    </row>
    <row r="124" spans="1:8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310"/>
    </row>
    <row r="125" spans="1:8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310"/>
    </row>
    <row r="126" spans="1:8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310"/>
    </row>
    <row r="127" spans="1:8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310"/>
    </row>
    <row r="128" spans="1:8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310"/>
    </row>
    <row r="129" spans="1:8" s="227" customFormat="1" ht="15" customHeight="1">
      <c r="A129" s="222"/>
      <c r="B129" s="253" t="s">
        <v>103</v>
      </c>
      <c r="C129" s="286" t="str">
        <f>H7</f>
        <v>Guaratinguetá / SP</v>
      </c>
      <c r="D129" s="287"/>
      <c r="E129" s="288">
        <f>Licitante!D83</f>
        <v>0.03</v>
      </c>
      <c r="F129" s="254">
        <f>E129+F123</f>
        <v>0.1225</v>
      </c>
      <c r="G129" s="254"/>
      <c r="H129" s="310"/>
    </row>
    <row r="130" spans="1:8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97">
        <f>(H115+H119+H120)/(1-F129)</f>
        <v>4333.725392715929</v>
      </c>
    </row>
    <row r="131" spans="1:8" s="227" customFormat="1" ht="7.65" customHeight="1">
      <c r="A131" s="243"/>
      <c r="B131" s="244"/>
      <c r="C131" s="244"/>
      <c r="D131" s="244"/>
      <c r="E131" s="244"/>
      <c r="F131" s="244"/>
      <c r="G131" s="244"/>
      <c r="H131" s="299"/>
    </row>
    <row r="132" spans="1:8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311">
        <f>(H115+H119)/(1-G120-G121)</f>
        <v>3841.2565980891181</v>
      </c>
    </row>
    <row r="133" spans="1:8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94"/>
    </row>
    <row r="134" spans="1:8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95" t="str">
        <f>Licitante!$B$2</f>
        <v>Guaratinguetá / SP</v>
      </c>
    </row>
    <row r="135" spans="1:8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301">
        <f>H32</f>
        <v>1030.32</v>
      </c>
    </row>
    <row r="136" spans="1:8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96">
        <f>H71</f>
        <v>1636.0724872727271</v>
      </c>
    </row>
    <row r="137" spans="1:8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96">
        <f>H81</f>
        <v>61.562336434944932</v>
      </c>
    </row>
    <row r="138" spans="1:8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96">
        <f>H104</f>
        <v>165.07818291345785</v>
      </c>
    </row>
    <row r="139" spans="1:8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96">
        <f>H112</f>
        <v>399.47264888382921</v>
      </c>
    </row>
    <row r="140" spans="1:8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301">
        <f t="shared" ref="H140" si="12">SUM(H135:H139)</f>
        <v>3292.5056555049591</v>
      </c>
    </row>
    <row r="141" spans="1:8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96">
        <f t="shared" ref="H141" si="13">H130</f>
        <v>4333.725392715929</v>
      </c>
    </row>
    <row r="142" spans="1:8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312">
        <f>ROUND((H115+H119+H120)/(1-(F129)),2)</f>
        <v>4333.7299999999996</v>
      </c>
    </row>
  </sheetData>
  <mergeCells count="152">
    <mergeCell ref="B141:G141"/>
    <mergeCell ref="A142:G142"/>
    <mergeCell ref="B135:G135"/>
    <mergeCell ref="B136:G136"/>
    <mergeCell ref="B137:G137"/>
    <mergeCell ref="B138:G138"/>
    <mergeCell ref="B139:G139"/>
    <mergeCell ref="A140:G140"/>
    <mergeCell ref="C129:D129"/>
    <mergeCell ref="F129:G129"/>
    <mergeCell ref="A130:G130"/>
    <mergeCell ref="A131:H131"/>
    <mergeCell ref="A133:H133"/>
    <mergeCell ref="B134:G134"/>
    <mergeCell ref="B124:D124"/>
    <mergeCell ref="B125:D125"/>
    <mergeCell ref="B126:G126"/>
    <mergeCell ref="B127:D127"/>
    <mergeCell ref="F127:G128"/>
    <mergeCell ref="B128:E128"/>
    <mergeCell ref="B118:F118"/>
    <mergeCell ref="B119:F119"/>
    <mergeCell ref="B120:F120"/>
    <mergeCell ref="A121:A129"/>
    <mergeCell ref="B121:G121"/>
    <mergeCell ref="H121:H129"/>
    <mergeCell ref="B122:D122"/>
    <mergeCell ref="E122:G122"/>
    <mergeCell ref="B123:D123"/>
    <mergeCell ref="F123:G125"/>
    <mergeCell ref="A112:G112"/>
    <mergeCell ref="A113:H113"/>
    <mergeCell ref="A114:G114"/>
    <mergeCell ref="A115:G115"/>
    <mergeCell ref="A116:H116"/>
    <mergeCell ref="A117:H117"/>
    <mergeCell ref="A106:H106"/>
    <mergeCell ref="B107:G107"/>
    <mergeCell ref="B108:G108"/>
    <mergeCell ref="B109:G109"/>
    <mergeCell ref="B110:G110"/>
    <mergeCell ref="B111:G111"/>
    <mergeCell ref="A100:H100"/>
    <mergeCell ref="B101:G101"/>
    <mergeCell ref="B102:G102"/>
    <mergeCell ref="B103:G103"/>
    <mergeCell ref="A104:G104"/>
    <mergeCell ref="A105:H105"/>
    <mergeCell ref="A94:F94"/>
    <mergeCell ref="A95:H95"/>
    <mergeCell ref="B96:G96"/>
    <mergeCell ref="B97:G97"/>
    <mergeCell ref="A98:G98"/>
    <mergeCell ref="A99:H99"/>
    <mergeCell ref="B88:F88"/>
    <mergeCell ref="B89:F89"/>
    <mergeCell ref="B90:F90"/>
    <mergeCell ref="B91:F91"/>
    <mergeCell ref="B92:F92"/>
    <mergeCell ref="B93:F93"/>
    <mergeCell ref="A82:H82"/>
    <mergeCell ref="A83:H83"/>
    <mergeCell ref="A84:H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H72"/>
    <mergeCell ref="A73:H73"/>
    <mergeCell ref="A74:G74"/>
    <mergeCell ref="B75:G75"/>
    <mergeCell ref="A64:G64"/>
    <mergeCell ref="A65:H65"/>
    <mergeCell ref="A66:H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0CB2B-B083-4372-862B-071AA42AD39A}">
  <sheetPr codeName="Planilha4"/>
  <dimension ref="A1:BF142"/>
  <sheetViews>
    <sheetView topLeftCell="A15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8.7265625" style="215"/>
    <col min="8" max="8" width="17.08984375" style="215" customWidth="1"/>
    <col min="9" max="58" width="8.36328125" style="215" customWidth="1"/>
    <col min="59" max="1017" width="8.36328125" customWidth="1"/>
    <col min="1018" max="1018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Guaratinguetá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830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</row>
    <row r="19" spans="1:8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</row>
    <row r="20" spans="1:8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</row>
    <row r="21" spans="1:8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</row>
    <row r="22" spans="1:8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s="219" customFormat="1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Guaratinguetá / SP</v>
      </c>
    </row>
    <row r="26" spans="1:8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Licitante!F5</f>
        <v>1717.2</v>
      </c>
    </row>
    <row r="27" spans="1:8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>
        <f>G28*Licitante!G2</f>
        <v>607.20000000000005</v>
      </c>
    </row>
    <row r="29" spans="1:8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" si="0">SUM(H26:H31)</f>
        <v>2324.4</v>
      </c>
    </row>
    <row r="33" spans="1:8" s="227" customFormat="1" ht="7.65" customHeight="1">
      <c r="A33" s="243"/>
      <c r="B33" s="244"/>
      <c r="C33" s="244"/>
      <c r="D33" s="244"/>
      <c r="E33" s="244"/>
      <c r="F33" s="244"/>
      <c r="G33" s="244"/>
      <c r="H33" s="244"/>
    </row>
    <row r="34" spans="1:8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94"/>
    </row>
    <row r="35" spans="1:8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94"/>
    </row>
    <row r="36" spans="1:8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95" t="str">
        <f>Licitante!$B$2</f>
        <v>Guaratinguetá / SP</v>
      </c>
    </row>
    <row r="37" spans="1:8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96">
        <f>G37*H32</f>
        <v>193.7</v>
      </c>
    </row>
    <row r="38" spans="1:8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96">
        <f>G38*H32</f>
        <v>70.436363636363637</v>
      </c>
    </row>
    <row r="39" spans="1:8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H39" si="1">SUM(G37:G38)</f>
        <v>0.11363636363636363</v>
      </c>
      <c r="H39" s="297">
        <f t="shared" si="1"/>
        <v>264.13636363636363</v>
      </c>
    </row>
    <row r="40" spans="1:8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94"/>
    </row>
    <row r="41" spans="1:8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98">
        <f t="shared" ref="H41" si="2">H32+H39</f>
        <v>2588.5363636363636</v>
      </c>
    </row>
    <row r="42" spans="1:8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95" t="str">
        <f>Licitante!$B$2</f>
        <v>Guaratinguetá / SP</v>
      </c>
    </row>
    <row r="43" spans="1:8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96">
        <f>G43*H41</f>
        <v>517.70727272727277</v>
      </c>
    </row>
    <row r="44" spans="1:8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96">
        <f>G44*H41</f>
        <v>64.713409090909096</v>
      </c>
    </row>
    <row r="45" spans="1:8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96">
        <f>G45*H41</f>
        <v>77.656090909090906</v>
      </c>
    </row>
    <row r="46" spans="1:8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96">
        <f>G46*H41</f>
        <v>38.828045454545453</v>
      </c>
    </row>
    <row r="47" spans="1:8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96">
        <f>G47*H41</f>
        <v>25.885363636363635</v>
      </c>
    </row>
    <row r="48" spans="1:8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96">
        <f>G48*H41</f>
        <v>15.531218181818183</v>
      </c>
    </row>
    <row r="49" spans="1:8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96">
        <f>G49*H41</f>
        <v>5.1770727272727273</v>
      </c>
    </row>
    <row r="50" spans="1:8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96">
        <f>G50*H41</f>
        <v>207.08290909090908</v>
      </c>
    </row>
    <row r="51" spans="1:8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97">
        <f>G51*H41</f>
        <v>952.58138181818197</v>
      </c>
    </row>
    <row r="52" spans="1:8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94"/>
    </row>
    <row r="53" spans="1:8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95" t="str">
        <f>Licitante!$B$2</f>
        <v>Guaratinguetá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96">
        <f>Licitante!I33</f>
        <v>135.95400000000001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96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96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96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96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96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98">
        <f>Licitante!I26</f>
        <v>35.33</v>
      </c>
    </row>
    <row r="61" spans="1:8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98">
        <f>Licitante!I30</f>
        <v>0</v>
      </c>
    </row>
    <row r="62" spans="1:8" ht="20.3" customHeight="1">
      <c r="A62" s="216" t="s">
        <v>308</v>
      </c>
      <c r="B62" s="256" t="s">
        <v>363</v>
      </c>
      <c r="C62" s="256"/>
      <c r="D62" s="256"/>
      <c r="E62" s="256"/>
      <c r="F62" s="256"/>
      <c r="G62" s="256"/>
      <c r="H62" s="298">
        <f>Licitante!I28</f>
        <v>300</v>
      </c>
    </row>
    <row r="63" spans="1:8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98">
        <f>Licitante!I30</f>
        <v>0</v>
      </c>
    </row>
    <row r="64" spans="1:8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97">
        <f>SUM(H54:H63)</f>
        <v>1055.5340000000001</v>
      </c>
    </row>
    <row r="65" spans="1:8" s="227" customFormat="1" ht="6.05" customHeight="1">
      <c r="A65" s="243"/>
      <c r="B65" s="244"/>
      <c r="C65" s="244"/>
      <c r="D65" s="244"/>
      <c r="E65" s="244"/>
      <c r="F65" s="244"/>
      <c r="G65" s="244"/>
      <c r="H65" s="299"/>
    </row>
    <row r="66" spans="1:8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94"/>
    </row>
    <row r="67" spans="1:8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95" t="str">
        <f>Licitante!$B$2</f>
        <v>Guaratinguetá / SP</v>
      </c>
    </row>
    <row r="68" spans="1:8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98">
        <f>H39</f>
        <v>264.13636363636363</v>
      </c>
    </row>
    <row r="69" spans="1:8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98">
        <f>H51</f>
        <v>952.58138181818197</v>
      </c>
    </row>
    <row r="70" spans="1:8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98">
        <f t="shared" ref="H70" si="3">H64</f>
        <v>1055.5340000000001</v>
      </c>
    </row>
    <row r="71" spans="1:8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97">
        <f t="shared" ref="H71" si="4">SUM(H68:H70)</f>
        <v>2272.2517454545459</v>
      </c>
    </row>
    <row r="72" spans="1:8" s="227" customFormat="1" ht="6.05" customHeight="1">
      <c r="A72" s="243"/>
      <c r="B72" s="244"/>
      <c r="C72" s="244"/>
      <c r="D72" s="244"/>
      <c r="E72" s="244"/>
      <c r="F72" s="244"/>
      <c r="G72" s="244"/>
      <c r="H72" s="299"/>
    </row>
    <row r="73" spans="1:8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300"/>
    </row>
    <row r="74" spans="1:8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98">
        <f>H41</f>
        <v>2588.5363636363636</v>
      </c>
    </row>
    <row r="75" spans="1:8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95" t="str">
        <f>Licitante!$B$2</f>
        <v>Guaratinguetá / SP</v>
      </c>
    </row>
    <row r="76" spans="1:8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301">
        <f>G76*H74</f>
        <v>10.630539481052828</v>
      </c>
    </row>
    <row r="77" spans="1:8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301">
        <f>G77*H74</f>
        <v>0.85044315848422636</v>
      </c>
    </row>
    <row r="78" spans="1:8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301">
        <f>G78*H74</f>
        <v>25.166325757575759</v>
      </c>
    </row>
    <row r="79" spans="1:8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301">
        <f>G79*H74</f>
        <v>9.2612078787878787</v>
      </c>
    </row>
    <row r="80" spans="1:8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301">
        <f>G80*H32</f>
        <v>92.975999999999999</v>
      </c>
    </row>
    <row r="81" spans="1:8" ht="20.3" customHeight="1">
      <c r="A81" s="17" t="s">
        <v>192</v>
      </c>
      <c r="B81" s="17"/>
      <c r="C81" s="17"/>
      <c r="D81" s="17"/>
      <c r="E81" s="17"/>
      <c r="F81" s="17"/>
      <c r="G81" s="17"/>
      <c r="H81" s="302">
        <f t="shared" ref="H81" si="5">SUM(H76:H80)</f>
        <v>138.88451627590069</v>
      </c>
    </row>
    <row r="82" spans="1:8" ht="6.65" customHeight="1">
      <c r="A82" s="243"/>
      <c r="B82" s="244"/>
      <c r="C82" s="244"/>
      <c r="D82" s="244"/>
      <c r="E82" s="244"/>
      <c r="F82" s="244"/>
      <c r="G82" s="244"/>
      <c r="H82" s="299"/>
    </row>
    <row r="83" spans="1:8" ht="20.3" customHeight="1">
      <c r="A83" s="268" t="s">
        <v>322</v>
      </c>
      <c r="B83" s="269"/>
      <c r="C83" s="269"/>
      <c r="D83" s="269"/>
      <c r="E83" s="269"/>
      <c r="F83" s="269"/>
      <c r="G83" s="269"/>
      <c r="H83" s="303"/>
    </row>
    <row r="84" spans="1:8" ht="20.3" customHeight="1">
      <c r="A84" s="271" t="s">
        <v>323</v>
      </c>
      <c r="B84" s="272"/>
      <c r="C84" s="272"/>
      <c r="D84" s="272"/>
      <c r="E84" s="272"/>
      <c r="F84" s="272"/>
      <c r="G84" s="272"/>
      <c r="H84" s="304"/>
    </row>
    <row r="85" spans="1:8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98">
        <f>H32+H71-(H54+H55+H62)+H81</f>
        <v>3878.7522617304471</v>
      </c>
    </row>
    <row r="86" spans="1:8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95" t="str">
        <f>Licitante!$B$2</f>
        <v>Guaratinguetá / SP</v>
      </c>
    </row>
    <row r="87" spans="1:8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301">
        <f>G87*(H32+H51)</f>
        <v>297.90739834710746</v>
      </c>
    </row>
    <row r="88" spans="1:8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301">
        <f>G88*H85</f>
        <v>10.619444932869122</v>
      </c>
    </row>
    <row r="89" spans="1:8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301">
        <f>G89*H85</f>
        <v>0.79645836996518404</v>
      </c>
    </row>
    <row r="90" spans="1:8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305">
        <f>G90*H85</f>
        <v>1.2424750571456873</v>
      </c>
    </row>
    <row r="91" spans="1:8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96">
        <f>G91*H85</f>
        <v>25.486667838885893</v>
      </c>
    </row>
    <row r="92" spans="1:8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301">
        <f>G92*H85</f>
        <v>31.85833479860737</v>
      </c>
    </row>
    <row r="93" spans="1:8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305">
        <f>G93*H85</f>
        <v>0</v>
      </c>
    </row>
    <row r="94" spans="1:8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H94" si="6">SUM(G87:G93)</f>
        <v>0.10895700329786571</v>
      </c>
      <c r="H94" s="302">
        <f t="shared" si="6"/>
        <v>367.9107793445807</v>
      </c>
    </row>
    <row r="95" spans="1:8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94"/>
    </row>
    <row r="96" spans="1:8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95" t="str">
        <f>Licitante!$B$2</f>
        <v>Guaratinguetá / SP</v>
      </c>
    </row>
    <row r="97" spans="1:8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306">
        <v>0</v>
      </c>
    </row>
    <row r="98" spans="1:8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307">
        <f t="shared" ref="H98" si="7">H97</f>
        <v>0</v>
      </c>
    </row>
    <row r="99" spans="1:8" s="227" customFormat="1" ht="6.05" customHeight="1">
      <c r="A99" s="243"/>
      <c r="B99" s="244"/>
      <c r="C99" s="244"/>
      <c r="D99" s="244"/>
      <c r="E99" s="244"/>
      <c r="F99" s="244"/>
      <c r="G99" s="244"/>
      <c r="H99" s="299"/>
    </row>
    <row r="100" spans="1:8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94"/>
    </row>
    <row r="101" spans="1:8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95" t="str">
        <f>Licitante!$B$2</f>
        <v>Guaratinguetá / SP</v>
      </c>
    </row>
    <row r="102" spans="1:8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96">
        <f t="shared" ref="H102" si="8">H94</f>
        <v>367.9107793445807</v>
      </c>
    </row>
    <row r="103" spans="1:8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98">
        <f t="shared" ref="H103" si="9">H98</f>
        <v>0</v>
      </c>
    </row>
    <row r="104" spans="1:8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308">
        <f t="shared" ref="H104" si="10">SUM(H102:H103)</f>
        <v>367.9107793445807</v>
      </c>
    </row>
    <row r="105" spans="1:8" s="227" customFormat="1" ht="6.65" customHeight="1">
      <c r="A105" s="243"/>
      <c r="B105" s="244"/>
      <c r="C105" s="244"/>
      <c r="D105" s="244"/>
      <c r="E105" s="244"/>
      <c r="F105" s="244"/>
      <c r="G105" s="244"/>
      <c r="H105" s="299"/>
    </row>
    <row r="106" spans="1:8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94"/>
    </row>
    <row r="107" spans="1:8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95" t="str">
        <f>Licitante!$B$2</f>
        <v>Guaratinguetá / SP</v>
      </c>
    </row>
    <row r="108" spans="1:8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96">
        <f>Licitante!H55</f>
        <v>70.222083333333316</v>
      </c>
    </row>
    <row r="109" spans="1:8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96">
        <f>H115*Licitante!H127</f>
        <v>574.85212493426241</v>
      </c>
    </row>
    <row r="110" spans="1:8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309">
        <v>0</v>
      </c>
    </row>
    <row r="111" spans="1:8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309">
        <v>0</v>
      </c>
    </row>
    <row r="112" spans="1:8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97">
        <f t="shared" ref="H112" si="11">SUM(H108:H111)</f>
        <v>645.07420826759574</v>
      </c>
    </row>
    <row r="113" spans="1:8" s="227" customFormat="1" ht="7.65" customHeight="1">
      <c r="A113" s="243"/>
      <c r="B113" s="244"/>
      <c r="C113" s="244"/>
      <c r="D113" s="244"/>
      <c r="E113" s="244"/>
      <c r="F113" s="244"/>
      <c r="G113" s="244"/>
      <c r="H113" s="299"/>
    </row>
    <row r="114" spans="1:8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95" t="str">
        <f>Licitante!$B$2</f>
        <v>Guaratinguetá / SP</v>
      </c>
    </row>
    <row r="115" spans="1:8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97">
        <f>(H32+H71+H81+H104+H108+H110+H111)/(1-Licitante!H127)</f>
        <v>5748.5212493426234</v>
      </c>
    </row>
    <row r="116" spans="1:8" s="227" customFormat="1" ht="7.35" customHeight="1">
      <c r="A116" s="243"/>
      <c r="B116" s="244"/>
      <c r="C116" s="244"/>
      <c r="D116" s="244"/>
      <c r="E116" s="244"/>
      <c r="F116" s="244"/>
      <c r="G116" s="244"/>
      <c r="H116" s="299"/>
    </row>
    <row r="117" spans="1:8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94"/>
    </row>
    <row r="118" spans="1:8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95" t="str">
        <f>Licitante!$B$2</f>
        <v>Guaratinguetá / SP</v>
      </c>
    </row>
    <row r="119" spans="1:8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96">
        <f>G119*H115</f>
        <v>287.4260624671312</v>
      </c>
    </row>
    <row r="120" spans="1:8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301">
        <f>G120*(H115+H119)</f>
        <v>603.59473118097549</v>
      </c>
    </row>
    <row r="121" spans="1:8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310">
        <f>H130*F129</f>
        <v>926.88763563118448</v>
      </c>
    </row>
    <row r="122" spans="1:8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310"/>
    </row>
    <row r="123" spans="1:8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310"/>
    </row>
    <row r="124" spans="1:8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310"/>
    </row>
    <row r="125" spans="1:8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310"/>
    </row>
    <row r="126" spans="1:8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310"/>
    </row>
    <row r="127" spans="1:8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310"/>
    </row>
    <row r="128" spans="1:8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310"/>
    </row>
    <row r="129" spans="1:8" s="227" customFormat="1" ht="15" customHeight="1">
      <c r="A129" s="222"/>
      <c r="B129" s="253" t="s">
        <v>103</v>
      </c>
      <c r="C129" s="286" t="str">
        <f>H7</f>
        <v>Guaratinguetá / SP</v>
      </c>
      <c r="D129" s="287"/>
      <c r="E129" s="288">
        <f>Licitante!D83</f>
        <v>0.03</v>
      </c>
      <c r="F129" s="254">
        <f>E129+F123</f>
        <v>0.1225</v>
      </c>
      <c r="G129" s="254"/>
      <c r="H129" s="310"/>
    </row>
    <row r="130" spans="1:8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97">
        <f>(H115+H119+H120)/(1-F129)</f>
        <v>7566.4296786219147</v>
      </c>
    </row>
    <row r="131" spans="1:8" s="227" customFormat="1" ht="7.65" customHeight="1">
      <c r="A131" s="243"/>
      <c r="B131" s="244"/>
      <c r="C131" s="244"/>
      <c r="D131" s="244"/>
      <c r="E131" s="244"/>
      <c r="F131" s="244"/>
      <c r="G131" s="244"/>
      <c r="H131" s="299"/>
    </row>
    <row r="132" spans="1:8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311">
        <f>(H115+H119)/(1-G120-G121)</f>
        <v>6706.6081242330611</v>
      </c>
    </row>
    <row r="133" spans="1:8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94"/>
    </row>
    <row r="134" spans="1:8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95" t="str">
        <f>Licitante!$B$2</f>
        <v>Guaratinguetá / SP</v>
      </c>
    </row>
    <row r="135" spans="1:8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301">
        <f>H32</f>
        <v>2324.4</v>
      </c>
    </row>
    <row r="136" spans="1:8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96">
        <f>H71</f>
        <v>2272.2517454545459</v>
      </c>
    </row>
    <row r="137" spans="1:8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96">
        <f>H81</f>
        <v>138.88451627590069</v>
      </c>
    </row>
    <row r="138" spans="1:8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96">
        <f>H104</f>
        <v>367.9107793445807</v>
      </c>
    </row>
    <row r="139" spans="1:8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96">
        <f>H112</f>
        <v>645.07420826759574</v>
      </c>
    </row>
    <row r="140" spans="1:8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301">
        <f t="shared" ref="H140" si="12">SUM(H135:H139)</f>
        <v>5748.5212493426243</v>
      </c>
    </row>
    <row r="141" spans="1:8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96">
        <f t="shared" ref="H141" si="13">H130</f>
        <v>7566.4296786219147</v>
      </c>
    </row>
    <row r="142" spans="1:8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312">
        <f>ROUND((H115+H119+H120)/(1-(F129)),2)</f>
        <v>7566.43</v>
      </c>
    </row>
  </sheetData>
  <mergeCells count="152">
    <mergeCell ref="B141:G141"/>
    <mergeCell ref="A142:G142"/>
    <mergeCell ref="B135:G135"/>
    <mergeCell ref="B136:G136"/>
    <mergeCell ref="B137:G137"/>
    <mergeCell ref="B138:G138"/>
    <mergeCell ref="B139:G139"/>
    <mergeCell ref="A140:G140"/>
    <mergeCell ref="C129:D129"/>
    <mergeCell ref="F129:G129"/>
    <mergeCell ref="A130:G130"/>
    <mergeCell ref="A131:H131"/>
    <mergeCell ref="A133:H133"/>
    <mergeCell ref="B134:G134"/>
    <mergeCell ref="B124:D124"/>
    <mergeCell ref="B125:D125"/>
    <mergeCell ref="B126:G126"/>
    <mergeCell ref="B127:D127"/>
    <mergeCell ref="F127:G128"/>
    <mergeCell ref="B128:E128"/>
    <mergeCell ref="B118:F118"/>
    <mergeCell ref="B119:F119"/>
    <mergeCell ref="B120:F120"/>
    <mergeCell ref="A121:A129"/>
    <mergeCell ref="B121:G121"/>
    <mergeCell ref="H121:H129"/>
    <mergeCell ref="B122:D122"/>
    <mergeCell ref="E122:G122"/>
    <mergeCell ref="B123:D123"/>
    <mergeCell ref="F123:G125"/>
    <mergeCell ref="A112:G112"/>
    <mergeCell ref="A113:H113"/>
    <mergeCell ref="A114:G114"/>
    <mergeCell ref="A115:G115"/>
    <mergeCell ref="A116:H116"/>
    <mergeCell ref="A117:H117"/>
    <mergeCell ref="A106:H106"/>
    <mergeCell ref="B107:G107"/>
    <mergeCell ref="B108:G108"/>
    <mergeCell ref="B109:G109"/>
    <mergeCell ref="B110:G110"/>
    <mergeCell ref="B111:G111"/>
    <mergeCell ref="A100:H100"/>
    <mergeCell ref="B101:G101"/>
    <mergeCell ref="B102:G102"/>
    <mergeCell ref="B103:G103"/>
    <mergeCell ref="A104:G104"/>
    <mergeCell ref="A105:H105"/>
    <mergeCell ref="A94:F94"/>
    <mergeCell ref="A95:H95"/>
    <mergeCell ref="B96:G96"/>
    <mergeCell ref="B97:G97"/>
    <mergeCell ref="A98:G98"/>
    <mergeCell ref="A99:H99"/>
    <mergeCell ref="B88:F88"/>
    <mergeCell ref="B89:F89"/>
    <mergeCell ref="B90:F90"/>
    <mergeCell ref="B91:F91"/>
    <mergeCell ref="B92:F92"/>
    <mergeCell ref="B93:F93"/>
    <mergeCell ref="A82:H82"/>
    <mergeCell ref="A83:H83"/>
    <mergeCell ref="A84:H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H72"/>
    <mergeCell ref="A73:H73"/>
    <mergeCell ref="A74:G74"/>
    <mergeCell ref="B75:G75"/>
    <mergeCell ref="A64:G64"/>
    <mergeCell ref="A65:H65"/>
    <mergeCell ref="A66:H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E1D2-3F03-47FD-AF07-070B5F3BA5D3}">
  <sheetPr codeName="Planilha5"/>
  <dimension ref="A1:BJ140"/>
  <sheetViews>
    <sheetView topLeftCell="A49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25.26953125" style="215" customWidth="1"/>
    <col min="9" max="62" width="8.36328125" style="215" customWidth="1"/>
    <col min="63" max="1014" width="8.36328125" customWidth="1"/>
    <col min="1015" max="1015" width="8.6328125" customWidth="1"/>
  </cols>
  <sheetData>
    <row r="1" spans="1:8" ht="25.05" customHeight="1">
      <c r="A1" s="209" t="s">
        <v>364</v>
      </c>
      <c r="B1" s="209"/>
      <c r="C1" s="209"/>
      <c r="D1" s="209"/>
      <c r="E1" s="209"/>
      <c r="F1" s="209"/>
      <c r="G1" s="209"/>
      <c r="H1" s="209"/>
    </row>
    <row r="2" spans="1:8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>
        <f>Licitante!I1</f>
        <v>0</v>
      </c>
      <c r="C4" s="213"/>
      <c r="D4" s="213"/>
      <c r="E4" s="213"/>
      <c r="F4" s="214" t="s">
        <v>248</v>
      </c>
      <c r="G4" s="37" t="s">
        <v>365</v>
      </c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>
        <f>Licitante!I1</f>
        <v>0</v>
      </c>
    </row>
    <row r="7" spans="1:8" ht="20.3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1" t="str">
        <f>Licitante!$B$2</f>
        <v>Guaratinguetá / SP</v>
      </c>
    </row>
    <row r="8" spans="1:8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366</v>
      </c>
    </row>
    <row r="9" spans="1:8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ht="27.65" customHeight="1">
      <c r="A12" s="222" t="s">
        <v>367</v>
      </c>
      <c r="B12" s="222"/>
      <c r="C12" s="222"/>
      <c r="D12" s="222" t="s">
        <v>368</v>
      </c>
      <c r="E12" s="222"/>
      <c r="F12" s="224">
        <f>'Áreas a serem limpas'!B29+'Áreas a serem limpas'!B30</f>
        <v>210</v>
      </c>
      <c r="G12" s="224"/>
      <c r="H12" s="224"/>
    </row>
    <row r="13" spans="1:8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ht="25.05" customHeight="1">
      <c r="A14" s="313" t="s">
        <v>261</v>
      </c>
      <c r="B14" s="313"/>
      <c r="C14" s="313"/>
      <c r="D14" s="313"/>
      <c r="E14" s="313"/>
      <c r="F14" s="313"/>
      <c r="G14" s="313"/>
      <c r="H14" s="313"/>
    </row>
    <row r="15" spans="1:8" ht="21.05" customHeight="1">
      <c r="A15" s="314" t="s">
        <v>262</v>
      </c>
      <c r="B15" s="314"/>
      <c r="C15" s="314"/>
      <c r="D15" s="314"/>
      <c r="E15" s="314"/>
      <c r="F15" s="314"/>
      <c r="G15" s="314"/>
      <c r="H15" s="314"/>
    </row>
    <row r="16" spans="1:8" ht="22.35" customHeight="1">
      <c r="A16" s="315" t="s">
        <v>263</v>
      </c>
      <c r="B16" s="315"/>
      <c r="C16" s="315"/>
      <c r="D16" s="315"/>
      <c r="E16" s="315"/>
      <c r="F16" s="315"/>
      <c r="G16" s="315"/>
      <c r="H16" s="315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367</v>
      </c>
    </row>
    <row r="19" spans="1:8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369</v>
      </c>
    </row>
    <row r="20" spans="1:8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Licitante!F8</f>
        <v>1882.34</v>
      </c>
    </row>
    <row r="21" spans="1:8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367</v>
      </c>
    </row>
    <row r="22" spans="1:8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ht="26.25" customHeight="1">
      <c r="A24" s="263" t="s">
        <v>271</v>
      </c>
      <c r="B24" s="263"/>
      <c r="C24" s="263"/>
      <c r="D24" s="263"/>
      <c r="E24" s="263"/>
      <c r="F24" s="263"/>
      <c r="G24" s="263"/>
      <c r="H24" s="263"/>
    </row>
    <row r="25" spans="1:8" ht="20.3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316" t="str">
        <f>Licitante!$B$2</f>
        <v>Guaratinguetá / SP</v>
      </c>
    </row>
    <row r="26" spans="1:8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Licitante!F8</f>
        <v>1882.34</v>
      </c>
    </row>
    <row r="27" spans="1:8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</row>
    <row r="29" spans="1:8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>SUM(H26:H31)</f>
        <v>1882.34</v>
      </c>
    </row>
    <row r="33" spans="1:8" ht="8.25" customHeight="1">
      <c r="A33" s="243"/>
      <c r="B33" s="244"/>
      <c r="C33" s="244"/>
      <c r="D33" s="244"/>
      <c r="E33" s="244"/>
      <c r="F33" s="244"/>
      <c r="G33" s="244"/>
      <c r="H33" s="245"/>
    </row>
    <row r="34" spans="1:8" ht="29.95" customHeight="1">
      <c r="A34" s="246" t="s">
        <v>279</v>
      </c>
      <c r="B34" s="247"/>
      <c r="C34" s="247"/>
      <c r="D34" s="247"/>
      <c r="E34" s="247"/>
      <c r="F34" s="247"/>
      <c r="G34" s="247"/>
      <c r="H34" s="248"/>
    </row>
    <row r="35" spans="1:8" ht="26.25" customHeight="1">
      <c r="A35" s="246" t="s">
        <v>280</v>
      </c>
      <c r="B35" s="247"/>
      <c r="C35" s="247"/>
      <c r="D35" s="247"/>
      <c r="E35" s="247"/>
      <c r="F35" s="247"/>
      <c r="G35" s="247"/>
      <c r="H35" s="248"/>
    </row>
    <row r="36" spans="1:8" ht="26.2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316" t="str">
        <f>Licitante!$B$2</f>
        <v>Guaratinguetá / SP</v>
      </c>
    </row>
    <row r="37" spans="1:8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156.86166666666665</v>
      </c>
    </row>
    <row r="38" spans="1:8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57.040606060606059</v>
      </c>
    </row>
    <row r="39" spans="1:8" ht="20.3" customHeight="1">
      <c r="A39" s="17" t="s">
        <v>192</v>
      </c>
      <c r="B39" s="17"/>
      <c r="C39" s="17"/>
      <c r="D39" s="17"/>
      <c r="E39" s="17"/>
      <c r="F39" s="17"/>
      <c r="G39" s="250">
        <f>SUM(G37:G38)</f>
        <v>0.11363636363636363</v>
      </c>
      <c r="H39" s="251">
        <f>SUM(H37:H38)</f>
        <v>213.9022727272727</v>
      </c>
    </row>
    <row r="40" spans="1:8" ht="26.65" customHeight="1">
      <c r="A40" s="246" t="s">
        <v>285</v>
      </c>
      <c r="B40" s="247"/>
      <c r="C40" s="247"/>
      <c r="D40" s="247"/>
      <c r="E40" s="247"/>
      <c r="F40" s="247"/>
      <c r="G40" s="247"/>
      <c r="H40" s="248"/>
    </row>
    <row r="41" spans="1:8" ht="24.65" customHeight="1">
      <c r="A41" s="17" t="s">
        <v>286</v>
      </c>
      <c r="B41" s="17"/>
      <c r="C41" s="17"/>
      <c r="D41" s="17"/>
      <c r="E41" s="17"/>
      <c r="F41" s="17"/>
      <c r="G41" s="17"/>
      <c r="H41" s="252">
        <f>H32+H39</f>
        <v>2096.2422727272724</v>
      </c>
    </row>
    <row r="42" spans="1:8" ht="20.3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316" t="str">
        <f>Licitante!$B$2</f>
        <v>Guaratinguetá / SP</v>
      </c>
    </row>
    <row r="43" spans="1:8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419.24845454545448</v>
      </c>
    </row>
    <row r="44" spans="1:8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52.40605681818181</v>
      </c>
    </row>
    <row r="45" spans="1:8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62.887268181818172</v>
      </c>
    </row>
    <row r="46" spans="1:8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31.443634090909086</v>
      </c>
    </row>
    <row r="47" spans="1:8" ht="20.3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20.962422727272724</v>
      </c>
    </row>
    <row r="48" spans="1:8" ht="26.25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12.577453636363634</v>
      </c>
    </row>
    <row r="49" spans="1:8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4.192484545454545</v>
      </c>
    </row>
    <row r="50" spans="1:8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167.69938181818179</v>
      </c>
    </row>
    <row r="51" spans="1:8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771.41715636363631</v>
      </c>
    </row>
    <row r="52" spans="1:8" ht="20.3" customHeight="1">
      <c r="A52" s="246" t="s">
        <v>297</v>
      </c>
      <c r="B52" s="247"/>
      <c r="C52" s="247"/>
      <c r="D52" s="247"/>
      <c r="E52" s="247"/>
      <c r="F52" s="247"/>
      <c r="G52" s="247"/>
      <c r="H52" s="248"/>
    </row>
    <row r="53" spans="1:8" ht="20.3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316" t="str">
        <f>Licitante!$B$2</f>
        <v>Guaratinguetá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Licitante!I42</f>
        <v>126.04559999999999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</row>
    <row r="61" spans="1:8" ht="20.3" customHeight="1">
      <c r="A61" s="216" t="s">
        <v>295</v>
      </c>
      <c r="B61" s="230" t="s">
        <v>309</v>
      </c>
      <c r="C61" s="230"/>
      <c r="D61" s="230"/>
      <c r="E61" s="230"/>
      <c r="F61" s="230"/>
      <c r="G61" s="230"/>
      <c r="H61" s="252">
        <f>Licitante!I28</f>
        <v>300</v>
      </c>
    </row>
    <row r="62" spans="1:8" ht="20.3" customHeight="1">
      <c r="A62" s="216" t="s">
        <v>308</v>
      </c>
      <c r="B62" s="256" t="s">
        <v>307</v>
      </c>
      <c r="C62" s="256"/>
      <c r="D62" s="256"/>
      <c r="E62" s="256"/>
      <c r="F62" s="256"/>
      <c r="G62" s="256"/>
      <c r="H62" s="252">
        <f>Licitante!I30</f>
        <v>0</v>
      </c>
    </row>
    <row r="63" spans="1:8" ht="20.3" customHeight="1">
      <c r="A63" s="17" t="s">
        <v>192</v>
      </c>
      <c r="B63" s="17"/>
      <c r="C63" s="17"/>
      <c r="D63" s="17"/>
      <c r="E63" s="17"/>
      <c r="F63" s="17"/>
      <c r="G63" s="17"/>
      <c r="H63" s="251">
        <f>SUM(H54:H62)</f>
        <v>1045.6255999999998</v>
      </c>
    </row>
    <row r="64" spans="1:8" ht="6.05" customHeight="1">
      <c r="A64" s="243"/>
      <c r="B64" s="244"/>
      <c r="C64" s="244"/>
      <c r="D64" s="244"/>
      <c r="E64" s="244"/>
      <c r="F64" s="244"/>
      <c r="G64" s="244"/>
      <c r="H64" s="245"/>
    </row>
    <row r="65" spans="1:8" ht="20.3" customHeight="1">
      <c r="A65" s="246" t="s">
        <v>311</v>
      </c>
      <c r="B65" s="247"/>
      <c r="C65" s="247"/>
      <c r="D65" s="247"/>
      <c r="E65" s="247"/>
      <c r="F65" s="247"/>
      <c r="G65" s="247"/>
      <c r="H65" s="248"/>
    </row>
    <row r="66" spans="1:8" ht="20.3" customHeight="1">
      <c r="A66" s="237">
        <v>2</v>
      </c>
      <c r="B66" s="17" t="s">
        <v>312</v>
      </c>
      <c r="C66" s="17"/>
      <c r="D66" s="17"/>
      <c r="E66" s="17"/>
      <c r="F66" s="17"/>
      <c r="G66" s="17"/>
      <c r="H66" s="316" t="str">
        <f>Licitante!$B$2</f>
        <v>Guaratinguetá / SP</v>
      </c>
    </row>
    <row r="67" spans="1:8" ht="20.3" customHeight="1">
      <c r="A67" s="216" t="s">
        <v>281</v>
      </c>
      <c r="B67" s="230" t="s">
        <v>370</v>
      </c>
      <c r="C67" s="230"/>
      <c r="D67" s="230"/>
      <c r="E67" s="230"/>
      <c r="F67" s="230"/>
      <c r="G67" s="241">
        <f>G39</f>
        <v>0.11363636363636363</v>
      </c>
      <c r="H67" s="252">
        <f>H39</f>
        <v>213.9022727272727</v>
      </c>
    </row>
    <row r="68" spans="1:8" ht="20.3" customHeight="1">
      <c r="A68" s="216" t="s">
        <v>287</v>
      </c>
      <c r="B68" s="230" t="s">
        <v>288</v>
      </c>
      <c r="C68" s="230"/>
      <c r="D68" s="230"/>
      <c r="E68" s="230"/>
      <c r="F68" s="230"/>
      <c r="G68" s="241">
        <f>G51</f>
        <v>0.36800000000000005</v>
      </c>
      <c r="H68" s="252">
        <f>H51</f>
        <v>771.41715636363631</v>
      </c>
    </row>
    <row r="69" spans="1:8" ht="20.3" customHeight="1">
      <c r="A69" s="216" t="s">
        <v>298</v>
      </c>
      <c r="B69" s="230" t="s">
        <v>299</v>
      </c>
      <c r="C69" s="230"/>
      <c r="D69" s="230"/>
      <c r="E69" s="230"/>
      <c r="F69" s="230"/>
      <c r="G69" s="230"/>
      <c r="H69" s="252">
        <f>H63</f>
        <v>1045.6255999999998</v>
      </c>
    </row>
    <row r="70" spans="1:8" ht="20.3" customHeight="1">
      <c r="A70" s="17" t="s">
        <v>192</v>
      </c>
      <c r="B70" s="17"/>
      <c r="C70" s="17"/>
      <c r="D70" s="17"/>
      <c r="E70" s="17"/>
      <c r="F70" s="17"/>
      <c r="G70" s="17"/>
      <c r="H70" s="251">
        <f>SUM(H67:H69)</f>
        <v>2030.945029090909</v>
      </c>
    </row>
    <row r="71" spans="1:8" ht="6.05" customHeight="1">
      <c r="A71" s="243"/>
      <c r="B71" s="244"/>
      <c r="C71" s="244"/>
      <c r="D71" s="244"/>
      <c r="E71" s="244"/>
      <c r="F71" s="244"/>
      <c r="G71" s="244"/>
      <c r="H71" s="245"/>
    </row>
    <row r="72" spans="1:8" ht="20.3" customHeight="1">
      <c r="A72" s="260" t="s">
        <v>314</v>
      </c>
      <c r="B72" s="261"/>
      <c r="C72" s="261"/>
      <c r="D72" s="261"/>
      <c r="E72" s="261"/>
      <c r="F72" s="261"/>
      <c r="G72" s="261"/>
      <c r="H72" s="262"/>
    </row>
    <row r="73" spans="1:8" ht="16.7" customHeight="1">
      <c r="A73" s="17" t="s">
        <v>315</v>
      </c>
      <c r="B73" s="17"/>
      <c r="C73" s="17"/>
      <c r="D73" s="17"/>
      <c r="E73" s="17"/>
      <c r="F73" s="17"/>
      <c r="G73" s="17"/>
      <c r="H73" s="252">
        <f>H41</f>
        <v>2096.2422727272724</v>
      </c>
    </row>
    <row r="74" spans="1:8" ht="20.3" customHeight="1">
      <c r="A74" s="237">
        <v>3</v>
      </c>
      <c r="B74" s="17" t="s">
        <v>316</v>
      </c>
      <c r="C74" s="17"/>
      <c r="D74" s="17"/>
      <c r="E74" s="17"/>
      <c r="F74" s="17"/>
      <c r="G74" s="17"/>
      <c r="H74" s="316" t="str">
        <f>Licitante!$B$2</f>
        <v>Guaratinguetá / SP</v>
      </c>
    </row>
    <row r="75" spans="1:8" ht="20.3" customHeight="1">
      <c r="A75" s="216" t="s">
        <v>65</v>
      </c>
      <c r="B75" s="230" t="s">
        <v>317</v>
      </c>
      <c r="C75" s="230"/>
      <c r="D75" s="230"/>
      <c r="E75" s="230"/>
      <c r="F75" s="230"/>
      <c r="G75" s="241">
        <f>Licitante!E59</f>
        <v>4.1067761806981521E-3</v>
      </c>
      <c r="H75" s="240">
        <f>G75*H73</f>
        <v>8.6087978346089216</v>
      </c>
    </row>
    <row r="76" spans="1:8" ht="20.3" customHeight="1">
      <c r="A76" s="216" t="s">
        <v>67</v>
      </c>
      <c r="B76" s="264" t="s">
        <v>318</v>
      </c>
      <c r="C76" s="264"/>
      <c r="D76" s="264"/>
      <c r="E76" s="264"/>
      <c r="F76" s="264"/>
      <c r="G76" s="265">
        <f>Licitante!E60</f>
        <v>3.2854209445585218E-4</v>
      </c>
      <c r="H76" s="240">
        <f>G76*H73</f>
        <v>0.68870382676871378</v>
      </c>
    </row>
    <row r="77" spans="1:8" ht="20.3" customHeight="1">
      <c r="A77" s="216" t="s">
        <v>70</v>
      </c>
      <c r="B77" s="230" t="s">
        <v>319</v>
      </c>
      <c r="C77" s="230"/>
      <c r="D77" s="230"/>
      <c r="E77" s="230"/>
      <c r="F77" s="230"/>
      <c r="G77" s="241">
        <f>Licitante!E61</f>
        <v>9.7222222222222224E-3</v>
      </c>
      <c r="H77" s="240">
        <f>G77*H73</f>
        <v>20.380133207070703</v>
      </c>
    </row>
    <row r="78" spans="1:8" ht="20.3" customHeight="1">
      <c r="A78" s="216" t="s">
        <v>73</v>
      </c>
      <c r="B78" s="230" t="s">
        <v>320</v>
      </c>
      <c r="C78" s="230"/>
      <c r="D78" s="230"/>
      <c r="E78" s="230"/>
      <c r="F78" s="230"/>
      <c r="G78" s="266">
        <f>Licitante!E62</f>
        <v>3.5777777777777778E-3</v>
      </c>
      <c r="H78" s="240">
        <f>G78*H73</f>
        <v>7.4998890202020192</v>
      </c>
    </row>
    <row r="79" spans="1:8" ht="20.3" customHeight="1">
      <c r="A79" s="216" t="s">
        <v>76</v>
      </c>
      <c r="B79" s="230" t="s">
        <v>321</v>
      </c>
      <c r="C79" s="230"/>
      <c r="D79" s="230"/>
      <c r="E79" s="230"/>
      <c r="F79" s="230"/>
      <c r="G79" s="267">
        <f>Licitante!E63</f>
        <v>0.04</v>
      </c>
      <c r="H79" s="240">
        <f>G79*H32</f>
        <v>75.293599999999998</v>
      </c>
    </row>
    <row r="80" spans="1:8" ht="20.3" customHeight="1">
      <c r="A80" s="17" t="s">
        <v>192</v>
      </c>
      <c r="B80" s="17"/>
      <c r="C80" s="17"/>
      <c r="D80" s="17"/>
      <c r="E80" s="17"/>
      <c r="F80" s="17"/>
      <c r="G80" s="17"/>
      <c r="H80" s="242">
        <f>SUM(H75:H79)</f>
        <v>112.47112388865035</v>
      </c>
    </row>
    <row r="81" spans="1:8" ht="6.65" customHeight="1">
      <c r="A81" s="243"/>
      <c r="B81" s="244"/>
      <c r="C81" s="244"/>
      <c r="D81" s="244"/>
      <c r="E81" s="244"/>
      <c r="F81" s="244"/>
      <c r="G81" s="244"/>
      <c r="H81" s="245"/>
    </row>
    <row r="82" spans="1:8" ht="26.65" customHeight="1">
      <c r="A82" s="317" t="s">
        <v>322</v>
      </c>
      <c r="B82" s="318"/>
      <c r="C82" s="318"/>
      <c r="D82" s="318"/>
      <c r="E82" s="318"/>
      <c r="F82" s="318"/>
      <c r="G82" s="318"/>
      <c r="H82" s="319"/>
    </row>
    <row r="83" spans="1:8" ht="31" customHeight="1">
      <c r="A83" s="317" t="s">
        <v>323</v>
      </c>
      <c r="B83" s="318"/>
      <c r="C83" s="318"/>
      <c r="D83" s="318"/>
      <c r="E83" s="318"/>
      <c r="F83" s="318"/>
      <c r="G83" s="318"/>
      <c r="H83" s="319"/>
    </row>
    <row r="84" spans="1:8" ht="17.600000000000001" customHeight="1">
      <c r="A84" s="17" t="s">
        <v>324</v>
      </c>
      <c r="B84" s="17"/>
      <c r="C84" s="17"/>
      <c r="D84" s="17"/>
      <c r="E84" s="17"/>
      <c r="F84" s="17"/>
      <c r="G84" s="17"/>
      <c r="H84" s="252">
        <f>H32+H70-(H54+H55+H61)+H80</f>
        <v>3178.8805529795595</v>
      </c>
    </row>
    <row r="85" spans="1:8" ht="24.65" customHeight="1">
      <c r="A85" s="237" t="s">
        <v>325</v>
      </c>
      <c r="B85" s="274" t="s">
        <v>326</v>
      </c>
      <c r="C85" s="274"/>
      <c r="D85" s="274"/>
      <c r="E85" s="274"/>
      <c r="F85" s="274"/>
      <c r="G85" s="237" t="s">
        <v>64</v>
      </c>
      <c r="H85" s="316" t="str">
        <f>Licitante!$B$2</f>
        <v>Guaratinguetá / SP</v>
      </c>
    </row>
    <row r="86" spans="1:8" ht="25.35" customHeight="1">
      <c r="A86" s="216" t="s">
        <v>65</v>
      </c>
      <c r="B86" s="320" t="s">
        <v>327</v>
      </c>
      <c r="C86" s="320"/>
      <c r="D86" s="320"/>
      <c r="E86" s="320"/>
      <c r="F86" s="320"/>
      <c r="G86" s="241">
        <f>Licitante!G67</f>
        <v>9.0909090909090912E-2</v>
      </c>
      <c r="H86" s="240">
        <f>G86*(H32+H51)</f>
        <v>241.25065057851239</v>
      </c>
    </row>
    <row r="87" spans="1:8" ht="20.3" customHeight="1">
      <c r="A87" s="216" t="s">
        <v>67</v>
      </c>
      <c r="B87" s="256" t="s">
        <v>328</v>
      </c>
      <c r="C87" s="256"/>
      <c r="D87" s="256"/>
      <c r="E87" s="256"/>
      <c r="F87" s="256"/>
      <c r="G87" s="241">
        <f>Licitante!G68</f>
        <v>2.7378507871321013E-3</v>
      </c>
      <c r="H87" s="240">
        <f>G87*H84</f>
        <v>8.7033006241740161</v>
      </c>
    </row>
    <row r="88" spans="1:8" ht="21.05" customHeight="1">
      <c r="A88" s="216" t="s">
        <v>70</v>
      </c>
      <c r="B88" s="256" t="s">
        <v>86</v>
      </c>
      <c r="C88" s="256"/>
      <c r="D88" s="256"/>
      <c r="E88" s="256"/>
      <c r="F88" s="256"/>
      <c r="G88" s="241">
        <f>Licitante!G69</f>
        <v>2.0533880903490757E-4</v>
      </c>
      <c r="H88" s="240">
        <f>G88*H84</f>
        <v>0.65274754681305114</v>
      </c>
    </row>
    <row r="89" spans="1:8" ht="20.3" customHeight="1">
      <c r="A89" s="321" t="s">
        <v>73</v>
      </c>
      <c r="B89" s="277" t="s">
        <v>329</v>
      </c>
      <c r="C89" s="277"/>
      <c r="D89" s="277"/>
      <c r="E89" s="277"/>
      <c r="F89" s="277"/>
      <c r="G89" s="265">
        <f>Licitante!G70</f>
        <v>3.2032854209445585E-4</v>
      </c>
      <c r="H89" s="278">
        <f>G89*H84</f>
        <v>1.0182861730283599</v>
      </c>
    </row>
    <row r="90" spans="1:8" ht="20.3" customHeight="1">
      <c r="A90" s="216" t="s">
        <v>76</v>
      </c>
      <c r="B90" s="256" t="s">
        <v>330</v>
      </c>
      <c r="C90" s="256"/>
      <c r="D90" s="256"/>
      <c r="E90" s="256"/>
      <c r="F90" s="256"/>
      <c r="G90" s="241">
        <f>Licitante!G71</f>
        <v>6.570841889117043E-3</v>
      </c>
      <c r="H90" s="249">
        <f>G90*H84</f>
        <v>20.88792149801764</v>
      </c>
    </row>
    <row r="91" spans="1:8" ht="24.65" customHeight="1">
      <c r="A91" s="216" t="s">
        <v>89</v>
      </c>
      <c r="B91" s="256" t="s">
        <v>331</v>
      </c>
      <c r="C91" s="256"/>
      <c r="D91" s="256"/>
      <c r="E91" s="256"/>
      <c r="F91" s="256"/>
      <c r="G91" s="241">
        <f>Licitante!G72</f>
        <v>8.2135523613963042E-3</v>
      </c>
      <c r="H91" s="240">
        <f>G91*H84</f>
        <v>26.109901872522052</v>
      </c>
    </row>
    <row r="92" spans="1:8" ht="16.149999999999999" customHeight="1">
      <c r="A92" s="321" t="s">
        <v>91</v>
      </c>
      <c r="B92" s="277" t="s">
        <v>92</v>
      </c>
      <c r="C92" s="277"/>
      <c r="D92" s="277"/>
      <c r="E92" s="277"/>
      <c r="F92" s="277"/>
      <c r="G92" s="265">
        <v>0</v>
      </c>
      <c r="H92" s="278">
        <f>0</f>
        <v>0</v>
      </c>
    </row>
    <row r="93" spans="1:8" ht="20.3" customHeight="1">
      <c r="A93" s="17" t="s">
        <v>192</v>
      </c>
      <c r="B93" s="17"/>
      <c r="C93" s="17"/>
      <c r="D93" s="17"/>
      <c r="E93" s="17"/>
      <c r="F93" s="17"/>
      <c r="G93" s="279">
        <f>SUM(G86:G92)</f>
        <v>0.10895700329786571</v>
      </c>
      <c r="H93" s="242">
        <f>SUM(H86:H92)</f>
        <v>298.62280829306752</v>
      </c>
    </row>
    <row r="94" spans="1:8" ht="20.3" customHeight="1">
      <c r="A94" s="246" t="s">
        <v>332</v>
      </c>
      <c r="B94" s="247"/>
      <c r="C94" s="247"/>
      <c r="D94" s="247"/>
      <c r="E94" s="247"/>
      <c r="F94" s="247"/>
      <c r="G94" s="247"/>
      <c r="H94" s="248"/>
    </row>
    <row r="95" spans="1:8" ht="20.3" customHeight="1">
      <c r="A95" s="237" t="s">
        <v>333</v>
      </c>
      <c r="B95" s="17" t="s">
        <v>334</v>
      </c>
      <c r="C95" s="17"/>
      <c r="D95" s="17"/>
      <c r="E95" s="17"/>
      <c r="F95" s="17"/>
      <c r="G95" s="17"/>
      <c r="H95" s="316" t="str">
        <f>Licitante!$B$2</f>
        <v>Guaratinguetá / SP</v>
      </c>
    </row>
    <row r="96" spans="1:8" ht="20.3" customHeight="1">
      <c r="A96" s="216" t="s">
        <v>65</v>
      </c>
      <c r="B96" s="230" t="s">
        <v>335</v>
      </c>
      <c r="C96" s="230"/>
      <c r="D96" s="230"/>
      <c r="E96" s="230"/>
      <c r="F96" s="230"/>
      <c r="G96" s="230"/>
      <c r="H96" s="280">
        <v>0</v>
      </c>
    </row>
    <row r="97" spans="1:8" ht="20.3" customHeight="1">
      <c r="A97" s="17" t="s">
        <v>192</v>
      </c>
      <c r="B97" s="17"/>
      <c r="C97" s="17"/>
      <c r="D97" s="17"/>
      <c r="E97" s="17"/>
      <c r="F97" s="17"/>
      <c r="G97" s="17"/>
      <c r="H97" s="281">
        <f>SUM(H94:H96)</f>
        <v>0</v>
      </c>
    </row>
    <row r="98" spans="1:8" ht="6.05" customHeight="1">
      <c r="A98" s="243"/>
      <c r="B98" s="244"/>
      <c r="C98" s="244"/>
      <c r="D98" s="244"/>
      <c r="E98" s="244"/>
      <c r="F98" s="244"/>
      <c r="G98" s="244"/>
      <c r="H98" s="245"/>
    </row>
    <row r="99" spans="1:8" ht="20.3" customHeight="1">
      <c r="A99" s="246" t="s">
        <v>336</v>
      </c>
      <c r="B99" s="247"/>
      <c r="C99" s="247"/>
      <c r="D99" s="247"/>
      <c r="E99" s="247"/>
      <c r="F99" s="247"/>
      <c r="G99" s="247"/>
      <c r="H99" s="248"/>
    </row>
    <row r="100" spans="1:8" ht="20.3" customHeight="1">
      <c r="A100" s="237">
        <v>4</v>
      </c>
      <c r="B100" s="17" t="s">
        <v>337</v>
      </c>
      <c r="C100" s="17"/>
      <c r="D100" s="17"/>
      <c r="E100" s="17"/>
      <c r="F100" s="17"/>
      <c r="G100" s="17"/>
      <c r="H100" s="316" t="str">
        <f>Licitante!$B$2</f>
        <v>Guaratinguetá / SP</v>
      </c>
    </row>
    <row r="101" spans="1:8" ht="20.3" customHeight="1">
      <c r="A101" s="216" t="s">
        <v>325</v>
      </c>
      <c r="B101" s="230" t="s">
        <v>326</v>
      </c>
      <c r="C101" s="230"/>
      <c r="D101" s="230"/>
      <c r="E101" s="230"/>
      <c r="F101" s="230"/>
      <c r="G101" s="230"/>
      <c r="H101" s="249">
        <f>H93</f>
        <v>298.62280829306752</v>
      </c>
    </row>
    <row r="102" spans="1:8" ht="20.3" customHeight="1">
      <c r="A102" s="216" t="s">
        <v>333</v>
      </c>
      <c r="B102" s="230" t="s">
        <v>334</v>
      </c>
      <c r="C102" s="230"/>
      <c r="D102" s="230"/>
      <c r="E102" s="230"/>
      <c r="F102" s="230"/>
      <c r="G102" s="230"/>
      <c r="H102" s="252">
        <f>H97</f>
        <v>0</v>
      </c>
    </row>
    <row r="103" spans="1:8" ht="20.3" customHeight="1">
      <c r="A103" s="17" t="s">
        <v>192</v>
      </c>
      <c r="B103" s="17"/>
      <c r="C103" s="17"/>
      <c r="D103" s="17"/>
      <c r="E103" s="17"/>
      <c r="F103" s="17"/>
      <c r="G103" s="17"/>
      <c r="H103" s="282">
        <f>SUM(H101:H102)</f>
        <v>298.62280829306752</v>
      </c>
    </row>
    <row r="104" spans="1:8" ht="6.65" customHeight="1">
      <c r="A104" s="243"/>
      <c r="B104" s="244"/>
      <c r="C104" s="244"/>
      <c r="D104" s="244"/>
      <c r="E104" s="244"/>
      <c r="F104" s="244"/>
      <c r="G104" s="244"/>
      <c r="H104" s="245"/>
    </row>
    <row r="105" spans="1:8" ht="28.4" customHeight="1">
      <c r="A105" s="246" t="s">
        <v>338</v>
      </c>
      <c r="B105" s="247"/>
      <c r="C105" s="247"/>
      <c r="D105" s="247"/>
      <c r="E105" s="247"/>
      <c r="F105" s="247"/>
      <c r="G105" s="247"/>
      <c r="H105" s="248"/>
    </row>
    <row r="106" spans="1:8" ht="22.35" customHeight="1">
      <c r="A106" s="237">
        <v>5</v>
      </c>
      <c r="B106" s="17" t="s">
        <v>339</v>
      </c>
      <c r="C106" s="17"/>
      <c r="D106" s="17"/>
      <c r="E106" s="17"/>
      <c r="F106" s="17"/>
      <c r="G106" s="17"/>
      <c r="H106" s="316" t="str">
        <f>Licitante!$B$2</f>
        <v>Guaratinguetá / SP</v>
      </c>
    </row>
    <row r="107" spans="1:8" ht="20.45" customHeight="1">
      <c r="A107" s="216" t="s">
        <v>65</v>
      </c>
      <c r="B107" s="230" t="s">
        <v>340</v>
      </c>
      <c r="C107" s="230"/>
      <c r="D107" s="230"/>
      <c r="E107" s="230"/>
      <c r="F107" s="230"/>
      <c r="G107" s="230"/>
      <c r="H107" s="249">
        <f>Licitante!H55</f>
        <v>70.222083333333316</v>
      </c>
    </row>
    <row r="108" spans="1:8" ht="18" customHeight="1">
      <c r="A108" s="216" t="s">
        <v>67</v>
      </c>
      <c r="B108" s="230" t="s">
        <v>341</v>
      </c>
      <c r="C108" s="230"/>
      <c r="D108" s="230"/>
      <c r="E108" s="230"/>
      <c r="F108" s="230"/>
      <c r="G108" s="230"/>
      <c r="H108" s="249">
        <f>H114*Licitante!H127</f>
        <v>488.28900495621775</v>
      </c>
    </row>
    <row r="109" spans="1:8" ht="17.600000000000001" customHeight="1">
      <c r="A109" s="216" t="s">
        <v>70</v>
      </c>
      <c r="B109" s="230" t="s">
        <v>92</v>
      </c>
      <c r="C109" s="230"/>
      <c r="D109" s="230"/>
      <c r="E109" s="230"/>
      <c r="F109" s="230"/>
      <c r="G109" s="230"/>
      <c r="H109" s="283">
        <v>0</v>
      </c>
    </row>
    <row r="110" spans="1:8" ht="28.4" customHeight="1">
      <c r="A110" s="216" t="s">
        <v>73</v>
      </c>
      <c r="B110" s="230" t="s">
        <v>92</v>
      </c>
      <c r="C110" s="230"/>
      <c r="D110" s="230"/>
      <c r="E110" s="230"/>
      <c r="F110" s="230"/>
      <c r="G110" s="230"/>
      <c r="H110" s="283">
        <v>0</v>
      </c>
    </row>
    <row r="111" spans="1:8" ht="15.7" customHeight="1">
      <c r="A111" s="17" t="s">
        <v>192</v>
      </c>
      <c r="B111" s="17"/>
      <c r="C111" s="17"/>
      <c r="D111" s="17"/>
      <c r="E111" s="17"/>
      <c r="F111" s="17"/>
      <c r="G111" s="17"/>
      <c r="H111" s="251">
        <f>SUM(H107:H110)</f>
        <v>558.51108828955103</v>
      </c>
    </row>
    <row r="112" spans="1:8" ht="8.25" customHeight="1">
      <c r="A112" s="243"/>
      <c r="B112" s="244"/>
      <c r="C112" s="244"/>
      <c r="D112" s="244"/>
      <c r="E112" s="244"/>
      <c r="F112" s="244"/>
      <c r="G112" s="244"/>
      <c r="H112" s="245"/>
    </row>
    <row r="113" spans="1:8" ht="28.4" customHeight="1">
      <c r="A113" s="17" t="s">
        <v>342</v>
      </c>
      <c r="B113" s="17"/>
      <c r="C113" s="17"/>
      <c r="D113" s="17"/>
      <c r="E113" s="17"/>
      <c r="F113" s="17"/>
      <c r="G113" s="17"/>
      <c r="H113" s="316" t="str">
        <f>Licitante!$B$2</f>
        <v>Guaratinguetá / SP</v>
      </c>
    </row>
    <row r="114" spans="1:8" ht="27.4" customHeight="1">
      <c r="A114" s="17" t="s">
        <v>192</v>
      </c>
      <c r="B114" s="17"/>
      <c r="C114" s="17"/>
      <c r="D114" s="17"/>
      <c r="E114" s="17"/>
      <c r="F114" s="17"/>
      <c r="G114" s="17"/>
      <c r="H114" s="282">
        <f>(H32+H70+H80+H103+H107+H109+H110)/(1-Licitante!H127)</f>
        <v>4882.8900495621774</v>
      </c>
    </row>
    <row r="115" spans="1:8" ht="8.25" customHeight="1">
      <c r="A115" s="243"/>
      <c r="B115" s="244"/>
      <c r="C115" s="244"/>
      <c r="D115" s="244"/>
      <c r="E115" s="244"/>
      <c r="F115" s="244"/>
      <c r="G115" s="244"/>
      <c r="H115" s="245"/>
    </row>
    <row r="116" spans="1:8" ht="20.3" customHeight="1">
      <c r="A116" s="246" t="s">
        <v>343</v>
      </c>
      <c r="B116" s="247"/>
      <c r="C116" s="247"/>
      <c r="D116" s="247"/>
      <c r="E116" s="247"/>
      <c r="F116" s="247"/>
      <c r="G116" s="247"/>
      <c r="H116" s="248"/>
    </row>
    <row r="117" spans="1:8" ht="20.3" customHeight="1">
      <c r="A117" s="237">
        <v>6</v>
      </c>
      <c r="B117" s="17" t="s">
        <v>344</v>
      </c>
      <c r="C117" s="17"/>
      <c r="D117" s="17"/>
      <c r="E117" s="17"/>
      <c r="F117" s="17"/>
      <c r="G117" s="237" t="s">
        <v>64</v>
      </c>
      <c r="H117" s="316" t="str">
        <f>Licitante!$B$2</f>
        <v>Guaratinguetá / SP</v>
      </c>
    </row>
    <row r="118" spans="1:8" ht="20.3" customHeight="1">
      <c r="A118" s="216" t="s">
        <v>65</v>
      </c>
      <c r="B118" s="230" t="s">
        <v>345</v>
      </c>
      <c r="C118" s="230"/>
      <c r="D118" s="230"/>
      <c r="E118" s="230"/>
      <c r="F118" s="230"/>
      <c r="G118" s="241">
        <f>Licitante!D76</f>
        <v>0.05</v>
      </c>
      <c r="H118" s="249">
        <f>G118*H114</f>
        <v>244.14450247810888</v>
      </c>
    </row>
    <row r="119" spans="1:8" ht="20.3" customHeight="1">
      <c r="A119" s="216" t="s">
        <v>67</v>
      </c>
      <c r="B119" s="230" t="s">
        <v>96</v>
      </c>
      <c r="C119" s="230"/>
      <c r="D119" s="230"/>
      <c r="E119" s="230"/>
      <c r="F119" s="230"/>
      <c r="G119" s="241">
        <f>Licitante!D77</f>
        <v>0.1</v>
      </c>
      <c r="H119" s="240">
        <f>G119*(H114+H118)</f>
        <v>512.70345520402861</v>
      </c>
    </row>
    <row r="120" spans="1:8" ht="15" customHeight="1">
      <c r="A120" s="222" t="s">
        <v>70</v>
      </c>
      <c r="B120" s="230" t="s">
        <v>99</v>
      </c>
      <c r="C120" s="230"/>
      <c r="D120" s="230"/>
      <c r="E120" s="230"/>
      <c r="F120" s="230"/>
      <c r="G120" s="230"/>
      <c r="H120" s="284">
        <f>H129*F128</f>
        <v>787.31385286316652</v>
      </c>
    </row>
    <row r="121" spans="1:8" ht="20.3" customHeight="1">
      <c r="A121" s="222"/>
      <c r="B121" s="230" t="s">
        <v>346</v>
      </c>
      <c r="C121" s="230"/>
      <c r="D121" s="230"/>
      <c r="E121" s="222" t="s">
        <v>347</v>
      </c>
      <c r="F121" s="222"/>
      <c r="G121" s="222"/>
      <c r="H121" s="284"/>
    </row>
    <row r="122" spans="1:8" ht="19.45" customHeight="1">
      <c r="A122" s="222"/>
      <c r="B122" s="230" t="s">
        <v>348</v>
      </c>
      <c r="C122" s="230"/>
      <c r="D122" s="230"/>
      <c r="E122" s="241">
        <f>Licitante!D80</f>
        <v>1.6500000000000001E-2</v>
      </c>
      <c r="F122" s="254">
        <f>SUM(E122:E124)</f>
        <v>9.2499999999999999E-2</v>
      </c>
      <c r="G122" s="254"/>
      <c r="H122" s="284"/>
    </row>
    <row r="123" spans="1:8" ht="18.75" customHeight="1">
      <c r="A123" s="222"/>
      <c r="B123" s="230" t="s">
        <v>349</v>
      </c>
      <c r="C123" s="230"/>
      <c r="D123" s="230"/>
      <c r="E123" s="285">
        <f>Licitante!D81</f>
        <v>7.5999999999999998E-2</v>
      </c>
      <c r="F123" s="254"/>
      <c r="G123" s="254"/>
      <c r="H123" s="284"/>
    </row>
    <row r="124" spans="1:8" ht="18.75" customHeight="1">
      <c r="A124" s="222"/>
      <c r="B124" s="230" t="s">
        <v>350</v>
      </c>
      <c r="C124" s="230"/>
      <c r="D124" s="230"/>
      <c r="E124" s="241"/>
      <c r="F124" s="254"/>
      <c r="G124" s="254"/>
      <c r="H124" s="284"/>
    </row>
    <row r="125" spans="1:8" ht="18.75" customHeight="1">
      <c r="A125" s="222"/>
      <c r="B125" s="230" t="s">
        <v>351</v>
      </c>
      <c r="C125" s="230"/>
      <c r="D125" s="230"/>
      <c r="E125" s="230"/>
      <c r="F125" s="230"/>
      <c r="G125" s="230"/>
      <c r="H125" s="284"/>
    </row>
    <row r="126" spans="1:8" ht="15" customHeight="1">
      <c r="A126" s="222"/>
      <c r="B126" s="230" t="s">
        <v>352</v>
      </c>
      <c r="C126" s="230"/>
      <c r="D126" s="230"/>
      <c r="E126" s="241"/>
      <c r="F126" s="222" t="s">
        <v>353</v>
      </c>
      <c r="G126" s="222"/>
      <c r="H126" s="284"/>
    </row>
    <row r="127" spans="1:8" ht="15" customHeight="1">
      <c r="A127" s="222"/>
      <c r="B127" s="230" t="s">
        <v>354</v>
      </c>
      <c r="C127" s="230"/>
      <c r="D127" s="230"/>
      <c r="E127" s="230"/>
      <c r="F127" s="222"/>
      <c r="G127" s="222"/>
      <c r="H127" s="284"/>
    </row>
    <row r="128" spans="1:8" ht="20.3" customHeight="1">
      <c r="A128" s="222"/>
      <c r="B128" s="253" t="s">
        <v>371</v>
      </c>
      <c r="C128" s="286" t="str">
        <f>H7</f>
        <v>Guaratinguetá / SP</v>
      </c>
      <c r="D128" s="287"/>
      <c r="E128" s="288">
        <f>Licitante!D83</f>
        <v>0.03</v>
      </c>
      <c r="F128" s="254">
        <f>E128+F122</f>
        <v>0.1225</v>
      </c>
      <c r="G128" s="254"/>
      <c r="H128" s="284"/>
    </row>
    <row r="129" spans="1:8" ht="20.3" customHeight="1">
      <c r="A129" s="17" t="s">
        <v>192</v>
      </c>
      <c r="B129" s="17"/>
      <c r="C129" s="17"/>
      <c r="D129" s="17"/>
      <c r="E129" s="17"/>
      <c r="F129" s="17"/>
      <c r="G129" s="17"/>
      <c r="H129" s="251">
        <f>(H114+H118+H119)/(1-F128)</f>
        <v>6427.0518601074818</v>
      </c>
    </row>
    <row r="130" spans="1:8" ht="8.25" customHeight="1">
      <c r="A130" s="243"/>
      <c r="B130" s="244"/>
      <c r="C130" s="244"/>
      <c r="D130" s="244"/>
      <c r="E130" s="244"/>
      <c r="F130" s="244"/>
      <c r="G130" s="244"/>
      <c r="H130" s="245"/>
    </row>
    <row r="131" spans="1:8" ht="28.4" customHeight="1">
      <c r="A131" s="246" t="s">
        <v>355</v>
      </c>
      <c r="B131" s="247"/>
      <c r="C131" s="247"/>
      <c r="D131" s="247"/>
      <c r="E131" s="247"/>
      <c r="F131" s="247"/>
      <c r="G131" s="247"/>
      <c r="H131" s="248"/>
    </row>
    <row r="132" spans="1:8" ht="20.3" customHeight="1">
      <c r="A132" s="216"/>
      <c r="B132" s="17" t="s">
        <v>356</v>
      </c>
      <c r="C132" s="17"/>
      <c r="D132" s="17"/>
      <c r="E132" s="17"/>
      <c r="F132" s="17"/>
      <c r="G132" s="17"/>
      <c r="H132" s="316" t="str">
        <f>Licitante!$B$2</f>
        <v>Guaratinguetá / SP</v>
      </c>
    </row>
    <row r="133" spans="1:8" ht="29.95" customHeight="1">
      <c r="A133" s="237" t="s">
        <v>65</v>
      </c>
      <c r="B133" s="230" t="s">
        <v>357</v>
      </c>
      <c r="C133" s="230"/>
      <c r="D133" s="230"/>
      <c r="E133" s="230"/>
      <c r="F133" s="230"/>
      <c r="G133" s="230"/>
      <c r="H133" s="240">
        <f>H32</f>
        <v>1882.34</v>
      </c>
    </row>
    <row r="134" spans="1:8" ht="29.1" customHeight="1">
      <c r="A134" s="237" t="s">
        <v>67</v>
      </c>
      <c r="B134" s="230" t="s">
        <v>279</v>
      </c>
      <c r="C134" s="230"/>
      <c r="D134" s="230"/>
      <c r="E134" s="230"/>
      <c r="F134" s="230"/>
      <c r="G134" s="230"/>
      <c r="H134" s="249">
        <f>H70</f>
        <v>2030.945029090909</v>
      </c>
    </row>
    <row r="135" spans="1:8" ht="21.6" customHeight="1">
      <c r="A135" s="237" t="s">
        <v>70</v>
      </c>
      <c r="B135" s="230" t="s">
        <v>358</v>
      </c>
      <c r="C135" s="230"/>
      <c r="D135" s="230"/>
      <c r="E135" s="230"/>
      <c r="F135" s="230"/>
      <c r="G135" s="230"/>
      <c r="H135" s="249">
        <f>H80</f>
        <v>112.47112388865035</v>
      </c>
    </row>
    <row r="136" spans="1:8" ht="21.6" customHeight="1">
      <c r="A136" s="237" t="s">
        <v>73</v>
      </c>
      <c r="B136" s="230" t="s">
        <v>322</v>
      </c>
      <c r="C136" s="230"/>
      <c r="D136" s="230"/>
      <c r="E136" s="230"/>
      <c r="F136" s="230"/>
      <c r="G136" s="230"/>
      <c r="H136" s="249">
        <f>H103</f>
        <v>298.62280829306752</v>
      </c>
    </row>
    <row r="137" spans="1:8" ht="26.65" customHeight="1">
      <c r="A137" s="237" t="s">
        <v>76</v>
      </c>
      <c r="B137" s="230" t="s">
        <v>338</v>
      </c>
      <c r="C137" s="230"/>
      <c r="D137" s="230"/>
      <c r="E137" s="230"/>
      <c r="F137" s="230"/>
      <c r="G137" s="230"/>
      <c r="H137" s="249">
        <f>H111</f>
        <v>558.51108828955103</v>
      </c>
    </row>
    <row r="138" spans="1:8" ht="31" customHeight="1">
      <c r="A138" s="17" t="s">
        <v>359</v>
      </c>
      <c r="B138" s="17"/>
      <c r="C138" s="17"/>
      <c r="D138" s="17"/>
      <c r="E138" s="17"/>
      <c r="F138" s="17"/>
      <c r="G138" s="17"/>
      <c r="H138" s="240">
        <f>SUM(H133:H137)</f>
        <v>4882.8900495621783</v>
      </c>
    </row>
    <row r="139" spans="1:8" ht="32.4" customHeight="1">
      <c r="A139" s="237" t="s">
        <v>89</v>
      </c>
      <c r="B139" s="230" t="s">
        <v>360</v>
      </c>
      <c r="C139" s="230"/>
      <c r="D139" s="230"/>
      <c r="E139" s="230"/>
      <c r="F139" s="230"/>
      <c r="G139" s="230"/>
      <c r="H139" s="249">
        <f>H129</f>
        <v>6427.0518601074818</v>
      </c>
    </row>
    <row r="140" spans="1:8" ht="36.75" customHeight="1">
      <c r="A140" s="17" t="s">
        <v>361</v>
      </c>
      <c r="B140" s="17"/>
      <c r="C140" s="17"/>
      <c r="D140" s="17"/>
      <c r="E140" s="17"/>
      <c r="F140" s="17"/>
      <c r="G140" s="17"/>
      <c r="H140" s="322">
        <f>ROUND((H114+H118+H119)/(1-(F128)),2)</f>
        <v>6427.05</v>
      </c>
    </row>
  </sheetData>
  <mergeCells count="151">
    <mergeCell ref="B135:G135"/>
    <mergeCell ref="B136:G136"/>
    <mergeCell ref="B137:G137"/>
    <mergeCell ref="A138:G138"/>
    <mergeCell ref="B139:G139"/>
    <mergeCell ref="A140:G140"/>
    <mergeCell ref="A129:G129"/>
    <mergeCell ref="A130:H130"/>
    <mergeCell ref="A131:H131"/>
    <mergeCell ref="B132:G132"/>
    <mergeCell ref="B133:G133"/>
    <mergeCell ref="B134:G134"/>
    <mergeCell ref="B124:D124"/>
    <mergeCell ref="B125:G125"/>
    <mergeCell ref="B126:D126"/>
    <mergeCell ref="F126:G127"/>
    <mergeCell ref="B127:E127"/>
    <mergeCell ref="C128:D128"/>
    <mergeCell ref="F128:G128"/>
    <mergeCell ref="B118:F118"/>
    <mergeCell ref="B119:F119"/>
    <mergeCell ref="A120:A128"/>
    <mergeCell ref="B120:G120"/>
    <mergeCell ref="H120:H128"/>
    <mergeCell ref="B121:D121"/>
    <mergeCell ref="E121:G121"/>
    <mergeCell ref="B122:D122"/>
    <mergeCell ref="F122:G124"/>
    <mergeCell ref="B123:D123"/>
    <mergeCell ref="A112:H112"/>
    <mergeCell ref="A113:G113"/>
    <mergeCell ref="A114:G114"/>
    <mergeCell ref="A115:H115"/>
    <mergeCell ref="A116:H116"/>
    <mergeCell ref="B117:F117"/>
    <mergeCell ref="B106:G106"/>
    <mergeCell ref="B107:G107"/>
    <mergeCell ref="B108:G108"/>
    <mergeCell ref="B109:G109"/>
    <mergeCell ref="B110:G110"/>
    <mergeCell ref="A111:G111"/>
    <mergeCell ref="B100:G100"/>
    <mergeCell ref="B101:G101"/>
    <mergeCell ref="B102:G102"/>
    <mergeCell ref="A103:G103"/>
    <mergeCell ref="A104:H104"/>
    <mergeCell ref="A105:H105"/>
    <mergeCell ref="A94:H94"/>
    <mergeCell ref="B95:G95"/>
    <mergeCell ref="B96:G96"/>
    <mergeCell ref="A97:G97"/>
    <mergeCell ref="A98:H98"/>
    <mergeCell ref="A99:H99"/>
    <mergeCell ref="B88:F88"/>
    <mergeCell ref="B89:F89"/>
    <mergeCell ref="B90:F90"/>
    <mergeCell ref="B91:F91"/>
    <mergeCell ref="B92:F92"/>
    <mergeCell ref="A93:F93"/>
    <mergeCell ref="A82:H82"/>
    <mergeCell ref="A83:H83"/>
    <mergeCell ref="A84:G84"/>
    <mergeCell ref="B85:F85"/>
    <mergeCell ref="B86:F86"/>
    <mergeCell ref="B87:F87"/>
    <mergeCell ref="B76:F76"/>
    <mergeCell ref="B77:F77"/>
    <mergeCell ref="B78:F78"/>
    <mergeCell ref="B79:F79"/>
    <mergeCell ref="A80:G80"/>
    <mergeCell ref="A81:H81"/>
    <mergeCell ref="A70:G70"/>
    <mergeCell ref="A71:H71"/>
    <mergeCell ref="A72:H72"/>
    <mergeCell ref="A73:G73"/>
    <mergeCell ref="B74:G74"/>
    <mergeCell ref="B75:F75"/>
    <mergeCell ref="A64:H64"/>
    <mergeCell ref="A65:H65"/>
    <mergeCell ref="B66:G66"/>
    <mergeCell ref="B67:F67"/>
    <mergeCell ref="B68:F68"/>
    <mergeCell ref="B69:G69"/>
    <mergeCell ref="B58:G58"/>
    <mergeCell ref="B59:G59"/>
    <mergeCell ref="B60:G60"/>
    <mergeCell ref="B61:G61"/>
    <mergeCell ref="B62:G62"/>
    <mergeCell ref="A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" right="0" top="0.39370078740157477" bottom="0.39370078740157477" header="0" footer="0"/>
  <headerFooter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383D5-C3D6-42C2-9A48-8B727B837DA8}">
  <sheetPr codeName="Planilha7"/>
  <dimension ref="A1:BL140"/>
  <sheetViews>
    <sheetView topLeftCell="A42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25.26953125" style="215" customWidth="1"/>
    <col min="9" max="64" width="8.36328125" style="215" customWidth="1"/>
    <col min="65" max="1014" width="8.36328125" customWidth="1"/>
    <col min="1015" max="1015" width="8.6328125" customWidth="1"/>
  </cols>
  <sheetData>
    <row r="1" spans="1:8" ht="25.05" customHeight="1">
      <c r="A1" s="209" t="s">
        <v>372</v>
      </c>
      <c r="B1" s="209"/>
      <c r="C1" s="209"/>
      <c r="D1" s="209"/>
      <c r="E1" s="209"/>
      <c r="F1" s="209"/>
      <c r="G1" s="209"/>
      <c r="H1" s="209"/>
    </row>
    <row r="2" spans="1:8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>
        <f>Licitante!I1</f>
        <v>0</v>
      </c>
      <c r="C4" s="213"/>
      <c r="D4" s="213"/>
      <c r="E4" s="213"/>
      <c r="F4" s="214" t="s">
        <v>248</v>
      </c>
      <c r="G4" s="37" t="s">
        <v>365</v>
      </c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>
        <f>Licitante!I1</f>
        <v>0</v>
      </c>
    </row>
    <row r="7" spans="1:8" ht="20.3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1" t="str">
        <f>Licitante!$B$2</f>
        <v>Guaratinguetá / SP</v>
      </c>
    </row>
    <row r="8" spans="1:8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373</v>
      </c>
    </row>
    <row r="9" spans="1:8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ht="33.549999999999997" customHeight="1">
      <c r="A12" s="222" t="s">
        <v>374</v>
      </c>
      <c r="B12" s="222"/>
      <c r="C12" s="222"/>
      <c r="D12" s="223" t="s">
        <v>375</v>
      </c>
      <c r="E12" s="223"/>
      <c r="F12" s="224">
        <f>'Áreas a serem limpas'!B28</f>
        <v>0</v>
      </c>
      <c r="G12" s="222"/>
      <c r="H12" s="222"/>
    </row>
    <row r="13" spans="1:8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ht="25.05" customHeight="1">
      <c r="A14" s="313" t="s">
        <v>261</v>
      </c>
      <c r="B14" s="313"/>
      <c r="C14" s="313"/>
      <c r="D14" s="313"/>
      <c r="E14" s="313"/>
      <c r="F14" s="313"/>
      <c r="G14" s="313"/>
      <c r="H14" s="313"/>
    </row>
    <row r="15" spans="1:8" ht="21.05" customHeight="1">
      <c r="A15" s="314" t="s">
        <v>262</v>
      </c>
      <c r="B15" s="314"/>
      <c r="C15" s="314"/>
      <c r="D15" s="314"/>
      <c r="E15" s="314"/>
      <c r="F15" s="314"/>
      <c r="G15" s="314"/>
      <c r="H15" s="314"/>
    </row>
    <row r="16" spans="1:8" ht="22.35" customHeight="1">
      <c r="A16" s="315" t="s">
        <v>263</v>
      </c>
      <c r="B16" s="315"/>
      <c r="C16" s="315"/>
      <c r="D16" s="315"/>
      <c r="E16" s="315"/>
      <c r="F16" s="315"/>
      <c r="G16" s="315"/>
      <c r="H16" s="315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376</v>
      </c>
    </row>
    <row r="19" spans="1:8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369</v>
      </c>
    </row>
    <row r="20" spans="1:8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Licitante!F8</f>
        <v>1882.34</v>
      </c>
    </row>
    <row r="21" spans="1:8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367</v>
      </c>
    </row>
    <row r="22" spans="1:8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ht="9.25" customHeight="1">
      <c r="A23" s="225"/>
      <c r="B23" s="225"/>
      <c r="C23" s="225"/>
      <c r="D23" s="225"/>
      <c r="E23" s="225"/>
      <c r="F23" s="225"/>
      <c r="G23" s="225"/>
      <c r="H23" s="225"/>
    </row>
    <row r="24" spans="1:8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ht="20.3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316" t="str">
        <f>Licitante!$B$2</f>
        <v>Guaratinguetá / SP</v>
      </c>
    </row>
    <row r="26" spans="1:8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Licitante!F8</f>
        <v>1882.34</v>
      </c>
    </row>
    <row r="27" spans="1:8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>
        <f>H26*G27</f>
        <v>564.702</v>
      </c>
    </row>
    <row r="28" spans="1:8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</row>
    <row r="29" spans="1:8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>SUM(H26:H31)</f>
        <v>2447.0419999999999</v>
      </c>
    </row>
    <row r="33" spans="1:8" ht="8.25" customHeight="1">
      <c r="A33" s="225"/>
      <c r="B33" s="225"/>
      <c r="C33" s="225"/>
      <c r="D33" s="225"/>
      <c r="E33" s="225"/>
      <c r="F33" s="225"/>
      <c r="G33" s="225"/>
      <c r="H33" s="225"/>
    </row>
    <row r="34" spans="1:8" ht="25.05" customHeight="1">
      <c r="A34" s="246" t="s">
        <v>279</v>
      </c>
      <c r="B34" s="246"/>
      <c r="C34" s="246"/>
      <c r="D34" s="246"/>
      <c r="E34" s="246"/>
      <c r="F34" s="246"/>
      <c r="G34" s="246"/>
      <c r="H34" s="246"/>
    </row>
    <row r="35" spans="1:8" ht="26.25" customHeight="1">
      <c r="A35" s="323" t="s">
        <v>280</v>
      </c>
      <c r="B35" s="324"/>
      <c r="C35" s="324"/>
      <c r="D35" s="324"/>
      <c r="E35" s="324"/>
      <c r="F35" s="324"/>
      <c r="G35" s="324"/>
      <c r="H35" s="325"/>
    </row>
    <row r="36" spans="1:8" ht="26.2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316" t="str">
        <f>Licitante!$B$2</f>
        <v>Guaratinguetá / SP</v>
      </c>
    </row>
    <row r="37" spans="1:8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203.92016666666666</v>
      </c>
    </row>
    <row r="38" spans="1:8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74.152787878787876</v>
      </c>
    </row>
    <row r="39" spans="1:8" ht="20.3" customHeight="1">
      <c r="A39" s="17" t="s">
        <v>192</v>
      </c>
      <c r="B39" s="17"/>
      <c r="C39" s="17"/>
      <c r="D39" s="17"/>
      <c r="E39" s="17"/>
      <c r="F39" s="17"/>
      <c r="G39" s="250">
        <f>SUM(G37:G38)</f>
        <v>0.11363636363636363</v>
      </c>
      <c r="H39" s="251">
        <f>SUM(H37:H38)</f>
        <v>278.07295454545454</v>
      </c>
    </row>
    <row r="40" spans="1:8" ht="20.3" customHeight="1">
      <c r="A40" s="246" t="s">
        <v>285</v>
      </c>
      <c r="B40" s="246"/>
      <c r="C40" s="246"/>
      <c r="D40" s="246"/>
      <c r="E40" s="246"/>
      <c r="F40" s="246"/>
      <c r="G40" s="246"/>
      <c r="H40" s="246"/>
    </row>
    <row r="41" spans="1:8" ht="24.65" customHeight="1">
      <c r="A41" s="17" t="s">
        <v>377</v>
      </c>
      <c r="B41" s="17"/>
      <c r="C41" s="17"/>
      <c r="D41" s="17"/>
      <c r="E41" s="17"/>
      <c r="F41" s="17"/>
      <c r="G41" s="17"/>
      <c r="H41" s="252">
        <f>H32+H39</f>
        <v>2725.1149545454546</v>
      </c>
    </row>
    <row r="42" spans="1:8" ht="20.3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316" t="str">
        <f>Licitante!$B$2</f>
        <v>Guaratinguetá / SP</v>
      </c>
    </row>
    <row r="43" spans="1:8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545.02299090909094</v>
      </c>
    </row>
    <row r="44" spans="1:8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68.127873863636367</v>
      </c>
    </row>
    <row r="45" spans="1:8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81.753448636363629</v>
      </c>
    </row>
    <row r="46" spans="1:8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40.876724318181815</v>
      </c>
    </row>
    <row r="47" spans="1:8" ht="20.3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27.251149545454545</v>
      </c>
    </row>
    <row r="48" spans="1:8" ht="26.25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16.350689727272727</v>
      </c>
    </row>
    <row r="49" spans="1:8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5.4502299090909094</v>
      </c>
    </row>
    <row r="50" spans="1:8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218.00919636363636</v>
      </c>
    </row>
    <row r="51" spans="1:8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1002.8423032727275</v>
      </c>
    </row>
    <row r="52" spans="1:8" ht="20.3" customHeight="1">
      <c r="A52" s="263" t="s">
        <v>297</v>
      </c>
      <c r="B52" s="263"/>
      <c r="C52" s="263"/>
      <c r="D52" s="263"/>
      <c r="E52" s="263"/>
      <c r="F52" s="263"/>
      <c r="G52" s="263"/>
      <c r="H52" s="263"/>
    </row>
    <row r="53" spans="1:8" ht="20.3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316" t="str">
        <f>Licitante!$B$2</f>
        <v>Guaratinguetá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Licitante!I42</f>
        <v>126.04559999999999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</row>
    <row r="61" spans="1:8" ht="20.3" customHeight="1">
      <c r="A61" s="216" t="s">
        <v>295</v>
      </c>
      <c r="B61" s="230" t="s">
        <v>309</v>
      </c>
      <c r="C61" s="230"/>
      <c r="D61" s="230"/>
      <c r="E61" s="230"/>
      <c r="F61" s="230"/>
      <c r="G61" s="230"/>
      <c r="H61" s="252">
        <f>Licitante!I28</f>
        <v>300</v>
      </c>
    </row>
    <row r="62" spans="1:8" ht="20.3" customHeight="1">
      <c r="A62" s="216" t="s">
        <v>308</v>
      </c>
      <c r="B62" s="256" t="s">
        <v>307</v>
      </c>
      <c r="C62" s="256"/>
      <c r="D62" s="256"/>
      <c r="E62" s="256"/>
      <c r="F62" s="256"/>
      <c r="G62" s="256"/>
      <c r="H62" s="252">
        <f>Licitante!I30</f>
        <v>0</v>
      </c>
    </row>
    <row r="63" spans="1:8" ht="20.3" customHeight="1">
      <c r="A63" s="17" t="s">
        <v>192</v>
      </c>
      <c r="B63" s="17"/>
      <c r="C63" s="17"/>
      <c r="D63" s="17"/>
      <c r="E63" s="17"/>
      <c r="F63" s="17"/>
      <c r="G63" s="17"/>
      <c r="H63" s="251">
        <f>SUM(H54:H62)</f>
        <v>1045.6255999999998</v>
      </c>
    </row>
    <row r="64" spans="1:8" ht="6.05" customHeight="1">
      <c r="A64" s="225"/>
      <c r="B64" s="225"/>
      <c r="C64" s="225"/>
      <c r="D64" s="225"/>
      <c r="E64" s="225"/>
      <c r="F64" s="225"/>
      <c r="G64" s="225"/>
      <c r="H64" s="225"/>
    </row>
    <row r="65" spans="1:8" ht="20.3" customHeight="1">
      <c r="A65" s="263" t="s">
        <v>311</v>
      </c>
      <c r="B65" s="263"/>
      <c r="C65" s="263"/>
      <c r="D65" s="263"/>
      <c r="E65" s="263"/>
      <c r="F65" s="263"/>
      <c r="G65" s="263"/>
      <c r="H65" s="263"/>
    </row>
    <row r="66" spans="1:8" ht="20.3" customHeight="1">
      <c r="A66" s="237">
        <v>2</v>
      </c>
      <c r="B66" s="17" t="s">
        <v>312</v>
      </c>
      <c r="C66" s="17"/>
      <c r="D66" s="17"/>
      <c r="E66" s="17"/>
      <c r="F66" s="17"/>
      <c r="G66" s="17"/>
      <c r="H66" s="316" t="str">
        <f>Licitante!$B$2</f>
        <v>Guaratinguetá / SP</v>
      </c>
    </row>
    <row r="67" spans="1:8" ht="20.3" customHeight="1">
      <c r="A67" s="216" t="s">
        <v>281</v>
      </c>
      <c r="B67" s="230" t="s">
        <v>370</v>
      </c>
      <c r="C67" s="230"/>
      <c r="D67" s="230"/>
      <c r="E67" s="230"/>
      <c r="F67" s="230"/>
      <c r="G67" s="241">
        <f>G39</f>
        <v>0.11363636363636363</v>
      </c>
      <c r="H67" s="252">
        <f>H39</f>
        <v>278.07295454545454</v>
      </c>
    </row>
    <row r="68" spans="1:8" ht="20.3" customHeight="1">
      <c r="A68" s="216" t="s">
        <v>287</v>
      </c>
      <c r="B68" s="230" t="s">
        <v>288</v>
      </c>
      <c r="C68" s="230"/>
      <c r="D68" s="230"/>
      <c r="E68" s="230"/>
      <c r="F68" s="230"/>
      <c r="G68" s="241">
        <f>G51</f>
        <v>0.36800000000000005</v>
      </c>
      <c r="H68" s="252">
        <f>H51</f>
        <v>1002.8423032727275</v>
      </c>
    </row>
    <row r="69" spans="1:8" ht="20.3" customHeight="1">
      <c r="A69" s="216" t="s">
        <v>298</v>
      </c>
      <c r="B69" s="230" t="s">
        <v>299</v>
      </c>
      <c r="C69" s="230"/>
      <c r="D69" s="230"/>
      <c r="E69" s="230"/>
      <c r="F69" s="230"/>
      <c r="G69" s="230"/>
      <c r="H69" s="252">
        <f>H63</f>
        <v>1045.6255999999998</v>
      </c>
    </row>
    <row r="70" spans="1:8" ht="20.3" customHeight="1">
      <c r="A70" s="17" t="s">
        <v>192</v>
      </c>
      <c r="B70" s="17"/>
      <c r="C70" s="17"/>
      <c r="D70" s="17"/>
      <c r="E70" s="17"/>
      <c r="F70" s="17"/>
      <c r="G70" s="17"/>
      <c r="H70" s="251">
        <f>SUM(H67:H69)</f>
        <v>2326.5408578181818</v>
      </c>
    </row>
    <row r="71" spans="1:8" ht="6.05" customHeight="1">
      <c r="A71" s="225"/>
      <c r="B71" s="225"/>
      <c r="C71" s="225"/>
      <c r="D71" s="225"/>
      <c r="E71" s="225"/>
      <c r="F71" s="225"/>
      <c r="G71" s="225"/>
      <c r="H71" s="225"/>
    </row>
    <row r="72" spans="1:8" ht="20.3" customHeight="1">
      <c r="A72" s="263" t="s">
        <v>314</v>
      </c>
      <c r="B72" s="263"/>
      <c r="C72" s="263"/>
      <c r="D72" s="263"/>
      <c r="E72" s="263"/>
      <c r="F72" s="263"/>
      <c r="G72" s="263"/>
      <c r="H72" s="263"/>
    </row>
    <row r="73" spans="1:8" ht="19.149999999999999" customHeight="1">
      <c r="A73" s="17" t="s">
        <v>315</v>
      </c>
      <c r="B73" s="17"/>
      <c r="C73" s="17"/>
      <c r="D73" s="17"/>
      <c r="E73" s="17"/>
      <c r="F73" s="17"/>
      <c r="G73" s="17"/>
      <c r="H73" s="252">
        <f>H41</f>
        <v>2725.1149545454546</v>
      </c>
    </row>
    <row r="74" spans="1:8" ht="20.3" customHeight="1">
      <c r="A74" s="237">
        <v>3</v>
      </c>
      <c r="B74" s="17" t="s">
        <v>316</v>
      </c>
      <c r="C74" s="17"/>
      <c r="D74" s="17"/>
      <c r="E74" s="17"/>
      <c r="F74" s="17"/>
      <c r="G74" s="17"/>
      <c r="H74" s="316" t="str">
        <f>Licitante!$B$2</f>
        <v>Guaratinguetá / SP</v>
      </c>
    </row>
    <row r="75" spans="1:8" ht="20.3" customHeight="1">
      <c r="A75" s="216" t="s">
        <v>65</v>
      </c>
      <c r="B75" s="230" t="s">
        <v>317</v>
      </c>
      <c r="C75" s="230"/>
      <c r="D75" s="230"/>
      <c r="E75" s="230"/>
      <c r="F75" s="230"/>
      <c r="G75" s="241">
        <f>Licitante!E59</f>
        <v>4.1067761806981521E-3</v>
      </c>
      <c r="H75" s="240">
        <f>G75*H73</f>
        <v>11.191437184991599</v>
      </c>
    </row>
    <row r="76" spans="1:8" ht="20.3" customHeight="1">
      <c r="A76" s="216" t="s">
        <v>67</v>
      </c>
      <c r="B76" s="264" t="s">
        <v>318</v>
      </c>
      <c r="C76" s="264"/>
      <c r="D76" s="264"/>
      <c r="E76" s="264"/>
      <c r="F76" s="264"/>
      <c r="G76" s="265">
        <f>Licitante!E60</f>
        <v>3.2854209445585218E-4</v>
      </c>
      <c r="H76" s="240">
        <f>G76*H73</f>
        <v>0.89531497479932809</v>
      </c>
    </row>
    <row r="77" spans="1:8" ht="20.3" customHeight="1">
      <c r="A77" s="216" t="s">
        <v>70</v>
      </c>
      <c r="B77" s="230" t="s">
        <v>319</v>
      </c>
      <c r="C77" s="230"/>
      <c r="D77" s="230"/>
      <c r="E77" s="230"/>
      <c r="F77" s="230"/>
      <c r="G77" s="241">
        <f>Licitante!E61</f>
        <v>9.7222222222222224E-3</v>
      </c>
      <c r="H77" s="240">
        <f>G77*H73</f>
        <v>26.494173169191921</v>
      </c>
    </row>
    <row r="78" spans="1:8" ht="20.3" customHeight="1">
      <c r="A78" s="216" t="s">
        <v>73</v>
      </c>
      <c r="B78" s="230" t="s">
        <v>320</v>
      </c>
      <c r="C78" s="230"/>
      <c r="D78" s="230"/>
      <c r="E78" s="230"/>
      <c r="F78" s="230"/>
      <c r="G78" s="266">
        <f>Licitante!E62</f>
        <v>3.5777777777777778E-3</v>
      </c>
      <c r="H78" s="240">
        <f>G78*H73</f>
        <v>9.7498557262626271</v>
      </c>
    </row>
    <row r="79" spans="1:8" ht="20.3" customHeight="1">
      <c r="A79" s="216" t="s">
        <v>76</v>
      </c>
      <c r="B79" s="230" t="s">
        <v>321</v>
      </c>
      <c r="C79" s="230"/>
      <c r="D79" s="230"/>
      <c r="E79" s="230"/>
      <c r="F79" s="230"/>
      <c r="G79" s="267">
        <f>Licitante!E63</f>
        <v>0.04</v>
      </c>
      <c r="H79" s="240">
        <f>G79*H32</f>
        <v>97.881680000000003</v>
      </c>
    </row>
    <row r="80" spans="1:8" ht="20.3" customHeight="1">
      <c r="A80" s="17" t="s">
        <v>192</v>
      </c>
      <c r="B80" s="17"/>
      <c r="C80" s="17"/>
      <c r="D80" s="17"/>
      <c r="E80" s="17"/>
      <c r="F80" s="17"/>
      <c r="G80" s="17"/>
      <c r="H80" s="242">
        <f>SUM(H75:H79)</f>
        <v>146.21246105524548</v>
      </c>
    </row>
    <row r="81" spans="1:8" ht="6.65" customHeight="1">
      <c r="A81" s="225"/>
      <c r="B81" s="225"/>
      <c r="C81" s="225"/>
      <c r="D81" s="225"/>
      <c r="E81" s="225"/>
      <c r="F81" s="225"/>
      <c r="G81" s="225"/>
      <c r="H81" s="225"/>
    </row>
    <row r="82" spans="1:8" ht="20.3" customHeight="1">
      <c r="A82" s="326" t="s">
        <v>322</v>
      </c>
      <c r="B82" s="326"/>
      <c r="C82" s="326"/>
      <c r="D82" s="326"/>
      <c r="E82" s="326"/>
      <c r="F82" s="326"/>
      <c r="G82" s="326"/>
      <c r="H82" s="326"/>
    </row>
    <row r="83" spans="1:8" ht="20.3" customHeight="1">
      <c r="A83" s="326" t="s">
        <v>323</v>
      </c>
      <c r="B83" s="326"/>
      <c r="C83" s="326"/>
      <c r="D83" s="326"/>
      <c r="E83" s="326"/>
      <c r="F83" s="326"/>
      <c r="G83" s="326"/>
      <c r="H83" s="326"/>
    </row>
    <row r="84" spans="1:8" ht="17.600000000000001" customHeight="1">
      <c r="A84" s="17" t="s">
        <v>324</v>
      </c>
      <c r="B84" s="17"/>
      <c r="C84" s="17"/>
      <c r="D84" s="17"/>
      <c r="E84" s="17"/>
      <c r="F84" s="17"/>
      <c r="G84" s="17"/>
      <c r="H84" s="252">
        <f>H32+H70-(H54+H55+H61)+H80</f>
        <v>4072.9197188734274</v>
      </c>
    </row>
    <row r="85" spans="1:8" ht="24.65" customHeight="1">
      <c r="A85" s="237" t="s">
        <v>325</v>
      </c>
      <c r="B85" s="274" t="s">
        <v>326</v>
      </c>
      <c r="C85" s="274"/>
      <c r="D85" s="274"/>
      <c r="E85" s="274"/>
      <c r="F85" s="274"/>
      <c r="G85" s="237" t="s">
        <v>64</v>
      </c>
      <c r="H85" s="316" t="str">
        <f>Licitante!$B$2</f>
        <v>Guaratinguetá / SP</v>
      </c>
    </row>
    <row r="86" spans="1:8" ht="25.35" customHeight="1">
      <c r="A86" s="216" t="s">
        <v>65</v>
      </c>
      <c r="B86" s="256" t="s">
        <v>378</v>
      </c>
      <c r="C86" s="256"/>
      <c r="D86" s="256"/>
      <c r="E86" s="256"/>
      <c r="F86" s="256"/>
      <c r="G86" s="241">
        <f>Licitante!G67</f>
        <v>9.0909090909090912E-2</v>
      </c>
      <c r="H86" s="240">
        <f>G86*(H32+H51)</f>
        <v>313.62584575206614</v>
      </c>
    </row>
    <row r="87" spans="1:8" ht="20.3" customHeight="1">
      <c r="A87" s="216" t="s">
        <v>67</v>
      </c>
      <c r="B87" s="256" t="s">
        <v>328</v>
      </c>
      <c r="C87" s="256"/>
      <c r="D87" s="256"/>
      <c r="E87" s="256"/>
      <c r="F87" s="256"/>
      <c r="G87" s="241">
        <f>Licitante!G68</f>
        <v>2.7378507871321013E-3</v>
      </c>
      <c r="H87" s="240">
        <f>G87*H84</f>
        <v>11.151046458243471</v>
      </c>
    </row>
    <row r="88" spans="1:8" ht="21.05" customHeight="1">
      <c r="A88" s="216" t="s">
        <v>70</v>
      </c>
      <c r="B88" s="256" t="s">
        <v>86</v>
      </c>
      <c r="C88" s="256"/>
      <c r="D88" s="256"/>
      <c r="E88" s="256"/>
      <c r="F88" s="256"/>
      <c r="G88" s="241">
        <f>Licitante!G69</f>
        <v>2.0533880903490757E-4</v>
      </c>
      <c r="H88" s="240">
        <f>G88*H84</f>
        <v>0.83632848436826013</v>
      </c>
    </row>
    <row r="89" spans="1:8" ht="20.3" customHeight="1">
      <c r="A89" s="321" t="s">
        <v>73</v>
      </c>
      <c r="B89" s="277" t="s">
        <v>329</v>
      </c>
      <c r="C89" s="277"/>
      <c r="D89" s="277"/>
      <c r="E89" s="277"/>
      <c r="F89" s="277"/>
      <c r="G89" s="265">
        <f>Licitante!G70</f>
        <v>3.2032854209445585E-4</v>
      </c>
      <c r="H89" s="278">
        <f>G89*H84</f>
        <v>1.3046724356144859</v>
      </c>
    </row>
    <row r="90" spans="1:8" ht="20.3" customHeight="1">
      <c r="A90" s="216" t="s">
        <v>76</v>
      </c>
      <c r="B90" s="256" t="s">
        <v>330</v>
      </c>
      <c r="C90" s="256"/>
      <c r="D90" s="256"/>
      <c r="E90" s="256"/>
      <c r="F90" s="256"/>
      <c r="G90" s="241">
        <f>Licitante!G71</f>
        <v>6.570841889117043E-3</v>
      </c>
      <c r="H90" s="249">
        <f>G90*H32</f>
        <v>16.079126078028747</v>
      </c>
    </row>
    <row r="91" spans="1:8" ht="24.65" customHeight="1">
      <c r="A91" s="216" t="s">
        <v>89</v>
      </c>
      <c r="B91" s="256" t="s">
        <v>331</v>
      </c>
      <c r="C91" s="256"/>
      <c r="D91" s="256"/>
      <c r="E91" s="256"/>
      <c r="F91" s="256"/>
      <c r="G91" s="241">
        <f>Licitante!G72</f>
        <v>8.2135523613963042E-3</v>
      </c>
      <c r="H91" s="240">
        <f>G91*H84</f>
        <v>33.453139374730412</v>
      </c>
    </row>
    <row r="92" spans="1:8" ht="16.149999999999999" customHeight="1">
      <c r="A92" s="321" t="s">
        <v>91</v>
      </c>
      <c r="B92" s="277" t="s">
        <v>92</v>
      </c>
      <c r="C92" s="277"/>
      <c r="D92" s="277"/>
      <c r="E92" s="277"/>
      <c r="F92" s="277"/>
      <c r="G92" s="265">
        <v>0</v>
      </c>
      <c r="H92" s="278">
        <f>0</f>
        <v>0</v>
      </c>
    </row>
    <row r="93" spans="1:8" ht="20.3" customHeight="1">
      <c r="A93" s="17" t="s">
        <v>192</v>
      </c>
      <c r="B93" s="17"/>
      <c r="C93" s="17"/>
      <c r="D93" s="17"/>
      <c r="E93" s="17"/>
      <c r="F93" s="17"/>
      <c r="G93" s="279">
        <f>SUM(G86:G92)</f>
        <v>0.10895700329786571</v>
      </c>
      <c r="H93" s="242">
        <f>SUM(H86:H92)</f>
        <v>376.45015858305152</v>
      </c>
    </row>
    <row r="94" spans="1:8" ht="20.3" customHeight="1">
      <c r="A94" s="263" t="s">
        <v>332</v>
      </c>
      <c r="B94" s="263"/>
      <c r="C94" s="263"/>
      <c r="D94" s="263"/>
      <c r="E94" s="263"/>
      <c r="F94" s="263"/>
      <c r="G94" s="263"/>
      <c r="H94" s="263"/>
    </row>
    <row r="95" spans="1:8" ht="20.3" customHeight="1">
      <c r="A95" s="237" t="s">
        <v>333</v>
      </c>
      <c r="B95" s="17" t="s">
        <v>334</v>
      </c>
      <c r="C95" s="17"/>
      <c r="D95" s="17"/>
      <c r="E95" s="17"/>
      <c r="F95" s="17"/>
      <c r="G95" s="17"/>
      <c r="H95" s="316" t="str">
        <f>Licitante!$B$2</f>
        <v>Guaratinguetá / SP</v>
      </c>
    </row>
    <row r="96" spans="1:8" ht="20.3" customHeight="1">
      <c r="A96" s="216" t="s">
        <v>65</v>
      </c>
      <c r="B96" s="230" t="s">
        <v>335</v>
      </c>
      <c r="C96" s="230"/>
      <c r="D96" s="230"/>
      <c r="E96" s="230"/>
      <c r="F96" s="230"/>
      <c r="G96" s="230"/>
      <c r="H96" s="252">
        <v>0</v>
      </c>
    </row>
    <row r="97" spans="1:8" ht="20.3" customHeight="1">
      <c r="A97" s="17" t="s">
        <v>192</v>
      </c>
      <c r="B97" s="17"/>
      <c r="C97" s="17"/>
      <c r="D97" s="17"/>
      <c r="E97" s="17"/>
      <c r="F97" s="17"/>
      <c r="G97" s="17"/>
      <c r="H97" s="281">
        <f>SUM(H94:H96)</f>
        <v>0</v>
      </c>
    </row>
    <row r="98" spans="1:8" ht="6.05" customHeight="1">
      <c r="A98" s="225"/>
      <c r="B98" s="225"/>
      <c r="C98" s="225"/>
      <c r="D98" s="225"/>
      <c r="E98" s="225"/>
      <c r="F98" s="225"/>
      <c r="G98" s="225"/>
      <c r="H98" s="225"/>
    </row>
    <row r="99" spans="1:8" ht="20.3" customHeight="1">
      <c r="A99" s="263" t="s">
        <v>336</v>
      </c>
      <c r="B99" s="263"/>
      <c r="C99" s="263"/>
      <c r="D99" s="263"/>
      <c r="E99" s="263"/>
      <c r="F99" s="263"/>
      <c r="G99" s="263"/>
      <c r="H99" s="263"/>
    </row>
    <row r="100" spans="1:8" ht="20.3" customHeight="1">
      <c r="A100" s="237">
        <v>4</v>
      </c>
      <c r="B100" s="17" t="s">
        <v>337</v>
      </c>
      <c r="C100" s="17"/>
      <c r="D100" s="17"/>
      <c r="E100" s="17"/>
      <c r="F100" s="17"/>
      <c r="G100" s="17"/>
      <c r="H100" s="316" t="str">
        <f>Licitante!$B$2</f>
        <v>Guaratinguetá / SP</v>
      </c>
    </row>
    <row r="101" spans="1:8" ht="20.3" customHeight="1">
      <c r="A101" s="216" t="s">
        <v>325</v>
      </c>
      <c r="B101" s="230" t="s">
        <v>326</v>
      </c>
      <c r="C101" s="230"/>
      <c r="D101" s="230"/>
      <c r="E101" s="230"/>
      <c r="F101" s="230"/>
      <c r="G101" s="230"/>
      <c r="H101" s="249">
        <f>H93</f>
        <v>376.45015858305152</v>
      </c>
    </row>
    <row r="102" spans="1:8" ht="20.3" customHeight="1">
      <c r="A102" s="216" t="s">
        <v>333</v>
      </c>
      <c r="B102" s="230" t="s">
        <v>334</v>
      </c>
      <c r="C102" s="230"/>
      <c r="D102" s="230"/>
      <c r="E102" s="230"/>
      <c r="F102" s="230"/>
      <c r="G102" s="230"/>
      <c r="H102" s="252">
        <f>H97</f>
        <v>0</v>
      </c>
    </row>
    <row r="103" spans="1:8" ht="20.3" customHeight="1">
      <c r="A103" s="17" t="s">
        <v>192</v>
      </c>
      <c r="B103" s="17"/>
      <c r="C103" s="17"/>
      <c r="D103" s="17"/>
      <c r="E103" s="17"/>
      <c r="F103" s="17"/>
      <c r="G103" s="17"/>
      <c r="H103" s="327">
        <f>SUM(H101:H102)</f>
        <v>376.45015858305152</v>
      </c>
    </row>
    <row r="104" spans="1:8" ht="6.65" customHeight="1">
      <c r="A104" s="225"/>
      <c r="B104" s="225"/>
      <c r="C104" s="225"/>
      <c r="D104" s="225"/>
      <c r="E104" s="225"/>
      <c r="F104" s="225"/>
      <c r="G104" s="225"/>
      <c r="H104" s="225"/>
    </row>
    <row r="105" spans="1:8" ht="28.4" customHeight="1">
      <c r="A105" s="263" t="s">
        <v>338</v>
      </c>
      <c r="B105" s="263"/>
      <c r="C105" s="263"/>
      <c r="D105" s="263"/>
      <c r="E105" s="263"/>
      <c r="F105" s="263"/>
      <c r="G105" s="263"/>
      <c r="H105" s="263"/>
    </row>
    <row r="106" spans="1:8" ht="22.35" customHeight="1">
      <c r="A106" s="237">
        <v>5</v>
      </c>
      <c r="B106" s="17" t="s">
        <v>339</v>
      </c>
      <c r="C106" s="17"/>
      <c r="D106" s="17"/>
      <c r="E106" s="17"/>
      <c r="F106" s="17"/>
      <c r="G106" s="17"/>
      <c r="H106" s="316" t="str">
        <f>Licitante!$B$2</f>
        <v>Guaratinguetá / SP</v>
      </c>
    </row>
    <row r="107" spans="1:8" ht="20.45" customHeight="1">
      <c r="A107" s="216" t="s">
        <v>65</v>
      </c>
      <c r="B107" s="230" t="s">
        <v>340</v>
      </c>
      <c r="C107" s="230"/>
      <c r="D107" s="230"/>
      <c r="E107" s="230"/>
      <c r="F107" s="230"/>
      <c r="G107" s="230"/>
      <c r="H107" s="249">
        <f>Licitante!H55</f>
        <v>70.222083333333316</v>
      </c>
    </row>
    <row r="108" spans="1:8" ht="18" customHeight="1">
      <c r="A108" s="216" t="s">
        <v>67</v>
      </c>
      <c r="B108" s="230" t="s">
        <v>341</v>
      </c>
      <c r="C108" s="230"/>
      <c r="D108" s="230"/>
      <c r="E108" s="230"/>
      <c r="F108" s="230"/>
      <c r="G108" s="230"/>
      <c r="H108" s="283">
        <f>H114*Licitante!H127</f>
        <v>596.27417342109027</v>
      </c>
    </row>
    <row r="109" spans="1:8" ht="17.600000000000001" customHeight="1">
      <c r="A109" s="216" t="s">
        <v>70</v>
      </c>
      <c r="B109" s="230" t="s">
        <v>92</v>
      </c>
      <c r="C109" s="230"/>
      <c r="D109" s="230"/>
      <c r="E109" s="230"/>
      <c r="F109" s="230"/>
      <c r="G109" s="230"/>
      <c r="H109" s="283">
        <v>0</v>
      </c>
    </row>
    <row r="110" spans="1:8" ht="28.4" customHeight="1">
      <c r="A110" s="216" t="s">
        <v>73</v>
      </c>
      <c r="B110" s="230" t="s">
        <v>92</v>
      </c>
      <c r="C110" s="230"/>
      <c r="D110" s="230"/>
      <c r="E110" s="230"/>
      <c r="F110" s="230"/>
      <c r="G110" s="230"/>
      <c r="H110" s="283">
        <v>0</v>
      </c>
    </row>
    <row r="111" spans="1:8" ht="15.7" customHeight="1">
      <c r="A111" s="17" t="s">
        <v>192</v>
      </c>
      <c r="B111" s="17"/>
      <c r="C111" s="17"/>
      <c r="D111" s="17"/>
      <c r="E111" s="17"/>
      <c r="F111" s="17"/>
      <c r="G111" s="17"/>
      <c r="H111" s="251">
        <f>SUM(H107:H110)</f>
        <v>666.4962567544236</v>
      </c>
    </row>
    <row r="112" spans="1:8" ht="8.25" customHeight="1">
      <c r="A112" s="225"/>
      <c r="B112" s="225"/>
      <c r="C112" s="225"/>
      <c r="D112" s="225"/>
      <c r="E112" s="225"/>
      <c r="F112" s="225"/>
      <c r="G112" s="225"/>
      <c r="H112" s="225"/>
    </row>
    <row r="113" spans="1:8" ht="28.4" customHeight="1">
      <c r="A113" s="17" t="s">
        <v>342</v>
      </c>
      <c r="B113" s="17"/>
      <c r="C113" s="17"/>
      <c r="D113" s="17"/>
      <c r="E113" s="17"/>
      <c r="F113" s="17"/>
      <c r="G113" s="17"/>
      <c r="H113" s="316" t="str">
        <f>Licitante!$B$2</f>
        <v>Guaratinguetá / SP</v>
      </c>
    </row>
    <row r="114" spans="1:8" ht="25.05" customHeight="1">
      <c r="A114" s="17" t="s">
        <v>192</v>
      </c>
      <c r="B114" s="17"/>
      <c r="C114" s="17"/>
      <c r="D114" s="17"/>
      <c r="E114" s="17"/>
      <c r="F114" s="17"/>
      <c r="G114" s="17"/>
      <c r="H114" s="327">
        <f>(H32+H70+H80+H103+H107+H109+H110)/(1-Licitante!H127)</f>
        <v>5962.741734210902</v>
      </c>
    </row>
    <row r="115" spans="1:8" ht="8.25" customHeight="1">
      <c r="A115" s="225"/>
      <c r="B115" s="225"/>
      <c r="C115" s="225"/>
      <c r="D115" s="225"/>
      <c r="E115" s="225"/>
      <c r="F115" s="225"/>
      <c r="G115" s="225"/>
      <c r="H115" s="225"/>
    </row>
    <row r="116" spans="1:8" ht="20.3" customHeight="1">
      <c r="A116" s="328" t="s">
        <v>343</v>
      </c>
      <c r="B116" s="324"/>
      <c r="C116" s="324"/>
      <c r="D116" s="324"/>
      <c r="E116" s="324"/>
      <c r="F116" s="324"/>
      <c r="G116" s="324"/>
      <c r="H116" s="325"/>
    </row>
    <row r="117" spans="1:8" ht="20.3" customHeight="1">
      <c r="A117" s="237">
        <v>6</v>
      </c>
      <c r="B117" s="17" t="s">
        <v>344</v>
      </c>
      <c r="C117" s="17"/>
      <c r="D117" s="17"/>
      <c r="E117" s="17"/>
      <c r="F117" s="17"/>
      <c r="G117" s="237" t="s">
        <v>64</v>
      </c>
      <c r="H117" s="316" t="str">
        <f>Licitante!$B$2</f>
        <v>Guaratinguetá / SP</v>
      </c>
    </row>
    <row r="118" spans="1:8" ht="20.3" customHeight="1">
      <c r="A118" s="216" t="s">
        <v>65</v>
      </c>
      <c r="B118" s="230" t="s">
        <v>345</v>
      </c>
      <c r="C118" s="230"/>
      <c r="D118" s="230"/>
      <c r="E118" s="230"/>
      <c r="F118" s="230"/>
      <c r="G118" s="241">
        <f>Licitante!D76</f>
        <v>0.05</v>
      </c>
      <c r="H118" s="249">
        <f>G118*H114</f>
        <v>298.13708671054513</v>
      </c>
    </row>
    <row r="119" spans="1:8" ht="20.3" customHeight="1">
      <c r="A119" s="216" t="s">
        <v>67</v>
      </c>
      <c r="B119" s="230" t="s">
        <v>96</v>
      </c>
      <c r="C119" s="230"/>
      <c r="D119" s="230"/>
      <c r="E119" s="230"/>
      <c r="F119" s="230"/>
      <c r="G119" s="241">
        <f>Licitante!D77</f>
        <v>0.1</v>
      </c>
      <c r="H119" s="240">
        <f>G119*(H114+H118)</f>
        <v>626.08788209214481</v>
      </c>
    </row>
    <row r="120" spans="1:8" ht="15" customHeight="1">
      <c r="A120" s="222" t="s">
        <v>70</v>
      </c>
      <c r="B120" s="230" t="s">
        <v>99</v>
      </c>
      <c r="C120" s="230"/>
      <c r="D120" s="230"/>
      <c r="E120" s="230"/>
      <c r="F120" s="230"/>
      <c r="G120" s="230"/>
      <c r="H120" s="284">
        <f>H129*F128</f>
        <v>961.42840013580053</v>
      </c>
    </row>
    <row r="121" spans="1:8" ht="20.3" customHeight="1">
      <c r="A121" s="222"/>
      <c r="B121" s="230" t="s">
        <v>346</v>
      </c>
      <c r="C121" s="230"/>
      <c r="D121" s="230"/>
      <c r="E121" s="222" t="s">
        <v>347</v>
      </c>
      <c r="F121" s="222"/>
      <c r="G121" s="222"/>
      <c r="H121" s="284"/>
    </row>
    <row r="122" spans="1:8" ht="19.45" customHeight="1">
      <c r="A122" s="222"/>
      <c r="B122" s="230" t="s">
        <v>348</v>
      </c>
      <c r="C122" s="230"/>
      <c r="D122" s="230"/>
      <c r="E122" s="241">
        <f>Licitante!D80</f>
        <v>1.6500000000000001E-2</v>
      </c>
      <c r="F122" s="254">
        <f>SUM(E122:E124)</f>
        <v>9.2499999999999999E-2</v>
      </c>
      <c r="G122" s="254"/>
      <c r="H122" s="284"/>
    </row>
    <row r="123" spans="1:8" ht="18.75" customHeight="1">
      <c r="A123" s="222"/>
      <c r="B123" s="230" t="s">
        <v>349</v>
      </c>
      <c r="C123" s="230"/>
      <c r="D123" s="230"/>
      <c r="E123" s="285">
        <f>Licitante!D81</f>
        <v>7.5999999999999998E-2</v>
      </c>
      <c r="F123" s="254"/>
      <c r="G123" s="254"/>
      <c r="H123" s="284"/>
    </row>
    <row r="124" spans="1:8" ht="18.75" customHeight="1">
      <c r="A124" s="222"/>
      <c r="B124" s="230" t="s">
        <v>350</v>
      </c>
      <c r="C124" s="230"/>
      <c r="D124" s="230"/>
      <c r="E124" s="241"/>
      <c r="F124" s="254"/>
      <c r="G124" s="254"/>
      <c r="H124" s="284"/>
    </row>
    <row r="125" spans="1:8" ht="18.75" customHeight="1">
      <c r="A125" s="222"/>
      <c r="B125" s="230" t="s">
        <v>351</v>
      </c>
      <c r="C125" s="230"/>
      <c r="D125" s="230"/>
      <c r="E125" s="230"/>
      <c r="F125" s="230"/>
      <c r="G125" s="230"/>
      <c r="H125" s="284"/>
    </row>
    <row r="126" spans="1:8" ht="15" customHeight="1">
      <c r="A126" s="222"/>
      <c r="B126" s="230" t="s">
        <v>352</v>
      </c>
      <c r="C126" s="230"/>
      <c r="D126" s="230"/>
      <c r="E126" s="241"/>
      <c r="F126" s="222" t="s">
        <v>353</v>
      </c>
      <c r="G126" s="222"/>
      <c r="H126" s="284"/>
    </row>
    <row r="127" spans="1:8" ht="15" customHeight="1">
      <c r="A127" s="222"/>
      <c r="B127" s="230" t="s">
        <v>354</v>
      </c>
      <c r="C127" s="230"/>
      <c r="D127" s="230"/>
      <c r="E127" s="230"/>
      <c r="F127" s="222"/>
      <c r="G127" s="222"/>
      <c r="H127" s="284"/>
    </row>
    <row r="128" spans="1:8" ht="20.3" customHeight="1">
      <c r="A128" s="222"/>
      <c r="B128" s="253" t="s">
        <v>371</v>
      </c>
      <c r="C128" s="286" t="str">
        <f>H7</f>
        <v>Guaratinguetá / SP</v>
      </c>
      <c r="D128" s="287"/>
      <c r="E128" s="288">
        <f>Licitante!D83</f>
        <v>0.03</v>
      </c>
      <c r="F128" s="254">
        <f>E128+F122</f>
        <v>0.1225</v>
      </c>
      <c r="G128" s="254"/>
      <c r="H128" s="284"/>
    </row>
    <row r="129" spans="1:8" ht="28.4" customHeight="1">
      <c r="A129" s="17" t="s">
        <v>192</v>
      </c>
      <c r="B129" s="17"/>
      <c r="C129" s="17"/>
      <c r="D129" s="17"/>
      <c r="E129" s="17"/>
      <c r="F129" s="17"/>
      <c r="G129" s="17"/>
      <c r="H129" s="251">
        <f>(H114+H118+H119)/(1-F128)</f>
        <v>7848.3951031493925</v>
      </c>
    </row>
    <row r="130" spans="1:8" ht="9.25" customHeight="1">
      <c r="A130" s="225"/>
      <c r="B130" s="225"/>
      <c r="C130" s="225"/>
      <c r="D130" s="225"/>
      <c r="E130" s="225"/>
      <c r="F130" s="225"/>
      <c r="G130" s="225"/>
      <c r="H130" s="225"/>
    </row>
    <row r="131" spans="1:8" ht="34.15" customHeight="1">
      <c r="A131" s="323" t="s">
        <v>355</v>
      </c>
      <c r="B131" s="324"/>
      <c r="C131" s="324"/>
      <c r="D131" s="324"/>
      <c r="E131" s="324"/>
      <c r="F131" s="324"/>
      <c r="G131" s="324"/>
      <c r="H131" s="325"/>
    </row>
    <row r="132" spans="1:8" ht="20.3" customHeight="1">
      <c r="A132" s="216"/>
      <c r="B132" s="17" t="s">
        <v>356</v>
      </c>
      <c r="C132" s="17"/>
      <c r="D132" s="17"/>
      <c r="E132" s="17"/>
      <c r="F132" s="17"/>
      <c r="G132" s="17"/>
      <c r="H132" s="316" t="str">
        <f>Licitante!$B$2</f>
        <v>Guaratinguetá / SP</v>
      </c>
    </row>
    <row r="133" spans="1:8" ht="31.7" customHeight="1">
      <c r="A133" s="237" t="s">
        <v>65</v>
      </c>
      <c r="B133" s="230" t="s">
        <v>357</v>
      </c>
      <c r="C133" s="230"/>
      <c r="D133" s="230"/>
      <c r="E133" s="230"/>
      <c r="F133" s="230"/>
      <c r="G133" s="230"/>
      <c r="H133" s="240">
        <f>H32</f>
        <v>2447.0419999999999</v>
      </c>
    </row>
    <row r="134" spans="1:8" ht="31" customHeight="1">
      <c r="A134" s="237" t="s">
        <v>67</v>
      </c>
      <c r="B134" s="230" t="s">
        <v>279</v>
      </c>
      <c r="C134" s="230"/>
      <c r="D134" s="230"/>
      <c r="E134" s="230"/>
      <c r="F134" s="230"/>
      <c r="G134" s="230"/>
      <c r="H134" s="249">
        <f>H70</f>
        <v>2326.5408578181818</v>
      </c>
    </row>
    <row r="135" spans="1:8" ht="34.85" customHeight="1">
      <c r="A135" s="237" t="s">
        <v>70</v>
      </c>
      <c r="B135" s="230" t="s">
        <v>358</v>
      </c>
      <c r="C135" s="230"/>
      <c r="D135" s="230"/>
      <c r="E135" s="230"/>
      <c r="F135" s="230"/>
      <c r="G135" s="230"/>
      <c r="H135" s="249">
        <f>H80</f>
        <v>146.21246105524548</v>
      </c>
    </row>
    <row r="136" spans="1:8" ht="38.299999999999997" customHeight="1">
      <c r="A136" s="237" t="s">
        <v>73</v>
      </c>
      <c r="B136" s="230" t="s">
        <v>322</v>
      </c>
      <c r="C136" s="230"/>
      <c r="D136" s="230"/>
      <c r="E136" s="230"/>
      <c r="F136" s="230"/>
      <c r="G136" s="230"/>
      <c r="H136" s="249">
        <f>H103</f>
        <v>376.45015858305152</v>
      </c>
    </row>
    <row r="137" spans="1:8" ht="29.95" customHeight="1">
      <c r="A137" s="237" t="s">
        <v>76</v>
      </c>
      <c r="B137" s="230" t="s">
        <v>338</v>
      </c>
      <c r="C137" s="230"/>
      <c r="D137" s="230"/>
      <c r="E137" s="230"/>
      <c r="F137" s="230"/>
      <c r="G137" s="230"/>
      <c r="H137" s="249">
        <f>H111</f>
        <v>666.4962567544236</v>
      </c>
    </row>
    <row r="138" spans="1:8" ht="28.4" customHeight="1">
      <c r="A138" s="17" t="s">
        <v>359</v>
      </c>
      <c r="B138" s="17"/>
      <c r="C138" s="17"/>
      <c r="D138" s="17"/>
      <c r="E138" s="17"/>
      <c r="F138" s="17"/>
      <c r="G138" s="17"/>
      <c r="H138" s="240">
        <f>SUM(H133:H137)</f>
        <v>5962.741734210902</v>
      </c>
    </row>
    <row r="139" spans="1:8" ht="31" customHeight="1">
      <c r="A139" s="237" t="s">
        <v>89</v>
      </c>
      <c r="B139" s="230" t="s">
        <v>360</v>
      </c>
      <c r="C139" s="230"/>
      <c r="D139" s="230"/>
      <c r="E139" s="230"/>
      <c r="F139" s="230"/>
      <c r="G139" s="230"/>
      <c r="H139" s="249">
        <f>H129</f>
        <v>7848.3951031493925</v>
      </c>
    </row>
    <row r="140" spans="1:8" ht="27.4" customHeight="1">
      <c r="A140" s="17" t="s">
        <v>361</v>
      </c>
      <c r="B140" s="17"/>
      <c r="C140" s="17"/>
      <c r="D140" s="17"/>
      <c r="E140" s="17"/>
      <c r="F140" s="17"/>
      <c r="G140" s="17"/>
      <c r="H140" s="322">
        <f>ROUND((H114+H118+H119)/(1-(F128)),2)</f>
        <v>7848.4</v>
      </c>
    </row>
  </sheetData>
  <mergeCells count="148">
    <mergeCell ref="B137:G137"/>
    <mergeCell ref="A138:G138"/>
    <mergeCell ref="B139:G139"/>
    <mergeCell ref="A140:G140"/>
    <mergeCell ref="A130:H130"/>
    <mergeCell ref="B132:G132"/>
    <mergeCell ref="B133:G133"/>
    <mergeCell ref="B134:G134"/>
    <mergeCell ref="B135:G135"/>
    <mergeCell ref="B136:G136"/>
    <mergeCell ref="B126:D126"/>
    <mergeCell ref="F126:G127"/>
    <mergeCell ref="B127:E127"/>
    <mergeCell ref="C128:D128"/>
    <mergeCell ref="F128:G128"/>
    <mergeCell ref="A129:G129"/>
    <mergeCell ref="A120:A128"/>
    <mergeCell ref="B120:G120"/>
    <mergeCell ref="H120:H128"/>
    <mergeCell ref="B121:D121"/>
    <mergeCell ref="E121:G121"/>
    <mergeCell ref="B122:D122"/>
    <mergeCell ref="F122:G124"/>
    <mergeCell ref="B123:D123"/>
    <mergeCell ref="B124:D124"/>
    <mergeCell ref="B125:G125"/>
    <mergeCell ref="A113:G113"/>
    <mergeCell ref="A114:G114"/>
    <mergeCell ref="A115:H115"/>
    <mergeCell ref="B117:F117"/>
    <mergeCell ref="B118:F118"/>
    <mergeCell ref="B119:F119"/>
    <mergeCell ref="B107:G107"/>
    <mergeCell ref="B108:G108"/>
    <mergeCell ref="B109:G109"/>
    <mergeCell ref="B110:G110"/>
    <mergeCell ref="A111:G111"/>
    <mergeCell ref="A112:H112"/>
    <mergeCell ref="B101:G101"/>
    <mergeCell ref="B102:G102"/>
    <mergeCell ref="A103:G103"/>
    <mergeCell ref="A104:H104"/>
    <mergeCell ref="A105:H105"/>
    <mergeCell ref="B106:G106"/>
    <mergeCell ref="B95:G95"/>
    <mergeCell ref="B96:G96"/>
    <mergeCell ref="A97:G97"/>
    <mergeCell ref="A98:H98"/>
    <mergeCell ref="A99:H99"/>
    <mergeCell ref="B100:G100"/>
    <mergeCell ref="B89:F89"/>
    <mergeCell ref="B90:F90"/>
    <mergeCell ref="B91:F91"/>
    <mergeCell ref="B92:F92"/>
    <mergeCell ref="A93:F93"/>
    <mergeCell ref="A94:H94"/>
    <mergeCell ref="A83:H83"/>
    <mergeCell ref="A84:G84"/>
    <mergeCell ref="B85:F85"/>
    <mergeCell ref="B86:F86"/>
    <mergeCell ref="B87:F87"/>
    <mergeCell ref="B88:F88"/>
    <mergeCell ref="B77:F77"/>
    <mergeCell ref="B78:F78"/>
    <mergeCell ref="B79:F79"/>
    <mergeCell ref="A80:G80"/>
    <mergeCell ref="A81:H81"/>
    <mergeCell ref="A82:H82"/>
    <mergeCell ref="A71:H71"/>
    <mergeCell ref="A72:H72"/>
    <mergeCell ref="A73:G73"/>
    <mergeCell ref="B74:G74"/>
    <mergeCell ref="B75:F75"/>
    <mergeCell ref="B76:F76"/>
    <mergeCell ref="A65:H65"/>
    <mergeCell ref="B66:G66"/>
    <mergeCell ref="B67:F67"/>
    <mergeCell ref="B68:F68"/>
    <mergeCell ref="B69:G69"/>
    <mergeCell ref="A70:G70"/>
    <mergeCell ref="B59:G59"/>
    <mergeCell ref="B60:G60"/>
    <mergeCell ref="B61:G61"/>
    <mergeCell ref="B62:G62"/>
    <mergeCell ref="A63:G63"/>
    <mergeCell ref="A64:H64"/>
    <mergeCell ref="B53:G53"/>
    <mergeCell ref="B54:G54"/>
    <mergeCell ref="B55:G55"/>
    <mergeCell ref="B56:G56"/>
    <mergeCell ref="B57:G57"/>
    <mergeCell ref="B58:G58"/>
    <mergeCell ref="B47:F47"/>
    <mergeCell ref="B48:F48"/>
    <mergeCell ref="B49:F49"/>
    <mergeCell ref="B50:F50"/>
    <mergeCell ref="A51:F51"/>
    <mergeCell ref="A52:H52"/>
    <mergeCell ref="A41:G41"/>
    <mergeCell ref="B42:F42"/>
    <mergeCell ref="B43:F43"/>
    <mergeCell ref="B44:F44"/>
    <mergeCell ref="C45:D45"/>
    <mergeCell ref="B46:F46"/>
    <mergeCell ref="A34:H34"/>
    <mergeCell ref="B36:F36"/>
    <mergeCell ref="B37:F37"/>
    <mergeCell ref="B38:F38"/>
    <mergeCell ref="A39:F39"/>
    <mergeCell ref="A40:H40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" right="0" top="0.39370078740157477" bottom="0.39370078740157477" header="0" footer="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E0445-5610-4960-AF14-15839ADA9C7D}">
  <sheetPr codeName="Planilha8"/>
  <dimension ref="A1:O96"/>
  <sheetViews>
    <sheetView topLeftCell="A17" zoomScale="60" zoomScaleNormal="60" workbookViewId="0">
      <selection activeCell="B56" sqref="B56"/>
    </sheetView>
  </sheetViews>
  <sheetFormatPr defaultRowHeight="13.85"/>
  <cols>
    <col min="1" max="1" width="45" customWidth="1"/>
    <col min="2" max="2" width="26" customWidth="1"/>
    <col min="3" max="3" width="42.6328125" customWidth="1"/>
    <col min="4" max="4" width="19.90625" customWidth="1"/>
    <col min="5" max="5" width="24" customWidth="1"/>
    <col min="6" max="6" width="25" customWidth="1"/>
    <col min="7" max="7" width="28.08984375" customWidth="1"/>
    <col min="8" max="8" width="15.36328125" customWidth="1"/>
    <col min="9" max="9" width="15.90625" customWidth="1"/>
    <col min="10" max="10" width="16.26953125" customWidth="1"/>
  </cols>
  <sheetData>
    <row r="1" spans="1:10" ht="43.35" customHeight="1">
      <c r="A1" s="329" t="s">
        <v>379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>
      <c r="A2" s="5"/>
      <c r="B2" s="5"/>
      <c r="C2" s="5"/>
      <c r="D2" s="5"/>
      <c r="E2" s="5"/>
      <c r="F2" s="5"/>
      <c r="G2" s="5"/>
    </row>
    <row r="3" spans="1:10" ht="37.299999999999997" customHeight="1">
      <c r="A3" s="330" t="s">
        <v>380</v>
      </c>
      <c r="B3" s="330"/>
      <c r="C3" s="330"/>
      <c r="D3" s="330"/>
      <c r="E3" s="330"/>
      <c r="F3" s="330"/>
      <c r="G3" s="330"/>
      <c r="H3" s="330"/>
      <c r="I3" s="330"/>
      <c r="J3" s="330"/>
    </row>
    <row r="4" spans="1:10">
      <c r="A4" s="5"/>
      <c r="B4" s="5"/>
      <c r="C4" s="5"/>
      <c r="D4" s="5"/>
      <c r="E4" s="5"/>
      <c r="F4" s="5"/>
      <c r="G4" s="5"/>
    </row>
    <row r="5" spans="1:10" ht="32.4" customHeight="1">
      <c r="A5" s="331" t="s">
        <v>381</v>
      </c>
      <c r="B5" s="332"/>
      <c r="C5" s="332"/>
      <c r="D5" s="332"/>
      <c r="E5" s="333" t="str">
        <f>Licitante!B3</f>
        <v>ARF Guaratinguetá</v>
      </c>
      <c r="F5" s="333"/>
      <c r="G5" s="334"/>
      <c r="H5" s="151" t="s">
        <v>382</v>
      </c>
      <c r="I5" s="159" t="s">
        <v>192</v>
      </c>
      <c r="J5" s="335" t="s">
        <v>383</v>
      </c>
    </row>
    <row r="6" spans="1:10" ht="34.15" customHeight="1">
      <c r="A6" s="329" t="s">
        <v>384</v>
      </c>
      <c r="B6" s="329"/>
      <c r="C6" s="336" t="s">
        <v>385</v>
      </c>
      <c r="D6" s="337" t="s">
        <v>262</v>
      </c>
      <c r="E6" s="337"/>
      <c r="F6" s="336" t="s">
        <v>386</v>
      </c>
      <c r="G6" s="336" t="s">
        <v>387</v>
      </c>
      <c r="H6" s="151"/>
      <c r="I6" s="159"/>
      <c r="J6" s="335"/>
    </row>
    <row r="7" spans="1:10" ht="34.85" customHeight="1">
      <c r="A7" s="338" t="s">
        <v>216</v>
      </c>
      <c r="B7" s="338"/>
      <c r="C7" s="339">
        <v>1200</v>
      </c>
      <c r="D7" s="338" t="s">
        <v>259</v>
      </c>
      <c r="E7" s="338"/>
      <c r="F7" s="340">
        <f>'Servente 40h'!H142</f>
        <v>6021.32</v>
      </c>
      <c r="G7" s="341">
        <f>ROUND((1/C7)*F7,7)</f>
        <v>5.0177667000000001</v>
      </c>
      <c r="H7" s="342">
        <f>IF('CALCULO SIMPLES'!B37 = "m2",'Áreas a serem limpas'!B4,0)</f>
        <v>0</v>
      </c>
      <c r="I7" s="343">
        <f>G7*H7</f>
        <v>0</v>
      </c>
      <c r="J7" s="335"/>
    </row>
    <row r="8" spans="1:10" ht="34.85" customHeight="1">
      <c r="A8" s="338" t="s">
        <v>217</v>
      </c>
      <c r="B8" s="338"/>
      <c r="C8" s="339">
        <v>1200</v>
      </c>
      <c r="D8" s="338" t="s">
        <v>259</v>
      </c>
      <c r="E8" s="338"/>
      <c r="F8" s="340">
        <f>'Servente 40h'!H142</f>
        <v>6021.32</v>
      </c>
      <c r="G8" s="341">
        <f>ROUND((1/C8)*F8,7)</f>
        <v>5.0177667000000001</v>
      </c>
      <c r="H8" s="342">
        <f>IF('CALCULO SIMPLES'!B37 = "m2",'Áreas a serem limpas'!B5,0)</f>
        <v>0</v>
      </c>
      <c r="I8" s="343">
        <f t="shared" ref="I8:I14" si="0">G8*H8</f>
        <v>0</v>
      </c>
      <c r="J8" s="335"/>
    </row>
    <row r="9" spans="1:10" ht="34.85" customHeight="1">
      <c r="A9" s="338" t="s">
        <v>388</v>
      </c>
      <c r="B9" s="338"/>
      <c r="C9" s="339">
        <v>450</v>
      </c>
      <c r="D9" s="338" t="s">
        <v>259</v>
      </c>
      <c r="E9" s="338"/>
      <c r="F9" s="340">
        <f>'Servente 40h'!H142</f>
        <v>6021.32</v>
      </c>
      <c r="G9" s="341">
        <f>ROUND((1/C9)*F9,7)</f>
        <v>13.380711099999999</v>
      </c>
      <c r="H9" s="342">
        <f>IF('CALCULO SIMPLES'!B37 = "m2",'Áreas a serem limpas'!B6,0)</f>
        <v>0</v>
      </c>
      <c r="I9" s="343">
        <f t="shared" si="0"/>
        <v>0</v>
      </c>
      <c r="J9" s="335"/>
    </row>
    <row r="10" spans="1:10" ht="34.85" customHeight="1">
      <c r="A10" s="338" t="s">
        <v>219</v>
      </c>
      <c r="B10" s="338"/>
      <c r="C10" s="339">
        <v>2500</v>
      </c>
      <c r="D10" s="338" t="s">
        <v>259</v>
      </c>
      <c r="E10" s="338"/>
      <c r="F10" s="340">
        <f>'Servente 40h'!H142</f>
        <v>6021.32</v>
      </c>
      <c r="G10" s="341">
        <f t="shared" ref="G10:G11" si="1">ROUND((1/C10)*F10,7)</f>
        <v>2.408528</v>
      </c>
      <c r="H10" s="342">
        <f>IF('CALCULO SIMPLES'!B37 = "m2",'Áreas a serem limpas'!B7,0)</f>
        <v>0</v>
      </c>
      <c r="I10" s="343">
        <f t="shared" si="0"/>
        <v>0</v>
      </c>
      <c r="J10" s="335"/>
    </row>
    <row r="11" spans="1:10" ht="34.85" customHeight="1">
      <c r="A11" s="338" t="s">
        <v>220</v>
      </c>
      <c r="B11" s="338"/>
      <c r="C11" s="339">
        <v>1800</v>
      </c>
      <c r="D11" s="338" t="s">
        <v>259</v>
      </c>
      <c r="E11" s="338"/>
      <c r="F11" s="340">
        <f>'Servente 40h'!H142</f>
        <v>6021.32</v>
      </c>
      <c r="G11" s="341">
        <f t="shared" si="1"/>
        <v>3.3451778000000001</v>
      </c>
      <c r="H11" s="342">
        <f>IF('CALCULO SIMPLES'!B37 = "m2",'Áreas a serem limpas'!B8,0)</f>
        <v>0</v>
      </c>
      <c r="I11" s="343">
        <f t="shared" si="0"/>
        <v>0</v>
      </c>
      <c r="J11" s="335"/>
    </row>
    <row r="12" spans="1:10" ht="37.299999999999997" customHeight="1">
      <c r="A12" s="338" t="s">
        <v>221</v>
      </c>
      <c r="B12" s="338"/>
      <c r="C12" s="339">
        <v>1500</v>
      </c>
      <c r="D12" s="338" t="s">
        <v>259</v>
      </c>
      <c r="E12" s="338"/>
      <c r="F12" s="340">
        <f>'Servente 40h'!H142</f>
        <v>6021.32</v>
      </c>
      <c r="G12" s="341">
        <f>ROUND((1/C12)*F12,7)</f>
        <v>4.0142132999999998</v>
      </c>
      <c r="H12" s="342">
        <f>IF('CALCULO SIMPLES'!B37 = "m2",'Áreas a serem limpas'!B9,0)</f>
        <v>0</v>
      </c>
      <c r="I12" s="343">
        <f t="shared" si="0"/>
        <v>0</v>
      </c>
      <c r="J12" s="335"/>
    </row>
    <row r="13" spans="1:10" ht="37.299999999999997" customHeight="1">
      <c r="A13" s="344" t="s">
        <v>389</v>
      </c>
      <c r="B13" s="344"/>
      <c r="C13" s="344"/>
      <c r="D13" s="344"/>
      <c r="E13" s="344"/>
      <c r="F13" s="344"/>
      <c r="G13" s="344"/>
      <c r="H13" s="344"/>
      <c r="I13" s="343">
        <f>IF('CALCULO SIMPLES'!B37="m2",'Servente 40h'!H144,0)</f>
        <v>0</v>
      </c>
      <c r="J13" s="335"/>
    </row>
    <row r="14" spans="1:10" ht="29.1" customHeight="1">
      <c r="A14" s="338" t="s">
        <v>390</v>
      </c>
      <c r="B14" s="338"/>
      <c r="C14" s="339">
        <f>'Áreas a serem limpas'!C10</f>
        <v>300</v>
      </c>
      <c r="D14" s="338" t="s">
        <v>259</v>
      </c>
      <c r="E14" s="338"/>
      <c r="F14" s="340">
        <f>'Servente 40h'!H142</f>
        <v>6021.32</v>
      </c>
      <c r="G14" s="341">
        <f>ROUND((1/C14)*F14,7)</f>
        <v>20.071066699999999</v>
      </c>
      <c r="H14" s="342">
        <f>IF('CALCULO SIMPLES'!B37 = "m2",'Áreas a serem limpas'!B10,0)</f>
        <v>0</v>
      </c>
      <c r="I14" s="343">
        <f t="shared" si="0"/>
        <v>0</v>
      </c>
      <c r="J14" s="335"/>
    </row>
    <row r="15" spans="1:10" ht="29.1" customHeight="1">
      <c r="A15" s="338" t="s">
        <v>391</v>
      </c>
      <c r="B15" s="338"/>
      <c r="C15" s="339">
        <v>300</v>
      </c>
      <c r="D15" s="338" t="s">
        <v>392</v>
      </c>
      <c r="E15" s="338"/>
      <c r="F15" s="340">
        <f>'Servente com insalubridade'!H142</f>
        <v>7566.43</v>
      </c>
      <c r="G15" s="341">
        <f>ROUND((1/C15)*F15,7)</f>
        <v>25.221433300000001</v>
      </c>
      <c r="H15" s="342">
        <f>IF('CALCULO SIMPLES'!B37 = "m2",'Áreas a serem limpas'!B11,0)</f>
        <v>0</v>
      </c>
      <c r="I15" s="343">
        <f>G15*H15</f>
        <v>0</v>
      </c>
      <c r="J15" s="345">
        <f>SUM(I7:I15)</f>
        <v>0</v>
      </c>
    </row>
    <row r="16" spans="1:10" ht="19.899999999999999" customHeight="1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5" ht="36.75" customHeight="1">
      <c r="A17" s="331" t="s">
        <v>393</v>
      </c>
      <c r="B17" s="332"/>
      <c r="C17" s="332"/>
      <c r="D17" s="332"/>
      <c r="E17" s="346" t="str">
        <f>Licitante!B3</f>
        <v>ARF Guaratinguetá</v>
      </c>
      <c r="F17" s="333"/>
      <c r="G17" s="334"/>
      <c r="H17" s="151" t="s">
        <v>394</v>
      </c>
      <c r="I17" s="159" t="s">
        <v>192</v>
      </c>
      <c r="J17" s="347" t="s">
        <v>395</v>
      </c>
      <c r="K17" s="120"/>
      <c r="L17" s="182"/>
      <c r="M17" s="348"/>
      <c r="N17" s="348"/>
      <c r="O17" s="348"/>
    </row>
    <row r="18" spans="1:15" ht="29.1" customHeight="1">
      <c r="A18" s="329" t="s">
        <v>396</v>
      </c>
      <c r="B18" s="329"/>
      <c r="C18" s="336" t="s">
        <v>385</v>
      </c>
      <c r="D18" s="337" t="s">
        <v>262</v>
      </c>
      <c r="E18" s="337"/>
      <c r="F18" s="336" t="s">
        <v>386</v>
      </c>
      <c r="G18" s="336" t="s">
        <v>387</v>
      </c>
      <c r="H18" s="151"/>
      <c r="I18" s="159"/>
      <c r="J18" s="349"/>
      <c r="K18" s="120"/>
      <c r="L18" s="182"/>
      <c r="M18" s="348"/>
      <c r="N18" s="348"/>
      <c r="O18" s="348"/>
    </row>
    <row r="19" spans="1:15" ht="37.299999999999997" customHeight="1">
      <c r="A19" s="350" t="s">
        <v>397</v>
      </c>
      <c r="B19" s="351"/>
      <c r="C19" s="352">
        <v>2700</v>
      </c>
      <c r="D19" s="172" t="s">
        <v>259</v>
      </c>
      <c r="E19" s="174"/>
      <c r="F19" s="353">
        <f>'Servente 40h'!H142</f>
        <v>6021.32</v>
      </c>
      <c r="G19" s="354">
        <f>ROUND((1/C19)*F19,7)</f>
        <v>2.2301185000000001</v>
      </c>
      <c r="H19" s="355">
        <f>IF('CALCULO SIMPLES'!B37 = "m2",'Áreas a serem limpas'!B13,0)</f>
        <v>0</v>
      </c>
      <c r="I19" s="356">
        <f>G19*H19</f>
        <v>0</v>
      </c>
      <c r="J19" s="349"/>
      <c r="K19" s="120"/>
      <c r="L19" s="182"/>
      <c r="M19" s="348"/>
      <c r="N19" s="348"/>
      <c r="O19" s="348"/>
    </row>
    <row r="20" spans="1:15" ht="37.299999999999997" customHeight="1">
      <c r="A20" s="350" t="s">
        <v>226</v>
      </c>
      <c r="B20" s="351"/>
      <c r="C20" s="357">
        <v>9000</v>
      </c>
      <c r="D20" s="172" t="s">
        <v>259</v>
      </c>
      <c r="E20" s="174"/>
      <c r="F20" s="353">
        <f>'Servente 40h'!H142</f>
        <v>6021.32</v>
      </c>
      <c r="G20" s="354">
        <f t="shared" ref="G20:G22" si="2">ROUND((1/C20)*F20,7)</f>
        <v>0.66903559999999995</v>
      </c>
      <c r="H20" s="355">
        <f>IF('CALCULO SIMPLES'!B37 = "m2",'Áreas a serem limpas'!B14,0)</f>
        <v>0</v>
      </c>
      <c r="I20" s="356">
        <f t="shared" ref="I20:I22" si="3">G20*H20</f>
        <v>0</v>
      </c>
      <c r="J20" s="349"/>
      <c r="K20" s="120"/>
      <c r="L20" s="182"/>
      <c r="M20" s="358"/>
      <c r="N20" s="358"/>
      <c r="O20" s="358"/>
    </row>
    <row r="21" spans="1:15" ht="37.299999999999997" customHeight="1">
      <c r="A21" s="350" t="s">
        <v>227</v>
      </c>
      <c r="B21" s="351"/>
      <c r="C21" s="357">
        <v>2700</v>
      </c>
      <c r="D21" s="172" t="s">
        <v>259</v>
      </c>
      <c r="E21" s="174"/>
      <c r="F21" s="353">
        <f>'Servente 40h'!H142</f>
        <v>6021.32</v>
      </c>
      <c r="G21" s="354">
        <f t="shared" si="2"/>
        <v>2.2301185000000001</v>
      </c>
      <c r="H21" s="355">
        <f>IF('CALCULO SIMPLES'!B37 = "m2",'Áreas a serem limpas'!B15,0)</f>
        <v>0</v>
      </c>
      <c r="I21" s="356">
        <f t="shared" si="3"/>
        <v>0</v>
      </c>
      <c r="J21" s="349"/>
      <c r="K21" s="120"/>
      <c r="L21" s="182"/>
      <c r="M21" s="358"/>
      <c r="N21" s="358"/>
      <c r="O21" s="358"/>
    </row>
    <row r="22" spans="1:15" ht="37.299999999999997" customHeight="1">
      <c r="A22" s="350" t="s">
        <v>228</v>
      </c>
      <c r="B22" s="351"/>
      <c r="C22" s="357">
        <v>2700</v>
      </c>
      <c r="D22" s="172" t="s">
        <v>259</v>
      </c>
      <c r="E22" s="174"/>
      <c r="F22" s="353">
        <f>'Servente 40h'!H142</f>
        <v>6021.32</v>
      </c>
      <c r="G22" s="354">
        <f t="shared" si="2"/>
        <v>2.2301185000000001</v>
      </c>
      <c r="H22" s="355">
        <f>IF('CALCULO SIMPLES'!B37 = "m2",'Áreas a serem limpas'!B16,0)</f>
        <v>0</v>
      </c>
      <c r="I22" s="356">
        <f t="shared" si="3"/>
        <v>0</v>
      </c>
      <c r="J22" s="359"/>
      <c r="K22" s="120"/>
      <c r="L22" s="182"/>
      <c r="M22" s="358"/>
      <c r="N22" s="358"/>
      <c r="O22" s="358"/>
    </row>
    <row r="23" spans="1:15" ht="37.299999999999997" customHeight="1">
      <c r="A23" s="350" t="s">
        <v>229</v>
      </c>
      <c r="B23" s="351"/>
      <c r="C23" s="357">
        <v>2700</v>
      </c>
      <c r="D23" s="172" t="s">
        <v>259</v>
      </c>
      <c r="E23" s="174"/>
      <c r="F23" s="353">
        <f>'Servente 40h'!H142</f>
        <v>6021.32</v>
      </c>
      <c r="G23" s="354">
        <f>ROUND((1/C23)*F23,7)</f>
        <v>2.2301185000000001</v>
      </c>
      <c r="H23" s="355">
        <f>IF('CALCULO SIMPLES'!B37 = "m2",'Áreas a serem limpas'!B17,0)</f>
        <v>0</v>
      </c>
      <c r="I23" s="356">
        <f>G23*H23</f>
        <v>0</v>
      </c>
      <c r="J23" s="360"/>
      <c r="K23" s="120"/>
      <c r="L23" s="182"/>
      <c r="M23" s="358"/>
      <c r="N23" s="358"/>
      <c r="O23" s="358"/>
    </row>
    <row r="24" spans="1:15" ht="31" customHeight="1">
      <c r="A24" s="350" t="s">
        <v>230</v>
      </c>
      <c r="B24" s="351"/>
      <c r="C24" s="357">
        <v>100000</v>
      </c>
      <c r="D24" s="172" t="s">
        <v>259</v>
      </c>
      <c r="E24" s="174"/>
      <c r="F24" s="353">
        <f>'Servente 40h'!H142</f>
        <v>6021.32</v>
      </c>
      <c r="G24" s="354">
        <f>ROUND((1/C24)*F24,7)</f>
        <v>6.0213200000000001E-2</v>
      </c>
      <c r="H24" s="355">
        <f>IF('CALCULO SIMPLES'!B37 = "m2",'Áreas a serem limpas'!B18,0)</f>
        <v>0</v>
      </c>
      <c r="I24" s="356">
        <f>G24*H24</f>
        <v>0</v>
      </c>
      <c r="J24" s="361">
        <f>SUM(I19:I24)</f>
        <v>0</v>
      </c>
    </row>
    <row r="25" spans="1:15" ht="15.7" customHeight="1">
      <c r="A25" s="19"/>
      <c r="B25" s="19"/>
      <c r="C25" s="19"/>
      <c r="D25" s="19"/>
      <c r="E25" s="19"/>
      <c r="F25" s="19"/>
      <c r="G25" s="19"/>
      <c r="H25" s="5"/>
      <c r="I25" s="5"/>
      <c r="J25" s="362"/>
    </row>
    <row r="26" spans="1:15" ht="32.4" customHeight="1">
      <c r="A26" s="330" t="s">
        <v>398</v>
      </c>
      <c r="B26" s="330"/>
      <c r="C26" s="330"/>
      <c r="D26" s="330"/>
      <c r="E26" s="330"/>
      <c r="F26" s="330"/>
      <c r="G26" s="330"/>
      <c r="H26" s="151" t="s">
        <v>399</v>
      </c>
      <c r="I26" s="151" t="s">
        <v>192</v>
      </c>
      <c r="J26" s="363" t="s">
        <v>400</v>
      </c>
    </row>
    <row r="27" spans="1:15" ht="25.65" customHeight="1">
      <c r="A27" s="364" t="s">
        <v>401</v>
      </c>
      <c r="B27" s="364"/>
      <c r="C27" s="364"/>
      <c r="D27" s="364"/>
      <c r="E27" s="364"/>
      <c r="F27" s="365">
        <v>380</v>
      </c>
      <c r="G27" s="365" t="s">
        <v>402</v>
      </c>
      <c r="H27" s="151"/>
      <c r="I27" s="151"/>
      <c r="J27" s="366"/>
    </row>
    <row r="28" spans="1:15" ht="22.5" customHeight="1">
      <c r="A28" s="337" t="s">
        <v>403</v>
      </c>
      <c r="B28" s="337"/>
      <c r="C28" s="336" t="s">
        <v>404</v>
      </c>
      <c r="D28" s="336" t="s">
        <v>405</v>
      </c>
      <c r="E28" s="336" t="s">
        <v>406</v>
      </c>
      <c r="F28" s="336" t="s">
        <v>407</v>
      </c>
      <c r="G28" s="336" t="s">
        <v>408</v>
      </c>
      <c r="H28" s="151"/>
      <c r="I28" s="151"/>
      <c r="J28" s="367"/>
    </row>
    <row r="29" spans="1:15" ht="29.1" customHeight="1">
      <c r="A29" s="338" t="str">
        <f>Licitante!B3</f>
        <v>ARF Guaratinguetá</v>
      </c>
      <c r="B29" s="338"/>
      <c r="C29" s="368">
        <v>16</v>
      </c>
      <c r="D29" s="369">
        <v>188.76</v>
      </c>
      <c r="E29" s="370">
        <f>ROUND((1/F27)*C29*(1/D29),7)</f>
        <v>2.231E-4</v>
      </c>
      <c r="F29" s="340">
        <f>'Limpador de vidros sem risco- D'!H140</f>
        <v>6427.05</v>
      </c>
      <c r="G29" s="371">
        <f>ROUND(F29*E29,7)</f>
        <v>1.4338749</v>
      </c>
      <c r="H29" s="372">
        <f>IF('CALCULO SIMPLES'!B37 = "m2",'Áreas a serem limpas'!B29+'Áreas a serem limpas'!B30,0)</f>
        <v>0</v>
      </c>
      <c r="I29" s="373">
        <f>G29*H29</f>
        <v>0</v>
      </c>
      <c r="J29" s="373">
        <f>I29</f>
        <v>0</v>
      </c>
    </row>
    <row r="30" spans="1:15" ht="18.45" customHeight="1">
      <c r="A30" s="19"/>
      <c r="B30" s="19"/>
      <c r="C30" s="19"/>
      <c r="D30" s="19"/>
      <c r="E30" s="19"/>
      <c r="F30" s="19"/>
      <c r="G30" s="19"/>
      <c r="H30" s="374"/>
      <c r="I30" s="374"/>
      <c r="J30" s="362"/>
    </row>
    <row r="31" spans="1:15" ht="36.75" customHeight="1">
      <c r="A31" s="330" t="s">
        <v>409</v>
      </c>
      <c r="B31" s="330"/>
      <c r="C31" s="330"/>
      <c r="D31" s="330"/>
      <c r="E31" s="330"/>
      <c r="F31" s="330"/>
      <c r="G31" s="330"/>
      <c r="H31" s="151" t="s">
        <v>410</v>
      </c>
      <c r="I31" s="151" t="s">
        <v>192</v>
      </c>
      <c r="J31" s="375" t="s">
        <v>411</v>
      </c>
    </row>
    <row r="32" spans="1:15" ht="25.65" customHeight="1">
      <c r="A32" s="364" t="s">
        <v>401</v>
      </c>
      <c r="B32" s="364"/>
      <c r="C32" s="364"/>
      <c r="D32" s="364"/>
      <c r="E32" s="364"/>
      <c r="F32" s="376">
        <v>160</v>
      </c>
      <c r="G32" s="365" t="s">
        <v>402</v>
      </c>
      <c r="H32" s="151"/>
      <c r="I32" s="151"/>
      <c r="J32" s="375"/>
    </row>
    <row r="33" spans="1:12" ht="25.35">
      <c r="A33" s="329" t="s">
        <v>403</v>
      </c>
      <c r="B33" s="329"/>
      <c r="C33" s="336" t="s">
        <v>412</v>
      </c>
      <c r="D33" s="336" t="s">
        <v>413</v>
      </c>
      <c r="E33" s="377" t="s">
        <v>414</v>
      </c>
      <c r="F33" s="336" t="s">
        <v>407</v>
      </c>
      <c r="G33" s="336" t="s">
        <v>408</v>
      </c>
      <c r="H33" s="151"/>
      <c r="I33" s="151"/>
      <c r="J33" s="375"/>
    </row>
    <row r="34" spans="1:12" ht="31" customHeight="1">
      <c r="A34" s="378" t="str">
        <f>Licitante!B3</f>
        <v>ARF Guaratinguetá</v>
      </c>
      <c r="B34" s="378"/>
      <c r="C34" s="379">
        <v>8</v>
      </c>
      <c r="D34" s="380">
        <v>1132.5999999999999</v>
      </c>
      <c r="E34" s="381">
        <f>ROUND((1/F32)*C34*(1/D34),7)</f>
        <v>4.4100000000000001E-5</v>
      </c>
      <c r="F34" s="353">
        <f>'Limpador de vidros com risco- D'!H140</f>
        <v>7848.4</v>
      </c>
      <c r="G34" s="354">
        <f>F34*E34</f>
        <v>0.34611443999999997</v>
      </c>
      <c r="H34" s="355">
        <f>IF('CALCULO SIMPLES'!B37 = "m2",'Áreas a serem limpas'!B28+'Áreas a serem limpas'!B31,0)</f>
        <v>0</v>
      </c>
      <c r="I34" s="382">
        <f>G34*H34</f>
        <v>0</v>
      </c>
      <c r="J34" s="383">
        <f>I34</f>
        <v>0</v>
      </c>
    </row>
    <row r="35" spans="1:12">
      <c r="A35" s="19"/>
      <c r="B35" s="19"/>
      <c r="C35" s="19"/>
      <c r="D35" s="19"/>
      <c r="E35" s="19"/>
      <c r="F35" s="19"/>
      <c r="G35" s="19"/>
    </row>
    <row r="36" spans="1:12" ht="34.15" customHeight="1">
      <c r="A36" s="330" t="s">
        <v>415</v>
      </c>
      <c r="B36" s="330"/>
      <c r="C36" s="330"/>
      <c r="D36" s="330"/>
      <c r="E36" s="330"/>
      <c r="F36" s="330"/>
      <c r="G36" s="330"/>
      <c r="J36" s="384" t="s">
        <v>416</v>
      </c>
      <c r="K36" s="385">
        <f>J15+J24+J29+J34</f>
        <v>0</v>
      </c>
      <c r="L36" s="386"/>
    </row>
    <row r="37" spans="1:12">
      <c r="A37" s="64"/>
      <c r="B37" s="64"/>
      <c r="C37" s="64"/>
      <c r="D37" s="64"/>
      <c r="E37" s="64"/>
      <c r="F37" s="64"/>
      <c r="G37" s="64"/>
      <c r="J37" s="387"/>
    </row>
    <row r="38" spans="1:12" ht="41.65" customHeight="1">
      <c r="A38" s="388" t="s">
        <v>403</v>
      </c>
      <c r="B38" s="389" t="s">
        <v>417</v>
      </c>
      <c r="C38" s="389"/>
      <c r="D38" s="389" t="s">
        <v>418</v>
      </c>
      <c r="E38" s="389"/>
      <c r="F38" s="388" t="s">
        <v>419</v>
      </c>
      <c r="G38" s="388" t="s">
        <v>420</v>
      </c>
      <c r="J38" s="387"/>
    </row>
    <row r="39" spans="1:12" ht="29.1" customHeight="1">
      <c r="A39" s="390" t="str">
        <f>Licitante!B3</f>
        <v>ARF Guaratinguetá</v>
      </c>
      <c r="B39" s="390" t="s">
        <v>213</v>
      </c>
      <c r="C39" s="379" t="s">
        <v>216</v>
      </c>
      <c r="D39" s="391">
        <f t="shared" ref="D39:D44" si="4">G7</f>
        <v>5.0177667000000001</v>
      </c>
      <c r="E39" s="392"/>
      <c r="F39" s="380">
        <f t="shared" ref="F39:F44" si="5">H7</f>
        <v>0</v>
      </c>
      <c r="G39" s="393">
        <f t="shared" ref="G39:G52" si="6">D39*F39</f>
        <v>0</v>
      </c>
      <c r="J39" s="394"/>
    </row>
    <row r="40" spans="1:12" ht="27.4" customHeight="1">
      <c r="A40" s="395"/>
      <c r="B40" s="395"/>
      <c r="C40" s="379" t="s">
        <v>217</v>
      </c>
      <c r="D40" s="391">
        <f t="shared" si="4"/>
        <v>5.0177667000000001</v>
      </c>
      <c r="E40" s="392"/>
      <c r="F40" s="380">
        <f t="shared" si="5"/>
        <v>0</v>
      </c>
      <c r="G40" s="393">
        <f t="shared" si="6"/>
        <v>0</v>
      </c>
    </row>
    <row r="41" spans="1:12" ht="27.4" customHeight="1">
      <c r="A41" s="395"/>
      <c r="B41" s="395"/>
      <c r="C41" s="379" t="s">
        <v>388</v>
      </c>
      <c r="D41" s="391">
        <f t="shared" si="4"/>
        <v>13.380711099999999</v>
      </c>
      <c r="E41" s="392"/>
      <c r="F41" s="380">
        <f t="shared" si="5"/>
        <v>0</v>
      </c>
      <c r="G41" s="393">
        <f t="shared" si="6"/>
        <v>0</v>
      </c>
    </row>
    <row r="42" spans="1:12" ht="27.4" customHeight="1">
      <c r="A42" s="395"/>
      <c r="B42" s="395"/>
      <c r="C42" s="379" t="s">
        <v>219</v>
      </c>
      <c r="D42" s="391">
        <f t="shared" si="4"/>
        <v>2.408528</v>
      </c>
      <c r="E42" s="392"/>
      <c r="F42" s="380">
        <f t="shared" si="5"/>
        <v>0</v>
      </c>
      <c r="G42" s="393">
        <f t="shared" si="6"/>
        <v>0</v>
      </c>
    </row>
    <row r="43" spans="1:12" ht="27.4" customHeight="1">
      <c r="A43" s="395"/>
      <c r="B43" s="395"/>
      <c r="C43" s="379" t="s">
        <v>220</v>
      </c>
      <c r="D43" s="391">
        <f t="shared" si="4"/>
        <v>3.3451778000000001</v>
      </c>
      <c r="E43" s="392"/>
      <c r="F43" s="380">
        <f t="shared" si="5"/>
        <v>0</v>
      </c>
      <c r="G43" s="393">
        <f t="shared" si="6"/>
        <v>0</v>
      </c>
    </row>
    <row r="44" spans="1:12" ht="31" customHeight="1">
      <c r="A44" s="395"/>
      <c r="B44" s="395"/>
      <c r="C44" s="379" t="s">
        <v>221</v>
      </c>
      <c r="D44" s="391">
        <f t="shared" si="4"/>
        <v>4.0142132999999998</v>
      </c>
      <c r="E44" s="392"/>
      <c r="F44" s="380">
        <f t="shared" si="5"/>
        <v>0</v>
      </c>
      <c r="G44" s="393">
        <f t="shared" si="6"/>
        <v>0</v>
      </c>
    </row>
    <row r="45" spans="1:12" ht="31" customHeight="1">
      <c r="A45" s="395"/>
      <c r="B45" s="395"/>
      <c r="C45" s="379" t="s">
        <v>390</v>
      </c>
      <c r="D45" s="391">
        <f>G14</f>
        <v>20.071066699999999</v>
      </c>
      <c r="E45" s="392"/>
      <c r="F45" s="380">
        <f>H14</f>
        <v>0</v>
      </c>
      <c r="G45" s="393">
        <f t="shared" si="6"/>
        <v>0</v>
      </c>
      <c r="J45" s="396"/>
    </row>
    <row r="46" spans="1:12" ht="31" customHeight="1">
      <c r="A46" s="395"/>
      <c r="B46" s="397"/>
      <c r="C46" s="379" t="s">
        <v>391</v>
      </c>
      <c r="D46" s="391">
        <f>G15</f>
        <v>25.221433300000001</v>
      </c>
      <c r="E46" s="392"/>
      <c r="F46" s="380">
        <f>H15</f>
        <v>0</v>
      </c>
      <c r="G46" s="393">
        <f t="shared" si="6"/>
        <v>0</v>
      </c>
      <c r="J46" s="396"/>
    </row>
    <row r="47" spans="1:12" ht="31" customHeight="1">
      <c r="A47" s="395"/>
      <c r="B47" s="395" t="s">
        <v>224</v>
      </c>
      <c r="C47" s="379" t="str">
        <f>'Áreas a serem limpas'!A13</f>
        <v>Pisos pavimentados adjacentes/contíguos às edificações</v>
      </c>
      <c r="D47" s="391">
        <f t="shared" ref="D47:D52" si="7">G19</f>
        <v>2.2301185000000001</v>
      </c>
      <c r="E47" s="392"/>
      <c r="F47" s="380">
        <f t="shared" ref="F47:F52" si="8">H19</f>
        <v>0</v>
      </c>
      <c r="G47" s="393">
        <f t="shared" si="6"/>
        <v>0</v>
      </c>
      <c r="J47" s="396"/>
    </row>
    <row r="48" spans="1:12" ht="27.4" customHeight="1">
      <c r="A48" s="395"/>
      <c r="B48" s="395"/>
      <c r="C48" s="379" t="str">
        <f>'Áreas a serem limpas'!A14</f>
        <v>Varrição de passeios de arruamentos</v>
      </c>
      <c r="D48" s="391">
        <f t="shared" si="7"/>
        <v>0.66903559999999995</v>
      </c>
      <c r="E48" s="392"/>
      <c r="F48" s="380">
        <f t="shared" si="8"/>
        <v>0</v>
      </c>
      <c r="G48" s="393">
        <f t="shared" si="6"/>
        <v>0</v>
      </c>
      <c r="J48" s="396"/>
    </row>
    <row r="49" spans="1:10" ht="27.4" customHeight="1">
      <c r="A49" s="395"/>
      <c r="B49" s="395"/>
      <c r="C49" s="379" t="s">
        <v>227</v>
      </c>
      <c r="D49" s="391">
        <f t="shared" si="7"/>
        <v>2.2301185000000001</v>
      </c>
      <c r="E49" s="392"/>
      <c r="F49" s="380">
        <f t="shared" si="8"/>
        <v>0</v>
      </c>
      <c r="G49" s="393">
        <f t="shared" si="6"/>
        <v>0</v>
      </c>
      <c r="J49" s="396"/>
    </row>
    <row r="50" spans="1:10" ht="27.4" customHeight="1">
      <c r="A50" s="395"/>
      <c r="B50" s="395"/>
      <c r="C50" s="379" t="s">
        <v>228</v>
      </c>
      <c r="D50" s="391">
        <f t="shared" si="7"/>
        <v>2.2301185000000001</v>
      </c>
      <c r="E50" s="392"/>
      <c r="F50" s="380">
        <f t="shared" si="8"/>
        <v>0</v>
      </c>
      <c r="G50" s="393">
        <f t="shared" si="6"/>
        <v>0</v>
      </c>
    </row>
    <row r="51" spans="1:10" ht="27.4" customHeight="1">
      <c r="A51" s="395"/>
      <c r="B51" s="395"/>
      <c r="C51" s="379" t="s">
        <v>229</v>
      </c>
      <c r="D51" s="391">
        <f t="shared" si="7"/>
        <v>2.2301185000000001</v>
      </c>
      <c r="E51" s="392"/>
      <c r="F51" s="380">
        <f t="shared" si="8"/>
        <v>0</v>
      </c>
      <c r="G51" s="393">
        <f t="shared" si="6"/>
        <v>0</v>
      </c>
    </row>
    <row r="52" spans="1:10" ht="31" customHeight="1">
      <c r="A52" s="395"/>
      <c r="B52" s="398"/>
      <c r="C52" s="399" t="s">
        <v>230</v>
      </c>
      <c r="D52" s="391">
        <f t="shared" si="7"/>
        <v>6.0213200000000001E-2</v>
      </c>
      <c r="E52" s="392"/>
      <c r="F52" s="380">
        <f t="shared" si="8"/>
        <v>0</v>
      </c>
      <c r="G52" s="393">
        <f t="shared" si="6"/>
        <v>0</v>
      </c>
    </row>
    <row r="53" spans="1:10" ht="31" customHeight="1">
      <c r="A53" s="395"/>
      <c r="B53" s="400" t="s">
        <v>421</v>
      </c>
      <c r="C53" s="401"/>
      <c r="D53" s="401"/>
      <c r="E53" s="401"/>
      <c r="F53" s="402"/>
      <c r="G53" s="393">
        <f>I13</f>
        <v>0</v>
      </c>
    </row>
    <row r="54" spans="1:10" ht="26.65" customHeight="1">
      <c r="A54" s="395"/>
      <c r="B54" s="390" t="s">
        <v>235</v>
      </c>
      <c r="C54" s="379" t="s">
        <v>422</v>
      </c>
      <c r="D54" s="391">
        <f>G29</f>
        <v>1.4338749</v>
      </c>
      <c r="E54" s="392"/>
      <c r="F54" s="380">
        <f>H29</f>
        <v>0</v>
      </c>
      <c r="G54" s="393">
        <f>D54*F54</f>
        <v>0</v>
      </c>
    </row>
    <row r="55" spans="1:10" ht="28.4" customHeight="1">
      <c r="A55" s="395"/>
      <c r="B55" s="398"/>
      <c r="C55" s="379" t="s">
        <v>423</v>
      </c>
      <c r="D55" s="403">
        <f>G34</f>
        <v>0.34611443999999997</v>
      </c>
      <c r="E55" s="392"/>
      <c r="F55" s="380">
        <f>H34</f>
        <v>0</v>
      </c>
      <c r="G55" s="393">
        <f>D55*F55</f>
        <v>0</v>
      </c>
    </row>
    <row r="56" spans="1:10" ht="31" customHeight="1">
      <c r="A56" s="398"/>
      <c r="B56" s="331" t="s">
        <v>192</v>
      </c>
      <c r="C56" s="332"/>
      <c r="D56" s="333" t="str">
        <f>Licitante!B3</f>
        <v>ARF Guaratinguetá</v>
      </c>
      <c r="E56" s="333"/>
      <c r="F56" s="334"/>
      <c r="G56" s="404">
        <f>SUM(G39:G55)</f>
        <v>0</v>
      </c>
    </row>
    <row r="57" spans="1:10" ht="21.35" customHeight="1">
      <c r="A57" s="405"/>
      <c r="B57" s="405"/>
      <c r="C57" s="405"/>
      <c r="D57" s="405"/>
      <c r="E57" s="405"/>
      <c r="F57" s="405"/>
      <c r="G57" s="405"/>
    </row>
    <row r="58" spans="1:10" ht="31" customHeight="1">
      <c r="A58" s="330" t="s">
        <v>424</v>
      </c>
      <c r="B58" s="330"/>
      <c r="C58" s="330"/>
      <c r="D58" s="330"/>
      <c r="E58" s="330"/>
      <c r="F58" s="330"/>
      <c r="G58" s="330"/>
    </row>
    <row r="59" spans="1:10" ht="14.4" customHeight="1"/>
    <row r="60" spans="1:10" ht="31" customHeight="1">
      <c r="A60" s="406" t="s">
        <v>417</v>
      </c>
      <c r="B60" s="407"/>
      <c r="C60" s="408" t="s">
        <v>419</v>
      </c>
      <c r="D60" s="409" t="s">
        <v>425</v>
      </c>
      <c r="E60" s="410" t="s">
        <v>426</v>
      </c>
      <c r="F60" s="411" t="s">
        <v>427</v>
      </c>
      <c r="G60" s="410" t="s">
        <v>428</v>
      </c>
    </row>
    <row r="61" spans="1:10" ht="28.25" customHeight="1">
      <c r="A61" s="412" t="s">
        <v>429</v>
      </c>
      <c r="B61" s="413" t="s">
        <v>216</v>
      </c>
      <c r="C61" s="414">
        <f>'Áreas a serem limpas'!B4</f>
        <v>0</v>
      </c>
      <c r="D61" s="415" t="s">
        <v>430</v>
      </c>
      <c r="E61" s="416">
        <f>'Servente 20h'!H142</f>
        <v>4333.7299999999996</v>
      </c>
      <c r="F61" s="417">
        <f>IF('CALCULO SIMPLES'!B37 = "Posto",1,0)</f>
        <v>1</v>
      </c>
      <c r="G61" s="418">
        <f>ROUND(E61*F61,2)</f>
        <v>4333.7299999999996</v>
      </c>
    </row>
    <row r="62" spans="1:10" ht="31" customHeight="1">
      <c r="A62" s="412"/>
      <c r="B62" s="413" t="s">
        <v>217</v>
      </c>
      <c r="C62" s="414">
        <f>'Áreas a serem limpas'!B5</f>
        <v>550</v>
      </c>
      <c r="D62" s="415"/>
      <c r="E62" s="416"/>
      <c r="F62" s="417"/>
      <c r="G62" s="418"/>
    </row>
    <row r="63" spans="1:10" ht="31" customHeight="1">
      <c r="A63" s="412"/>
      <c r="B63" s="413" t="s">
        <v>218</v>
      </c>
      <c r="C63" s="414">
        <f>'Áreas a serem limpas'!B6</f>
        <v>0</v>
      </c>
      <c r="D63" s="415"/>
      <c r="E63" s="416"/>
      <c r="F63" s="417"/>
      <c r="G63" s="418"/>
    </row>
    <row r="64" spans="1:10" ht="31" customHeight="1">
      <c r="A64" s="412"/>
      <c r="B64" s="413" t="s">
        <v>219</v>
      </c>
      <c r="C64" s="414">
        <f>'Áreas a serem limpas'!B7</f>
        <v>0</v>
      </c>
      <c r="D64" s="415"/>
      <c r="E64" s="416"/>
      <c r="F64" s="417"/>
      <c r="G64" s="418"/>
    </row>
    <row r="65" spans="1:7" ht="31" customHeight="1">
      <c r="A65" s="412"/>
      <c r="B65" s="413" t="s">
        <v>220</v>
      </c>
      <c r="C65" s="414">
        <f>'Áreas a serem limpas'!B8</f>
        <v>0</v>
      </c>
      <c r="D65" s="415"/>
      <c r="E65" s="416"/>
      <c r="F65" s="417"/>
      <c r="G65" s="418"/>
    </row>
    <row r="66" spans="1:7" ht="31" customHeight="1">
      <c r="A66" s="412"/>
      <c r="B66" s="413" t="s">
        <v>221</v>
      </c>
      <c r="C66" s="414">
        <f>'Áreas a serem limpas'!B9</f>
        <v>0</v>
      </c>
      <c r="D66" s="415"/>
      <c r="E66" s="416"/>
      <c r="F66" s="417"/>
      <c r="G66" s="418"/>
    </row>
    <row r="67" spans="1:7" ht="31" customHeight="1">
      <c r="A67" s="412"/>
      <c r="B67" s="413" t="s">
        <v>222</v>
      </c>
      <c r="C67" s="414">
        <f>'Áreas a serem limpas'!B10</f>
        <v>80</v>
      </c>
      <c r="D67" s="415"/>
      <c r="E67" s="416"/>
      <c r="F67" s="417"/>
      <c r="G67" s="418"/>
    </row>
    <row r="68" spans="1:7" ht="31" customHeight="1">
      <c r="A68" s="419"/>
      <c r="B68" s="413"/>
      <c r="C68" s="414"/>
      <c r="D68" s="415"/>
      <c r="E68" s="416"/>
      <c r="F68" s="417"/>
      <c r="G68" s="418"/>
    </row>
    <row r="69" spans="1:7" ht="38.6" customHeight="1">
      <c r="A69" s="420" t="s">
        <v>431</v>
      </c>
      <c r="B69" s="413" t="s">
        <v>225</v>
      </c>
      <c r="C69" s="414">
        <f>'Áreas a serem limpas'!B13</f>
        <v>100</v>
      </c>
      <c r="D69" s="415"/>
      <c r="E69" s="416"/>
      <c r="F69" s="417"/>
      <c r="G69" s="418"/>
    </row>
    <row r="70" spans="1:7" ht="31" customHeight="1">
      <c r="A70" s="420"/>
      <c r="B70" s="413" t="s">
        <v>226</v>
      </c>
      <c r="C70" s="414">
        <f>'Áreas a serem limpas'!B14</f>
        <v>100</v>
      </c>
      <c r="D70" s="415"/>
      <c r="E70" s="416"/>
      <c r="F70" s="417"/>
      <c r="G70" s="418"/>
    </row>
    <row r="71" spans="1:7" ht="31" customHeight="1">
      <c r="A71" s="420"/>
      <c r="B71" s="413" t="s">
        <v>227</v>
      </c>
      <c r="C71" s="414">
        <f>'Áreas a serem limpas'!B15</f>
        <v>0</v>
      </c>
      <c r="D71" s="415"/>
      <c r="E71" s="416"/>
      <c r="F71" s="417"/>
      <c r="G71" s="418"/>
    </row>
    <row r="72" spans="1:7" ht="31" customHeight="1">
      <c r="A72" s="420"/>
      <c r="B72" s="413" t="s">
        <v>228</v>
      </c>
      <c r="C72" s="414">
        <f>'Áreas a serem limpas'!B16</f>
        <v>0</v>
      </c>
      <c r="D72" s="415"/>
      <c r="E72" s="416"/>
      <c r="F72" s="417"/>
      <c r="G72" s="418"/>
    </row>
    <row r="73" spans="1:7" ht="31" customHeight="1">
      <c r="A73" s="420"/>
      <c r="B73" s="421" t="s">
        <v>229</v>
      </c>
      <c r="C73" s="414">
        <f>'Áreas a serem limpas'!B17</f>
        <v>0</v>
      </c>
      <c r="D73" s="415"/>
      <c r="E73" s="416"/>
      <c r="F73" s="417"/>
      <c r="G73" s="418"/>
    </row>
    <row r="74" spans="1:7" ht="31" customHeight="1">
      <c r="A74" s="420"/>
      <c r="B74" s="413" t="s">
        <v>230</v>
      </c>
      <c r="C74" s="414">
        <f>'Áreas a serem limpas'!B18</f>
        <v>0</v>
      </c>
      <c r="D74" s="415"/>
      <c r="E74" s="416"/>
      <c r="F74" s="417"/>
      <c r="G74" s="418"/>
    </row>
    <row r="75" spans="1:7" ht="31" customHeight="1">
      <c r="A75" s="422"/>
      <c r="B75" s="423"/>
      <c r="C75" s="424" t="str">
        <f>IF($A61=0,0,"pula")</f>
        <v>pula</v>
      </c>
      <c r="D75" s="425"/>
      <c r="E75" s="426"/>
      <c r="F75" s="427"/>
      <c r="G75" s="428" t="str">
        <f>IF($A61=0,0,"pula")</f>
        <v>pula</v>
      </c>
    </row>
    <row r="76" spans="1:7" ht="31" customHeight="1">
      <c r="A76" s="429" t="s">
        <v>432</v>
      </c>
      <c r="B76" s="430" t="s">
        <v>240</v>
      </c>
      <c r="C76" s="414">
        <f>'Áreas a serem limpas'!B29</f>
        <v>105</v>
      </c>
      <c r="D76" s="415" t="s">
        <v>433</v>
      </c>
      <c r="E76" s="416">
        <f>'Limpador de vidros sem risco- D'!H140</f>
        <v>6427.05</v>
      </c>
      <c r="F76" s="417">
        <f>IF('CALCULO SIMPLES'!B37 = "Posto",'Áreas a serem limpas'!H29+'Áreas a serem limpas'!H30,0)</f>
        <v>4.6843109044065988E-2</v>
      </c>
      <c r="G76" s="418">
        <f>ROUND(E76*F76,2)</f>
        <v>301.06</v>
      </c>
    </row>
    <row r="77" spans="1:7" ht="31" customHeight="1">
      <c r="A77" s="431"/>
      <c r="B77" s="430" t="s">
        <v>241</v>
      </c>
      <c r="C77" s="414">
        <f>'Áreas a serem limpas'!B30</f>
        <v>105</v>
      </c>
      <c r="D77" s="415"/>
      <c r="E77" s="416"/>
      <c r="F77" s="417"/>
      <c r="G77" s="418"/>
    </row>
    <row r="78" spans="1:7" ht="31" customHeight="1">
      <c r="A78" s="431"/>
      <c r="B78" s="432" t="s">
        <v>239</v>
      </c>
      <c r="C78" s="414">
        <f>'Áreas a serem limpas'!B28</f>
        <v>0</v>
      </c>
      <c r="D78" s="415" t="s">
        <v>434</v>
      </c>
      <c r="E78" s="433">
        <f>'Limpador de vidros com risco- D'!H140</f>
        <v>7848.4</v>
      </c>
      <c r="F78" s="434">
        <f>IF('CALCULO SIMPLES'!B37 = "Posto",'Áreas a serem limpas'!H28+'Áreas a serem limpas'!H31,0)</f>
        <v>0</v>
      </c>
      <c r="G78" s="418">
        <f>ROUND(E78*F78,2)</f>
        <v>0</v>
      </c>
    </row>
    <row r="79" spans="1:7" ht="31" customHeight="1">
      <c r="A79" s="435"/>
      <c r="B79" s="432" t="s">
        <v>242</v>
      </c>
      <c r="C79" s="414">
        <f>'Áreas a serem limpas'!B31</f>
        <v>0</v>
      </c>
      <c r="D79" s="415"/>
      <c r="E79" s="436"/>
      <c r="F79" s="437"/>
      <c r="G79" s="418"/>
    </row>
    <row r="80" spans="1:7" ht="31" customHeight="1">
      <c r="A80" s="438" t="s">
        <v>435</v>
      </c>
      <c r="B80" s="439"/>
      <c r="C80" s="440">
        <f>SUM(C61:C79)</f>
        <v>1040</v>
      </c>
      <c r="D80" s="441"/>
      <c r="E80" s="442"/>
      <c r="F80" s="443">
        <f>F61+F76+F78</f>
        <v>1.046843109044066</v>
      </c>
      <c r="G80" s="444">
        <f>G61+G76+G78</f>
        <v>4634.79</v>
      </c>
    </row>
    <row r="81" spans="1:7" ht="31" customHeight="1"/>
    <row r="82" spans="1:7">
      <c r="A82" s="445"/>
      <c r="B82" s="445"/>
      <c r="C82" s="445"/>
      <c r="D82" s="445"/>
      <c r="E82" s="445"/>
      <c r="F82" s="445"/>
      <c r="G82" s="445"/>
    </row>
    <row r="83" spans="1:7">
      <c r="A83" s="446" t="s">
        <v>436</v>
      </c>
      <c r="B83" s="446"/>
      <c r="C83" s="446"/>
      <c r="D83" s="446"/>
      <c r="E83" s="446"/>
      <c r="F83" s="446"/>
      <c r="G83" s="447">
        <f>G56+G80</f>
        <v>4634.79</v>
      </c>
    </row>
    <row r="84" spans="1:7" ht="25.65" customHeight="1">
      <c r="A84" s="446"/>
      <c r="B84" s="446"/>
      <c r="C84" s="446"/>
      <c r="D84" s="446"/>
      <c r="E84" s="446"/>
      <c r="F84" s="446"/>
      <c r="G84" s="447"/>
    </row>
    <row r="85" spans="1:7">
      <c r="A85" s="448"/>
      <c r="B85" s="448"/>
      <c r="C85" s="448"/>
      <c r="D85" s="448"/>
      <c r="E85" s="448"/>
      <c r="F85" s="448"/>
      <c r="G85" s="448"/>
    </row>
    <row r="86" spans="1:7" ht="14.25" customHeight="1">
      <c r="A86" s="449" t="s">
        <v>437</v>
      </c>
      <c r="B86" s="446"/>
      <c r="C86" s="446"/>
      <c r="D86" s="446"/>
      <c r="E86" s="446"/>
      <c r="F86" s="446"/>
      <c r="G86" s="447">
        <f>Licitante!H166</f>
        <v>545.41416666666669</v>
      </c>
    </row>
    <row r="87" spans="1:7" ht="23.2" customHeight="1">
      <c r="A87" s="446"/>
      <c r="B87" s="446"/>
      <c r="C87" s="446"/>
      <c r="D87" s="446"/>
      <c r="E87" s="446"/>
      <c r="F87" s="446"/>
      <c r="G87" s="447"/>
    </row>
    <row r="88" spans="1:7">
      <c r="A88" s="448"/>
      <c r="B88" s="448"/>
      <c r="C88" s="448"/>
      <c r="D88" s="448"/>
      <c r="E88" s="448"/>
      <c r="F88" s="448"/>
      <c r="G88" s="448"/>
    </row>
    <row r="89" spans="1:7">
      <c r="A89" s="450" t="s">
        <v>438</v>
      </c>
      <c r="B89" s="449"/>
      <c r="C89" s="449"/>
      <c r="D89" s="449"/>
      <c r="E89" s="449"/>
      <c r="F89" s="449"/>
      <c r="G89" s="447">
        <f>Licitante!H185/12</f>
        <v>160.64166666666668</v>
      </c>
    </row>
    <row r="90" spans="1:7" ht="25.65" customHeight="1">
      <c r="A90" s="449"/>
      <c r="B90" s="449"/>
      <c r="C90" s="449"/>
      <c r="D90" s="449"/>
      <c r="E90" s="449"/>
      <c r="F90" s="449"/>
      <c r="G90" s="447"/>
    </row>
    <row r="91" spans="1:7">
      <c r="A91" s="5"/>
      <c r="B91" s="5"/>
      <c r="C91" s="5"/>
      <c r="D91" s="5"/>
      <c r="E91" s="5"/>
      <c r="F91" s="5"/>
      <c r="G91" s="5"/>
    </row>
    <row r="92" spans="1:7">
      <c r="A92" s="446" t="s">
        <v>439</v>
      </c>
      <c r="B92" s="446"/>
      <c r="C92" s="446"/>
      <c r="D92" s="446"/>
      <c r="E92" s="446"/>
      <c r="F92" s="446"/>
      <c r="G92" s="447">
        <f>G83+G86+G89</f>
        <v>5340.8458333333328</v>
      </c>
    </row>
    <row r="93" spans="1:7" ht="27.4" customHeight="1">
      <c r="A93" s="446"/>
      <c r="B93" s="446"/>
      <c r="C93" s="446"/>
      <c r="D93" s="446"/>
      <c r="E93" s="446"/>
      <c r="F93" s="446"/>
      <c r="G93" s="447"/>
    </row>
    <row r="94" spans="1:7" ht="14.4" thickBot="1">
      <c r="A94" s="5"/>
      <c r="B94" s="5"/>
      <c r="C94" s="5"/>
      <c r="D94" s="5"/>
      <c r="E94" s="5"/>
      <c r="F94" s="5"/>
      <c r="G94" s="5"/>
    </row>
    <row r="95" spans="1:7" ht="14.4" thickBot="1">
      <c r="A95" s="446" t="s">
        <v>440</v>
      </c>
      <c r="B95" s="446"/>
      <c r="C95" s="446"/>
      <c r="D95" s="446"/>
      <c r="E95" s="446"/>
      <c r="F95" s="446"/>
      <c r="G95" s="451">
        <f>G92*Licitante!D2</f>
        <v>128180.29999999999</v>
      </c>
    </row>
    <row r="96" spans="1:7" ht="26.65" customHeight="1" thickBot="1">
      <c r="A96" s="446"/>
      <c r="B96" s="446"/>
      <c r="C96" s="446"/>
      <c r="D96" s="446"/>
      <c r="E96" s="446"/>
      <c r="F96" s="446"/>
      <c r="G96" s="451"/>
    </row>
  </sheetData>
  <mergeCells count="126">
    <mergeCell ref="A91:G91"/>
    <mergeCell ref="A92:F93"/>
    <mergeCell ref="G92:G93"/>
    <mergeCell ref="A94:G94"/>
    <mergeCell ref="A95:F96"/>
    <mergeCell ref="G95:G96"/>
    <mergeCell ref="A83:F84"/>
    <mergeCell ref="G83:G84"/>
    <mergeCell ref="A86:F87"/>
    <mergeCell ref="G86:G87"/>
    <mergeCell ref="A89:F90"/>
    <mergeCell ref="G89:G90"/>
    <mergeCell ref="A76:A79"/>
    <mergeCell ref="D76:D77"/>
    <mergeCell ref="E76:E77"/>
    <mergeCell ref="F76:F77"/>
    <mergeCell ref="G76:G77"/>
    <mergeCell ref="D78:D79"/>
    <mergeCell ref="E78:E79"/>
    <mergeCell ref="F78:F79"/>
    <mergeCell ref="G78:G79"/>
    <mergeCell ref="A58:G58"/>
    <mergeCell ref="A60:B60"/>
    <mergeCell ref="A61:A67"/>
    <mergeCell ref="D61:D74"/>
    <mergeCell ref="E61:E74"/>
    <mergeCell ref="F61:F74"/>
    <mergeCell ref="G61:G74"/>
    <mergeCell ref="A69:A74"/>
    <mergeCell ref="B53:F53"/>
    <mergeCell ref="B54:B55"/>
    <mergeCell ref="D54:E54"/>
    <mergeCell ref="D55:E55"/>
    <mergeCell ref="B56:C56"/>
    <mergeCell ref="D56:F56"/>
    <mergeCell ref="B47:B52"/>
    <mergeCell ref="D47:E47"/>
    <mergeCell ref="D48:E48"/>
    <mergeCell ref="D49:E49"/>
    <mergeCell ref="D50:E50"/>
    <mergeCell ref="D51:E51"/>
    <mergeCell ref="D52:E52"/>
    <mergeCell ref="A39:A56"/>
    <mergeCell ref="B39:B46"/>
    <mergeCell ref="D39:E39"/>
    <mergeCell ref="D40:E40"/>
    <mergeCell ref="D41:E41"/>
    <mergeCell ref="D42:E42"/>
    <mergeCell ref="D43:E43"/>
    <mergeCell ref="D44:E44"/>
    <mergeCell ref="D45:E45"/>
    <mergeCell ref="D46:E46"/>
    <mergeCell ref="A34:B34"/>
    <mergeCell ref="A35:G35"/>
    <mergeCell ref="A36:G36"/>
    <mergeCell ref="K36:L36"/>
    <mergeCell ref="A37:G37"/>
    <mergeCell ref="B38:C38"/>
    <mergeCell ref="D38:E38"/>
    <mergeCell ref="A29:B29"/>
    <mergeCell ref="A30:G30"/>
    <mergeCell ref="A31:G31"/>
    <mergeCell ref="H31:H33"/>
    <mergeCell ref="I31:I33"/>
    <mergeCell ref="J31:J33"/>
    <mergeCell ref="A32:E32"/>
    <mergeCell ref="A33:B33"/>
    <mergeCell ref="A25:G25"/>
    <mergeCell ref="H25:I25"/>
    <mergeCell ref="A26:G26"/>
    <mergeCell ref="H26:H28"/>
    <mergeCell ref="I26:I28"/>
    <mergeCell ref="J26:J28"/>
    <mergeCell ref="A27:E27"/>
    <mergeCell ref="A28:B28"/>
    <mergeCell ref="A22:B22"/>
    <mergeCell ref="D22:E22"/>
    <mergeCell ref="A23:B23"/>
    <mergeCell ref="D23:E23"/>
    <mergeCell ref="A24:B24"/>
    <mergeCell ref="D24:E24"/>
    <mergeCell ref="D19:E19"/>
    <mergeCell ref="M19:O19"/>
    <mergeCell ref="A20:B20"/>
    <mergeCell ref="D20:E20"/>
    <mergeCell ref="A21:B21"/>
    <mergeCell ref="D21:E21"/>
    <mergeCell ref="A17:D17"/>
    <mergeCell ref="E17:G17"/>
    <mergeCell ref="H17:H18"/>
    <mergeCell ref="I17:I18"/>
    <mergeCell ref="J17:J22"/>
    <mergeCell ref="M17:O17"/>
    <mergeCell ref="A18:B18"/>
    <mergeCell ref="D18:E18"/>
    <mergeCell ref="M18:O18"/>
    <mergeCell ref="A19:B19"/>
    <mergeCell ref="A13:H13"/>
    <mergeCell ref="A14:B14"/>
    <mergeCell ref="D14:E14"/>
    <mergeCell ref="A15:B15"/>
    <mergeCell ref="D15:E15"/>
    <mergeCell ref="A16:J16"/>
    <mergeCell ref="A10:B10"/>
    <mergeCell ref="D10:E10"/>
    <mergeCell ref="A11:B11"/>
    <mergeCell ref="D11:E11"/>
    <mergeCell ref="A12:B12"/>
    <mergeCell ref="D12:E12"/>
    <mergeCell ref="D6:E6"/>
    <mergeCell ref="A7:B7"/>
    <mergeCell ref="D7:E7"/>
    <mergeCell ref="A8:B8"/>
    <mergeCell ref="D8:E8"/>
    <mergeCell ref="A9:B9"/>
    <mergeCell ref="D9:E9"/>
    <mergeCell ref="A1:J1"/>
    <mergeCell ref="A2:G2"/>
    <mergeCell ref="A3:J3"/>
    <mergeCell ref="A4:G4"/>
    <mergeCell ref="A5:D5"/>
    <mergeCell ref="E5:G5"/>
    <mergeCell ref="H5:H6"/>
    <mergeCell ref="I5:I6"/>
    <mergeCell ref="J5:J14"/>
    <mergeCell ref="A6:B6"/>
  </mergeCells>
  <pageMargins left="0" right="0" top="0.39370078740157483" bottom="0.39370078740157483" header="0" footer="0"/>
  <pageSetup paperSize="9" orientation="portrait" r:id="rId1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06AB7-F7E2-403A-9814-265F22FCD9C8}">
  <sheetPr codeName="Planilha9"/>
  <dimension ref="A1:H37"/>
  <sheetViews>
    <sheetView workbookViewId="0">
      <selection activeCell="B56" sqref="B56"/>
    </sheetView>
  </sheetViews>
  <sheetFormatPr defaultRowHeight="13.85"/>
  <cols>
    <col min="1" max="1" width="24.08984375" customWidth="1"/>
    <col min="2" max="5" width="20.6328125" customWidth="1"/>
    <col min="6" max="6" width="13.453125" customWidth="1"/>
    <col min="7" max="7" width="20.6328125" customWidth="1"/>
    <col min="8" max="8" width="15.26953125" customWidth="1"/>
  </cols>
  <sheetData>
    <row r="1" spans="1:8">
      <c r="A1" s="452" t="s">
        <v>441</v>
      </c>
      <c r="B1" s="453"/>
      <c r="C1" s="453"/>
      <c r="D1" s="453"/>
      <c r="E1" s="454"/>
      <c r="F1" s="455"/>
      <c r="G1" s="456"/>
      <c r="H1" s="456"/>
    </row>
    <row r="2" spans="1:8" ht="31.55" customHeight="1">
      <c r="A2" s="457" t="s">
        <v>442</v>
      </c>
      <c r="B2" s="458"/>
      <c r="C2" s="458"/>
      <c r="D2" s="458"/>
      <c r="E2" s="459"/>
      <c r="F2" s="455"/>
      <c r="G2" s="460"/>
      <c r="H2" s="461"/>
    </row>
    <row r="3" spans="1:8">
      <c r="A3" s="462" t="s">
        <v>443</v>
      </c>
      <c r="B3" s="463" t="s">
        <v>444</v>
      </c>
      <c r="C3" s="463"/>
      <c r="D3" s="462" t="s">
        <v>445</v>
      </c>
      <c r="E3" s="464" t="s">
        <v>446</v>
      </c>
      <c r="F3" s="455"/>
      <c r="G3" s="464" t="s">
        <v>447</v>
      </c>
      <c r="H3" s="462" t="s">
        <v>448</v>
      </c>
    </row>
    <row r="4" spans="1:8">
      <c r="A4" s="465"/>
      <c r="B4" s="466" t="s">
        <v>449</v>
      </c>
      <c r="C4" s="466" t="s">
        <v>450</v>
      </c>
      <c r="D4" s="465"/>
      <c r="E4" s="467"/>
      <c r="F4" s="455"/>
      <c r="G4" s="467"/>
      <c r="H4" s="465"/>
    </row>
    <row r="5" spans="1:8" ht="16" customHeight="1">
      <c r="A5" s="468" t="s">
        <v>451</v>
      </c>
      <c r="B5" s="469">
        <v>0.01</v>
      </c>
      <c r="C5" s="470">
        <v>180000</v>
      </c>
      <c r="D5" s="471">
        <v>4.4999999999999998E-2</v>
      </c>
      <c r="E5" s="470">
        <v>0</v>
      </c>
      <c r="F5" s="455"/>
      <c r="G5" s="472">
        <f>Licitante!D79</f>
        <v>0</v>
      </c>
      <c r="H5" s="473">
        <f t="shared" ref="H5:H10" si="0">IF(AND($G$5&gt;=B5,$G$5&lt;=C5),ROUND((($G$5*D5)-E5)/$G$5,4),0)</f>
        <v>0</v>
      </c>
    </row>
    <row r="6" spans="1:8" ht="16" customHeight="1">
      <c r="A6" s="468" t="s">
        <v>452</v>
      </c>
      <c r="B6" s="469">
        <v>180000.01</v>
      </c>
      <c r="C6" s="470">
        <v>360000</v>
      </c>
      <c r="D6" s="471">
        <v>0.09</v>
      </c>
      <c r="E6" s="469">
        <v>8100</v>
      </c>
      <c r="F6" s="455"/>
      <c r="G6" s="474"/>
      <c r="H6" s="473">
        <f t="shared" si="0"/>
        <v>0</v>
      </c>
    </row>
    <row r="7" spans="1:8" ht="16" customHeight="1">
      <c r="A7" s="468" t="s">
        <v>453</v>
      </c>
      <c r="B7" s="469">
        <v>360000.01</v>
      </c>
      <c r="C7" s="470">
        <v>720000</v>
      </c>
      <c r="D7" s="471">
        <v>0.10199999999999999</v>
      </c>
      <c r="E7" s="469">
        <v>12420</v>
      </c>
      <c r="F7" s="455"/>
      <c r="G7" s="474"/>
      <c r="H7" s="473">
        <f t="shared" si="0"/>
        <v>0</v>
      </c>
    </row>
    <row r="8" spans="1:8" ht="16" customHeight="1">
      <c r="A8" s="468" t="s">
        <v>454</v>
      </c>
      <c r="B8" s="469">
        <v>720000.01</v>
      </c>
      <c r="C8" s="470">
        <v>1800000</v>
      </c>
      <c r="D8" s="471">
        <v>0.14000000000000001</v>
      </c>
      <c r="E8" s="469">
        <v>39780</v>
      </c>
      <c r="F8" s="455"/>
      <c r="G8" s="474"/>
      <c r="H8" s="473">
        <f>IF(AND($G$5&gt;=B8,$G$5&lt;=C8),ROUND((($G$5*D8)-E8)/$G$5,4),0)</f>
        <v>0</v>
      </c>
    </row>
    <row r="9" spans="1:8" ht="16" customHeight="1">
      <c r="A9" s="468" t="s">
        <v>455</v>
      </c>
      <c r="B9" s="469">
        <v>1800001</v>
      </c>
      <c r="C9" s="470">
        <f>B10-0.01</f>
        <v>1935545.02</v>
      </c>
      <c r="D9" s="471">
        <v>0.22</v>
      </c>
      <c r="E9" s="469">
        <v>183780</v>
      </c>
      <c r="F9" s="455"/>
      <c r="G9" s="474"/>
      <c r="H9" s="473">
        <f t="shared" si="0"/>
        <v>0</v>
      </c>
    </row>
    <row r="10" spans="1:8" ht="16" customHeight="1">
      <c r="A10" s="468" t="s">
        <v>455</v>
      </c>
      <c r="B10" s="469">
        <v>1935545.03</v>
      </c>
      <c r="C10" s="470">
        <v>3600000</v>
      </c>
      <c r="D10" s="471">
        <v>0.22</v>
      </c>
      <c r="E10" s="469">
        <v>183780</v>
      </c>
      <c r="F10" s="455"/>
      <c r="G10" s="474"/>
      <c r="H10" s="473">
        <f t="shared" si="0"/>
        <v>0</v>
      </c>
    </row>
    <row r="11" spans="1:8" ht="16" customHeight="1">
      <c r="A11" s="468" t="s">
        <v>456</v>
      </c>
      <c r="B11" s="469">
        <v>3600000.01</v>
      </c>
      <c r="C11" s="470">
        <v>4800000</v>
      </c>
      <c r="D11" s="471">
        <v>0.33</v>
      </c>
      <c r="E11" s="469">
        <v>828000</v>
      </c>
      <c r="F11" s="455"/>
      <c r="G11" s="475"/>
      <c r="H11" s="473">
        <f>IF(AND($G$5&gt;=B11,$G$5&lt;=C11*1.2),ROUND((($G$5*D11)-E11)/$G$5,4),0)</f>
        <v>0</v>
      </c>
    </row>
    <row r="12" spans="1:8">
      <c r="A12" s="455"/>
      <c r="B12" s="455"/>
      <c r="C12" s="476"/>
      <c r="D12" s="455"/>
      <c r="E12" s="455"/>
      <c r="F12" s="455"/>
      <c r="G12" s="455"/>
      <c r="H12" s="455"/>
    </row>
    <row r="13" spans="1:8">
      <c r="A13" s="463" t="s">
        <v>457</v>
      </c>
      <c r="B13" s="452" t="s">
        <v>458</v>
      </c>
      <c r="C13" s="453"/>
      <c r="D13" s="453"/>
      <c r="E13" s="453"/>
      <c r="F13" s="454"/>
      <c r="G13" s="455"/>
      <c r="H13" s="455"/>
    </row>
    <row r="14" spans="1:8">
      <c r="A14" s="463"/>
      <c r="B14" s="466" t="s">
        <v>459</v>
      </c>
      <c r="C14" s="466" t="s">
        <v>460</v>
      </c>
      <c r="D14" s="466" t="s">
        <v>461</v>
      </c>
      <c r="E14" s="466" t="s">
        <v>462</v>
      </c>
      <c r="F14" s="477" t="s">
        <v>463</v>
      </c>
      <c r="G14" s="455"/>
      <c r="H14" s="455"/>
    </row>
    <row r="15" spans="1:8" ht="16" customHeight="1">
      <c r="A15" s="468" t="s">
        <v>451</v>
      </c>
      <c r="B15" s="471">
        <v>0.188</v>
      </c>
      <c r="C15" s="471">
        <v>0.152</v>
      </c>
      <c r="D15" s="471">
        <v>0.1767</v>
      </c>
      <c r="E15" s="471">
        <v>3.8300000000000001E-2</v>
      </c>
      <c r="F15" s="471">
        <v>0.44500000000000001</v>
      </c>
      <c r="G15" s="455"/>
      <c r="H15" s="455"/>
    </row>
    <row r="16" spans="1:8" ht="16" customHeight="1">
      <c r="A16" s="468" t="s">
        <v>452</v>
      </c>
      <c r="B16" s="471">
        <v>0.19800000000000001</v>
      </c>
      <c r="C16" s="471">
        <v>0.152</v>
      </c>
      <c r="D16" s="471">
        <v>0.20549999999999999</v>
      </c>
      <c r="E16" s="471">
        <v>4.4499999999999998E-2</v>
      </c>
      <c r="F16" s="471">
        <v>0.4</v>
      </c>
      <c r="G16" s="455"/>
      <c r="H16" s="455"/>
    </row>
    <row r="17" spans="1:6" ht="16" customHeight="1">
      <c r="A17" s="468" t="s">
        <v>453</v>
      </c>
      <c r="B17" s="471">
        <v>0.20799999999999999</v>
      </c>
      <c r="C17" s="471">
        <v>0.152</v>
      </c>
      <c r="D17" s="471">
        <v>0.1973</v>
      </c>
      <c r="E17" s="471">
        <v>4.2700000000000002E-2</v>
      </c>
      <c r="F17" s="471">
        <v>0.4</v>
      </c>
    </row>
    <row r="18" spans="1:6" ht="16" customHeight="1">
      <c r="A18" s="468" t="s">
        <v>454</v>
      </c>
      <c r="B18" s="471">
        <v>0.17799999999999999</v>
      </c>
      <c r="C18" s="471">
        <v>0.192</v>
      </c>
      <c r="D18" s="471">
        <v>0.189</v>
      </c>
      <c r="E18" s="471">
        <v>4.1000000000000002E-2</v>
      </c>
      <c r="F18" s="471">
        <v>0.4</v>
      </c>
    </row>
    <row r="19" spans="1:6" ht="16" customHeight="1">
      <c r="A19" s="468" t="s">
        <v>455</v>
      </c>
      <c r="B19" s="471">
        <v>0.188</v>
      </c>
      <c r="C19" s="471">
        <v>0.192</v>
      </c>
      <c r="D19" s="471">
        <v>0.18079999999999999</v>
      </c>
      <c r="E19" s="471">
        <v>3.9199999999999999E-2</v>
      </c>
      <c r="F19" s="471">
        <v>0.4</v>
      </c>
    </row>
    <row r="20" spans="1:6" ht="16" customHeight="1">
      <c r="A20" s="468" t="s">
        <v>456</v>
      </c>
      <c r="B20" s="471">
        <v>0.53500000000000003</v>
      </c>
      <c r="C20" s="471">
        <v>0.215</v>
      </c>
      <c r="D20" s="471">
        <v>0.20549999999999999</v>
      </c>
      <c r="E20" s="471">
        <v>4.4499999999999998E-2</v>
      </c>
      <c r="F20" s="471">
        <v>0</v>
      </c>
    </row>
    <row r="21" spans="1:6" ht="25.5" customHeight="1">
      <c r="A21" s="457" t="s">
        <v>464</v>
      </c>
      <c r="B21" s="458"/>
      <c r="C21" s="458"/>
      <c r="D21" s="458"/>
      <c r="E21" s="458"/>
      <c r="F21" s="459"/>
    </row>
    <row r="22" spans="1:6" ht="25.35">
      <c r="A22" s="466" t="s">
        <v>443</v>
      </c>
      <c r="B22" s="466" t="s">
        <v>465</v>
      </c>
      <c r="C22" s="466" t="s">
        <v>466</v>
      </c>
      <c r="D22" s="466" t="s">
        <v>467</v>
      </c>
      <c r="E22" s="466" t="s">
        <v>468</v>
      </c>
      <c r="F22" s="477" t="s">
        <v>103</v>
      </c>
    </row>
    <row r="23" spans="1:6" ht="25.35">
      <c r="A23" s="468" t="s">
        <v>469</v>
      </c>
      <c r="B23" s="471">
        <v>0.31330000000000002</v>
      </c>
      <c r="C23" s="471">
        <v>0.32</v>
      </c>
      <c r="D23" s="471">
        <v>0.30130000000000001</v>
      </c>
      <c r="E23" s="471">
        <v>6.54E-2</v>
      </c>
      <c r="F23" s="471">
        <v>0.05</v>
      </c>
    </row>
    <row r="24" spans="1:6">
      <c r="A24" s="478"/>
      <c r="B24" s="478"/>
      <c r="C24" s="478"/>
      <c r="D24" s="478"/>
      <c r="E24" s="478"/>
      <c r="F24" s="456"/>
    </row>
    <row r="25" spans="1:6">
      <c r="A25" s="478"/>
      <c r="B25" s="478"/>
      <c r="C25" s="478"/>
      <c r="D25" s="478"/>
      <c r="E25" s="478"/>
      <c r="F25" s="456"/>
    </row>
    <row r="26" spans="1:6">
      <c r="A26" s="479" t="s">
        <v>470</v>
      </c>
      <c r="B26" s="480"/>
      <c r="C26" s="480"/>
      <c r="D26" s="481"/>
      <c r="E26" s="478"/>
      <c r="F26" s="478"/>
    </row>
    <row r="27" spans="1:6">
      <c r="A27" s="482" t="s">
        <v>443</v>
      </c>
      <c r="B27" s="482" t="s">
        <v>100</v>
      </c>
      <c r="C27" s="482" t="s">
        <v>101</v>
      </c>
      <c r="D27" s="482" t="s">
        <v>103</v>
      </c>
      <c r="E27" s="482" t="s">
        <v>471</v>
      </c>
      <c r="F27" s="478"/>
    </row>
    <row r="28" spans="1:6" ht="16" customHeight="1">
      <c r="A28" s="468" t="s">
        <v>451</v>
      </c>
      <c r="B28" s="473">
        <f>H5*E15</f>
        <v>0</v>
      </c>
      <c r="C28" s="473">
        <f>H5*D15</f>
        <v>0</v>
      </c>
      <c r="D28" s="473">
        <f>H5*F15</f>
        <v>0</v>
      </c>
      <c r="E28" s="483">
        <v>0.03</v>
      </c>
      <c r="F28" s="456"/>
    </row>
    <row r="29" spans="1:6" ht="16" customHeight="1">
      <c r="A29" s="468" t="s">
        <v>452</v>
      </c>
      <c r="B29" s="473">
        <f>H6*E16</f>
        <v>0</v>
      </c>
      <c r="C29" s="473">
        <f>H6*D16</f>
        <v>0</v>
      </c>
      <c r="D29" s="473">
        <f>H6*F16</f>
        <v>0</v>
      </c>
      <c r="E29" s="478"/>
      <c r="F29" s="456"/>
    </row>
    <row r="30" spans="1:6" ht="16" customHeight="1">
      <c r="A30" s="468" t="s">
        <v>453</v>
      </c>
      <c r="B30" s="473">
        <f>H7*E17</f>
        <v>0</v>
      </c>
      <c r="C30" s="473">
        <f>H7*D17</f>
        <v>0</v>
      </c>
      <c r="D30" s="473">
        <f>H7*F17</f>
        <v>0</v>
      </c>
      <c r="E30" s="478"/>
      <c r="F30" s="456"/>
    </row>
    <row r="31" spans="1:6" ht="16" customHeight="1">
      <c r="A31" s="468" t="s">
        <v>454</v>
      </c>
      <c r="B31" s="473">
        <f>H8*E18</f>
        <v>0</v>
      </c>
      <c r="C31" s="473">
        <f>H8*D18</f>
        <v>0</v>
      </c>
      <c r="D31" s="473">
        <f>H8*F18</f>
        <v>0</v>
      </c>
      <c r="E31" s="478"/>
      <c r="F31" s="456"/>
    </row>
    <row r="32" spans="1:6" ht="16" customHeight="1">
      <c r="A32" s="468" t="s">
        <v>455</v>
      </c>
      <c r="B32" s="473">
        <f>H9*E19</f>
        <v>0</v>
      </c>
      <c r="C32" s="473">
        <f>H9*D19</f>
        <v>0</v>
      </c>
      <c r="D32" s="473">
        <f>H9*F19</f>
        <v>0</v>
      </c>
      <c r="E32" s="478"/>
      <c r="F32" s="456"/>
    </row>
    <row r="33" spans="1:4">
      <c r="A33" s="468" t="s">
        <v>472</v>
      </c>
      <c r="B33" s="473">
        <f>IF(H10&gt;0,(H10-0.05)*E23,0)</f>
        <v>0</v>
      </c>
      <c r="C33" s="473">
        <f>IF(H10&gt;0,(H10-0.05)*D23,0)</f>
        <v>0</v>
      </c>
      <c r="D33" s="473">
        <f>IF(H10&gt;0,F23,0)</f>
        <v>0</v>
      </c>
    </row>
    <row r="34" spans="1:4" ht="24.65" customHeight="1">
      <c r="A34" s="468" t="s">
        <v>456</v>
      </c>
      <c r="B34" s="473">
        <f>H11*E20</f>
        <v>0</v>
      </c>
      <c r="C34" s="473">
        <f>H11*D20</f>
        <v>0</v>
      </c>
      <c r="D34" s="473">
        <f>H11*F20</f>
        <v>0</v>
      </c>
    </row>
    <row r="35" spans="1:4" ht="31" customHeight="1">
      <c r="A35" s="484" t="s">
        <v>473</v>
      </c>
      <c r="B35" s="485">
        <f>ROUND(SUM(B28:B34),4)</f>
        <v>0</v>
      </c>
      <c r="C35" s="485">
        <f>ROUND(SUM(C28:C34),4)</f>
        <v>0</v>
      </c>
      <c r="D35" s="485">
        <f>ROUND(SUM(D28:D34),4)</f>
        <v>0</v>
      </c>
    </row>
    <row r="37" spans="1:4">
      <c r="A37" s="484" t="s">
        <v>474</v>
      </c>
      <c r="B37" s="486" t="s">
        <v>475</v>
      </c>
    </row>
  </sheetData>
  <mergeCells count="13">
    <mergeCell ref="A26:D26"/>
    <mergeCell ref="G3:G4"/>
    <mergeCell ref="H3:H4"/>
    <mergeCell ref="G5:G11"/>
    <mergeCell ref="A13:A14"/>
    <mergeCell ref="B13:F13"/>
    <mergeCell ref="A21:F21"/>
    <mergeCell ref="A1:E1"/>
    <mergeCell ref="A2:E2"/>
    <mergeCell ref="A3:A4"/>
    <mergeCell ref="B3:C3"/>
    <mergeCell ref="D3:D4"/>
    <mergeCell ref="E3:E4"/>
  </mergeCells>
  <conditionalFormatting sqref="B28:D34">
    <cfRule type="cellIs" dxfId="1" priority="1" operator="equal">
      <formula>0</formula>
    </cfRule>
  </conditionalFormatting>
  <conditionalFormatting sqref="H5:H11">
    <cfRule type="cellIs" dxfId="0" priority="2" operator="equal">
      <formula>0</formula>
    </cfRule>
  </conditionalFormatting>
  <dataValidations count="1">
    <dataValidation type="list" allowBlank="1" showInputMessage="1" showErrorMessage="1" sqref="B37" xr:uid="{DD2EDEC8-38F3-4E9A-8E50-7B208282846E}">
      <formula1>"m2,Posto"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2DD321D0EB8E4EA7279A1DF6B0B525" ma:contentTypeVersion="15" ma:contentTypeDescription="Crie um novo documento." ma:contentTypeScope="" ma:versionID="264719c7f74534b3c0c002be71413ff8">
  <xsd:schema xmlns:xsd="http://www.w3.org/2001/XMLSchema" xmlns:xs="http://www.w3.org/2001/XMLSchema" xmlns:p="http://schemas.microsoft.com/office/2006/metadata/properties" xmlns:ns2="64a22de5-0768-4b82-a85d-749a4d842431" xmlns:ns3="d5012819-820f-4f58-97cc-92638848d0a5" xmlns:ns4="1c343fe7-d293-48f8-95a0-508e3568d6db" targetNamespace="http://schemas.microsoft.com/office/2006/metadata/properties" ma:root="true" ma:fieldsID="69be44797f7f7b62f2e6bc5819dc49b9" ns2:_="" ns3:_="" ns4:_="">
    <xsd:import namespace="64a22de5-0768-4b82-a85d-749a4d842431"/>
    <xsd:import namespace="d5012819-820f-4f58-97cc-92638848d0a5"/>
    <xsd:import namespace="1c343fe7-d293-48f8-95a0-508e3568d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OBSERVA_x00c7__x00c3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22de5-0768-4b82-a85d-749a4d84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bbb0a7e8-13cc-4f9e-86a5-04ec5dc485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OBSERVA_x00c7__x00c3_O" ma:index="22" nillable="true" ma:displayName="OBSERVAÇÃO" ma:format="Dropdown" ma:internalName="OBSERVA_x00c7__x00c3_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12819-820f-4f58-97cc-92638848d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43fe7-d293-48f8-95a0-508e3568d6d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8c47744-b37c-49b0-b881-66715e9c3cd8}" ma:internalName="TaxCatchAll" ma:showField="CatchAllData" ma:web="d5012819-820f-4f58-97cc-92638848d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a22de5-0768-4b82-a85d-749a4d842431">
      <Terms xmlns="http://schemas.microsoft.com/office/infopath/2007/PartnerControls"/>
    </lcf76f155ced4ddcb4097134ff3c332f>
    <TaxCatchAll xmlns="1c343fe7-d293-48f8-95a0-508e3568d6db" xsi:nil="true"/>
    <OBSERVA_x00c7__x00c3_O xmlns="64a22de5-0768-4b82-a85d-749a4d842431" xsi:nil="true"/>
  </documentManagement>
</p:properties>
</file>

<file path=customXml/itemProps1.xml><?xml version="1.0" encoding="utf-8"?>
<ds:datastoreItem xmlns:ds="http://schemas.openxmlformats.org/officeDocument/2006/customXml" ds:itemID="{396E3EFA-F425-462E-A7F5-430C15FCFF7A}"/>
</file>

<file path=customXml/itemProps2.xml><?xml version="1.0" encoding="utf-8"?>
<ds:datastoreItem xmlns:ds="http://schemas.openxmlformats.org/officeDocument/2006/customXml" ds:itemID="{A232D883-F0F4-4A40-9C1C-E5F494B0831D}"/>
</file>

<file path=customXml/itemProps3.xml><?xml version="1.0" encoding="utf-8"?>
<ds:datastoreItem xmlns:ds="http://schemas.openxmlformats.org/officeDocument/2006/customXml" ds:itemID="{44F8AF1A-A3D3-47A4-83F2-6AE5D2FCC0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58</vt:i4>
      </vt:variant>
    </vt:vector>
  </HeadingPairs>
  <TitlesOfParts>
    <vt:vector size="67" baseType="lpstr">
      <vt:lpstr>Licitante</vt:lpstr>
      <vt:lpstr>Áreas a serem limpas</vt:lpstr>
      <vt:lpstr>Servente 40h</vt:lpstr>
      <vt:lpstr>Servente 20h</vt:lpstr>
      <vt:lpstr>Servente com insalubridade</vt:lpstr>
      <vt:lpstr>Limpador de vidros sem risco- D</vt:lpstr>
      <vt:lpstr>Limpador de vidros com risco- D</vt:lpstr>
      <vt:lpstr>Valor mensal dos serviços </vt:lpstr>
      <vt:lpstr>CALCULO SIMPLES</vt:lpstr>
      <vt:lpstr>ac</vt:lpstr>
      <vt:lpstr>acd</vt:lpstr>
      <vt:lpstr>ai</vt:lpstr>
      <vt:lpstr>as</vt:lpstr>
      <vt:lpstr>av</vt:lpstr>
      <vt:lpstr>ba</vt:lpstr>
      <vt:lpstr>bss</vt:lpstr>
      <vt:lpstr>cb</vt:lpstr>
      <vt:lpstr>e_asc</vt:lpstr>
      <vt:lpstr>e_asp</vt:lpstr>
      <vt:lpstr>e_car</vt:lpstr>
      <vt:lpstr>e_cd</vt:lpstr>
      <vt:lpstr>e_enc</vt:lpstr>
      <vt:lpstr>e_lav</vt:lpstr>
      <vt:lpstr>e_man</vt:lpstr>
      <vt:lpstr>e_mop</vt:lpstr>
      <vt:lpstr>e_pava</vt:lpstr>
      <vt:lpstr>e_pavb</vt:lpstr>
      <vt:lpstr>e_pavm</vt:lpstr>
      <vt:lpstr>e_pp</vt:lpstr>
      <vt:lpstr>e_va</vt:lpstr>
      <vt:lpstr>fcr</vt:lpstr>
      <vt:lpstr>fe</vt:lpstr>
      <vt:lpstr>fi</vt:lpstr>
      <vt:lpstr>fsr</vt:lpstr>
      <vt:lpstr>i_alm</vt:lpstr>
      <vt:lpstr>i_b00</vt:lpstr>
      <vt:lpstr>i_b40</vt:lpstr>
      <vt:lpstr>i_el</vt:lpstr>
      <vt:lpstr>i_lab</vt:lpstr>
      <vt:lpstr>i_of</vt:lpstr>
      <vt:lpstr>i_pa</vt:lpstr>
      <vt:lpstr>i_pf</vt:lpstr>
      <vt:lpstr>iss</vt:lpstr>
      <vt:lpstr>Local</vt:lpstr>
      <vt:lpstr>mh_ag</vt:lpstr>
      <vt:lpstr>mh_dis</vt:lpstr>
      <vt:lpstr>mh_disag</vt:lpstr>
      <vt:lpstr>mh_disfo</vt:lpstr>
      <vt:lpstr>mh_disg</vt:lpstr>
      <vt:lpstr>mh_dissl</vt:lpstr>
      <vt:lpstr>mh_fa</vt:lpstr>
      <vt:lpstr>mh_ph</vt:lpstr>
      <vt:lpstr>mh_phg</vt:lpstr>
      <vt:lpstr>mh_pt</vt:lpstr>
      <vt:lpstr>mh_sa</vt:lpstr>
      <vt:lpstr>mh_sl</vt:lpstr>
      <vt:lpstr>ml_comeco</vt:lpstr>
      <vt:lpstr>Q20S</vt:lpstr>
      <vt:lpstr>Q40C</vt:lpstr>
      <vt:lpstr>Q40S</vt:lpstr>
      <vt:lpstr>rlv</vt:lpstr>
      <vt:lpstr>rservl</vt:lpstr>
      <vt:lpstr>rsev</vt:lpstr>
      <vt:lpstr>tipo</vt:lpstr>
      <vt:lpstr>tr</vt:lpstr>
      <vt:lpstr>Unidade</vt:lpstr>
      <vt:lpstr>vtt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Claudia Kazuko Iwai Moraes Bueno</dc:creator>
  <cp:lastModifiedBy>Ana Claudia Kazuko Iwai Moraes Bueno</cp:lastModifiedBy>
  <dcterms:created xsi:type="dcterms:W3CDTF">2025-07-02T13:20:05Z</dcterms:created>
  <dcterms:modified xsi:type="dcterms:W3CDTF">2025-07-02T13:20:05Z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0x010100082DD321D0EB8E4EA7279A1DF6B0B525</vt:lpwstr>
  </property>
</Properties>
</file>