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4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rarfb.rfb.gov.br\DFS-SRRF10\Licitacoes\AAA Banco de Dados - Servidor\000 PASTA REGIONAL\LICITAÇÃO 2025\PR ---- 2025 - Manutenção Predial PEL e RGE - 11000-723.2832025-44\1. Espelho e-processo\"/>
    </mc:Choice>
  </mc:AlternateContent>
  <xr:revisionPtr revIDLastSave="0" documentId="13_ncr:1_{CAE2FD82-2045-43FD-AEAE-205F4E798F7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sumo" sheetId="6" r:id="rId1"/>
    <sheet name="Sintética" sheetId="1" r:id="rId2"/>
    <sheet name="Dem.Vnj.Rgm" sheetId="21" r:id="rId3"/>
    <sheet name="Dem.Anlt.Enc.Soc" sheetId="20" r:id="rId4"/>
    <sheet name="MO SINAPI" sheetId="9" r:id="rId5"/>
    <sheet name="BDI" sheetId="3" r:id="rId6"/>
    <sheet name="Análitica" sheetId="2" r:id="rId7"/>
    <sheet name="Plano Mnt Hh" sheetId="7" r:id="rId8"/>
    <sheet name="Deslocamentos" sheetId="11" r:id="rId9"/>
    <sheet name="Diárias" sheetId="10" r:id="rId10"/>
    <sheet name="Consumíveis" sheetId="17" r:id="rId11"/>
    <sheet name="Inspeção Predial" sheetId="15" r:id="rId12"/>
    <sheet name="Termografia" sheetId="16" r:id="rId13"/>
  </sheets>
  <definedNames>
    <definedName name="_xlnm.Print_Area" localSheetId="6">Análitica!$A$1:$J$79</definedName>
    <definedName name="_xlnm.Print_Area" localSheetId="5">BDI!$B$2:$E$42</definedName>
    <definedName name="_xlnm.Print_Area" localSheetId="2">'Dem.Vnj.Rgm'!$A$1:$J$79</definedName>
    <definedName name="JR_PAGE_ANCHOR_1_1">#REF!</definedName>
    <definedName name="JR_PAGE_ANCHOR_10_1">#REF!</definedName>
    <definedName name="JR_PAGE_ANCHOR_11_1">#REF!</definedName>
    <definedName name="JR_PAGE_ANCHOR_15_1">#REF!</definedName>
    <definedName name="JR_PAGE_ANCHOR_3_1">#REF!</definedName>
    <definedName name="JR_PAGE_ANCHOR_6_1">#REF!</definedName>
    <definedName name="JR_PAGE_ANCHOR_7_1">#REF!</definedName>
    <definedName name="JR_PAGE_ANCHOR_8_1">#REF!</definedName>
    <definedName name="JR_PAGE_ANCHOR_9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2" i="2" l="1"/>
  <c r="E29" i="2"/>
  <c r="E69" i="2"/>
  <c r="E26" i="2"/>
  <c r="J7" i="20"/>
  <c r="M34" i="21"/>
  <c r="O5" i="21"/>
  <c r="K22" i="21"/>
  <c r="K65" i="21" s="1"/>
  <c r="K21" i="21"/>
  <c r="K20" i="21"/>
  <c r="K19" i="21"/>
  <c r="K18" i="21"/>
  <c r="K61" i="21" s="1"/>
  <c r="K17" i="21"/>
  <c r="K16" i="21"/>
  <c r="K15" i="21"/>
  <c r="K58" i="21" s="1"/>
  <c r="K14" i="21"/>
  <c r="K57" i="21" s="1"/>
  <c r="K13" i="21"/>
  <c r="K70" i="21"/>
  <c r="K71" i="21"/>
  <c r="K39" i="21"/>
  <c r="K40" i="21"/>
  <c r="K42" i="21"/>
  <c r="K43" i="21"/>
  <c r="K44" i="21"/>
  <c r="K45" i="21"/>
  <c r="K46" i="21"/>
  <c r="K49" i="21"/>
  <c r="L49" i="21" s="1"/>
  <c r="K50" i="21"/>
  <c r="K51" i="21"/>
  <c r="L51" i="21" s="1"/>
  <c r="K27" i="21"/>
  <c r="K28" i="21"/>
  <c r="K30" i="21"/>
  <c r="K64" i="21"/>
  <c r="K56" i="21"/>
  <c r="A8" i="21"/>
  <c r="A5" i="21"/>
  <c r="A6" i="21"/>
  <c r="A7" i="21"/>
  <c r="J7" i="21"/>
  <c r="O7" i="21" s="1"/>
  <c r="F73" i="21"/>
  <c r="K73" i="21" s="1"/>
  <c r="E73" i="21"/>
  <c r="F72" i="21"/>
  <c r="K72" i="21" s="1"/>
  <c r="E72" i="21"/>
  <c r="E71" i="21"/>
  <c r="G71" i="21" s="1"/>
  <c r="E70" i="21"/>
  <c r="G70" i="21" s="1"/>
  <c r="F69" i="21"/>
  <c r="K69" i="21" s="1"/>
  <c r="E69" i="21"/>
  <c r="E65" i="21"/>
  <c r="E64" i="21"/>
  <c r="L64" i="21" s="1"/>
  <c r="E63" i="21"/>
  <c r="E62" i="21"/>
  <c r="E61" i="21"/>
  <c r="E60" i="21"/>
  <c r="E59" i="21"/>
  <c r="E58" i="21"/>
  <c r="E57" i="21"/>
  <c r="E56" i="21"/>
  <c r="G51" i="21"/>
  <c r="E50" i="21"/>
  <c r="G50" i="21" s="1"/>
  <c r="G49" i="21"/>
  <c r="F48" i="21"/>
  <c r="G48" i="21" s="1"/>
  <c r="F47" i="21"/>
  <c r="K47" i="21" s="1"/>
  <c r="E47" i="21"/>
  <c r="E46" i="21"/>
  <c r="E45" i="21"/>
  <c r="G45" i="21" s="1"/>
  <c r="E44" i="21"/>
  <c r="E43" i="21"/>
  <c r="G43" i="21" s="1"/>
  <c r="E42" i="21"/>
  <c r="G42" i="21" s="1"/>
  <c r="F41" i="21"/>
  <c r="K41" i="21" s="1"/>
  <c r="E41" i="21"/>
  <c r="E40" i="21"/>
  <c r="G40" i="21" s="1"/>
  <c r="E39" i="21"/>
  <c r="G39" i="21" s="1"/>
  <c r="F38" i="21"/>
  <c r="G38" i="21" s="1"/>
  <c r="F34" i="21"/>
  <c r="K34" i="21" s="1"/>
  <c r="L34" i="21" s="1"/>
  <c r="E30" i="21"/>
  <c r="G30" i="21" s="1"/>
  <c r="F29" i="21"/>
  <c r="K29" i="21" s="1"/>
  <c r="E29" i="21"/>
  <c r="E28" i="21"/>
  <c r="E27" i="21"/>
  <c r="G27" i="21" s="1"/>
  <c r="F26" i="21"/>
  <c r="K26" i="21" s="1"/>
  <c r="E26" i="21"/>
  <c r="F22" i="21"/>
  <c r="F65" i="21" s="1"/>
  <c r="E22" i="21"/>
  <c r="F21" i="21"/>
  <c r="E21" i="21"/>
  <c r="L21" i="21" s="1"/>
  <c r="F20" i="21"/>
  <c r="F63" i="21" s="1"/>
  <c r="E20" i="21"/>
  <c r="L20" i="21" s="1"/>
  <c r="F19" i="21"/>
  <c r="F62" i="21" s="1"/>
  <c r="E19" i="21"/>
  <c r="L19" i="21" s="1"/>
  <c r="F18" i="21"/>
  <c r="F61" i="21" s="1"/>
  <c r="E18" i="21"/>
  <c r="F17" i="21"/>
  <c r="E17" i="21"/>
  <c r="F16" i="21"/>
  <c r="F59" i="21" s="1"/>
  <c r="E16" i="21"/>
  <c r="L16" i="21" s="1"/>
  <c r="F15" i="21"/>
  <c r="F58" i="21" s="1"/>
  <c r="E15" i="21"/>
  <c r="F14" i="21"/>
  <c r="F57" i="21" s="1"/>
  <c r="E14" i="21"/>
  <c r="F13" i="21"/>
  <c r="E13" i="21"/>
  <c r="L13" i="21" s="1"/>
  <c r="A4" i="21"/>
  <c r="B47" i="20"/>
  <c r="A47" i="20"/>
  <c r="C49" i="20"/>
  <c r="AO18" i="20" s="1"/>
  <c r="C50" i="20"/>
  <c r="C51" i="20"/>
  <c r="C52" i="20"/>
  <c r="C53" i="20"/>
  <c r="C54" i="20"/>
  <c r="C55" i="20"/>
  <c r="C56" i="20"/>
  <c r="C57" i="20"/>
  <c r="C48" i="20"/>
  <c r="B49" i="20"/>
  <c r="B50" i="20"/>
  <c r="B51" i="20"/>
  <c r="B52" i="20"/>
  <c r="B53" i="20"/>
  <c r="B54" i="20"/>
  <c r="B55" i="20"/>
  <c r="B56" i="20"/>
  <c r="B57" i="20"/>
  <c r="B48" i="20"/>
  <c r="A49" i="20"/>
  <c r="A50" i="20"/>
  <c r="A51" i="20"/>
  <c r="A52" i="20"/>
  <c r="A53" i="20"/>
  <c r="A54" i="20"/>
  <c r="A55" i="20"/>
  <c r="A56" i="20"/>
  <c r="A57" i="20"/>
  <c r="A48" i="20"/>
  <c r="BV39" i="20"/>
  <c r="BT39" i="20"/>
  <c r="BO39" i="20"/>
  <c r="BM39" i="20"/>
  <c r="BH39" i="20"/>
  <c r="BF39" i="20"/>
  <c r="BA39" i="20"/>
  <c r="AY39" i="20"/>
  <c r="AT39" i="20"/>
  <c r="AR39" i="20"/>
  <c r="AL39" i="20"/>
  <c r="AJ39" i="20"/>
  <c r="AF39" i="20"/>
  <c r="AD39" i="20"/>
  <c r="Y39" i="20"/>
  <c r="W39" i="20"/>
  <c r="R39" i="20"/>
  <c r="P39" i="20"/>
  <c r="K39" i="20"/>
  <c r="I39" i="20"/>
  <c r="F39" i="20"/>
  <c r="E39" i="20"/>
  <c r="D39" i="20"/>
  <c r="C39" i="20"/>
  <c r="BV35" i="20"/>
  <c r="BT35" i="20"/>
  <c r="BO35" i="20"/>
  <c r="BM35" i="20"/>
  <c r="BH35" i="20"/>
  <c r="BF35" i="20"/>
  <c r="BA35" i="20"/>
  <c r="AY35" i="20"/>
  <c r="AT35" i="20"/>
  <c r="AR35" i="20"/>
  <c r="AL35" i="20"/>
  <c r="AJ35" i="20"/>
  <c r="AF35" i="20"/>
  <c r="AD35" i="20"/>
  <c r="Y35" i="20"/>
  <c r="W35" i="20"/>
  <c r="R35" i="20"/>
  <c r="P35" i="20"/>
  <c r="K35" i="20"/>
  <c r="I35" i="20"/>
  <c r="BV28" i="20"/>
  <c r="BT28" i="20"/>
  <c r="BO28" i="20"/>
  <c r="BM28" i="20"/>
  <c r="BH28" i="20"/>
  <c r="BF28" i="20"/>
  <c r="BA28" i="20"/>
  <c r="AY28" i="20"/>
  <c r="AT28" i="20"/>
  <c r="AR28" i="20"/>
  <c r="AL28" i="20"/>
  <c r="AJ28" i="20"/>
  <c r="AF28" i="20"/>
  <c r="AD28" i="20"/>
  <c r="Y28" i="20"/>
  <c r="W28" i="20"/>
  <c r="R28" i="20"/>
  <c r="P28" i="20"/>
  <c r="K28" i="20"/>
  <c r="I28" i="20"/>
  <c r="F28" i="20"/>
  <c r="E28" i="20"/>
  <c r="D28" i="20"/>
  <c r="C28" i="20"/>
  <c r="BV16" i="20"/>
  <c r="BT16" i="20"/>
  <c r="BO16" i="20"/>
  <c r="BM16" i="20"/>
  <c r="BH16" i="20"/>
  <c r="BF16" i="20"/>
  <c r="BA16" i="20"/>
  <c r="AY16" i="20"/>
  <c r="AT16" i="20"/>
  <c r="AR16" i="20"/>
  <c r="AL16" i="20"/>
  <c r="AJ16" i="20"/>
  <c r="AF16" i="20"/>
  <c r="AD16" i="20"/>
  <c r="Y16" i="20"/>
  <c r="W16" i="20"/>
  <c r="R16" i="20"/>
  <c r="P16" i="20"/>
  <c r="K16" i="20"/>
  <c r="I16" i="20"/>
  <c r="F16" i="20"/>
  <c r="E16" i="20"/>
  <c r="D16" i="20"/>
  <c r="C16" i="20"/>
  <c r="L56" i="21" l="1"/>
  <c r="N34" i="21"/>
  <c r="L72" i="21"/>
  <c r="L61" i="21"/>
  <c r="L28" i="21"/>
  <c r="L26" i="21"/>
  <c r="L22" i="21"/>
  <c r="L44" i="21"/>
  <c r="L57" i="21"/>
  <c r="L65" i="21"/>
  <c r="L39" i="21"/>
  <c r="L15" i="21"/>
  <c r="L58" i="21"/>
  <c r="L18" i="21"/>
  <c r="L70" i="21"/>
  <c r="L73" i="21"/>
  <c r="L46" i="21"/>
  <c r="L17" i="21"/>
  <c r="L14" i="21"/>
  <c r="L69" i="21"/>
  <c r="L41" i="21"/>
  <c r="L27" i="21"/>
  <c r="L47" i="21"/>
  <c r="L43" i="21"/>
  <c r="L29" i="21"/>
  <c r="L45" i="21"/>
  <c r="K48" i="21"/>
  <c r="L50" i="21"/>
  <c r="L42" i="21"/>
  <c r="L71" i="21"/>
  <c r="L30" i="21"/>
  <c r="L40" i="21"/>
  <c r="K60" i="21"/>
  <c r="K62" i="21"/>
  <c r="K38" i="21"/>
  <c r="K59" i="21"/>
  <c r="K63" i="21"/>
  <c r="H34" i="21"/>
  <c r="I34" i="21" s="1"/>
  <c r="J34" i="21" s="1"/>
  <c r="J35" i="21" s="1"/>
  <c r="G22" i="21"/>
  <c r="G15" i="21"/>
  <c r="G19" i="21"/>
  <c r="G16" i="21"/>
  <c r="G20" i="21"/>
  <c r="G72" i="21"/>
  <c r="G13" i="21"/>
  <c r="G17" i="21"/>
  <c r="G41" i="21"/>
  <c r="G69" i="21"/>
  <c r="G73" i="21"/>
  <c r="G14" i="21"/>
  <c r="G21" i="21"/>
  <c r="G18" i="21"/>
  <c r="G58" i="21"/>
  <c r="G59" i="21"/>
  <c r="G63" i="21"/>
  <c r="G62" i="21"/>
  <c r="G26" i="21"/>
  <c r="G29" i="21"/>
  <c r="G44" i="21"/>
  <c r="G47" i="21"/>
  <c r="G57" i="21"/>
  <c r="G61" i="21"/>
  <c r="G65" i="21"/>
  <c r="F56" i="21"/>
  <c r="G56" i="21" s="1"/>
  <c r="F60" i="21"/>
  <c r="G60" i="21" s="1"/>
  <c r="F64" i="21"/>
  <c r="G28" i="21"/>
  <c r="G46" i="21"/>
  <c r="G34" i="21"/>
  <c r="AO19" i="20"/>
  <c r="AO24" i="20"/>
  <c r="AN24" i="20"/>
  <c r="AN18" i="20"/>
  <c r="AN19" i="20"/>
  <c r="F40" i="20"/>
  <c r="AL42" i="20" s="1"/>
  <c r="AO42" i="20" s="1"/>
  <c r="BH40" i="20"/>
  <c r="C40" i="20"/>
  <c r="BM3" i="20" s="1"/>
  <c r="BL42" i="20" s="1"/>
  <c r="BP42" i="20" s="1"/>
  <c r="D40" i="20"/>
  <c r="AJ42" i="20" s="1"/>
  <c r="AN42" i="20" s="1"/>
  <c r="E40" i="20"/>
  <c r="AZ42" i="20" s="1"/>
  <c r="BC42" i="20" s="1"/>
  <c r="BT40" i="20"/>
  <c r="R40" i="20"/>
  <c r="BF40" i="20"/>
  <c r="Y40" i="20"/>
  <c r="AF40" i="20"/>
  <c r="P40" i="20"/>
  <c r="AR40" i="20"/>
  <c r="AT40" i="20"/>
  <c r="BV40" i="20"/>
  <c r="BO40" i="20"/>
  <c r="AD40" i="20"/>
  <c r="AY40" i="20"/>
  <c r="K40" i="20"/>
  <c r="AJ40" i="20"/>
  <c r="BA40" i="20"/>
  <c r="AL40" i="20"/>
  <c r="W40" i="20"/>
  <c r="BM40" i="20"/>
  <c r="I40" i="20"/>
  <c r="L48" i="21" l="1"/>
  <c r="L38" i="21"/>
  <c r="L60" i="21"/>
  <c r="L63" i="21"/>
  <c r="L62" i="21"/>
  <c r="L59" i="21"/>
  <c r="O34" i="21"/>
  <c r="O35" i="21" s="1"/>
  <c r="G64" i="21"/>
  <c r="BL34" i="20"/>
  <c r="AZ27" i="20"/>
  <c r="AC42" i="20"/>
  <c r="AG42" i="20" s="1"/>
  <c r="AM30" i="20"/>
  <c r="AK26" i="20"/>
  <c r="AZ34" i="20"/>
  <c r="AX42" i="20"/>
  <c r="BB42" i="20" s="1"/>
  <c r="O42" i="20"/>
  <c r="S42" i="20" s="1"/>
  <c r="X42" i="20"/>
  <c r="AA42" i="20" s="1"/>
  <c r="BU42" i="20"/>
  <c r="BU9" i="20" s="1"/>
  <c r="BX9" i="20" s="1"/>
  <c r="BL22" i="20"/>
  <c r="BL13" i="20"/>
  <c r="AZ9" i="20"/>
  <c r="BG42" i="20"/>
  <c r="BJ42" i="20" s="1"/>
  <c r="AZ13" i="20"/>
  <c r="H42" i="20"/>
  <c r="L42" i="20" s="1"/>
  <c r="BL9" i="20"/>
  <c r="AM7" i="20"/>
  <c r="AM8" i="20"/>
  <c r="AM31" i="20"/>
  <c r="AM33" i="20"/>
  <c r="BL18" i="20"/>
  <c r="AM14" i="20"/>
  <c r="AM15" i="20"/>
  <c r="AM20" i="20"/>
  <c r="AK11" i="20"/>
  <c r="AM37" i="20"/>
  <c r="AM9" i="20"/>
  <c r="AK31" i="20"/>
  <c r="AM26" i="20"/>
  <c r="AZ11" i="20"/>
  <c r="AZ30" i="20"/>
  <c r="BO3" i="20"/>
  <c r="BN42" i="20" s="1"/>
  <c r="BQ42" i="20" s="1"/>
  <c r="AZ31" i="20"/>
  <c r="AZ32" i="20"/>
  <c r="AZ38" i="20"/>
  <c r="AE42" i="20"/>
  <c r="AH42" i="20" s="1"/>
  <c r="AZ8" i="20"/>
  <c r="AZ19" i="20"/>
  <c r="AM25" i="20"/>
  <c r="J42" i="20"/>
  <c r="M42" i="20" s="1"/>
  <c r="AZ10" i="20"/>
  <c r="AZ21" i="20"/>
  <c r="AM13" i="20"/>
  <c r="Q42" i="20"/>
  <c r="T42" i="20" s="1"/>
  <c r="AZ22" i="20"/>
  <c r="AM23" i="20"/>
  <c r="AS42" i="20"/>
  <c r="AV42" i="20" s="1"/>
  <c r="AZ20" i="20"/>
  <c r="AZ26" i="20"/>
  <c r="BL11" i="20"/>
  <c r="BL26" i="20"/>
  <c r="BL38" i="20"/>
  <c r="AK30" i="20"/>
  <c r="BE42" i="20"/>
  <c r="BI42" i="20" s="1"/>
  <c r="BL31" i="20"/>
  <c r="AK37" i="20"/>
  <c r="AQ42" i="20"/>
  <c r="AU42" i="20" s="1"/>
  <c r="AK27" i="20"/>
  <c r="AK12" i="20"/>
  <c r="AM12" i="20"/>
  <c r="AM21" i="20"/>
  <c r="AM38" i="20"/>
  <c r="BS42" i="20"/>
  <c r="BW42" i="20" s="1"/>
  <c r="AM22" i="20"/>
  <c r="BL30" i="20"/>
  <c r="BL25" i="20"/>
  <c r="BL37" i="20"/>
  <c r="AK38" i="20"/>
  <c r="AK22" i="20"/>
  <c r="AZ14" i="20"/>
  <c r="AZ37" i="20"/>
  <c r="AM32" i="20"/>
  <c r="AM11" i="20"/>
  <c r="AK33" i="20"/>
  <c r="BL19" i="20"/>
  <c r="AK34" i="20"/>
  <c r="BL21" i="20"/>
  <c r="BL33" i="20"/>
  <c r="BL24" i="20"/>
  <c r="AM27" i="20"/>
  <c r="V42" i="20"/>
  <c r="AK15" i="20"/>
  <c r="BL32" i="20"/>
  <c r="BL12" i="20"/>
  <c r="AK8" i="20"/>
  <c r="AZ7" i="20"/>
  <c r="AZ18" i="20"/>
  <c r="AM10" i="20"/>
  <c r="BL27" i="20"/>
  <c r="BL8" i="20"/>
  <c r="BL14" i="20"/>
  <c r="AK32" i="20"/>
  <c r="AK21" i="20"/>
  <c r="AK23" i="20"/>
  <c r="BL7" i="20"/>
  <c r="BL10" i="20"/>
  <c r="BL20" i="20"/>
  <c r="BL23" i="20"/>
  <c r="AK25" i="20"/>
  <c r="BL15" i="20"/>
  <c r="AM34" i="20"/>
  <c r="AK7" i="20"/>
  <c r="AK10" i="20"/>
  <c r="AK14" i="20"/>
  <c r="AZ24" i="20"/>
  <c r="AZ15" i="20"/>
  <c r="AZ25" i="20"/>
  <c r="AZ23" i="20"/>
  <c r="AK9" i="20"/>
  <c r="AK13" i="20"/>
  <c r="AK20" i="20"/>
  <c r="AZ33" i="20"/>
  <c r="AZ12" i="20"/>
  <c r="E13" i="2"/>
  <c r="F19" i="2"/>
  <c r="AX8" i="20" l="1"/>
  <c r="BB8" i="20" s="1"/>
  <c r="AX15" i="20"/>
  <c r="AQ10" i="20"/>
  <c r="AU10" i="20" s="1"/>
  <c r="BP7" i="20"/>
  <c r="BP24" i="20"/>
  <c r="BS33" i="20"/>
  <c r="BW33" i="20" s="1"/>
  <c r="BP31" i="20"/>
  <c r="X27" i="20"/>
  <c r="AA27" i="20" s="1"/>
  <c r="BP33" i="20"/>
  <c r="BP15" i="20"/>
  <c r="BP12" i="20"/>
  <c r="BP38" i="20"/>
  <c r="BP21" i="20"/>
  <c r="BP18" i="20"/>
  <c r="BP14" i="20"/>
  <c r="BP32" i="20"/>
  <c r="BP19" i="20"/>
  <c r="BP37" i="20"/>
  <c r="BP26" i="20"/>
  <c r="BP13" i="20"/>
  <c r="BP23" i="20"/>
  <c r="BP10" i="20"/>
  <c r="BP8" i="20"/>
  <c r="BP25" i="20"/>
  <c r="BP11" i="20"/>
  <c r="BP22" i="20"/>
  <c r="BP20" i="20"/>
  <c r="BP27" i="20"/>
  <c r="BP30" i="20"/>
  <c r="BU37" i="20"/>
  <c r="BX37" i="20" s="1"/>
  <c r="BX42" i="20"/>
  <c r="BP9" i="20"/>
  <c r="BP34" i="20"/>
  <c r="AX10" i="20"/>
  <c r="BB10" i="20" s="1"/>
  <c r="AX19" i="20"/>
  <c r="BB19" i="20" s="1"/>
  <c r="AX25" i="20"/>
  <c r="AX21" i="20"/>
  <c r="BE10" i="20"/>
  <c r="AX37" i="20"/>
  <c r="BB37" i="20" s="1"/>
  <c r="BE31" i="20"/>
  <c r="BI31" i="20" s="1"/>
  <c r="AX9" i="20"/>
  <c r="BB9" i="20" s="1"/>
  <c r="AX11" i="20"/>
  <c r="AX24" i="20"/>
  <c r="BB24" i="20" s="1"/>
  <c r="AX27" i="20"/>
  <c r="BB27" i="20" s="1"/>
  <c r="BN24" i="20"/>
  <c r="AX18" i="20"/>
  <c r="BB18" i="20" s="1"/>
  <c r="AX38" i="20"/>
  <c r="BB38" i="20" s="1"/>
  <c r="BN9" i="20"/>
  <c r="X23" i="20"/>
  <c r="AA23" i="20" s="1"/>
  <c r="BB11" i="20"/>
  <c r="AC11" i="20"/>
  <c r="AG11" i="20" s="1"/>
  <c r="BC7" i="20"/>
  <c r="BC14" i="20"/>
  <c r="BE38" i="20"/>
  <c r="BI38" i="20" s="1"/>
  <c r="BC19" i="20"/>
  <c r="BC11" i="20"/>
  <c r="BC13" i="20"/>
  <c r="BC18" i="20"/>
  <c r="BC37" i="20"/>
  <c r="AC22" i="20"/>
  <c r="BC22" i="20"/>
  <c r="BC8" i="20"/>
  <c r="BG38" i="20"/>
  <c r="BJ38" i="20" s="1"/>
  <c r="BC34" i="20"/>
  <c r="BC20" i="20"/>
  <c r="J24" i="20"/>
  <c r="M24" i="20" s="1"/>
  <c r="BC30" i="20"/>
  <c r="X20" i="20"/>
  <c r="AC12" i="20"/>
  <c r="AG12" i="20" s="1"/>
  <c r="BC23" i="20"/>
  <c r="BC9" i="20"/>
  <c r="X38" i="20"/>
  <c r="X14" i="20"/>
  <c r="AA14" i="20" s="1"/>
  <c r="BB15" i="20"/>
  <c r="BU27" i="20"/>
  <c r="BX27" i="20" s="1"/>
  <c r="BC25" i="20"/>
  <c r="BC38" i="20"/>
  <c r="BC33" i="20"/>
  <c r="X22" i="20"/>
  <c r="AA22" i="20" s="1"/>
  <c r="BC15" i="20"/>
  <c r="BC21" i="20"/>
  <c r="BC32" i="20"/>
  <c r="X26" i="20"/>
  <c r="AA26" i="20" s="1"/>
  <c r="BB25" i="20"/>
  <c r="BB21" i="20"/>
  <c r="BC12" i="20"/>
  <c r="BC24" i="20"/>
  <c r="BC26" i="20"/>
  <c r="BC10" i="20"/>
  <c r="BC31" i="20"/>
  <c r="BC27" i="20"/>
  <c r="BE25" i="20"/>
  <c r="BI25" i="20" s="1"/>
  <c r="X24" i="20"/>
  <c r="AA24" i="20" s="1"/>
  <c r="AX31" i="20"/>
  <c r="AX14" i="20"/>
  <c r="AX30" i="20"/>
  <c r="AX23" i="20"/>
  <c r="AC30" i="20"/>
  <c r="AG30" i="20" s="1"/>
  <c r="H8" i="20"/>
  <c r="L8" i="20" s="1"/>
  <c r="X8" i="20"/>
  <c r="AA8" i="20" s="1"/>
  <c r="AX12" i="20"/>
  <c r="AX33" i="20"/>
  <c r="AX32" i="20"/>
  <c r="AC38" i="20"/>
  <c r="AG38" i="20" s="1"/>
  <c r="X33" i="20"/>
  <c r="X25" i="20"/>
  <c r="AA25" i="20" s="1"/>
  <c r="AX20" i="20"/>
  <c r="AX26" i="20"/>
  <c r="AX34" i="20"/>
  <c r="BN25" i="20"/>
  <c r="O24" i="20"/>
  <c r="S24" i="20" s="1"/>
  <c r="X7" i="20"/>
  <c r="AA7" i="20" s="1"/>
  <c r="X32" i="20"/>
  <c r="AX22" i="20"/>
  <c r="AX7" i="20"/>
  <c r="AX13" i="20"/>
  <c r="AC8" i="20"/>
  <c r="AG8" i="20" s="1"/>
  <c r="O32" i="20"/>
  <c r="S32" i="20" s="1"/>
  <c r="AO11" i="20"/>
  <c r="AQ24" i="20"/>
  <c r="AN11" i="20"/>
  <c r="AO7" i="20"/>
  <c r="O14" i="20"/>
  <c r="S14" i="20" s="1"/>
  <c r="AC33" i="20"/>
  <c r="AG33" i="20" s="1"/>
  <c r="BU13" i="20"/>
  <c r="BX13" i="20" s="1"/>
  <c r="AN14" i="20"/>
  <c r="AO10" i="20"/>
  <c r="AO27" i="20"/>
  <c r="AO32" i="20"/>
  <c r="AO22" i="20"/>
  <c r="AN37" i="20"/>
  <c r="AO20" i="20"/>
  <c r="AN20" i="20"/>
  <c r="AC23" i="20"/>
  <c r="AG23" i="20" s="1"/>
  <c r="AC37" i="20"/>
  <c r="AG37" i="20" s="1"/>
  <c r="BU10" i="20"/>
  <c r="BX10" i="20" s="1"/>
  <c r="AN13" i="20"/>
  <c r="AN7" i="20"/>
  <c r="AN23" i="20"/>
  <c r="AO38" i="20"/>
  <c r="AO23" i="20"/>
  <c r="AO14" i="20"/>
  <c r="AN10" i="20"/>
  <c r="AS31" i="20"/>
  <c r="AO25" i="20"/>
  <c r="AO15" i="20"/>
  <c r="AC9" i="20"/>
  <c r="AG9" i="20" s="1"/>
  <c r="AC14" i="20"/>
  <c r="AG14" i="20" s="1"/>
  <c r="BU18" i="20"/>
  <c r="BX18" i="20" s="1"/>
  <c r="AN9" i="20"/>
  <c r="AO34" i="20"/>
  <c r="AN21" i="20"/>
  <c r="AN8" i="20"/>
  <c r="AN22" i="20"/>
  <c r="AO21" i="20"/>
  <c r="AN30" i="20"/>
  <c r="AO26" i="20"/>
  <c r="BU19" i="20"/>
  <c r="BX19" i="20" s="1"/>
  <c r="AN32" i="20"/>
  <c r="AN34" i="20"/>
  <c r="AN38" i="20"/>
  <c r="AO12" i="20"/>
  <c r="AN31" i="20"/>
  <c r="AO33" i="20"/>
  <c r="AN26" i="20"/>
  <c r="AE14" i="20"/>
  <c r="AH14" i="20" s="1"/>
  <c r="AC15" i="20"/>
  <c r="AG15" i="20" s="1"/>
  <c r="AC32" i="20"/>
  <c r="AG32" i="20" s="1"/>
  <c r="BU21" i="20"/>
  <c r="BX21" i="20" s="1"/>
  <c r="AN25" i="20"/>
  <c r="AN12" i="20"/>
  <c r="AO13" i="20"/>
  <c r="AO9" i="20"/>
  <c r="AO31" i="20"/>
  <c r="AO30" i="20"/>
  <c r="O11" i="20"/>
  <c r="S11" i="20" s="1"/>
  <c r="AS14" i="20"/>
  <c r="BU23" i="20"/>
  <c r="BX23" i="20" s="1"/>
  <c r="AN15" i="20"/>
  <c r="AN33" i="20"/>
  <c r="AN27" i="20"/>
  <c r="AO37" i="20"/>
  <c r="AO8" i="20"/>
  <c r="O30" i="20"/>
  <c r="S30" i="20" s="1"/>
  <c r="X31" i="20"/>
  <c r="X12" i="20"/>
  <c r="AA12" i="20" s="1"/>
  <c r="X30" i="20"/>
  <c r="AC19" i="20"/>
  <c r="AC7" i="20"/>
  <c r="AC24" i="20"/>
  <c r="AC34" i="20"/>
  <c r="BU22" i="20"/>
  <c r="BX22" i="20" s="1"/>
  <c r="J12" i="20"/>
  <c r="M12" i="20" s="1"/>
  <c r="O27" i="20"/>
  <c r="S27" i="20" s="1"/>
  <c r="H7" i="20"/>
  <c r="L7" i="20" s="1"/>
  <c r="X11" i="20"/>
  <c r="AA11" i="20" s="1"/>
  <c r="X37" i="20"/>
  <c r="X34" i="20"/>
  <c r="AC10" i="20"/>
  <c r="AC18" i="20"/>
  <c r="AC31" i="20"/>
  <c r="BG7" i="20"/>
  <c r="BJ7" i="20" s="1"/>
  <c r="O12" i="20"/>
  <c r="S12" i="20" s="1"/>
  <c r="O19" i="20"/>
  <c r="S19" i="20" s="1"/>
  <c r="H12" i="20"/>
  <c r="L12" i="20" s="1"/>
  <c r="X15" i="20"/>
  <c r="AA15" i="20" s="1"/>
  <c r="X10" i="20"/>
  <c r="AA10" i="20" s="1"/>
  <c r="X18" i="20"/>
  <c r="AA18" i="20" s="1"/>
  <c r="BG23" i="20"/>
  <c r="BJ23" i="20" s="1"/>
  <c r="AC13" i="20"/>
  <c r="AC26" i="20"/>
  <c r="AC25" i="20"/>
  <c r="BU14" i="20"/>
  <c r="BX14" i="20" s="1"/>
  <c r="BU26" i="20"/>
  <c r="BX26" i="20" s="1"/>
  <c r="AG22" i="20"/>
  <c r="O10" i="20"/>
  <c r="S10" i="20" s="1"/>
  <c r="O37" i="20"/>
  <c r="S37" i="20" s="1"/>
  <c r="X19" i="20"/>
  <c r="X9" i="20"/>
  <c r="AA9" i="20" s="1"/>
  <c r="X13" i="20"/>
  <c r="AA13" i="20" s="1"/>
  <c r="X21" i="20"/>
  <c r="AA21" i="20" s="1"/>
  <c r="BG18" i="20"/>
  <c r="BJ18" i="20" s="1"/>
  <c r="AC21" i="20"/>
  <c r="AC20" i="20"/>
  <c r="AC27" i="20"/>
  <c r="O7" i="20"/>
  <c r="S7" i="20" s="1"/>
  <c r="O34" i="20"/>
  <c r="S34" i="20" s="1"/>
  <c r="O22" i="20"/>
  <c r="S22" i="20" s="1"/>
  <c r="H18" i="20"/>
  <c r="L18" i="20" s="1"/>
  <c r="AS30" i="20"/>
  <c r="BG22" i="20"/>
  <c r="BJ22" i="20" s="1"/>
  <c r="AE22" i="20"/>
  <c r="O8" i="20"/>
  <c r="S8" i="20" s="1"/>
  <c r="O15" i="20"/>
  <c r="S15" i="20" s="1"/>
  <c r="O26" i="20"/>
  <c r="S26" i="20" s="1"/>
  <c r="H13" i="20"/>
  <c r="L13" i="20" s="1"/>
  <c r="AA19" i="20"/>
  <c r="BG24" i="20"/>
  <c r="BJ24" i="20" s="1"/>
  <c r="BG27" i="20"/>
  <c r="BJ27" i="20" s="1"/>
  <c r="O18" i="20"/>
  <c r="S18" i="20" s="1"/>
  <c r="O21" i="20"/>
  <c r="O31" i="20"/>
  <c r="S31" i="20" s="1"/>
  <c r="H15" i="20"/>
  <c r="L15" i="20" s="1"/>
  <c r="BG26" i="20"/>
  <c r="BJ26" i="20" s="1"/>
  <c r="V9" i="20"/>
  <c r="Z42" i="20"/>
  <c r="O23" i="20"/>
  <c r="S23" i="20" s="1"/>
  <c r="O20" i="20"/>
  <c r="S20" i="20" s="1"/>
  <c r="O25" i="20"/>
  <c r="S25" i="20" s="1"/>
  <c r="O33" i="20"/>
  <c r="S33" i="20" s="1"/>
  <c r="H21" i="20"/>
  <c r="L21" i="20" s="1"/>
  <c r="AA20" i="20"/>
  <c r="BG15" i="20"/>
  <c r="BJ15" i="20" s="1"/>
  <c r="AM35" i="20"/>
  <c r="O9" i="20"/>
  <c r="S9" i="20" s="1"/>
  <c r="O13" i="20"/>
  <c r="S13" i="20" s="1"/>
  <c r="O38" i="20"/>
  <c r="H32" i="20"/>
  <c r="L32" i="20" s="1"/>
  <c r="V33" i="20"/>
  <c r="BG11" i="20"/>
  <c r="BJ11" i="20" s="1"/>
  <c r="BU12" i="20"/>
  <c r="BX12" i="20" s="1"/>
  <c r="AZ35" i="20"/>
  <c r="H25" i="20"/>
  <c r="L25" i="20" s="1"/>
  <c r="H37" i="20"/>
  <c r="L37" i="20" s="1"/>
  <c r="AS33" i="20"/>
  <c r="BG10" i="20"/>
  <c r="BJ10" i="20" s="1"/>
  <c r="BG12" i="20"/>
  <c r="BJ12" i="20" s="1"/>
  <c r="BG25" i="20"/>
  <c r="BJ25" i="20" s="1"/>
  <c r="BN14" i="20"/>
  <c r="BU20" i="20"/>
  <c r="BX20" i="20" s="1"/>
  <c r="BU38" i="20"/>
  <c r="BU24" i="20"/>
  <c r="BX24" i="20" s="1"/>
  <c r="AM39" i="20"/>
  <c r="J10" i="20"/>
  <c r="M10" i="20" s="1"/>
  <c r="H11" i="20"/>
  <c r="L11" i="20" s="1"/>
  <c r="H14" i="20"/>
  <c r="L14" i="20" s="1"/>
  <c r="AQ7" i="20"/>
  <c r="BG9" i="20"/>
  <c r="BJ9" i="20" s="1"/>
  <c r="BG33" i="20"/>
  <c r="BJ33" i="20" s="1"/>
  <c r="BG30" i="20"/>
  <c r="BJ30" i="20" s="1"/>
  <c r="BU8" i="20"/>
  <c r="BX8" i="20" s="1"/>
  <c r="BU25" i="20"/>
  <c r="BX25" i="20" s="1"/>
  <c r="BU31" i="20"/>
  <c r="BX31" i="20" s="1"/>
  <c r="J21" i="20"/>
  <c r="M21" i="20" s="1"/>
  <c r="H27" i="20"/>
  <c r="L27" i="20" s="1"/>
  <c r="H20" i="20"/>
  <c r="L20" i="20" s="1"/>
  <c r="AS9" i="20"/>
  <c r="AQ30" i="20"/>
  <c r="BG19" i="20"/>
  <c r="BJ19" i="20" s="1"/>
  <c r="BG37" i="20"/>
  <c r="BJ37" i="20" s="1"/>
  <c r="BG32" i="20"/>
  <c r="BJ32" i="20" s="1"/>
  <c r="BU7" i="20"/>
  <c r="BX7" i="20" s="1"/>
  <c r="BU30" i="20"/>
  <c r="BX30" i="20" s="1"/>
  <c r="BU32" i="20"/>
  <c r="BX32" i="20" s="1"/>
  <c r="BU33" i="20"/>
  <c r="BX33" i="20" s="1"/>
  <c r="J27" i="20"/>
  <c r="M27" i="20" s="1"/>
  <c r="H38" i="20"/>
  <c r="L38" i="20" s="1"/>
  <c r="H24" i="20"/>
  <c r="L24" i="20" s="1"/>
  <c r="AS11" i="20"/>
  <c r="BG13" i="20"/>
  <c r="BJ13" i="20" s="1"/>
  <c r="BG21" i="20"/>
  <c r="BJ21" i="20" s="1"/>
  <c r="BG14" i="20"/>
  <c r="BJ14" i="20" s="1"/>
  <c r="BG34" i="20"/>
  <c r="BJ34" i="20" s="1"/>
  <c r="BU11" i="20"/>
  <c r="BX11" i="20" s="1"/>
  <c r="BU34" i="20"/>
  <c r="BX34" i="20" s="1"/>
  <c r="BU15" i="20"/>
  <c r="BX15" i="20" s="1"/>
  <c r="AS12" i="20"/>
  <c r="BG8" i="20"/>
  <c r="BJ8" i="20" s="1"/>
  <c r="BG31" i="20"/>
  <c r="BJ31" i="20" s="1"/>
  <c r="BG20" i="20"/>
  <c r="BJ20" i="20" s="1"/>
  <c r="V23" i="20"/>
  <c r="J37" i="20"/>
  <c r="M37" i="20" s="1"/>
  <c r="H26" i="20"/>
  <c r="L26" i="20" s="1"/>
  <c r="H9" i="20"/>
  <c r="L9" i="20" s="1"/>
  <c r="H10" i="20"/>
  <c r="L10" i="20" s="1"/>
  <c r="H22" i="20"/>
  <c r="L22" i="20" s="1"/>
  <c r="V37" i="20"/>
  <c r="AS25" i="20"/>
  <c r="AQ23" i="20"/>
  <c r="H34" i="20"/>
  <c r="L34" i="20" s="1"/>
  <c r="H19" i="20"/>
  <c r="L19" i="20" s="1"/>
  <c r="H31" i="20"/>
  <c r="L31" i="20" s="1"/>
  <c r="BS19" i="20"/>
  <c r="BW19" i="20" s="1"/>
  <c r="V27" i="20"/>
  <c r="AS38" i="20"/>
  <c r="J18" i="20"/>
  <c r="M18" i="20" s="1"/>
  <c r="H30" i="20"/>
  <c r="L30" i="20" s="1"/>
  <c r="H23" i="20"/>
  <c r="L23" i="20" s="1"/>
  <c r="H33" i="20"/>
  <c r="L33" i="20" s="1"/>
  <c r="V15" i="20"/>
  <c r="AS23" i="20"/>
  <c r="AS26" i="20"/>
  <c r="J25" i="20"/>
  <c r="M25" i="20" s="1"/>
  <c r="BE27" i="20"/>
  <c r="BI27" i="20" s="1"/>
  <c r="V32" i="20"/>
  <c r="AQ38" i="20"/>
  <c r="BN13" i="20"/>
  <c r="J9" i="20"/>
  <c r="M9" i="20" s="1"/>
  <c r="V22" i="20"/>
  <c r="V21" i="20"/>
  <c r="AQ20" i="20"/>
  <c r="BN21" i="20"/>
  <c r="BN15" i="20"/>
  <c r="BL28" i="20"/>
  <c r="AM28" i="20"/>
  <c r="AK35" i="20"/>
  <c r="BN8" i="20"/>
  <c r="BN26" i="20"/>
  <c r="Q15" i="20"/>
  <c r="J30" i="20"/>
  <c r="M30" i="20" s="1"/>
  <c r="J19" i="20"/>
  <c r="M19" i="20" s="1"/>
  <c r="BE37" i="20"/>
  <c r="BI37" i="20" s="1"/>
  <c r="V10" i="20"/>
  <c r="AQ12" i="20"/>
  <c r="BN18" i="20"/>
  <c r="BN37" i="20"/>
  <c r="Q33" i="20"/>
  <c r="J32" i="20"/>
  <c r="M32" i="20" s="1"/>
  <c r="J26" i="20"/>
  <c r="M26" i="20" s="1"/>
  <c r="BE21" i="20"/>
  <c r="BI21" i="20" s="1"/>
  <c r="V19" i="20"/>
  <c r="AQ19" i="20"/>
  <c r="AQ26" i="20"/>
  <c r="BN32" i="20"/>
  <c r="BN20" i="20"/>
  <c r="BN27" i="20"/>
  <c r="BN22" i="20"/>
  <c r="BS32" i="20"/>
  <c r="BW32" i="20" s="1"/>
  <c r="V14" i="20"/>
  <c r="V31" i="20"/>
  <c r="V34" i="20"/>
  <c r="AS18" i="20"/>
  <c r="AS32" i="20"/>
  <c r="AS15" i="20"/>
  <c r="AS37" i="20"/>
  <c r="AQ11" i="20"/>
  <c r="AQ14" i="20"/>
  <c r="AQ31" i="20"/>
  <c r="AK39" i="20"/>
  <c r="V20" i="20"/>
  <c r="V25" i="20"/>
  <c r="V38" i="20"/>
  <c r="AS22" i="20"/>
  <c r="AS8" i="20"/>
  <c r="AS19" i="20"/>
  <c r="AQ21" i="20"/>
  <c r="AQ25" i="20"/>
  <c r="AQ18" i="20"/>
  <c r="AQ33" i="20"/>
  <c r="V12" i="20"/>
  <c r="V7" i="20"/>
  <c r="V13" i="20"/>
  <c r="AS7" i="20"/>
  <c r="AS13" i="20"/>
  <c r="AS21" i="20"/>
  <c r="AQ8" i="20"/>
  <c r="AQ27" i="20"/>
  <c r="AQ22" i="20"/>
  <c r="AQ37" i="20"/>
  <c r="V8" i="20"/>
  <c r="V11" i="20"/>
  <c r="V18" i="20"/>
  <c r="AS27" i="20"/>
  <c r="AS20" i="20"/>
  <c r="AS24" i="20"/>
  <c r="AQ13" i="20"/>
  <c r="AQ15" i="20"/>
  <c r="AQ34" i="20"/>
  <c r="BS13" i="20"/>
  <c r="BW13" i="20" s="1"/>
  <c r="V26" i="20"/>
  <c r="V24" i="20"/>
  <c r="V30" i="20"/>
  <c r="AS10" i="20"/>
  <c r="AS34" i="20"/>
  <c r="AQ9" i="20"/>
  <c r="AQ32" i="20"/>
  <c r="AE7" i="20"/>
  <c r="Q37" i="20"/>
  <c r="BL39" i="20"/>
  <c r="AE15" i="20"/>
  <c r="Q7" i="20"/>
  <c r="AE19" i="20"/>
  <c r="Q11" i="20"/>
  <c r="AE27" i="20"/>
  <c r="Q8" i="20"/>
  <c r="BL16" i="20"/>
  <c r="AE30" i="20"/>
  <c r="Q13" i="20"/>
  <c r="Q32" i="20"/>
  <c r="J14" i="20"/>
  <c r="J11" i="20"/>
  <c r="J20" i="20"/>
  <c r="AE13" i="20"/>
  <c r="AE26" i="20"/>
  <c r="AE24" i="20"/>
  <c r="BN23" i="20"/>
  <c r="BN11" i="20"/>
  <c r="BN31" i="20"/>
  <c r="Q9" i="20"/>
  <c r="Q38" i="20"/>
  <c r="Q26" i="20"/>
  <c r="AZ39" i="20"/>
  <c r="BL35" i="20"/>
  <c r="AZ28" i="20"/>
  <c r="AE9" i="20"/>
  <c r="J8" i="20"/>
  <c r="J15" i="20"/>
  <c r="J23" i="20"/>
  <c r="M23" i="20" s="1"/>
  <c r="J22" i="20"/>
  <c r="M22" i="20" s="1"/>
  <c r="AE21" i="20"/>
  <c r="AE37" i="20"/>
  <c r="AE25" i="20"/>
  <c r="BN10" i="20"/>
  <c r="BN19" i="20"/>
  <c r="BN33" i="20"/>
  <c r="Q27" i="20"/>
  <c r="Q20" i="20"/>
  <c r="Q31" i="20"/>
  <c r="AK28" i="20"/>
  <c r="AZ16" i="20"/>
  <c r="AE11" i="20"/>
  <c r="AE32" i="20"/>
  <c r="Q22" i="20"/>
  <c r="AE23" i="20"/>
  <c r="Q30" i="20"/>
  <c r="J34" i="20"/>
  <c r="M34" i="20" s="1"/>
  <c r="J38" i="20"/>
  <c r="J31" i="20"/>
  <c r="M31" i="20" s="1"/>
  <c r="AE10" i="20"/>
  <c r="AE18" i="20"/>
  <c r="AE31" i="20"/>
  <c r="AE34" i="20"/>
  <c r="BN30" i="20"/>
  <c r="BN38" i="20"/>
  <c r="BN34" i="20"/>
  <c r="Q24" i="20"/>
  <c r="Q34" i="20"/>
  <c r="Q21" i="20"/>
  <c r="Q18" i="20"/>
  <c r="J13" i="20"/>
  <c r="J33" i="20"/>
  <c r="M33" i="20" s="1"/>
  <c r="AE12" i="20"/>
  <c r="AE33" i="20"/>
  <c r="AE20" i="20"/>
  <c r="AE38" i="20"/>
  <c r="BN12" i="20"/>
  <c r="BN7" i="20"/>
  <c r="Q25" i="20"/>
  <c r="Q10" i="20"/>
  <c r="Q23" i="20"/>
  <c r="AE8" i="20"/>
  <c r="Q12" i="20"/>
  <c r="Q14" i="20"/>
  <c r="Q19" i="20"/>
  <c r="AM16" i="20"/>
  <c r="BE8" i="20"/>
  <c r="BE12" i="20"/>
  <c r="BE24" i="20"/>
  <c r="BI24" i="20" s="1"/>
  <c r="BS21" i="20"/>
  <c r="BW21" i="20" s="1"/>
  <c r="BS11" i="20"/>
  <c r="BW11" i="20" s="1"/>
  <c r="BS27" i="20"/>
  <c r="BW27" i="20" s="1"/>
  <c r="BS37" i="20"/>
  <c r="BW37" i="20" s="1"/>
  <c r="BE14" i="20"/>
  <c r="BE23" i="20"/>
  <c r="BI23" i="20" s="1"/>
  <c r="BE18" i="20"/>
  <c r="BI18" i="20" s="1"/>
  <c r="BS22" i="20"/>
  <c r="BW22" i="20" s="1"/>
  <c r="BS8" i="20"/>
  <c r="BW8" i="20" s="1"/>
  <c r="BS25" i="20"/>
  <c r="BW25" i="20" s="1"/>
  <c r="AK16" i="20"/>
  <c r="BS14" i="20"/>
  <c r="BW14" i="20" s="1"/>
  <c r="BE9" i="20"/>
  <c r="BE13" i="20"/>
  <c r="BE30" i="20"/>
  <c r="BI30" i="20" s="1"/>
  <c r="BS15" i="20"/>
  <c r="BW15" i="20" s="1"/>
  <c r="BS9" i="20"/>
  <c r="BW9" i="20" s="1"/>
  <c r="BS24" i="20"/>
  <c r="BW24" i="20" s="1"/>
  <c r="BE19" i="20"/>
  <c r="BI19" i="20" s="1"/>
  <c r="BE15" i="20"/>
  <c r="BE32" i="20"/>
  <c r="BI32" i="20" s="1"/>
  <c r="BS20" i="20"/>
  <c r="BW20" i="20" s="1"/>
  <c r="BS30" i="20"/>
  <c r="BW30" i="20" s="1"/>
  <c r="BS26" i="20"/>
  <c r="BW26" i="20" s="1"/>
  <c r="BS10" i="20"/>
  <c r="BW10" i="20" s="1"/>
  <c r="BE7" i="20"/>
  <c r="BI7" i="20" s="1"/>
  <c r="BE26" i="20"/>
  <c r="BI26" i="20" s="1"/>
  <c r="BE33" i="20"/>
  <c r="BI33" i="20" s="1"/>
  <c r="BE34" i="20"/>
  <c r="BI34" i="20" s="1"/>
  <c r="BS18" i="20"/>
  <c r="BW18" i="20" s="1"/>
  <c r="BS38" i="20"/>
  <c r="BW38" i="20" s="1"/>
  <c r="BS31" i="20"/>
  <c r="BW31" i="20" s="1"/>
  <c r="BS23" i="20"/>
  <c r="BW23" i="20" s="1"/>
  <c r="BE11" i="20"/>
  <c r="BE22" i="20"/>
  <c r="BI22" i="20" s="1"/>
  <c r="BE20" i="20"/>
  <c r="BI20" i="20" s="1"/>
  <c r="BS12" i="20"/>
  <c r="BW12" i="20" s="1"/>
  <c r="BS7" i="20"/>
  <c r="BW7" i="20" s="1"/>
  <c r="BS34" i="20"/>
  <c r="BW34" i="20" s="1"/>
  <c r="F41" i="2"/>
  <c r="F83" i="17"/>
  <c r="G83" i="17" s="1"/>
  <c r="F82" i="17"/>
  <c r="G82" i="17" s="1"/>
  <c r="F81" i="17"/>
  <c r="G81" i="17" s="1"/>
  <c r="F80" i="17"/>
  <c r="G80" i="17" s="1"/>
  <c r="F77" i="17"/>
  <c r="F76" i="17"/>
  <c r="F74" i="17"/>
  <c r="G74" i="17"/>
  <c r="F73" i="17"/>
  <c r="F72" i="17"/>
  <c r="G72" i="17" s="1"/>
  <c r="F71" i="17"/>
  <c r="G71" i="17" s="1"/>
  <c r="F67" i="17"/>
  <c r="G67" i="17" s="1"/>
  <c r="F70" i="17"/>
  <c r="G70" i="17"/>
  <c r="F69" i="17"/>
  <c r="G69" i="17" s="1"/>
  <c r="F68" i="17"/>
  <c r="F66" i="17"/>
  <c r="G66" i="17" s="1"/>
  <c r="F63" i="17"/>
  <c r="G63" i="17" s="1"/>
  <c r="F62" i="17"/>
  <c r="G62" i="17" s="1"/>
  <c r="F61" i="17"/>
  <c r="G61" i="17" s="1"/>
  <c r="F60" i="17"/>
  <c r="G60" i="17" s="1"/>
  <c r="F59" i="17"/>
  <c r="G59" i="17" s="1"/>
  <c r="F57" i="17"/>
  <c r="F56" i="17"/>
  <c r="G56" i="17" s="1"/>
  <c r="F48" i="2"/>
  <c r="E29" i="16"/>
  <c r="E26" i="16"/>
  <c r="E25" i="16"/>
  <c r="E24" i="16"/>
  <c r="G24" i="16" s="1"/>
  <c r="E23" i="16"/>
  <c r="G23" i="16" s="1"/>
  <c r="E22" i="16"/>
  <c r="G22" i="16" s="1"/>
  <c r="E19" i="16"/>
  <c r="E16" i="16"/>
  <c r="E14" i="16"/>
  <c r="E12" i="16"/>
  <c r="E10" i="16"/>
  <c r="A73" i="17"/>
  <c r="E77" i="17"/>
  <c r="E76" i="17"/>
  <c r="E74" i="17"/>
  <c r="G68" i="17"/>
  <c r="G75" i="17"/>
  <c r="G77" i="17"/>
  <c r="E59" i="17"/>
  <c r="E58" i="17"/>
  <c r="E57" i="17"/>
  <c r="G58" i="17"/>
  <c r="E53" i="17"/>
  <c r="G53" i="17" s="1"/>
  <c r="E50" i="17"/>
  <c r="G50" i="17" s="1"/>
  <c r="E49" i="17"/>
  <c r="G49" i="17" s="1"/>
  <c r="E48" i="17"/>
  <c r="G48" i="17" s="1"/>
  <c r="E47" i="17"/>
  <c r="E46" i="17"/>
  <c r="G46" i="17" s="1"/>
  <c r="E39" i="17"/>
  <c r="G39" i="17" s="1"/>
  <c r="E34" i="17"/>
  <c r="E32" i="17"/>
  <c r="G32" i="17" s="1"/>
  <c r="E31" i="17"/>
  <c r="G31" i="17" s="1"/>
  <c r="E29" i="17"/>
  <c r="E73" i="17" s="1"/>
  <c r="E27" i="17"/>
  <c r="G27" i="17" s="1"/>
  <c r="E28" i="17"/>
  <c r="G28" i="17" s="1"/>
  <c r="E26" i="17"/>
  <c r="G26" i="17" s="1"/>
  <c r="E25" i="17"/>
  <c r="G25" i="17" s="1"/>
  <c r="E24" i="17"/>
  <c r="G24" i="17" s="1"/>
  <c r="E23" i="17"/>
  <c r="G23" i="17" s="1"/>
  <c r="E9" i="17"/>
  <c r="G9" i="17" s="1"/>
  <c r="E8" i="17"/>
  <c r="G8" i="17" s="1"/>
  <c r="G5" i="17"/>
  <c r="G6" i="17"/>
  <c r="G7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9" i="17"/>
  <c r="G30" i="17"/>
  <c r="G33" i="17"/>
  <c r="G34" i="17"/>
  <c r="G35" i="17"/>
  <c r="G36" i="17"/>
  <c r="G37" i="17"/>
  <c r="G38" i="17"/>
  <c r="G40" i="17"/>
  <c r="G41" i="17"/>
  <c r="G42" i="17"/>
  <c r="G43" i="17"/>
  <c r="G44" i="17"/>
  <c r="G45" i="17"/>
  <c r="G47" i="17"/>
  <c r="G51" i="17"/>
  <c r="G52" i="17"/>
  <c r="G4" i="17"/>
  <c r="E42" i="2"/>
  <c r="E43" i="2"/>
  <c r="F16" i="16"/>
  <c r="G16" i="16" s="1"/>
  <c r="F14" i="16"/>
  <c r="F12" i="16"/>
  <c r="G12" i="16" s="1"/>
  <c r="F10" i="16"/>
  <c r="G10" i="16" s="1"/>
  <c r="E111" i="16"/>
  <c r="E112" i="16" s="1"/>
  <c r="E113" i="16" s="1"/>
  <c r="G29" i="16"/>
  <c r="G28" i="16" s="1"/>
  <c r="G26" i="16"/>
  <c r="G25" i="16"/>
  <c r="G19" i="16"/>
  <c r="G18" i="16" s="1"/>
  <c r="S11" i="16"/>
  <c r="Q11" i="16"/>
  <c r="Q10" i="16"/>
  <c r="S10" i="16" s="1"/>
  <c r="S9" i="16"/>
  <c r="Q9" i="16"/>
  <c r="Q8" i="16"/>
  <c r="S8" i="16" s="1"/>
  <c r="AX39" i="20" l="1"/>
  <c r="AX35" i="20"/>
  <c r="BJ39" i="20"/>
  <c r="BU39" i="20"/>
  <c r="BX38" i="20"/>
  <c r="BX39" i="20" s="1"/>
  <c r="BQ12" i="20"/>
  <c r="BQ33" i="20"/>
  <c r="BQ22" i="20"/>
  <c r="BQ15" i="20"/>
  <c r="BQ19" i="20"/>
  <c r="BQ31" i="20"/>
  <c r="BQ27" i="20"/>
  <c r="BQ21" i="20"/>
  <c r="O39" i="20"/>
  <c r="X35" i="20"/>
  <c r="BQ10" i="20"/>
  <c r="BQ11" i="20"/>
  <c r="BQ20" i="20"/>
  <c r="BQ23" i="20"/>
  <c r="BQ32" i="20"/>
  <c r="BQ37" i="20"/>
  <c r="BQ26" i="20"/>
  <c r="BQ24" i="20"/>
  <c r="BW39" i="20"/>
  <c r="BW28" i="20"/>
  <c r="BG39" i="20"/>
  <c r="BQ34" i="20"/>
  <c r="BQ18" i="20"/>
  <c r="BQ8" i="20"/>
  <c r="BQ14" i="20"/>
  <c r="X39" i="20"/>
  <c r="BQ38" i="20"/>
  <c r="BQ25" i="20"/>
  <c r="BQ9" i="20"/>
  <c r="BW35" i="20"/>
  <c r="BQ30" i="20"/>
  <c r="BQ13" i="20"/>
  <c r="BW16" i="20"/>
  <c r="BQ7" i="20"/>
  <c r="BX16" i="20"/>
  <c r="BI9" i="20"/>
  <c r="BI14" i="20"/>
  <c r="BE39" i="20"/>
  <c r="BI15" i="20"/>
  <c r="BI10" i="20"/>
  <c r="BI11" i="20"/>
  <c r="BI13" i="20"/>
  <c r="BI8" i="20"/>
  <c r="BI28" i="20"/>
  <c r="BI12" i="20"/>
  <c r="BB26" i="20"/>
  <c r="BB12" i="20"/>
  <c r="BB7" i="20"/>
  <c r="L39" i="20"/>
  <c r="BB22" i="20"/>
  <c r="BJ28" i="20"/>
  <c r="AX16" i="20"/>
  <c r="AC35" i="20"/>
  <c r="BB13" i="20"/>
  <c r="BB23" i="20"/>
  <c r="BB30" i="20"/>
  <c r="BB32" i="20"/>
  <c r="BB14" i="20"/>
  <c r="BJ35" i="20"/>
  <c r="BB20" i="20"/>
  <c r="AX28" i="20"/>
  <c r="BB34" i="20"/>
  <c r="BB33" i="20"/>
  <c r="BB31" i="20"/>
  <c r="BJ16" i="20"/>
  <c r="BI39" i="20"/>
  <c r="AU23" i="20"/>
  <c r="AC39" i="20"/>
  <c r="AV24" i="20"/>
  <c r="AV20" i="20"/>
  <c r="AU8" i="20"/>
  <c r="AU18" i="20"/>
  <c r="AV18" i="20"/>
  <c r="AV26" i="20"/>
  <c r="AU7" i="20"/>
  <c r="AV15" i="20"/>
  <c r="AV32" i="20"/>
  <c r="AV38" i="20"/>
  <c r="X28" i="20"/>
  <c r="AV27" i="20"/>
  <c r="AV21" i="20"/>
  <c r="AU25" i="20"/>
  <c r="AU26" i="20"/>
  <c r="AV23" i="20"/>
  <c r="AU13" i="20"/>
  <c r="AV30" i="20"/>
  <c r="AV13" i="20"/>
  <c r="AU21" i="20"/>
  <c r="AU31" i="20"/>
  <c r="AU19" i="20"/>
  <c r="AU12" i="20"/>
  <c r="AU22" i="20"/>
  <c r="AU27" i="20"/>
  <c r="AU20" i="20"/>
  <c r="H39" i="20"/>
  <c r="AU32" i="20"/>
  <c r="AV7" i="20"/>
  <c r="AV19" i="20"/>
  <c r="AU14" i="20"/>
  <c r="AV12" i="20"/>
  <c r="AU30" i="20"/>
  <c r="AV14" i="20"/>
  <c r="AU9" i="20"/>
  <c r="AU34" i="20"/>
  <c r="AV8" i="20"/>
  <c r="AU11" i="20"/>
  <c r="AU38" i="20"/>
  <c r="AV9" i="20"/>
  <c r="AV31" i="20"/>
  <c r="AV10" i="20"/>
  <c r="AU33" i="20"/>
  <c r="AV25" i="20"/>
  <c r="AV34" i="20"/>
  <c r="AU15" i="20"/>
  <c r="BB39" i="20"/>
  <c r="AU37" i="20"/>
  <c r="AV22" i="20"/>
  <c r="AV37" i="20"/>
  <c r="AV11" i="20"/>
  <c r="AV33" i="20"/>
  <c r="AU24" i="20"/>
  <c r="X16" i="20"/>
  <c r="AQ39" i="20"/>
  <c r="AS39" i="20"/>
  <c r="O28" i="20"/>
  <c r="S35" i="20"/>
  <c r="BU16" i="20"/>
  <c r="S38" i="20"/>
  <c r="S39" i="20" s="1"/>
  <c r="AC28" i="20"/>
  <c r="O35" i="20"/>
  <c r="AH31" i="20"/>
  <c r="AM40" i="20"/>
  <c r="AL43" i="20" s="1"/>
  <c r="AO43" i="20" s="1"/>
  <c r="AN39" i="20"/>
  <c r="AG34" i="20"/>
  <c r="AG21" i="20"/>
  <c r="AH38" i="20"/>
  <c r="AH18" i="20"/>
  <c r="AH32" i="20"/>
  <c r="AH19" i="20"/>
  <c r="BG28" i="20"/>
  <c r="AG24" i="20"/>
  <c r="AG26" i="20"/>
  <c r="AG10" i="20"/>
  <c r="AH20" i="20"/>
  <c r="AH10" i="20"/>
  <c r="AH11" i="20"/>
  <c r="AH9" i="20"/>
  <c r="AN16" i="20"/>
  <c r="AG7" i="20"/>
  <c r="AG18" i="20"/>
  <c r="AH34" i="20"/>
  <c r="BG35" i="20"/>
  <c r="AN35" i="20"/>
  <c r="AH8" i="20"/>
  <c r="AH33" i="20"/>
  <c r="AH25" i="20"/>
  <c r="AH15" i="20"/>
  <c r="AG19" i="20"/>
  <c r="AH13" i="20"/>
  <c r="AH23" i="20"/>
  <c r="AH27" i="20"/>
  <c r="AH12" i="20"/>
  <c r="AH37" i="20"/>
  <c r="AO39" i="20"/>
  <c r="AH24" i="20"/>
  <c r="AH30" i="20"/>
  <c r="AO35" i="20"/>
  <c r="AH22" i="20"/>
  <c r="AG27" i="20"/>
  <c r="AH7" i="20"/>
  <c r="AG13" i="20"/>
  <c r="AC16" i="20"/>
  <c r="AH21" i="20"/>
  <c r="AH26" i="20"/>
  <c r="BU35" i="20"/>
  <c r="AG20" i="20"/>
  <c r="AG25" i="20"/>
  <c r="AG31" i="20"/>
  <c r="V35" i="20"/>
  <c r="Z30" i="20"/>
  <c r="AA30" i="20"/>
  <c r="Z25" i="20"/>
  <c r="H28" i="20"/>
  <c r="Z24" i="20"/>
  <c r="Z20" i="20"/>
  <c r="S21" i="20"/>
  <c r="S28" i="20" s="1"/>
  <c r="Z33" i="20"/>
  <c r="AA33" i="20"/>
  <c r="O16" i="20"/>
  <c r="Z26" i="20"/>
  <c r="AA34" i="20"/>
  <c r="Z34" i="20"/>
  <c r="Z21" i="20"/>
  <c r="Z27" i="20"/>
  <c r="AA37" i="20"/>
  <c r="Z37" i="20"/>
  <c r="V28" i="20"/>
  <c r="Z18" i="20"/>
  <c r="Z22" i="20"/>
  <c r="Z11" i="20"/>
  <c r="Z14" i="20"/>
  <c r="Z15" i="20"/>
  <c r="Z23" i="20"/>
  <c r="Z9" i="20"/>
  <c r="AA31" i="20"/>
  <c r="Z31" i="20"/>
  <c r="H16" i="20"/>
  <c r="Z8" i="20"/>
  <c r="Z13" i="20"/>
  <c r="Z19" i="20"/>
  <c r="Z10" i="20"/>
  <c r="BU28" i="20"/>
  <c r="Z7" i="20"/>
  <c r="Z12" i="20"/>
  <c r="AA38" i="20"/>
  <c r="Z38" i="20"/>
  <c r="AA32" i="20"/>
  <c r="Z32" i="20"/>
  <c r="L35" i="20"/>
  <c r="BG16" i="20"/>
  <c r="T13" i="20"/>
  <c r="T23" i="20"/>
  <c r="H35" i="20"/>
  <c r="T10" i="20"/>
  <c r="T31" i="20"/>
  <c r="T37" i="20"/>
  <c r="AQ28" i="20"/>
  <c r="T33" i="20"/>
  <c r="T15" i="20"/>
  <c r="T25" i="20"/>
  <c r="T30" i="20"/>
  <c r="T20" i="20"/>
  <c r="T26" i="20"/>
  <c r="T8" i="20"/>
  <c r="T27" i="20"/>
  <c r="T38" i="20"/>
  <c r="T19" i="20"/>
  <c r="T18" i="20"/>
  <c r="T22" i="20"/>
  <c r="T9" i="20"/>
  <c r="T11" i="20"/>
  <c r="T24" i="20"/>
  <c r="BS39" i="20"/>
  <c r="T14" i="20"/>
  <c r="T21" i="20"/>
  <c r="L28" i="20"/>
  <c r="T12" i="20"/>
  <c r="T34" i="20"/>
  <c r="T32" i="20"/>
  <c r="T7" i="20"/>
  <c r="V39" i="20"/>
  <c r="AS16" i="20"/>
  <c r="S16" i="20"/>
  <c r="BN39" i="20"/>
  <c r="AQ35" i="20"/>
  <c r="AE39" i="20"/>
  <c r="AS28" i="20"/>
  <c r="AS35" i="20"/>
  <c r="L16" i="20"/>
  <c r="BN28" i="20"/>
  <c r="AQ16" i="20"/>
  <c r="V16" i="20"/>
  <c r="M15" i="20"/>
  <c r="M11" i="20"/>
  <c r="AE28" i="20"/>
  <c r="M8" i="20"/>
  <c r="M14" i="20"/>
  <c r="M38" i="20"/>
  <c r="M39" i="20" s="1"/>
  <c r="AK40" i="20"/>
  <c r="AJ43" i="20" s="1"/>
  <c r="AN43" i="20" s="1"/>
  <c r="BL40" i="20"/>
  <c r="BL43" i="20" s="1"/>
  <c r="BP43" i="20" s="1"/>
  <c r="M7" i="20"/>
  <c r="M13" i="20"/>
  <c r="M20" i="20"/>
  <c r="M28" i="20" s="1"/>
  <c r="BS35" i="20"/>
  <c r="J16" i="20"/>
  <c r="BN16" i="20"/>
  <c r="AE16" i="20"/>
  <c r="Q39" i="20"/>
  <c r="J28" i="20"/>
  <c r="AE35" i="20"/>
  <c r="AZ40" i="20"/>
  <c r="AZ43" i="20" s="1"/>
  <c r="BC43" i="20" s="1"/>
  <c r="BE16" i="20"/>
  <c r="BN35" i="20"/>
  <c r="BS28" i="20"/>
  <c r="J39" i="20"/>
  <c r="Q16" i="20"/>
  <c r="M35" i="20"/>
  <c r="BE28" i="20"/>
  <c r="BS16" i="20"/>
  <c r="Q35" i="20"/>
  <c r="Q28" i="20"/>
  <c r="J35" i="20"/>
  <c r="BE35" i="20"/>
  <c r="G76" i="17"/>
  <c r="G73" i="17"/>
  <c r="G65" i="17" s="1"/>
  <c r="G57" i="17"/>
  <c r="G55" i="17" s="1"/>
  <c r="G21" i="16"/>
  <c r="G79" i="17"/>
  <c r="G3" i="17"/>
  <c r="G14" i="16"/>
  <c r="G8" i="16" s="1"/>
  <c r="BQ35" i="20" l="1"/>
  <c r="BQ16" i="20"/>
  <c r="BQ28" i="20"/>
  <c r="BQ39" i="20"/>
  <c r="BW40" i="20"/>
  <c r="AX40" i="20"/>
  <c r="AX43" i="20" s="1"/>
  <c r="BB43" i="20" s="1"/>
  <c r="BB44" i="20" s="1"/>
  <c r="BB45" i="20" s="1"/>
  <c r="BX35" i="20"/>
  <c r="BX28" i="20"/>
  <c r="BP39" i="20"/>
  <c r="BL44" i="20"/>
  <c r="BL45" i="20" s="1"/>
  <c r="BP44" i="20"/>
  <c r="BP45" i="20" s="1"/>
  <c r="BP28" i="20"/>
  <c r="BP16" i="20"/>
  <c r="BP35" i="20"/>
  <c r="AC40" i="20"/>
  <c r="AC43" i="20" s="1"/>
  <c r="AU39" i="20"/>
  <c r="BJ40" i="20"/>
  <c r="AU16" i="20"/>
  <c r="AH16" i="20"/>
  <c r="O40" i="20"/>
  <c r="O43" i="20" s="1"/>
  <c r="S43" i="20" s="1"/>
  <c r="S44" i="20" s="1"/>
  <c r="S45" i="20" s="1"/>
  <c r="AU28" i="20"/>
  <c r="BI35" i="20"/>
  <c r="BI16" i="20"/>
  <c r="AV16" i="20"/>
  <c r="AV28" i="20"/>
  <c r="AH28" i="20"/>
  <c r="AV35" i="20"/>
  <c r="BC35" i="20"/>
  <c r="AZ44" i="20"/>
  <c r="AZ45" i="20" s="1"/>
  <c r="BC44" i="20"/>
  <c r="BC28" i="20"/>
  <c r="H40" i="20"/>
  <c r="H43" i="20" s="1"/>
  <c r="H44" i="20" s="1"/>
  <c r="H45" i="20" s="1"/>
  <c r="AV39" i="20"/>
  <c r="AU35" i="20"/>
  <c r="BC16" i="20"/>
  <c r="X40" i="20"/>
  <c r="X43" i="20" s="1"/>
  <c r="AA43" i="20" s="1"/>
  <c r="AA44" i="20" s="1"/>
  <c r="BC39" i="20"/>
  <c r="BB35" i="20"/>
  <c r="BB28" i="20"/>
  <c r="BB16" i="20"/>
  <c r="BG40" i="20"/>
  <c r="BG43" i="20" s="1"/>
  <c r="BJ43" i="20" s="1"/>
  <c r="BU40" i="20"/>
  <c r="BU43" i="20" s="1"/>
  <c r="S40" i="20"/>
  <c r="Z39" i="20"/>
  <c r="T39" i="20"/>
  <c r="AO16" i="20"/>
  <c r="AO28" i="20"/>
  <c r="AL44" i="20"/>
  <c r="AL45" i="20" s="1"/>
  <c r="AO44" i="20"/>
  <c r="AN28" i="20"/>
  <c r="AN40" i="20" s="1"/>
  <c r="AJ44" i="20"/>
  <c r="AJ45" i="20" s="1"/>
  <c r="AN44" i="20"/>
  <c r="AN45" i="20" s="1"/>
  <c r="Z16" i="20"/>
  <c r="V40" i="20"/>
  <c r="V43" i="20" s="1"/>
  <c r="Z43" i="20" s="1"/>
  <c r="Z44" i="20" s="1"/>
  <c r="Z45" i="20" s="1"/>
  <c r="AH39" i="20"/>
  <c r="AS40" i="20"/>
  <c r="AS43" i="20" s="1"/>
  <c r="AV43" i="20" s="1"/>
  <c r="Z28" i="20"/>
  <c r="T35" i="20"/>
  <c r="AG28" i="20"/>
  <c r="AG35" i="20"/>
  <c r="AG16" i="20"/>
  <c r="Z35" i="20"/>
  <c r="T28" i="20"/>
  <c r="AH35" i="20"/>
  <c r="AG39" i="20"/>
  <c r="M16" i="20"/>
  <c r="M40" i="20" s="1"/>
  <c r="AA16" i="20"/>
  <c r="AQ40" i="20"/>
  <c r="AQ43" i="20" s="1"/>
  <c r="AU43" i="20" s="1"/>
  <c r="AA35" i="20"/>
  <c r="L40" i="20"/>
  <c r="AA28" i="20"/>
  <c r="AA39" i="20"/>
  <c r="T16" i="20"/>
  <c r="BS40" i="20"/>
  <c r="BS43" i="20" s="1"/>
  <c r="BW43" i="20" s="1"/>
  <c r="BE40" i="20"/>
  <c r="BE43" i="20" s="1"/>
  <c r="BI43" i="20" s="1"/>
  <c r="Q40" i="20"/>
  <c r="Q43" i="20" s="1"/>
  <c r="T43" i="20" s="1"/>
  <c r="J40" i="20"/>
  <c r="J43" i="20" s="1"/>
  <c r="J44" i="20" s="1"/>
  <c r="J45" i="20" s="1"/>
  <c r="BN40" i="20"/>
  <c r="BN43" i="20" s="1"/>
  <c r="BQ43" i="20" s="1"/>
  <c r="AE40" i="20"/>
  <c r="AE43" i="20" s="1"/>
  <c r="AH43" i="20" s="1"/>
  <c r="G2" i="17"/>
  <c r="F34" i="2" s="1"/>
  <c r="G6" i="16"/>
  <c r="I2" i="16" s="1"/>
  <c r="E71" i="2"/>
  <c r="E28" i="2"/>
  <c r="E50" i="2"/>
  <c r="E46" i="2"/>
  <c r="E45" i="2"/>
  <c r="F47" i="2"/>
  <c r="E40" i="2"/>
  <c r="E44" i="2"/>
  <c r="E41" i="2"/>
  <c r="F69" i="2"/>
  <c r="E70" i="2"/>
  <c r="F26" i="2"/>
  <c r="E27" i="2"/>
  <c r="N28" i="10"/>
  <c r="N21" i="10"/>
  <c r="N22" i="10"/>
  <c r="O22" i="10" s="1"/>
  <c r="N24" i="10"/>
  <c r="O24" i="10" s="1"/>
  <c r="N25" i="10"/>
  <c r="N26" i="10"/>
  <c r="O21" i="10"/>
  <c r="O25" i="10"/>
  <c r="O26" i="10"/>
  <c r="E10" i="15"/>
  <c r="G9" i="15"/>
  <c r="F9" i="15"/>
  <c r="F73" i="2"/>
  <c r="E73" i="2"/>
  <c r="F72" i="2"/>
  <c r="F29" i="2"/>
  <c r="F62" i="2"/>
  <c r="E65" i="2"/>
  <c r="E64" i="2"/>
  <c r="E63" i="2"/>
  <c r="E62" i="2"/>
  <c r="E61" i="2"/>
  <c r="E60" i="2"/>
  <c r="E59" i="2"/>
  <c r="E58" i="2"/>
  <c r="E57" i="2"/>
  <c r="E56" i="2"/>
  <c r="E30" i="2"/>
  <c r="F17" i="2"/>
  <c r="F60" i="2" s="1"/>
  <c r="O14" i="15"/>
  <c r="P14" i="15"/>
  <c r="Q14" i="15"/>
  <c r="F28" i="15"/>
  <c r="E28" i="15"/>
  <c r="F22" i="2"/>
  <c r="F65" i="2" s="1"/>
  <c r="F21" i="2"/>
  <c r="F64" i="2" s="1"/>
  <c r="F20" i="2"/>
  <c r="F63" i="2" s="1"/>
  <c r="F18" i="2"/>
  <c r="F61" i="2" s="1"/>
  <c r="F15" i="2"/>
  <c r="F58" i="2" s="1"/>
  <c r="F14" i="2"/>
  <c r="F57" i="2" s="1"/>
  <c r="F13" i="2"/>
  <c r="F56" i="2" s="1"/>
  <c r="E22" i="2"/>
  <c r="E21" i="2"/>
  <c r="E20" i="2"/>
  <c r="E19" i="2"/>
  <c r="E18" i="2"/>
  <c r="E17" i="2"/>
  <c r="E16" i="2"/>
  <c r="E14" i="2"/>
  <c r="E15" i="2"/>
  <c r="N14" i="15"/>
  <c r="M14" i="15"/>
  <c r="E5" i="15" s="1"/>
  <c r="L14" i="15"/>
  <c r="O44" i="20" l="1"/>
  <c r="O45" i="20" s="1"/>
  <c r="BQ40" i="20"/>
  <c r="AG43" i="20"/>
  <c r="AG44" i="20" s="1"/>
  <c r="AG45" i="20" s="1"/>
  <c r="L43" i="20"/>
  <c r="L44" i="20" s="1"/>
  <c r="L45" i="20" s="1"/>
  <c r="X44" i="20"/>
  <c r="X45" i="20" s="1"/>
  <c r="BX40" i="20"/>
  <c r="AC44" i="20"/>
  <c r="AC45" i="20" s="1"/>
  <c r="BU44" i="20"/>
  <c r="BU45" i="20" s="1"/>
  <c r="BX43" i="20"/>
  <c r="BX44" i="20" s="1"/>
  <c r="AX44" i="20"/>
  <c r="AX45" i="20" s="1"/>
  <c r="BS44" i="20"/>
  <c r="BS45" i="20" s="1"/>
  <c r="BW44" i="20"/>
  <c r="BW45" i="20" s="1"/>
  <c r="BN44" i="20"/>
  <c r="BN45" i="20" s="1"/>
  <c r="BQ44" i="20"/>
  <c r="AU40" i="20"/>
  <c r="AV40" i="20"/>
  <c r="BP40" i="20"/>
  <c r="BI40" i="20"/>
  <c r="BG44" i="20"/>
  <c r="BG45" i="20" s="1"/>
  <c r="BJ44" i="20"/>
  <c r="BE44" i="20"/>
  <c r="BE45" i="20" s="1"/>
  <c r="BI44" i="20"/>
  <c r="BI45" i="20" s="1"/>
  <c r="BB40" i="20"/>
  <c r="BC40" i="20"/>
  <c r="AS44" i="20"/>
  <c r="AS45" i="20" s="1"/>
  <c r="AV44" i="20"/>
  <c r="AQ44" i="20"/>
  <c r="AQ45" i="20" s="1"/>
  <c r="AU44" i="20"/>
  <c r="AU45" i="20" s="1"/>
  <c r="V44" i="20"/>
  <c r="V45" i="20" s="1"/>
  <c r="AO40" i="20"/>
  <c r="Z40" i="20"/>
  <c r="AG40" i="20"/>
  <c r="AH40" i="20"/>
  <c r="T40" i="20"/>
  <c r="AE44" i="20"/>
  <c r="AE45" i="20" s="1"/>
  <c r="AH44" i="20"/>
  <c r="AA40" i="20"/>
  <c r="Q44" i="20"/>
  <c r="Q45" i="20" s="1"/>
  <c r="T44" i="20"/>
  <c r="M43" i="20"/>
  <c r="M44" i="20" s="1"/>
  <c r="F38" i="2"/>
  <c r="G38" i="2" s="1"/>
  <c r="D14" i="7"/>
  <c r="C14" i="7"/>
  <c r="E47" i="2"/>
  <c r="G47" i="2" s="1"/>
  <c r="G46" i="2"/>
  <c r="G45" i="2"/>
  <c r="G44" i="2"/>
  <c r="G43" i="2"/>
  <c r="G42" i="2"/>
  <c r="E39" i="2"/>
  <c r="G39" i="2" s="1"/>
  <c r="G48" i="2"/>
  <c r="G49" i="2"/>
  <c r="G50" i="2"/>
  <c r="G41" i="2" l="1"/>
  <c r="G40" i="2"/>
  <c r="G14" i="15"/>
  <c r="G5" i="15"/>
  <c r="G11" i="15"/>
  <c r="G10" i="15"/>
  <c r="G3" i="15" s="1"/>
  <c r="G8" i="15"/>
  <c r="G63" i="2" l="1"/>
  <c r="G64" i="2"/>
  <c r="G65" i="2"/>
  <c r="G20" i="2"/>
  <c r="G21" i="2"/>
  <c r="G22" i="2"/>
  <c r="D10" i="7"/>
  <c r="G10" i="7" s="1"/>
  <c r="I10" i="7" s="1"/>
  <c r="G14" i="7"/>
  <c r="I14" i="7" s="1"/>
  <c r="F14" i="7"/>
  <c r="H14" i="7" s="1"/>
  <c r="D13" i="7"/>
  <c r="G13" i="7" s="1"/>
  <c r="I13" i="7" s="1"/>
  <c r="C13" i="7"/>
  <c r="F13" i="7" s="1"/>
  <c r="H13" i="7" s="1"/>
  <c r="C10" i="7"/>
  <c r="F10" i="7" s="1"/>
  <c r="H10" i="7" s="1"/>
  <c r="D27" i="7"/>
  <c r="E27" i="7"/>
  <c r="C27" i="7"/>
  <c r="F19" i="7"/>
  <c r="F20" i="7"/>
  <c r="F21" i="7"/>
  <c r="F22" i="7"/>
  <c r="F23" i="7"/>
  <c r="F24" i="7"/>
  <c r="F25" i="7"/>
  <c r="F18" i="7"/>
  <c r="M40" i="10"/>
  <c r="L40" i="10"/>
  <c r="K40" i="10"/>
  <c r="J40" i="10"/>
  <c r="I40" i="10"/>
  <c r="H40" i="10"/>
  <c r="F40" i="10"/>
  <c r="G40" i="10"/>
  <c r="E40" i="10"/>
  <c r="O40" i="10" s="1"/>
  <c r="D40" i="10"/>
  <c r="N40" i="10" s="1"/>
  <c r="K19" i="10"/>
  <c r="J19" i="10"/>
  <c r="N41" i="10" l="1"/>
  <c r="D9" i="7"/>
  <c r="G9" i="7" s="1"/>
  <c r="I9" i="7" s="1"/>
  <c r="C9" i="7"/>
  <c r="F9" i="7" s="1"/>
  <c r="H9" i="7" s="1"/>
  <c r="D12" i="7"/>
  <c r="G12" i="7" s="1"/>
  <c r="I12" i="7" s="1"/>
  <c r="C12" i="7"/>
  <c r="F12" i="7" s="1"/>
  <c r="H12" i="7" s="1"/>
  <c r="C8" i="7"/>
  <c r="F8" i="7" s="1"/>
  <c r="H8" i="7" s="1"/>
  <c r="D8" i="7"/>
  <c r="G8" i="7" s="1"/>
  <c r="I8" i="7" s="1"/>
  <c r="C11" i="7"/>
  <c r="D11" i="7"/>
  <c r="D7" i="7"/>
  <c r="G7" i="7" s="1"/>
  <c r="I7" i="7" s="1"/>
  <c r="C7" i="7"/>
  <c r="F7" i="7" s="1"/>
  <c r="H7" i="7" s="1"/>
  <c r="D6" i="7"/>
  <c r="G6" i="7" s="1"/>
  <c r="I6" i="7" s="1"/>
  <c r="C6" i="7"/>
  <c r="F6" i="7" s="1"/>
  <c r="H6" i="7" s="1"/>
  <c r="D5" i="7"/>
  <c r="G5" i="7" s="1"/>
  <c r="I5" i="7" s="1"/>
  <c r="C5" i="7"/>
  <c r="F5" i="7" s="1"/>
  <c r="H5" i="7" s="1"/>
  <c r="F27" i="7"/>
  <c r="J59" i="11" l="1"/>
  <c r="J61" i="11" s="1"/>
  <c r="I59" i="11"/>
  <c r="I61" i="11" s="1"/>
  <c r="H59" i="11"/>
  <c r="H61" i="11" s="1"/>
  <c r="G59" i="11"/>
  <c r="G61" i="11" s="1"/>
  <c r="F59" i="11"/>
  <c r="F60" i="11" s="1"/>
  <c r="E59" i="11"/>
  <c r="E60" i="11" s="1"/>
  <c r="D59" i="11"/>
  <c r="D61" i="11" s="1"/>
  <c r="J55" i="11"/>
  <c r="J57" i="11" s="1"/>
  <c r="I55" i="11"/>
  <c r="H55" i="11"/>
  <c r="G55" i="11"/>
  <c r="G56" i="11" s="1"/>
  <c r="F55" i="11"/>
  <c r="F56" i="11" s="1"/>
  <c r="F64" i="11" s="1"/>
  <c r="E55" i="11"/>
  <c r="E56" i="11" s="1"/>
  <c r="D55" i="11"/>
  <c r="J38" i="11"/>
  <c r="J40" i="11" s="1"/>
  <c r="I38" i="11"/>
  <c r="I39" i="11" s="1"/>
  <c r="H38" i="11"/>
  <c r="H40" i="11" s="1"/>
  <c r="G38" i="11"/>
  <c r="G39" i="11" s="1"/>
  <c r="F38" i="11"/>
  <c r="F39" i="11" s="1"/>
  <c r="E38" i="11"/>
  <c r="E39" i="11" s="1"/>
  <c r="D38" i="11"/>
  <c r="D40" i="11" s="1"/>
  <c r="J34" i="11"/>
  <c r="J36" i="11" s="1"/>
  <c r="I34" i="11"/>
  <c r="I42" i="11" s="1"/>
  <c r="H34" i="11"/>
  <c r="G34" i="11"/>
  <c r="G35" i="11" s="1"/>
  <c r="F34" i="11"/>
  <c r="F35" i="11" s="1"/>
  <c r="E34" i="11"/>
  <c r="D34" i="11"/>
  <c r="D36" i="11" s="1"/>
  <c r="G18" i="11"/>
  <c r="J17" i="11"/>
  <c r="J19" i="11" s="1"/>
  <c r="I17" i="11"/>
  <c r="I19" i="11" s="1"/>
  <c r="H17" i="11"/>
  <c r="H19" i="11" s="1"/>
  <c r="G17" i="11"/>
  <c r="G19" i="11" s="1"/>
  <c r="F17" i="11"/>
  <c r="F18" i="11" s="1"/>
  <c r="E17" i="11"/>
  <c r="E18" i="11" s="1"/>
  <c r="D17" i="11"/>
  <c r="D19" i="11" s="1"/>
  <c r="J13" i="11"/>
  <c r="J15" i="11" s="1"/>
  <c r="I13" i="11"/>
  <c r="I15" i="11" s="1"/>
  <c r="H13" i="11"/>
  <c r="G13" i="11"/>
  <c r="G15" i="11" s="1"/>
  <c r="F13" i="11"/>
  <c r="F14" i="11" s="1"/>
  <c r="E13" i="11"/>
  <c r="E14" i="11" s="1"/>
  <c r="D13" i="11"/>
  <c r="D15" i="11" s="1"/>
  <c r="A8" i="2"/>
  <c r="H18" i="11" l="1"/>
  <c r="H21" i="11"/>
  <c r="H42" i="11"/>
  <c r="H63" i="11"/>
  <c r="H39" i="11"/>
  <c r="H60" i="11"/>
  <c r="J39" i="11"/>
  <c r="E40" i="11"/>
  <c r="E42" i="11"/>
  <c r="D35" i="11"/>
  <c r="J35" i="11"/>
  <c r="E61" i="11"/>
  <c r="I36" i="11"/>
  <c r="F57" i="11"/>
  <c r="E22" i="11"/>
  <c r="G14" i="11"/>
  <c r="G22" i="11" s="1"/>
  <c r="F43" i="11"/>
  <c r="E35" i="11"/>
  <c r="E43" i="11" s="1"/>
  <c r="I40" i="11"/>
  <c r="I63" i="11"/>
  <c r="G43" i="11"/>
  <c r="H35" i="11"/>
  <c r="D63" i="11"/>
  <c r="G60" i="11"/>
  <c r="G64" i="11" s="1"/>
  <c r="H56" i="11"/>
  <c r="E36" i="11"/>
  <c r="E44" i="11" s="1"/>
  <c r="H36" i="11"/>
  <c r="H44" i="11" s="1"/>
  <c r="G63" i="11"/>
  <c r="E57" i="11"/>
  <c r="F61" i="11"/>
  <c r="J65" i="11"/>
  <c r="E64" i="11"/>
  <c r="K55" i="11"/>
  <c r="I56" i="11"/>
  <c r="G57" i="11"/>
  <c r="G65" i="11" s="1"/>
  <c r="K59" i="11"/>
  <c r="I60" i="11"/>
  <c r="E63" i="11"/>
  <c r="D56" i="11"/>
  <c r="J56" i="11"/>
  <c r="H57" i="11"/>
  <c r="H65" i="11" s="1"/>
  <c r="D60" i="11"/>
  <c r="J60" i="11"/>
  <c r="F63" i="11"/>
  <c r="J63" i="11"/>
  <c r="I57" i="11"/>
  <c r="I65" i="11" s="1"/>
  <c r="D57" i="11"/>
  <c r="D39" i="11"/>
  <c r="D44" i="11"/>
  <c r="J44" i="11"/>
  <c r="F42" i="11"/>
  <c r="F36" i="11"/>
  <c r="F40" i="11"/>
  <c r="D42" i="11"/>
  <c r="J42" i="11"/>
  <c r="K34" i="11"/>
  <c r="I35" i="11"/>
  <c r="I43" i="11" s="1"/>
  <c r="G36" i="11"/>
  <c r="K38" i="11"/>
  <c r="G40" i="11"/>
  <c r="G42" i="11"/>
  <c r="E19" i="11"/>
  <c r="F22" i="11"/>
  <c r="H14" i="11"/>
  <c r="H22" i="11" s="1"/>
  <c r="G21" i="11"/>
  <c r="F15" i="11"/>
  <c r="F19" i="11"/>
  <c r="G23" i="11"/>
  <c r="I23" i="11"/>
  <c r="D23" i="11"/>
  <c r="J23" i="11"/>
  <c r="D21" i="11"/>
  <c r="J21" i="11"/>
  <c r="I18" i="11"/>
  <c r="E21" i="11"/>
  <c r="E15" i="11"/>
  <c r="I21" i="11"/>
  <c r="K17" i="11"/>
  <c r="D14" i="11"/>
  <c r="J14" i="11"/>
  <c r="H15" i="11"/>
  <c r="H23" i="11" s="1"/>
  <c r="D18" i="11"/>
  <c r="J18" i="11"/>
  <c r="F21" i="11"/>
  <c r="K13" i="11"/>
  <c r="I14" i="11"/>
  <c r="I22" i="11" s="1"/>
  <c r="I36" i="10"/>
  <c r="H36" i="10"/>
  <c r="E36" i="10"/>
  <c r="F36" i="10"/>
  <c r="G36" i="10"/>
  <c r="J36" i="10"/>
  <c r="K36" i="10"/>
  <c r="L36" i="10"/>
  <c r="M36" i="10"/>
  <c r="D36" i="10"/>
  <c r="N39" i="10"/>
  <c r="O39" i="10" s="1"/>
  <c r="N38" i="10"/>
  <c r="O38" i="10" s="1"/>
  <c r="N37" i="10"/>
  <c r="O37" i="10" s="1"/>
  <c r="N35" i="10"/>
  <c r="O35" i="10" s="1"/>
  <c r="N34" i="10"/>
  <c r="O34" i="10" s="1"/>
  <c r="M19" i="10"/>
  <c r="M20" i="10"/>
  <c r="M23" i="10"/>
  <c r="K20" i="10"/>
  <c r="K23" i="10"/>
  <c r="I19" i="10"/>
  <c r="I20" i="10"/>
  <c r="I23" i="10"/>
  <c r="G23" i="10"/>
  <c r="G20" i="10"/>
  <c r="G19" i="10"/>
  <c r="E23" i="10"/>
  <c r="E20" i="10"/>
  <c r="E19" i="10"/>
  <c r="O19" i="10" s="1"/>
  <c r="D38" i="10"/>
  <c r="L20" i="10"/>
  <c r="L33" i="10" s="1"/>
  <c r="L23" i="10"/>
  <c r="J20" i="10"/>
  <c r="J23" i="10"/>
  <c r="H20" i="10"/>
  <c r="H23" i="10"/>
  <c r="F20" i="10"/>
  <c r="F23" i="10"/>
  <c r="D20" i="10"/>
  <c r="D23" i="10"/>
  <c r="N23" i="10" s="1"/>
  <c r="D19" i="10"/>
  <c r="N19" i="10" s="1"/>
  <c r="L19" i="10"/>
  <c r="H19" i="10"/>
  <c r="F19" i="10"/>
  <c r="O27" i="10" l="1"/>
  <c r="N20" i="10"/>
  <c r="O20" i="10" s="1"/>
  <c r="N33" i="10"/>
  <c r="O33" i="10"/>
  <c r="O23" i="10"/>
  <c r="E65" i="11"/>
  <c r="E23" i="11"/>
  <c r="D43" i="11"/>
  <c r="K61" i="11"/>
  <c r="H43" i="11"/>
  <c r="J43" i="11"/>
  <c r="H64" i="11"/>
  <c r="K39" i="11"/>
  <c r="K19" i="11"/>
  <c r="F65" i="11"/>
  <c r="K40" i="11"/>
  <c r="I44" i="11"/>
  <c r="G44" i="11"/>
  <c r="J22" i="11"/>
  <c r="K63" i="11"/>
  <c r="K57" i="11"/>
  <c r="D65" i="11"/>
  <c r="K65" i="11" s="1"/>
  <c r="J64" i="11"/>
  <c r="I64" i="11"/>
  <c r="K56" i="11"/>
  <c r="D64" i="11"/>
  <c r="K60" i="11"/>
  <c r="K35" i="11"/>
  <c r="K43" i="11"/>
  <c r="K42" i="11"/>
  <c r="F44" i="11"/>
  <c r="K36" i="11"/>
  <c r="F23" i="11"/>
  <c r="K23" i="11" s="1"/>
  <c r="K18" i="11"/>
  <c r="K15" i="11"/>
  <c r="K14" i="11"/>
  <c r="D22" i="11"/>
  <c r="K22" i="11" s="1"/>
  <c r="K21" i="11"/>
  <c r="N36" i="10"/>
  <c r="O36" i="10" s="1"/>
  <c r="N27" i="10" l="1"/>
  <c r="K64" i="11"/>
  <c r="K44" i="11"/>
  <c r="G72" i="2" l="1"/>
  <c r="G71" i="2"/>
  <c r="G70" i="2"/>
  <c r="G51" i="2"/>
  <c r="E16" i="1" s="1"/>
  <c r="G69" i="2" l="1"/>
  <c r="G73" i="2"/>
  <c r="E20" i="1" l="1"/>
  <c r="G29" i="2"/>
  <c r="G28" i="2"/>
  <c r="G27" i="2"/>
  <c r="G26" i="2"/>
  <c r="G61" i="2"/>
  <c r="G60" i="2"/>
  <c r="G58" i="2"/>
  <c r="G56" i="2"/>
  <c r="G17" i="2"/>
  <c r="G19" i="2"/>
  <c r="G15" i="2"/>
  <c r="G14" i="2"/>
  <c r="G8" i="9"/>
  <c r="H8" i="9" s="1"/>
  <c r="F16" i="2" s="1"/>
  <c r="F59" i="2" s="1"/>
  <c r="G59" i="2" s="1"/>
  <c r="G11" i="7"/>
  <c r="I11" i="7" s="1"/>
  <c r="F11" i="7"/>
  <c r="H11" i="7" s="1"/>
  <c r="G16" i="2" l="1"/>
  <c r="G30" i="2"/>
  <c r="E14" i="1" s="1"/>
  <c r="G62" i="2"/>
  <c r="G57" i="2"/>
  <c r="G18" i="2"/>
  <c r="G34" i="2"/>
  <c r="G13" i="2"/>
  <c r="E13" i="1" l="1"/>
  <c r="E19" i="1"/>
  <c r="E15" i="1"/>
  <c r="E22" i="3" l="1"/>
  <c r="E16" i="6" l="1"/>
  <c r="E15" i="6"/>
  <c r="H8" i="6"/>
  <c r="H7" i="6"/>
  <c r="A7" i="2" l="1"/>
  <c r="A6" i="2"/>
  <c r="A5" i="2"/>
  <c r="A4" i="2"/>
  <c r="E42" i="3"/>
  <c r="H8" i="1" s="1"/>
  <c r="H7" i="1"/>
  <c r="J6" i="21" s="1"/>
  <c r="H69" i="21" l="1"/>
  <c r="I69" i="21" s="1"/>
  <c r="J69" i="21" s="1"/>
  <c r="H15" i="21"/>
  <c r="I15" i="21" s="1"/>
  <c r="J15" i="21" s="1"/>
  <c r="H47" i="21"/>
  <c r="I47" i="21" s="1"/>
  <c r="J47" i="21" s="1"/>
  <c r="H62" i="21"/>
  <c r="I62" i="21" s="1"/>
  <c r="J62" i="21" s="1"/>
  <c r="H49" i="21"/>
  <c r="I49" i="21" s="1"/>
  <c r="J49" i="21" s="1"/>
  <c r="H13" i="21"/>
  <c r="I13" i="21" s="1"/>
  <c r="J13" i="21" s="1"/>
  <c r="H27" i="21"/>
  <c r="I27" i="21" s="1"/>
  <c r="J27" i="21" s="1"/>
  <c r="H19" i="21"/>
  <c r="I19" i="21" s="1"/>
  <c r="J19" i="21" s="1"/>
  <c r="H14" i="21"/>
  <c r="I14" i="21" s="1"/>
  <c r="J14" i="21" s="1"/>
  <c r="H71" i="21"/>
  <c r="I71" i="21" s="1"/>
  <c r="J71" i="21" s="1"/>
  <c r="H40" i="21"/>
  <c r="I40" i="21" s="1"/>
  <c r="J40" i="21" s="1"/>
  <c r="H30" i="21"/>
  <c r="I30" i="21" s="1"/>
  <c r="J30" i="21" s="1"/>
  <c r="H50" i="21"/>
  <c r="I50" i="21" s="1"/>
  <c r="J50" i="21" s="1"/>
  <c r="H70" i="21"/>
  <c r="I70" i="21" s="1"/>
  <c r="J70" i="21" s="1"/>
  <c r="H43" i="21"/>
  <c r="I43" i="21" s="1"/>
  <c r="J43" i="21" s="1"/>
  <c r="H65" i="21"/>
  <c r="I65" i="21" s="1"/>
  <c r="J65" i="21" s="1"/>
  <c r="H16" i="21"/>
  <c r="I16" i="21" s="1"/>
  <c r="J16" i="21" s="1"/>
  <c r="H21" i="21"/>
  <c r="I21" i="21" s="1"/>
  <c r="J21" i="21" s="1"/>
  <c r="H51" i="21"/>
  <c r="I51" i="21" s="1"/>
  <c r="J51" i="21" s="1"/>
  <c r="O6" i="21"/>
  <c r="H72" i="21"/>
  <c r="I72" i="21" s="1"/>
  <c r="J72" i="21" s="1"/>
  <c r="H57" i="21"/>
  <c r="I57" i="21" s="1"/>
  <c r="J57" i="21" s="1"/>
  <c r="H18" i="21"/>
  <c r="I18" i="21" s="1"/>
  <c r="J18" i="21" s="1"/>
  <c r="H17" i="21"/>
  <c r="I17" i="21" s="1"/>
  <c r="J17" i="21" s="1"/>
  <c r="H59" i="21"/>
  <c r="I59" i="21" s="1"/>
  <c r="J59" i="21" s="1"/>
  <c r="H45" i="21"/>
  <c r="I45" i="21" s="1"/>
  <c r="J45" i="21" s="1"/>
  <c r="H39" i="21"/>
  <c r="I39" i="21" s="1"/>
  <c r="J39" i="21" s="1"/>
  <c r="H22" i="21"/>
  <c r="I22" i="21" s="1"/>
  <c r="J22" i="21" s="1"/>
  <c r="H58" i="21"/>
  <c r="I58" i="21" s="1"/>
  <c r="J58" i="21" s="1"/>
  <c r="H63" i="21"/>
  <c r="I63" i="21" s="1"/>
  <c r="J63" i="21" s="1"/>
  <c r="H48" i="21"/>
  <c r="I48" i="21" s="1"/>
  <c r="J48" i="21" s="1"/>
  <c r="H61" i="21"/>
  <c r="I61" i="21" s="1"/>
  <c r="J61" i="21" s="1"/>
  <c r="H28" i="21"/>
  <c r="I28" i="21" s="1"/>
  <c r="J28" i="21" s="1"/>
  <c r="H73" i="21"/>
  <c r="I73" i="21" s="1"/>
  <c r="J73" i="21" s="1"/>
  <c r="H26" i="21"/>
  <c r="I26" i="21" s="1"/>
  <c r="J26" i="21" s="1"/>
  <c r="H38" i="21"/>
  <c r="I38" i="21" s="1"/>
  <c r="J38" i="21" s="1"/>
  <c r="H29" i="21"/>
  <c r="I29" i="21" s="1"/>
  <c r="J29" i="21" s="1"/>
  <c r="H41" i="21"/>
  <c r="I41" i="21" s="1"/>
  <c r="J41" i="21" s="1"/>
  <c r="H46" i="21"/>
  <c r="I46" i="21" s="1"/>
  <c r="J46" i="21" s="1"/>
  <c r="H42" i="21"/>
  <c r="I42" i="21" s="1"/>
  <c r="J42" i="21" s="1"/>
  <c r="H44" i="21"/>
  <c r="I44" i="21" s="1"/>
  <c r="J44" i="21" s="1"/>
  <c r="H20" i="21"/>
  <c r="I20" i="21" s="1"/>
  <c r="J20" i="21" s="1"/>
  <c r="H64" i="21"/>
  <c r="I64" i="21" s="1"/>
  <c r="J64" i="21" s="1"/>
  <c r="H60" i="21"/>
  <c r="I60" i="21" s="1"/>
  <c r="J60" i="21" s="1"/>
  <c r="H56" i="21"/>
  <c r="I56" i="21" s="1"/>
  <c r="J56" i="21" s="1"/>
  <c r="J6" i="2"/>
  <c r="J7" i="2"/>
  <c r="J66" i="21" l="1"/>
  <c r="M14" i="21"/>
  <c r="N14" i="21" s="1"/>
  <c r="O14" i="21" s="1"/>
  <c r="M22" i="21"/>
  <c r="N22" i="21" s="1"/>
  <c r="O22" i="21" s="1"/>
  <c r="M16" i="21"/>
  <c r="N16" i="21" s="1"/>
  <c r="O16" i="21" s="1"/>
  <c r="M69" i="21"/>
  <c r="N69" i="21" s="1"/>
  <c r="O69" i="21" s="1"/>
  <c r="M15" i="21"/>
  <c r="N15" i="21" s="1"/>
  <c r="O15" i="21" s="1"/>
  <c r="M13" i="21"/>
  <c r="N13" i="21" s="1"/>
  <c r="O13" i="21" s="1"/>
  <c r="M17" i="21"/>
  <c r="N17" i="21" s="1"/>
  <c r="O17" i="21" s="1"/>
  <c r="M70" i="21"/>
  <c r="N70" i="21" s="1"/>
  <c r="O70" i="21" s="1"/>
  <c r="M18" i="21"/>
  <c r="N18" i="21" s="1"/>
  <c r="O18" i="21" s="1"/>
  <c r="M19" i="21"/>
  <c r="N19" i="21" s="1"/>
  <c r="O19" i="21" s="1"/>
  <c r="M20" i="21"/>
  <c r="N20" i="21" s="1"/>
  <c r="O20" i="21" s="1"/>
  <c r="M71" i="21"/>
  <c r="N71" i="21" s="1"/>
  <c r="O71" i="21" s="1"/>
  <c r="M72" i="21"/>
  <c r="N72" i="21" s="1"/>
  <c r="O72" i="21" s="1"/>
  <c r="M21" i="21"/>
  <c r="N21" i="21" s="1"/>
  <c r="O21" i="21" s="1"/>
  <c r="M29" i="21"/>
  <c r="N29" i="21" s="1"/>
  <c r="O29" i="21" s="1"/>
  <c r="M26" i="21"/>
  <c r="N26" i="21" s="1"/>
  <c r="O26" i="21" s="1"/>
  <c r="M65" i="21"/>
  <c r="N65" i="21" s="1"/>
  <c r="O65" i="21" s="1"/>
  <c r="M49" i="21"/>
  <c r="N49" i="21" s="1"/>
  <c r="O49" i="21" s="1"/>
  <c r="M50" i="21"/>
  <c r="N50" i="21" s="1"/>
  <c r="O50" i="21" s="1"/>
  <c r="M73" i="21"/>
  <c r="N73" i="21" s="1"/>
  <c r="O73" i="21" s="1"/>
  <c r="M28" i="21"/>
  <c r="N28" i="21" s="1"/>
  <c r="O28" i="21" s="1"/>
  <c r="M47" i="21"/>
  <c r="N47" i="21" s="1"/>
  <c r="O47" i="21" s="1"/>
  <c r="M27" i="21"/>
  <c r="N27" i="21" s="1"/>
  <c r="O27" i="21" s="1"/>
  <c r="M42" i="21"/>
  <c r="N42" i="21" s="1"/>
  <c r="O42" i="21" s="1"/>
  <c r="M30" i="21"/>
  <c r="N30" i="21" s="1"/>
  <c r="O30" i="21" s="1"/>
  <c r="M51" i="21"/>
  <c r="N51" i="21" s="1"/>
  <c r="O51" i="21" s="1"/>
  <c r="M39" i="21"/>
  <c r="N39" i="21" s="1"/>
  <c r="O39" i="21" s="1"/>
  <c r="M44" i="21"/>
  <c r="N44" i="21" s="1"/>
  <c r="O44" i="21" s="1"/>
  <c r="M43" i="21"/>
  <c r="N43" i="21" s="1"/>
  <c r="O43" i="21" s="1"/>
  <c r="M61" i="21"/>
  <c r="N61" i="21" s="1"/>
  <c r="O61" i="21" s="1"/>
  <c r="M57" i="21"/>
  <c r="N57" i="21" s="1"/>
  <c r="O57" i="21" s="1"/>
  <c r="M58" i="21"/>
  <c r="N58" i="21" s="1"/>
  <c r="O58" i="21" s="1"/>
  <c r="M56" i="21"/>
  <c r="N56" i="21" s="1"/>
  <c r="O56" i="21" s="1"/>
  <c r="M41" i="21"/>
  <c r="N41" i="21" s="1"/>
  <c r="O41" i="21" s="1"/>
  <c r="M46" i="21"/>
  <c r="N46" i="21" s="1"/>
  <c r="O46" i="21" s="1"/>
  <c r="M40" i="21"/>
  <c r="N40" i="21" s="1"/>
  <c r="O40" i="21" s="1"/>
  <c r="M64" i="21"/>
  <c r="N64" i="21" s="1"/>
  <c r="O64" i="21" s="1"/>
  <c r="M45" i="21"/>
  <c r="N45" i="21" s="1"/>
  <c r="O45" i="21" s="1"/>
  <c r="M63" i="21"/>
  <c r="N63" i="21" s="1"/>
  <c r="O63" i="21" s="1"/>
  <c r="M48" i="21"/>
  <c r="N48" i="21" s="1"/>
  <c r="O48" i="21" s="1"/>
  <c r="M62" i="21"/>
  <c r="N62" i="21" s="1"/>
  <c r="O62" i="21" s="1"/>
  <c r="M59" i="21"/>
  <c r="N59" i="21" s="1"/>
  <c r="O59" i="21" s="1"/>
  <c r="M60" i="21"/>
  <c r="N60" i="21" s="1"/>
  <c r="O60" i="21" s="1"/>
  <c r="M38" i="21"/>
  <c r="N38" i="21" s="1"/>
  <c r="O38" i="21" s="1"/>
  <c r="J23" i="21"/>
  <c r="J52" i="21"/>
  <c r="J31" i="21"/>
  <c r="J74" i="21"/>
  <c r="H44" i="2"/>
  <c r="I44" i="2" s="1"/>
  <c r="J44" i="2" s="1"/>
  <c r="H46" i="2"/>
  <c r="I46" i="2" s="1"/>
  <c r="J46" i="2" s="1"/>
  <c r="H48" i="2"/>
  <c r="I48" i="2" s="1"/>
  <c r="J48" i="2" s="1"/>
  <c r="H50" i="2"/>
  <c r="I50" i="2" s="1"/>
  <c r="J50" i="2" s="1"/>
  <c r="H42" i="2"/>
  <c r="I42" i="2" s="1"/>
  <c r="J42" i="2" s="1"/>
  <c r="H43" i="2"/>
  <c r="I43" i="2" s="1"/>
  <c r="J43" i="2" s="1"/>
  <c r="H45" i="2"/>
  <c r="I45" i="2" s="1"/>
  <c r="J45" i="2" s="1"/>
  <c r="H47" i="2"/>
  <c r="I47" i="2" s="1"/>
  <c r="J47" i="2" s="1"/>
  <c r="H49" i="2"/>
  <c r="I49" i="2" s="1"/>
  <c r="J49" i="2" s="1"/>
  <c r="H38" i="2"/>
  <c r="I38" i="2" s="1"/>
  <c r="J38" i="2" s="1"/>
  <c r="H39" i="2"/>
  <c r="I39" i="2" s="1"/>
  <c r="J39" i="2" s="1"/>
  <c r="H41" i="2"/>
  <c r="I41" i="2" s="1"/>
  <c r="J41" i="2" s="1"/>
  <c r="H40" i="2"/>
  <c r="I40" i="2" s="1"/>
  <c r="J40" i="2" s="1"/>
  <c r="H63" i="2"/>
  <c r="I63" i="2" s="1"/>
  <c r="J63" i="2" s="1"/>
  <c r="H65" i="2"/>
  <c r="I65" i="2" s="1"/>
  <c r="J65" i="2" s="1"/>
  <c r="H64" i="2"/>
  <c r="I64" i="2" s="1"/>
  <c r="J64" i="2" s="1"/>
  <c r="H22" i="2"/>
  <c r="I22" i="2" s="1"/>
  <c r="J22" i="2" s="1"/>
  <c r="H20" i="2"/>
  <c r="I20" i="2" s="1"/>
  <c r="J20" i="2" s="1"/>
  <c r="H21" i="2"/>
  <c r="I21" i="2" s="1"/>
  <c r="J21" i="2" s="1"/>
  <c r="H71" i="2"/>
  <c r="I71" i="2" s="1"/>
  <c r="J71" i="2" s="1"/>
  <c r="H70" i="2"/>
  <c r="I70" i="2" s="1"/>
  <c r="J70" i="2" s="1"/>
  <c r="H73" i="2"/>
  <c r="I73" i="2" s="1"/>
  <c r="J73" i="2" s="1"/>
  <c r="H72" i="2"/>
  <c r="I72" i="2" s="1"/>
  <c r="J72" i="2" s="1"/>
  <c r="H69" i="2"/>
  <c r="I69" i="2" s="1"/>
  <c r="J69" i="2" s="1"/>
  <c r="H51" i="2"/>
  <c r="I51" i="2" s="1"/>
  <c r="J51" i="2" s="1"/>
  <c r="H30" i="2"/>
  <c r="I30" i="2" s="1"/>
  <c r="J30" i="2" s="1"/>
  <c r="H29" i="2"/>
  <c r="I29" i="2" s="1"/>
  <c r="J29" i="2" s="1"/>
  <c r="H26" i="2"/>
  <c r="I26" i="2" s="1"/>
  <c r="J26" i="2" s="1"/>
  <c r="H27" i="2"/>
  <c r="I27" i="2" s="1"/>
  <c r="J27" i="2" s="1"/>
  <c r="H28" i="2"/>
  <c r="I28" i="2" s="1"/>
  <c r="J28" i="2" s="1"/>
  <c r="H60" i="2"/>
  <c r="I60" i="2" s="1"/>
  <c r="J60" i="2" s="1"/>
  <c r="H57" i="2"/>
  <c r="I57" i="2" s="1"/>
  <c r="J57" i="2" s="1"/>
  <c r="H56" i="2"/>
  <c r="I56" i="2" s="1"/>
  <c r="J56" i="2" s="1"/>
  <c r="H62" i="2"/>
  <c r="I62" i="2" s="1"/>
  <c r="J62" i="2" s="1"/>
  <c r="H59" i="2"/>
  <c r="I59" i="2" s="1"/>
  <c r="J59" i="2" s="1"/>
  <c r="H61" i="2"/>
  <c r="I61" i="2" s="1"/>
  <c r="J61" i="2" s="1"/>
  <c r="H58" i="2"/>
  <c r="I58" i="2" s="1"/>
  <c r="J58" i="2" s="1"/>
  <c r="H16" i="2"/>
  <c r="I16" i="2" s="1"/>
  <c r="J16" i="2" s="1"/>
  <c r="H18" i="2"/>
  <c r="I18" i="2" s="1"/>
  <c r="J18" i="2" s="1"/>
  <c r="H14" i="2"/>
  <c r="I14" i="2" s="1"/>
  <c r="J14" i="2" s="1"/>
  <c r="H19" i="2"/>
  <c r="I19" i="2" s="1"/>
  <c r="J19" i="2" s="1"/>
  <c r="H17" i="2"/>
  <c r="I17" i="2" s="1"/>
  <c r="J17" i="2" s="1"/>
  <c r="H15" i="2"/>
  <c r="I15" i="2" s="1"/>
  <c r="J15" i="2" s="1"/>
  <c r="H34" i="2"/>
  <c r="I34" i="2" s="1"/>
  <c r="J34" i="2" s="1"/>
  <c r="H13" i="2"/>
  <c r="I13" i="2" s="1"/>
  <c r="J13" i="2" s="1"/>
  <c r="J11" i="21" l="1"/>
  <c r="O52" i="21"/>
  <c r="O74" i="21"/>
  <c r="O23" i="21"/>
  <c r="O66" i="21"/>
  <c r="O54" i="21" s="1"/>
  <c r="O31" i="21"/>
  <c r="J54" i="21"/>
  <c r="J66" i="2"/>
  <c r="F19" i="1"/>
  <c r="G19" i="1" s="1"/>
  <c r="F16" i="1"/>
  <c r="G16" i="1" s="1"/>
  <c r="H16" i="1" s="1"/>
  <c r="F13" i="1"/>
  <c r="G13" i="1" s="1"/>
  <c r="J52" i="2"/>
  <c r="J23" i="2"/>
  <c r="F20" i="1"/>
  <c r="G20" i="1" s="1"/>
  <c r="H20" i="1" s="1"/>
  <c r="F15" i="1"/>
  <c r="G15" i="1" s="1"/>
  <c r="H15" i="1" s="1"/>
  <c r="F14" i="1"/>
  <c r="G14" i="1" s="1"/>
  <c r="H14" i="1" s="1"/>
  <c r="J74" i="2"/>
  <c r="J31" i="2"/>
  <c r="J35" i="2"/>
  <c r="O11" i="21" l="1"/>
  <c r="F78" i="21"/>
  <c r="F15" i="6"/>
  <c r="H19" i="1"/>
  <c r="H18" i="1" s="1"/>
  <c r="F16" i="6"/>
  <c r="J11" i="2"/>
  <c r="J54" i="2"/>
  <c r="J78" i="21" l="1"/>
  <c r="J79" i="21" s="1"/>
  <c r="J77" i="21" s="1"/>
  <c r="J81" i="21" s="1"/>
  <c r="K78" i="21"/>
  <c r="O78" i="21" s="1"/>
  <c r="O79" i="21" s="1"/>
  <c r="O77" i="21" s="1"/>
  <c r="O81" i="21" s="1"/>
  <c r="F78" i="2"/>
  <c r="G16" i="6"/>
  <c r="J78" i="2" l="1"/>
  <c r="J79" i="2" s="1"/>
  <c r="J77" i="2" s="1"/>
  <c r="J81" i="2" s="1"/>
  <c r="E24" i="1"/>
  <c r="H13" i="1"/>
  <c r="H12" i="1" s="1"/>
  <c r="F17" i="6" l="1"/>
  <c r="F18" i="6" s="1"/>
  <c r="H24" i="1"/>
  <c r="H22" i="1" s="1"/>
  <c r="G17" i="6" s="1"/>
  <c r="G26" i="1" l="1"/>
  <c r="G15" i="6"/>
  <c r="G13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tc={951CFAF7-2DC9-4AF2-90D0-6F9AF119967E}</author>
    <author>Tiago Fogliarini</author>
    <author>tc={0B2A804B-5F6E-4F7C-8781-9A973E5C35A8}</author>
    <author>tc={0823680E-17CE-46C6-A25D-0BFF860226E7}</author>
  </authors>
  <commentList>
    <comment ref="O6" authorId="0" shapeId="0" xr:uid="{951CFAF7-2DC9-4AF2-90D0-6F9AF119967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Para fiel comparação, deve-se expurgar valor da CPRB do BDI</t>
      </text>
    </comment>
    <comment ref="C28" authorId="1" shapeId="0" xr:uid="{AB8B199B-338D-4098-856E-36E303F9F5C6}">
      <text>
        <r>
          <rPr>
            <b/>
            <sz val="9"/>
            <color indexed="81"/>
            <rFont val="Segoe UI"/>
            <family val="2"/>
          </rPr>
          <t>1 Utilitário 5 lugares
2 Minivan 7 lugares
21 dias por mês - Preventiva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29" authorId="1" shapeId="0" xr:uid="{9F25BD27-8DC4-4280-966A-0B4BE686EC35}">
      <text>
        <r>
          <rPr>
            <b/>
            <sz val="9"/>
            <color indexed="81"/>
            <rFont val="Segoe UI"/>
            <charset val="1"/>
          </rPr>
          <t>Tiago Fogliarini:</t>
        </r>
        <r>
          <rPr>
            <sz val="9"/>
            <color indexed="81"/>
            <rFont val="Segoe UI"/>
            <charset val="1"/>
          </rPr>
          <t xml:space="preserve">
Média Ponderada do preço de combustível praticado nas diferentes localidades.</t>
        </r>
      </text>
    </comment>
    <comment ref="K29" authorId="1" shapeId="0" xr:uid="{C6A8C070-AB7B-4D76-8F21-1A88FCA4113A}">
      <text>
        <r>
          <rPr>
            <b/>
            <sz val="9"/>
            <color indexed="81"/>
            <rFont val="Segoe UI"/>
            <charset val="1"/>
          </rPr>
          <t>Tiago Fogliarini:</t>
        </r>
        <r>
          <rPr>
            <sz val="9"/>
            <color indexed="81"/>
            <rFont val="Segoe UI"/>
            <charset val="1"/>
          </rPr>
          <t xml:space="preserve">
Média Ponderada do preço de combustível praticado nas diferentes localidades.</t>
        </r>
      </text>
    </comment>
    <comment ref="F56" authorId="2" shapeId="0" xr:uid="{0B2A804B-5F6E-4F7C-8781-9A973E5C35A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Valor unitários COM desoneração da aba "MO SINAPI"</t>
      </text>
    </comment>
    <comment ref="K56" authorId="3" shapeId="0" xr:uid="{0823680E-17CE-46C6-A25D-0BFF860226E7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Valor unitários SEM desoneração da aba "MO SINAPI"</t>
      </text>
    </comment>
    <comment ref="C71" authorId="1" shapeId="0" xr:uid="{93B1C251-8BB5-4D9F-85FC-0F6519979FFD}">
      <text>
        <r>
          <rPr>
            <b/>
            <sz val="9"/>
            <color indexed="81"/>
            <rFont val="Segoe UI"/>
            <family val="2"/>
          </rPr>
          <t>1 Utilitário 5 lugares
2 Minivan 7 lugares
9 dias por mês - Corretiva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72" authorId="1" shapeId="0" xr:uid="{3591D4AA-5100-4E0F-BB0C-2C70AFF601AC}">
      <text>
        <r>
          <rPr>
            <b/>
            <sz val="9"/>
            <color indexed="81"/>
            <rFont val="Segoe UI"/>
            <charset val="1"/>
          </rPr>
          <t>Tiago Fogliarini:</t>
        </r>
        <r>
          <rPr>
            <sz val="9"/>
            <color indexed="81"/>
            <rFont val="Segoe UI"/>
            <charset val="1"/>
          </rPr>
          <t xml:space="preserve">
Média Ponderada do preço de combustível praticado nas diferentes localidades.</t>
        </r>
      </text>
    </comment>
    <comment ref="K72" authorId="1" shapeId="0" xr:uid="{BBC4B2A0-092B-4392-9DEA-5CCFAA33A736}">
      <text>
        <r>
          <rPr>
            <b/>
            <sz val="9"/>
            <color indexed="81"/>
            <rFont val="Segoe UI"/>
            <charset val="1"/>
          </rPr>
          <t>Tiago Fogliarini:</t>
        </r>
        <r>
          <rPr>
            <sz val="9"/>
            <color indexed="81"/>
            <rFont val="Segoe UI"/>
            <charset val="1"/>
          </rPr>
          <t xml:space="preserve">
Média Ponderada do preço de combustível praticado nas diferentes localidades.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tc={E63DA144-D216-4E6F-BAFC-0FF4619E8AF3}</author>
    <author>tc={399C237A-7DF4-4590-B12E-F99CE0DA9595}</author>
    <author>tc={617199B3-7D08-4D60-A989-9B55E0600DE8}</author>
    <author>tc={4BAD3D98-B273-4C67-8591-18A75A5A4757}</author>
    <author>tc={2391D58A-9200-4ADA-86C9-1AAA83633E7F}</author>
    <author>tc={5482F6D2-1076-4FD6-995A-772183F4EFFD}</author>
  </authors>
  <commentList>
    <comment ref="AJ4" authorId="0" shapeId="0" xr:uid="{E63DA144-D216-4E6F-BAFC-0FF4619E8AF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Único mensalista</t>
      </text>
    </comment>
    <comment ref="L45" authorId="1" shapeId="0" xr:uid="{399C237A-7DF4-4590-B12E-F99CE0DA959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Compara com somatório "preventiva" e "corretiva" sem BDI</t>
      </text>
    </comment>
    <comment ref="S45" authorId="2" shapeId="0" xr:uid="{617199B3-7D08-4D60-A989-9B55E0600DE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Compara com somatório "preventiva" e "corretiva" sem BDI</t>
      </text>
    </comment>
    <comment ref="Z45" authorId="3" shapeId="0" xr:uid="{4BAD3D98-B273-4C67-8591-18A75A5A4757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Compara com somatório "preventiva" e "corretiva" sem BDI</t>
      </text>
    </comment>
    <comment ref="AG45" authorId="4" shapeId="0" xr:uid="{2391D58A-9200-4ADA-86C9-1AAA83633E7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Compara com somatório "preventiva" e "corretiva" sem BDI</t>
      </text>
    </comment>
    <comment ref="AN45" authorId="5" shapeId="0" xr:uid="{5482F6D2-1076-4FD6-995A-772183F4EFF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Compara com somatório "preventiva" e "corretiva" sem BDI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Tiago Fogliarini</author>
  </authors>
  <commentList>
    <comment ref="C28" authorId="0" shapeId="0" xr:uid="{826C368D-6CC3-4737-AA65-832D5AE1017F}">
      <text>
        <r>
          <rPr>
            <b/>
            <sz val="9"/>
            <color indexed="81"/>
            <rFont val="Segoe UI"/>
            <family val="2"/>
          </rPr>
          <t>1 Utilitário 5 lugares
2 Minivan 7 lugares
21 dias por mês - Preventiva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29" authorId="0" shapeId="0" xr:uid="{BF96E73C-748B-46C7-A3FA-1F7C7B1729A5}">
      <text>
        <r>
          <rPr>
            <b/>
            <sz val="9"/>
            <color indexed="81"/>
            <rFont val="Segoe UI"/>
            <charset val="1"/>
          </rPr>
          <t>Tiago Fogliarini:</t>
        </r>
        <r>
          <rPr>
            <sz val="9"/>
            <color indexed="81"/>
            <rFont val="Segoe UI"/>
            <charset val="1"/>
          </rPr>
          <t xml:space="preserve">
Média Ponderada do preço de combustível praticado nas diferentes localidades.</t>
        </r>
      </text>
    </comment>
    <comment ref="C71" authorId="0" shapeId="0" xr:uid="{5AB73DBA-4556-44A5-94A6-20F1D5C6068B}">
      <text>
        <r>
          <rPr>
            <b/>
            <sz val="9"/>
            <color indexed="81"/>
            <rFont val="Segoe UI"/>
            <family val="2"/>
          </rPr>
          <t>1 Utilitário 5 lugares
2 Minivan 7 lugares
9 dias por mês - Corretiva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72" authorId="0" shapeId="0" xr:uid="{642E780D-76FB-48D8-A477-2333C8C885DE}">
      <text>
        <r>
          <rPr>
            <b/>
            <sz val="9"/>
            <color indexed="81"/>
            <rFont val="Segoe UI"/>
            <charset val="1"/>
          </rPr>
          <t>Tiago Fogliarini:</t>
        </r>
        <r>
          <rPr>
            <sz val="9"/>
            <color indexed="81"/>
            <rFont val="Segoe UI"/>
            <charset val="1"/>
          </rPr>
          <t xml:space="preserve">
Média Ponderada do preço de combustível praticado nas diferentes localidades.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tc={A55C4D9D-A72E-4180-9D4F-26A4AF381009}</author>
    <author>tc={43DD8F13-C827-4930-9CC7-C761608F8AB8}</author>
  </authors>
  <commentList>
    <comment ref="E19" authorId="0" shapeId="0" xr:uid="{A55C4D9D-A72E-4180-9D4F-26A4AF38100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Serão duas locações por ano. Portanto serão 10 locações para o contrato.</t>
      </text>
    </comment>
    <comment ref="E24" authorId="1" shapeId="0" xr:uid="{43DD8F13-C827-4930-9CC7-C761608F8AB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Serão duas companhas por ano com sete diárias cada. Portanto serão 70 diárias durante o contrato.</t>
      </text>
    </comment>
  </commentList>
</comments>
</file>

<file path=xl/sharedStrings.xml><?xml version="1.0" encoding="utf-8"?>
<sst xmlns="http://schemas.openxmlformats.org/spreadsheetml/2006/main" count="1399" uniqueCount="523">
  <si>
    <t>PLANILHA ORÇAMENTÁRIA SINTÉTICA ESTIMATIVA – ORÇAMENTO DE REFERÊNCIA</t>
  </si>
  <si>
    <t>BENEFÍCIOS E DESPESA INDIRETAS: BDI (SERVIÇOS)</t>
  </si>
  <si>
    <t>BENEFÍCIOS E DESPESA INDIRETAS: BDI (MATERIAIS)</t>
  </si>
  <si>
    <t>LOTE ÚNICO</t>
  </si>
  <si>
    <t>Identificação</t>
  </si>
  <si>
    <t>Discriminação</t>
  </si>
  <si>
    <t>Unidade de Medida</t>
  </si>
  <si>
    <t>Quantidade</t>
  </si>
  <si>
    <t>Preço Unitário  (R$)</t>
  </si>
  <si>
    <t>BDI</t>
  </si>
  <si>
    <t>Preço Unitário C/ BDI (R$)</t>
  </si>
  <si>
    <t>A</t>
  </si>
  <si>
    <t>A.1</t>
  </si>
  <si>
    <t>MÊS</t>
  </si>
  <si>
    <t>B</t>
  </si>
  <si>
    <t>C</t>
  </si>
  <si>
    <t>C.1</t>
  </si>
  <si>
    <t>PLANILHA ORÇAMENTÁRIA ANALÍTICA – COMPOSIÇÃO DE PREÇOS UNITÁRIOS</t>
  </si>
  <si>
    <t>FONTE:</t>
  </si>
  <si>
    <t>CÓDIGO</t>
  </si>
  <si>
    <t>DISCRIMINAÇÃO</t>
  </si>
  <si>
    <t>UN</t>
  </si>
  <si>
    <t>UNIT. [R$]</t>
  </si>
  <si>
    <t>TOTAL [R$]</t>
  </si>
  <si>
    <t>PREÇO TOTAL (Unit. S/ taxa):</t>
  </si>
  <si>
    <t>SINAPI</t>
  </si>
  <si>
    <t>H</t>
  </si>
  <si>
    <t>PREÇO TOTAL (Unit. S/ taxa)::</t>
  </si>
  <si>
    <t>PRÓPRIO</t>
  </si>
  <si>
    <t>Parâmetros estabelecido pelo Acordão 2622 – TCU Plenário – adotando percentuais do "quartil médio" para composição do BDI máximo aceitável.</t>
  </si>
  <si>
    <t>B.2.1. - Planilha de Composição do BDI SERVIÇOS</t>
  </si>
  <si>
    <t>TAXAS: LEIS SOCIAIS e BDI</t>
  </si>
  <si>
    <t>Item</t>
  </si>
  <si>
    <t>LEIS SOCIAIS – LS (SINAPI)</t>
  </si>
  <si>
    <t>HORISTA (taxa já inclusa nos valores unitários de mão-de-obra)</t>
  </si>
  <si>
    <t>LS</t>
  </si>
  <si>
    <t>MENSALISTA (taxa já inclusa nos valores unitários de mão-de-obra)</t>
  </si>
  <si>
    <t>BONIFICAÇÃO DE DESPESAS INDIRETAS - BDI</t>
  </si>
  <si>
    <t>RISCO</t>
  </si>
  <si>
    <t>R</t>
  </si>
  <si>
    <t>DESPESAS FINANCEIRAS</t>
  </si>
  <si>
    <t>DF</t>
  </si>
  <si>
    <t>ADMINISTRAÇÃO CENTRAL</t>
  </si>
  <si>
    <t>AC</t>
  </si>
  <si>
    <t>LUCRO</t>
  </si>
  <si>
    <t>L</t>
  </si>
  <si>
    <t>COFINS</t>
  </si>
  <si>
    <t>I</t>
  </si>
  <si>
    <t>PIS</t>
  </si>
  <si>
    <t>Contribuição Previdenciária sobre a Renda Bruta (CPRB)</t>
  </si>
  <si>
    <t>ISS</t>
  </si>
  <si>
    <t>Fórmula:</t>
  </si>
  <si>
    <t>BDI =</t>
  </si>
  <si>
    <t>B.2.2 – Planilha de Composição do BDI Materiais - RESSARCIMENTO (item "D")</t>
  </si>
  <si>
    <t>Lote
Único</t>
  </si>
  <si>
    <t xml:space="preserve">Descrição </t>
  </si>
  <si>
    <t>Unid.</t>
  </si>
  <si>
    <t>Quant.</t>
  </si>
  <si>
    <t>mês</t>
  </si>
  <si>
    <t>PLANILHA ORÇAMENTÁRIA RESUMO – ORÇAMENTO DE REFERÊNCIA</t>
  </si>
  <si>
    <t>SERVIÇO</t>
  </si>
  <si>
    <t>Preventiva</t>
  </si>
  <si>
    <t>Corretiva</t>
  </si>
  <si>
    <t>Profissional de Manutenção</t>
  </si>
  <si>
    <t>LEIS SOCIAIS DESONERADAS – REFERÊNCIA HORISTA SINAPI: LS</t>
  </si>
  <si>
    <r>
      <t xml:space="preserve">BDI = { [ ( </t>
    </r>
    <r>
      <rPr>
        <sz val="10"/>
        <color theme="1"/>
        <rFont val="Arial"/>
        <family val="2"/>
      </rPr>
      <t>(1+R).(1+DF).(1+AC).(1+L) ) /</t>
    </r>
    <r>
      <rPr>
        <sz val="11"/>
        <color rgb="FF000000"/>
        <rFont val="Calibri"/>
        <family val="2"/>
      </rPr>
      <t xml:space="preserve"> (1-(I)) ] -1 } x 100 </t>
    </r>
  </si>
  <si>
    <t>MECÂNICO DE REFRIGERAÇÃO COM ENCARGOS COMPLEMENTARES</t>
  </si>
  <si>
    <t>AJUDANTE ESPECIALIZADO COM ENCARGOS COMPLEMENTARES</t>
  </si>
  <si>
    <t>Própria</t>
  </si>
  <si>
    <t>INS-71903799</t>
  </si>
  <si>
    <t>SV</t>
  </si>
  <si>
    <t>INS-52517228</t>
  </si>
  <si>
    <t>INS-42436364</t>
  </si>
  <si>
    <t>ANOTAÇÃO DE RESPONSABILIDADE TÉCNICA</t>
  </si>
  <si>
    <t>Mão de Obra</t>
  </si>
  <si>
    <t>A.2</t>
  </si>
  <si>
    <t>Serviços Auxiliares</t>
  </si>
  <si>
    <t>Total</t>
  </si>
  <si>
    <t>BDI [R$]</t>
  </si>
  <si>
    <t>UNIT. c/BDI [R$]</t>
  </si>
  <si>
    <t>SERVIÇO DE MANUTENÇÃO CORRETIVA S/MATERIAIS</t>
  </si>
  <si>
    <t>QDTE</t>
  </si>
  <si>
    <t>TOTAL s/BDI [R$]</t>
  </si>
  <si>
    <t>Preço total (R$)</t>
  </si>
  <si>
    <t>Valor Total Estimado</t>
  </si>
  <si>
    <t>VALOR GLOBAL</t>
  </si>
  <si>
    <t>Qtde [h]</t>
  </si>
  <si>
    <t>TOTAL GERAL =(A + B+ C)</t>
  </si>
  <si>
    <t>Oficial de Manutenção Predial</t>
  </si>
  <si>
    <t>Técnico em Refrigeração</t>
  </si>
  <si>
    <t>Técnico em Eletrônica</t>
  </si>
  <si>
    <t>Técnico Mecânico</t>
  </si>
  <si>
    <t>Técnico de Planejamento e Programação da Manutenção</t>
  </si>
  <si>
    <t>Código</t>
  </si>
  <si>
    <t xml:space="preserve"> Descrição da Composição</t>
  </si>
  <si>
    <t xml:space="preserve">Unid. </t>
  </si>
  <si>
    <t xml:space="preserve"> SEM desoneração</t>
  </si>
  <si>
    <t>COM desoneração</t>
  </si>
  <si>
    <t xml:space="preserve"> Custo Total (R$)</t>
  </si>
  <si>
    <t>h</t>
  </si>
  <si>
    <t>ELETROTÉCNICO COM ENCARGOS COMPLEMENTARES</t>
  </si>
  <si>
    <t>ELETRICISTA COM ENCARGOS COMPLEMENTARES</t>
  </si>
  <si>
    <t>BOMBEIRO HIDRÁULICO COM ENCARGOS COMPLEMENTARES</t>
  </si>
  <si>
    <t>Encargos sociais SEM desoneração: Horista: 112,84%</t>
  </si>
  <si>
    <t>Encargos sociais COM desoneração: Horista: 90,22%</t>
  </si>
  <si>
    <t>TECNICO DE EDIFICACOES COM ENCARGOS COMPLEMENTARES</t>
  </si>
  <si>
    <t>TÉCNICO EM SEGURANÇA DO TRABALHO COM ENCARGOS COMPLEMENTARES</t>
  </si>
  <si>
    <t>ENCARREGADO GERAL COM ENCARGOS COMPLEMENTARES</t>
  </si>
  <si>
    <t>Supervisor (engenheiro)</t>
  </si>
  <si>
    <t>MANUTENÇÃO DE ATIVOS DAS UNIDADES DA RF10</t>
  </si>
  <si>
    <t>ENGENHEIRO PLENO COM ENCARGOS COMPLEMENTARES</t>
  </si>
  <si>
    <t>TECNICO PCM COM ENCARGOS COMPLEMENTARES</t>
  </si>
  <si>
    <t>PEDREIRO COM ENCARGOS COMPLEMENTARES</t>
  </si>
  <si>
    <t>AJUDANTE DE PEDREIRO COM ENCARGOS COMPLEMENTARES</t>
  </si>
  <si>
    <t>AUXILIAR DE SERVIÇOS GERAIS COM ENCARGOS COMPLEMENTARES</t>
  </si>
  <si>
    <t>AUXILIAR DE ELETRICISTA COM ENCARGOS COMPLEMENTARES</t>
  </si>
  <si>
    <t>AJUDANTE DE PINTOR COM ENCARGOS COMPLEMENTARES</t>
  </si>
  <si>
    <t>PINTOR COM ENCARGOS COMPLEMENTARES</t>
  </si>
  <si>
    <t>ENGENHEIRO CIVIL DE OBRA PLENO COM ENCARGOS COMPLEMENTARES</t>
  </si>
  <si>
    <t>ELETRÔNICO COM ENCARGOS COMPLEMENTARES</t>
  </si>
  <si>
    <t>TÉCNICO MECÂNICO COM ENCARGOS COMPLEMENTARES</t>
  </si>
  <si>
    <t>OFICIAL DE MANUTENÇÃO PREDIAL</t>
  </si>
  <si>
    <t>Deslocamentos</t>
  </si>
  <si>
    <t>COMBUSTÍVEL (considerando consumo médio de 10km/l)</t>
  </si>
  <si>
    <t>PEDÁGIO</t>
  </si>
  <si>
    <t>A.3</t>
  </si>
  <si>
    <t>B.1</t>
  </si>
  <si>
    <t>B.2</t>
  </si>
  <si>
    <t>MANUTENÇÕES</t>
  </si>
  <si>
    <t>Preventivo</t>
  </si>
  <si>
    <t>Corretivo</t>
  </si>
  <si>
    <t>Distância [km]</t>
  </si>
  <si>
    <t>Tempo médio [h]</t>
  </si>
  <si>
    <t>Dist. Pecorrida [km]</t>
  </si>
  <si>
    <t>Tempo [h]</t>
  </si>
  <si>
    <t>Mensal Preventivo</t>
  </si>
  <si>
    <t>Subtotal</t>
  </si>
  <si>
    <t>Mensal Corretivo</t>
  </si>
  <si>
    <t>Mensal Preventivo + Corretivo</t>
  </si>
  <si>
    <t>Civil</t>
  </si>
  <si>
    <t>Elétrica</t>
  </si>
  <si>
    <t>Eletrônica</t>
  </si>
  <si>
    <t>Refrigeração</t>
  </si>
  <si>
    <t>Mecânica</t>
  </si>
  <si>
    <t>Adotado</t>
  </si>
  <si>
    <t>total</t>
  </si>
  <si>
    <t>Quantidade Mensal de  diárias c/pernoite - Modalidade x Localidade</t>
  </si>
  <si>
    <t>MP</t>
  </si>
  <si>
    <t>MC</t>
  </si>
  <si>
    <t>Quantidade Mensal de  diárias s/pernoite - Modalidade x Localidade</t>
  </si>
  <si>
    <t>Total Adotado</t>
  </si>
  <si>
    <t>Quantidade Mensal de deslocamentos - Modalidade x Localidade</t>
  </si>
  <si>
    <t xml:space="preserve">SERVIÇO DE MANUTENÇÃO PREVENTIVA </t>
  </si>
  <si>
    <t>SERVIÇO DE MANUTENÇÃO CORRETIVA</t>
  </si>
  <si>
    <t xml:space="preserve">BDI </t>
  </si>
  <si>
    <t xml:space="preserve">DESLOCAMENTOS </t>
  </si>
  <si>
    <t>SERVIÇOS AUXILIARES</t>
  </si>
  <si>
    <t xml:space="preserve">SERVIÇOS DE MANUTENÇÃO PREVENTIVA </t>
  </si>
  <si>
    <t>Serviço de Manutenção Corretiva (Programada e Emergêncial) s/Materiais</t>
  </si>
  <si>
    <t>SERVIÇOS DE MANUTENÇÃO CORRETIVA S/MATERIAIS</t>
  </si>
  <si>
    <t>A.4</t>
  </si>
  <si>
    <t>Qtde de Deslocamentos a partir de Bagé</t>
  </si>
  <si>
    <t>Aceguá</t>
  </si>
  <si>
    <t>Qtde de Deslocamentos a partir de Pelotas</t>
  </si>
  <si>
    <t>Jaguarão</t>
  </si>
  <si>
    <t>Qtde de Deslocamentos a partir de Rio Grande</t>
  </si>
  <si>
    <t>Chuí</t>
  </si>
  <si>
    <t>ACI_ACG</t>
  </si>
  <si>
    <t>IRF_BAG</t>
  </si>
  <si>
    <t>DRF_PEL</t>
  </si>
  <si>
    <t>IRF_JAG</t>
  </si>
  <si>
    <t>ALF_RGE</t>
  </si>
  <si>
    <t>IRF_CHU</t>
  </si>
  <si>
    <t>LOTE 01 - Único</t>
  </si>
  <si>
    <t>Base Bagé</t>
  </si>
  <si>
    <t>Qtde [H]</t>
  </si>
  <si>
    <t>Base Pelotas</t>
  </si>
  <si>
    <t>Base Rio Grande</t>
  </si>
  <si>
    <t>Técnico Eletricista (Eletrotécnico)</t>
  </si>
  <si>
    <t>Aux. Técnico em Refrigeração</t>
  </si>
  <si>
    <t>Pintor</t>
  </si>
  <si>
    <t>Ajudante de Pintor</t>
  </si>
  <si>
    <t>1 H/mês</t>
  </si>
  <si>
    <t>12 h/mês</t>
  </si>
  <si>
    <t>Qtde [h/ano]</t>
  </si>
  <si>
    <t>Total [H]</t>
  </si>
  <si>
    <t>Horas/Ano</t>
  </si>
  <si>
    <t>Qtde [h/mês]</t>
  </si>
  <si>
    <t>PINTOR</t>
  </si>
  <si>
    <t>AJUDANTE DE PINTOR</t>
  </si>
  <si>
    <t>AUX. TÉCNICO EM REFRIGERAÇÃO</t>
  </si>
  <si>
    <t>Teste Hidrostáticos em Hidrantes</t>
  </si>
  <si>
    <t>Análise físico-química de contaminantes, espectrometria e ferrografia de óleo lubrificante de chiller</t>
  </si>
  <si>
    <t>Coleta de amostra e análise físico-químico do óleo isolante quanto à rigidez dielétrica, tensão interfacial, índice de neutralização e fator de potência à temperatura de 100 ºC</t>
  </si>
  <si>
    <t>Coleta e análise de cromatografia gasosa do óleo isolante</t>
  </si>
  <si>
    <t>Manutenção 2º Nível em Extintores de Incêndio</t>
  </si>
  <si>
    <t>Calibração de balança de pesagem rodoviária</t>
  </si>
  <si>
    <t>Filmagem e fotografia aérea com drone</t>
  </si>
  <si>
    <t>Inspeção de Extintores de Incêndio tipo CO2</t>
  </si>
  <si>
    <t>Limpeza de Fossas Sépticas e Sumidouros</t>
  </si>
  <si>
    <t>Limpeza e Desinfecção de Reservatórios de Água</t>
  </si>
  <si>
    <t>Inspeção termográfica em subestação, até 500 kVA, com laudo.</t>
  </si>
  <si>
    <t>Análise da qualidade do ar ambiental interior, de acordo com a norma ABNT NBR 17037.</t>
  </si>
  <si>
    <t>SERVIÇOS DE INSPEÇÃO PREDIAL COM LAUDO</t>
  </si>
  <si>
    <t>ART</t>
  </si>
  <si>
    <t>REGISTRO DE ANOTAÇÃO DE RESPONSABILIDADE TÉCNICA</t>
  </si>
  <si>
    <t>Serviço de Manutenção Preventiva Mensal s/Materiais</t>
  </si>
  <si>
    <t>Compartilhado</t>
  </si>
  <si>
    <t>PRESTAÇÃO DE SERVIÇO DE MANUTENÇÃO PREVENTIVA E CORRETIVA NO SISTEMA PREDIAL, EQUIPAMENTOS E INSTALAÇÕES DAS UNIDADES RELACIONADAS NO TERMO DE REFERÊNCIA, COM FORNECIMENTO DE MATERIAIS DE CONSUMO, PEÇAS DE REPOSIÇÃO, COMPONENTES E/OU ACESSÓRIOS CONFORME DETALHADO NA ESPECIFICAÇÃO DOS SERVIÇOS.</t>
  </si>
  <si>
    <t>Quantidade de horas/Mês</t>
  </si>
  <si>
    <t>Legenda:</t>
  </si>
  <si>
    <t>H - Homem</t>
  </si>
  <si>
    <t>h - hora</t>
  </si>
  <si>
    <t>Pelotas</t>
  </si>
  <si>
    <t>Bagé</t>
  </si>
  <si>
    <t>Rio Grande</t>
  </si>
  <si>
    <t>Origem</t>
  </si>
  <si>
    <t>Destino</t>
  </si>
  <si>
    <t>Distância (km)</t>
  </si>
  <si>
    <t>Tempo (min)</t>
  </si>
  <si>
    <t>Pedágio (R$)</t>
  </si>
  <si>
    <t>Fonte: https://rotasbrasil.com.br/</t>
  </si>
  <si>
    <t>ALF/RGE</t>
  </si>
  <si>
    <t>Alfândega da Receita Federal do Brasil do Porto do Rio Grande</t>
  </si>
  <si>
    <t>IRF/CHU </t>
  </si>
  <si>
    <t>Inspetoria da Receita Federal do Brasil em Chuí</t>
  </si>
  <si>
    <t>DRF/PEL</t>
  </si>
  <si>
    <t>Delegacia da Receita Federal do Brasil em Pelotas</t>
  </si>
  <si>
    <t>IRF/JAG</t>
  </si>
  <si>
    <t>Inspetoria da Receita Federal do Brasil em Jaguarão</t>
  </si>
  <si>
    <t>Ponte Mauá - IRF/JAG</t>
  </si>
  <si>
    <t>Ponte Internacional Mauá, s/nº, Centro, Jaguarão - RS</t>
  </si>
  <si>
    <t>IRF/BAG</t>
  </si>
  <si>
    <t>Inspetoria da Receita Federal do Brasil em Bagé</t>
  </si>
  <si>
    <t>DMA/BAG</t>
  </si>
  <si>
    <t>Depósito Regional de Mercadorias Apreendidas em Bagé</t>
  </si>
  <si>
    <t>ACI/ACE</t>
  </si>
  <si>
    <t>Área de Controle Integrado da Receita Federal do Brasil em Aceguá</t>
  </si>
  <si>
    <t>Rotas sugeridas</t>
  </si>
  <si>
    <t>MATERIAIS PARA MANUTENÇÃO PREVENTIVA, CORRETIVA E PARA SERVIÇOS EVENTUAIS SOB DEMANDA</t>
  </si>
  <si>
    <t>Global (5 anos)</t>
  </si>
  <si>
    <t>Edificações</t>
  </si>
  <si>
    <t>Área (m2) Construída</t>
  </si>
  <si>
    <t>Estimativa de horas para Inspeção Predial e Elaboração de Laudo</t>
  </si>
  <si>
    <t>Almoço (R$)</t>
  </si>
  <si>
    <t>Trecho</t>
  </si>
  <si>
    <t>ALIMENTAÇÃO</t>
  </si>
  <si>
    <t>HOSPEDAGEM</t>
  </si>
  <si>
    <t>Inspeção (h)</t>
  </si>
  <si>
    <t>Laudo (h)</t>
  </si>
  <si>
    <t>Valor global para o período de 60 meses</t>
  </si>
  <si>
    <t>=</t>
  </si>
  <si>
    <t>LOCAÇÃO DE VEÍCULO</t>
  </si>
  <si>
    <t>PEDÁGIO (Pel - Jag e Jag - Pel)</t>
  </si>
  <si>
    <r>
      <t>ELETROTÉCNICO C/ ENCARGOS COMPLEMENTARES</t>
    </r>
    <r>
      <rPr>
        <b/>
        <sz val="8"/>
        <color theme="1"/>
        <rFont val="ArialMT"/>
      </rPr>
      <t xml:space="preserve"> (c/ Peric.)</t>
    </r>
  </si>
  <si>
    <t>Hospedagem c/ café (R$)</t>
  </si>
  <si>
    <t>Lanche/Jantar (R$)</t>
  </si>
  <si>
    <t>Soma MP</t>
  </si>
  <si>
    <t>Soma MC</t>
  </si>
  <si>
    <t>subtotal</t>
  </si>
  <si>
    <t>HOSPEDAGEM COM CAFÉ - CHUÍ</t>
  </si>
  <si>
    <t>ALIMENTAÇÃO (ALMOÇO + JANTAR)</t>
  </si>
  <si>
    <r>
      <t>m</t>
    </r>
    <r>
      <rPr>
        <vertAlign val="superscript"/>
        <sz val="8"/>
        <color theme="1"/>
        <rFont val="Arial"/>
        <family val="2"/>
      </rPr>
      <t>3</t>
    </r>
  </si>
  <si>
    <t>Ponto</t>
  </si>
  <si>
    <t>QTDE de Equipamentos ou Instalações</t>
  </si>
  <si>
    <t>QTDE Serviço</t>
  </si>
  <si>
    <t>SERVIÇOS DE INSPEÇÃO TERMOGRÁFICA C/LAUDO</t>
  </si>
  <si>
    <t>Base BAGE</t>
  </si>
  <si>
    <t>Base PELOTAS</t>
  </si>
  <si>
    <t>Base RIO GRANDE</t>
  </si>
  <si>
    <t>ACI/ACG</t>
  </si>
  <si>
    <t>IRF/CHU</t>
  </si>
  <si>
    <t>Frequência</t>
  </si>
  <si>
    <t>Total/ano</t>
  </si>
  <si>
    <t>h/und.</t>
  </si>
  <si>
    <t>Total h/ano</t>
  </si>
  <si>
    <t>p/ 5 anos</t>
  </si>
  <si>
    <t xml:space="preserve">Subestações </t>
  </si>
  <si>
    <t>Anual</t>
  </si>
  <si>
    <t>A.1.1</t>
  </si>
  <si>
    <t>Estabilizadores/Nobreaks</t>
  </si>
  <si>
    <t>Semestral</t>
  </si>
  <si>
    <t>Painéis Elétricos (QGBT)</t>
  </si>
  <si>
    <t>A.1.2</t>
  </si>
  <si>
    <t>Inspeção termográfica em estabilizadores/nobreaks, com laudo.</t>
  </si>
  <si>
    <t>Painéis Elétricos (AVAC)</t>
  </si>
  <si>
    <t>A.1.3</t>
  </si>
  <si>
    <t>Inspeção termográfica em painéis elétricos (QGBT, AVAC), com laudo.</t>
  </si>
  <si>
    <t>A.1.4</t>
  </si>
  <si>
    <t>MO em Deslocamento</t>
  </si>
  <si>
    <t>Aluguel de Equipamento</t>
  </si>
  <si>
    <t>Locação de Câmera Termográfica FLIR T650 alta resolução (ou equivalente técnico) c/ 7 diárias</t>
  </si>
  <si>
    <t xml:space="preserve">LOCAÇÃO DE VEÍCULO </t>
  </si>
  <si>
    <t>DIA</t>
  </si>
  <si>
    <t>KM</t>
  </si>
  <si>
    <t>Materiais de Consumo Diversos</t>
  </si>
  <si>
    <t xml:space="preserve">Abraçadeira plástica de 10 cm </t>
  </si>
  <si>
    <t>Centena</t>
  </si>
  <si>
    <t>Lã de aço para limpeza</t>
  </si>
  <si>
    <t>Carrapeta para torneira ½" - Composição básica: Plástico</t>
  </si>
  <si>
    <t>Conector de fio para fio de 4mm²</t>
  </si>
  <si>
    <t>Conectores Múltiplos 12 Bornes em poliamida - Barra 2,5mm²</t>
  </si>
  <si>
    <t>Quantidade/Ano</t>
  </si>
  <si>
    <t>Und.</t>
  </si>
  <si>
    <t>Abraçadeira plástica de 20 cm pct com 100 unidades</t>
  </si>
  <si>
    <t>Abraçadeira plástica de 30 cm pct com 100 unidades.</t>
  </si>
  <si>
    <t>Adesivo plástico para PVC Bisnaga incolor 75g</t>
  </si>
  <si>
    <t>Anilhas de identificação letra 12x4,5mm (De A a Z) kit 520 peças</t>
  </si>
  <si>
    <t>Anilhas de identificação número 12x4,5mm (De 0 a 9) Kit 100 peças</t>
  </si>
  <si>
    <t>Arame galvanizado 18 BWG</t>
  </si>
  <si>
    <t>kg</t>
  </si>
  <si>
    <t>BLOCO DE ESPUMA MULTIUSO *23X 13 X 8* CM</t>
  </si>
  <si>
    <t>Buchas de nylon S4</t>
  </si>
  <si>
    <t>Buchas de nylon S5</t>
  </si>
  <si>
    <t>Buchas de nylon S6</t>
  </si>
  <si>
    <t>Buchas de nylon S8</t>
  </si>
  <si>
    <t>BUCHA DE NYLON SEM ABA S8, COM PARAFUSO DE 4,80 X 50 MM EM ACO ZINCADO COM ROSCA SOBERBA, CABECA CHATA E FENDA PHILLIPS</t>
  </si>
  <si>
    <t>Buchas de nylon S10</t>
  </si>
  <si>
    <t>BUCHA DE NYLON SEM ABA S10, COM PARAFUSO DE 6,10 X 65 MM EM ACO ZINCADO COM ROSCA SOBERBA, CABECA CHATA E FENDA PHILLIPS</t>
  </si>
  <si>
    <t>BUCHA DE NYLON SEM ABA S12, COM PARAFUSO DE 5/16" X 80 MM EM ACO ZINCADO COM ROSCA SOBERBA E CABECA SEXTAVADA</t>
  </si>
  <si>
    <t>Desengraxante Prot-multi 200 Alcalino - galão 5 l</t>
  </si>
  <si>
    <t>Esponja para limpeza</t>
  </si>
  <si>
    <t>Estopa</t>
  </si>
  <si>
    <t>Trapos para limpeza</t>
  </si>
  <si>
    <t>Etiqueta para identificação de fios e cabos / - 38,1 x 31,75 x 12,7mm² (Pacote c/120)</t>
  </si>
  <si>
    <t>Fita crepe 25mmx50m</t>
  </si>
  <si>
    <t>Fita isolante profissional ADESIVA ANTICHAMA, USO ATE 750 V, EM ROLO DE 19 MM X 5 M</t>
  </si>
  <si>
    <t>Fita isolante auto fusão USO ATE 69 KV (ALTA TENSAO), LARGURA DE 19 MM</t>
  </si>
  <si>
    <t>m</t>
  </si>
  <si>
    <t>Fita teflon veda rosca rolo 10m</t>
  </si>
  <si>
    <t>Jogo de brocas helicoidal de aço rápido HSS 15pças 1,5 - 10mm</t>
  </si>
  <si>
    <t>Limpa contato eletroeletrônico 300ml</t>
  </si>
  <si>
    <t>Lixa em folha para ferro, nº 150</t>
  </si>
  <si>
    <t>Lixa em folha para parede ou madeira, nº 120</t>
  </si>
  <si>
    <t>Lixa d'água em folha, grão 100</t>
  </si>
  <si>
    <t>Massa adesiva bicomponente tipo Durepoxi</t>
  </si>
  <si>
    <t>Organizador para cabos e fios com diâm.máx.15mm preto</t>
  </si>
  <si>
    <t>Parafusos, Porcas, rebites, pregos, buchas e arruelas</t>
  </si>
  <si>
    <t>Spray lubrificante antiferrugem multiuso 300 ml</t>
  </si>
  <si>
    <t>LONA PLASTICA PESADA PRETA, E = 150 MICRA</t>
  </si>
  <si>
    <t>m2</t>
  </si>
  <si>
    <t>Silicone uso geral incolor 280g</t>
  </si>
  <si>
    <t>Solda estanho 22g 1mm (tubinho)</t>
  </si>
  <si>
    <t>Caneta esferográfica</t>
  </si>
  <si>
    <t>Lápis</t>
  </si>
  <si>
    <t>Envelopes</t>
  </si>
  <si>
    <t>Clipe de papel</t>
  </si>
  <si>
    <t>Grampeador</t>
  </si>
  <si>
    <t>Grampos de papel</t>
  </si>
  <si>
    <t>Fita adesiva</t>
  </si>
  <si>
    <t>Materiais de Escritório</t>
  </si>
  <si>
    <t>Materiais de Limpeza</t>
  </si>
  <si>
    <t>Detergente líquido</t>
  </si>
  <si>
    <t>Desinfetante</t>
  </si>
  <si>
    <t>Sabão em pó</t>
  </si>
  <si>
    <t>Álcool</t>
  </si>
  <si>
    <t>Água sanitária</t>
  </si>
  <si>
    <t>Panos</t>
  </si>
  <si>
    <t>Flanela</t>
  </si>
  <si>
    <t>Esponja</t>
  </si>
  <si>
    <t>Vassoura</t>
  </si>
  <si>
    <t>Balde</t>
  </si>
  <si>
    <t>Rodo</t>
  </si>
  <si>
    <t>Materiais de Higiene</t>
  </si>
  <si>
    <t>Sabonete líquido</t>
  </si>
  <si>
    <t>Papel Toalha</t>
  </si>
  <si>
    <t>Álcool em gel</t>
  </si>
  <si>
    <t>Painel de Preços</t>
  </si>
  <si>
    <t>Mercado</t>
  </si>
  <si>
    <t>Pct. c/ 8</t>
  </si>
  <si>
    <t>Pct. c/ 100</t>
  </si>
  <si>
    <t>BUCHA DE NYLON SEM ABA S6, COM PARAFUSO DE 4,20 X 40 MM EM ACO ZINCADO COM ROSCA SOBERBA, CABECA CHATA E FENDA PHILLIPS</t>
  </si>
  <si>
    <t>Valor Unitário (R$)</t>
  </si>
  <si>
    <t>Buchas para gesso variadas (S4,S6,S7,S8,S10,S12 )</t>
  </si>
  <si>
    <t>Cento</t>
  </si>
  <si>
    <t>Colas epóxi Araldite (11,5g + 11,5g)</t>
  </si>
  <si>
    <t>Fita dupla face 24mm</t>
  </si>
  <si>
    <t>GRAXA LUBRIFICANTE A BASE DE LITIO, DE MULTIPLAS APLICACOES E CONTENDO ADITIVOS DE EXTREMA PRESSAO (GRAU DE VISCOSIDADE NLGI 2)</t>
  </si>
  <si>
    <t>Lâminas de serra - diversos</t>
  </si>
  <si>
    <t>centena</t>
  </si>
  <si>
    <t>Pilha alcalina / Tamanho Pequena / Tipo AA / Tensão: 1,5v</t>
  </si>
  <si>
    <t>Pilha alcalina / Tamanho Palito / Tipo AAA / Tensão: 1,5v</t>
  </si>
  <si>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Aptos"/>
        <family val="2"/>
      </rPr>
      <t>Conector de fio para fio de 2,5mm²</t>
    </r>
  </si>
  <si>
    <t>metro</t>
  </si>
  <si>
    <t>Litro</t>
  </si>
  <si>
    <t>Resma 500 fls</t>
  </si>
  <si>
    <t>Papel para impressão tipo A4</t>
  </si>
  <si>
    <t>Unidade</t>
  </si>
  <si>
    <t>Milheiro</t>
  </si>
  <si>
    <t>Rolo 30m</t>
  </si>
  <si>
    <t>Frasco 500mL</t>
  </si>
  <si>
    <t>Kg</t>
  </si>
  <si>
    <t>Galão 5L</t>
  </si>
  <si>
    <t>Saco de Lixo (diversos 15 a 100L)</t>
  </si>
  <si>
    <t>Fardo c/ 100</t>
  </si>
  <si>
    <t>Fardo</t>
  </si>
  <si>
    <t>Papel Higiênico (64 x 30 m)</t>
  </si>
  <si>
    <t>A3</t>
  </si>
  <si>
    <t>A3.1</t>
  </si>
  <si>
    <t>A3.2</t>
  </si>
  <si>
    <t>A3.3</t>
  </si>
  <si>
    <t>A3.4</t>
  </si>
  <si>
    <t>TOTAL s/BDI</t>
  </si>
  <si>
    <t>Cj</t>
  </si>
  <si>
    <t>Diversos</t>
  </si>
  <si>
    <t>Inspeção termográfica, com laudo, sendo duas rotas anuais pelas unidades base. Detalhamento na aba Termografia.</t>
  </si>
  <si>
    <t>Contrato atual</t>
  </si>
  <si>
    <t>Laudo de Inspeção Predial. Detalhamento na aba Inspeção Predial.</t>
  </si>
  <si>
    <t>-</t>
  </si>
  <si>
    <t>PREÇO TOTAL LIMITADO A 30% DA PARTE FIXA (A + B):</t>
  </si>
  <si>
    <t>PARTE FIXA (A+B)</t>
  </si>
  <si>
    <t xml:space="preserve">PARTE VARIÁVEL (C) </t>
  </si>
  <si>
    <t>Materiais de Consumo (manutenção preventiva e corretiva)</t>
  </si>
  <si>
    <t>Relação Exaustiva na aba Consumíveis</t>
  </si>
  <si>
    <t>CONSUMÍVEIS - Manutenção Preventiva e Corretiva</t>
  </si>
  <si>
    <t>SINAPI/RS - JUN/2025</t>
  </si>
  <si>
    <t>Fornecimento de materiais, peças e componentes de reposição p/manutenção corretiva, preventiva e Serviços eventuais</t>
  </si>
  <si>
    <t>SERVIÇOS DE MANUTENÇÃO PREVENTIVA S/MATERIAIS</t>
  </si>
  <si>
    <t>INSUMOS CONSUMÍVEIS</t>
  </si>
  <si>
    <t>FORNECIMENTO DE PEÇAS E COMPONENTES DE REPOSIÇÃO NÃO PREVISTOS E SERVIÇOS EVENTUAIS SOB DEMANDA. REEMBOLSO.</t>
  </si>
  <si>
    <t>VALOR ANUAL REEMBOLSÁVEL PARA FORNECIMENTO DE MATERIAIS, PEÇAS E COMPONENTES DE REPOSIÇÃO NÃO PREVISTOS E SERVIÇOS EVENTUAIS SOB DEMANDA CONFORME TERMO DE REFERÊNCIA</t>
  </si>
  <si>
    <t>REFERÊNCIA: SINAPI – RS – 06/25 (DESONERADA)</t>
  </si>
  <si>
    <t>MATERIAIS P/ MANUTENÇÃO PREVENTIVA, CORRETIVA E SERVIÇOS EVENTUAIS SOB DEMANDA</t>
  </si>
  <si>
    <t>Sinapi 06/25</t>
  </si>
  <si>
    <t>Ano</t>
  </si>
  <si>
    <t>Valor Mensal</t>
  </si>
  <si>
    <t>Valor Mensal c/ BDI</t>
  </si>
  <si>
    <t>Preço Unitário (Mensal)</t>
  </si>
  <si>
    <t>Total Mensal</t>
  </si>
  <si>
    <t>UF</t>
  </si>
  <si>
    <t>RIO GRANDE DO SUL</t>
  </si>
  <si>
    <t xml:space="preserve">VIGÊNCIA A PARTIR DE </t>
  </si>
  <si>
    <t>01/25</t>
  </si>
  <si>
    <t>Fonte:</t>
  </si>
  <si>
    <t>Mês de Referência: 06/2025</t>
  </si>
  <si>
    <t>fonte</t>
  </si>
  <si>
    <t>Livro SINAPI Cálculos e Parâmetros (pág. 112)</t>
  </si>
  <si>
    <t>Código:</t>
  </si>
  <si>
    <t>SEM desoneração</t>
  </si>
  <si>
    <t>ENCARGOS SOCIAIS SOBRE MÃO DE OBRA</t>
  </si>
  <si>
    <t>ELETROTÉCNICO C/ ENCARGOS COMPLEMENTARES (c/ Peric.)</t>
  </si>
  <si>
    <t>Descrição</t>
  </si>
  <si>
    <t>Horista (Com Desoneração)</t>
  </si>
  <si>
    <t>Mensalista (Com Desoneração)</t>
  </si>
  <si>
    <t>Horista (Sem Desoneração)</t>
  </si>
  <si>
    <t>Mensalista (Sem Desoneração)</t>
  </si>
  <si>
    <t>GRUPO A</t>
  </si>
  <si>
    <t>A1</t>
  </si>
  <si>
    <t>INSS</t>
  </si>
  <si>
    <t>A2</t>
  </si>
  <si>
    <t>SESI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</si>
  <si>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</si>
  <si>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</si>
  <si>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</si>
  <si>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</si>
  <si>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</si>
  <si>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</si>
  <si>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</si>
  <si>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</si>
  <si>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</si>
  <si>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</si>
  <si>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</si>
  <si>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</si>
  <si>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</si>
  <si>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GRUPO B</t>
  </si>
  <si>
    <t>B1</t>
  </si>
  <si>
    <t>Repouso Semanal Remunerado</t>
  </si>
  <si>
    <t>Não incide</t>
  </si>
  <si>
    <t>B2</t>
  </si>
  <si>
    <t>Feriados</t>
  </si>
  <si>
    <t>B3</t>
  </si>
  <si>
    <t>Auxílio - Enfermidade</t>
  </si>
  <si>
    <t>B4</t>
  </si>
  <si>
    <t>13º Salário</t>
  </si>
  <si>
    <t>B5</t>
  </si>
  <si>
    <t>Licença Paternidade</t>
  </si>
  <si>
    <t>B6</t>
  </si>
  <si>
    <t>Faltas Justificadas</t>
  </si>
  <si>
    <t>B7</t>
  </si>
  <si>
    <t>Dias de Chuvas</t>
  </si>
  <si>
    <t>B8</t>
  </si>
  <si>
    <t>Auxílio Acidente de Trabalho</t>
  </si>
  <si>
    <t>B9</t>
  </si>
  <si>
    <t>Férias Gozadas</t>
  </si>
  <si>
    <t>B10</t>
  </si>
  <si>
    <t>Salário Maternidade</t>
  </si>
  <si>
    <t>GRUPO C</t>
  </si>
  <si>
    <t>C1</t>
  </si>
  <si>
    <t>Aviso Prévio Indenizado</t>
  </si>
  <si>
    <t>C2</t>
  </si>
  <si>
    <t>Aviso Prévio Trabalhado</t>
  </si>
  <si>
    <t>C3</t>
  </si>
  <si>
    <t>Férias Indenizadas</t>
  </si>
  <si>
    <t>C4</t>
  </si>
  <si>
    <t>Depósito Rescisão Sem Justa Causa</t>
  </si>
  <si>
    <t>C5</t>
  </si>
  <si>
    <t>Indenização Adicional</t>
  </si>
  <si>
    <t>GRUPO D</t>
  </si>
  <si>
    <t>D1</t>
  </si>
  <si>
    <t>Reincidência de Grupo A sobre Grupo B (sem considerar INNS sobre 13º, conforme Lei nº 14.973/2024)</t>
  </si>
  <si>
    <t>D2</t>
  </si>
  <si>
    <t>Reincidência de Grupo A sobre Aviso Prévio Trabalhado e Reincidência do FGTS sobre Aviso Prévio Indenizado</t>
  </si>
  <si>
    <t>D</t>
  </si>
  <si>
    <t>D Total</t>
  </si>
  <si>
    <t>TOTAL (A+B+C+D)</t>
  </si>
  <si>
    <t>Conferência</t>
  </si>
  <si>
    <t>s/Encargos</t>
  </si>
  <si>
    <t>Encargos</t>
  </si>
  <si>
    <t>Total c/ encargos</t>
  </si>
  <si>
    <t>Qtde [h/mês]    Horista (Com Desoneração)</t>
  </si>
  <si>
    <t>não há comparação</t>
  </si>
  <si>
    <t>Qtde [h/mês]    Horista (Sem Desoneração)</t>
  </si>
  <si>
    <t>Informações de Apoio - referenciado da aba "Analítica"</t>
  </si>
  <si>
    <t>Qtde [h/mês]    Mensalista (Com Desoneração)</t>
  </si>
  <si>
    <t>Qtde [h/mês]    Mensalista (Sem Desoneração)</t>
  </si>
  <si>
    <t>Demonstrativo de vantajosidade da adoção ou não do regime de Contribuição Previdenciária Sobre a Renda Bruta – CPRB</t>
  </si>
  <si>
    <t>REGIME DESONERADO</t>
  </si>
  <si>
    <t>Conferência (uso interno)</t>
  </si>
  <si>
    <t>REGIME NÃO DESONERADO (onerado)</t>
  </si>
  <si>
    <r>
      <t>Anexo II ao Edital de Pregão Eletrônico SRRF10 n</t>
    </r>
    <r>
      <rPr>
        <b/>
        <sz val="16"/>
        <rFont val="Arial"/>
        <family val="2"/>
      </rPr>
      <t>º 90001</t>
    </r>
    <r>
      <rPr>
        <b/>
        <sz val="16"/>
        <color theme="1"/>
        <rFont val="Arial"/>
        <family val="2"/>
      </rPr>
      <t>/2026</t>
    </r>
  </si>
  <si>
    <r>
      <t xml:space="preserve">Anexo II ao Edital de Pregão Eletrônico SRRF10 </t>
    </r>
    <r>
      <rPr>
        <b/>
        <sz val="16"/>
        <rFont val="Arial"/>
        <family val="2"/>
      </rPr>
      <t>nº 90001/2026</t>
    </r>
  </si>
  <si>
    <t>Anexo II ao Edital de Pregão Eletrônico SRRF10 nº 90001/2026</t>
  </si>
  <si>
    <t xml:space="preserve">Anexo II ao Edital de Pregão Eletrônico SRRF10 nº 90001/2026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</si>
</sst>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R$-416]&quot; &quot;#,##0.00;&quot;-&quot;[$R$-416]&quot; &quot;#,##0.00"/>
    <numFmt numFmtId="165" formatCode="0.00000"/>
    <numFmt numFmtId="166" formatCode="[$R$-416]&quot; &quot;#,##0.00;[Red]&quot;-&quot;[$R$-416]&quot; &quot;#,##0.00"/>
    <numFmt numFmtId="167" formatCode="&quot; &quot;* #,##0.00&quot; &quot;;&quot;-&quot;* #,##0.00&quot; &quot;;&quot; &quot;* &quot;-&quot;#&quot; &quot;;&quot; &quot;@&quot; &quot;"/>
    <numFmt numFmtId="168" formatCode="&quot; R$ &quot;* #,##0.00&quot; &quot;;&quot;-R$ &quot;* #,##0.00&quot; &quot;;&quot; R$ &quot;* &quot;-&quot;#&quot; &quot;;&quot; &quot;@&quot; &quot;"/>
    <numFmt numFmtId="169" formatCode="#,##0.00&quot; &quot;[$€-407];[Red]&quot;-&quot;#,##0.00&quot; &quot;[$€-407]"/>
    <numFmt numFmtId="170" formatCode="[$R$-416]\ #,##0.00"/>
    <numFmt numFmtId="171" formatCode="[$R$-416]\ #,##0.00;[Red][$R$-416]\ #,##0.00"/>
    <numFmt numFmtId="172" formatCode="h:mm;@"/>
    <numFmt numFmtId="173" formatCode="_-* #,##0_-;\-* #,##0_-;_-* &quot;-&quot;??_-;_-@_-"/>
    <numFmt numFmtId="174" formatCode="[h]:mm:ss;@"/>
    <numFmt numFmtId="175" formatCode="_-* #,##0.0000000_-;\-* #,##0.0000000_-;_-* &quot;-&quot;??_-;_-@_-"/>
    <numFmt numFmtId="176" formatCode="#,##0.0000"/>
  </numFmts>
  <fonts count="78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1"/>
      <color rgb="FF000000"/>
      <name val="Calibri1"/>
      <family val="2"/>
    </font>
    <font>
      <b/>
      <sz val="10"/>
      <color rgb="FFFFFFFF"/>
      <name val="Arial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i/>
      <sz val="16"/>
      <color theme="1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1"/>
      <color theme="1"/>
      <name val="Arial2"/>
      <family val="1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b/>
      <i/>
      <u/>
      <sz val="10"/>
      <color theme="1"/>
      <name val="Arial"/>
      <family val="2"/>
    </font>
    <font>
      <b/>
      <sz val="16"/>
      <color theme="1"/>
      <name val="Arial"/>
      <family val="2"/>
    </font>
    <font>
      <b/>
      <sz val="12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C9211E"/>
      <name val="Arial"/>
      <family val="2"/>
    </font>
    <font>
      <b/>
      <sz val="8"/>
      <color rgb="FF00A933"/>
      <name val="Arial"/>
      <family val="2"/>
    </font>
    <font>
      <b/>
      <sz val="9"/>
      <color rgb="FFCE181E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8"/>
      <color theme="1"/>
      <name val="ArialMT"/>
    </font>
    <font>
      <sz val="8"/>
      <color rgb="FF000000"/>
      <name val="Arial"/>
      <family val="2"/>
    </font>
    <font>
      <sz val="8"/>
      <color rgb="FF000000"/>
      <name val="Arial1"/>
    </font>
    <font>
      <sz val="8"/>
      <color rgb="FF000000"/>
      <name val="Arial3"/>
    </font>
    <font>
      <b/>
      <sz val="8"/>
      <color rgb="FF000000"/>
      <name val="Arial"/>
      <family val="2"/>
    </font>
    <font>
      <b/>
      <sz val="16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1"/>
    </font>
    <font>
      <b/>
      <sz val="10"/>
      <color rgb="FF000000"/>
      <name val="Arial1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MT"/>
    </font>
    <font>
      <sz val="8"/>
      <name val="Arial"/>
      <family val="2"/>
    </font>
    <font>
      <b/>
      <sz val="12"/>
      <color rgb="FFFF000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MT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0"/>
      <color theme="0"/>
      <name val="Arial"/>
      <family val="2"/>
    </font>
    <font>
      <b/>
      <sz val="8"/>
      <color theme="1"/>
      <name val="ArialMT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vertAlign val="superscript"/>
      <sz val="8"/>
      <color theme="1"/>
      <name val="Arial"/>
      <family val="2"/>
    </font>
    <font>
      <sz val="12"/>
      <color theme="1"/>
      <name val="Aptos"/>
      <family val="2"/>
    </font>
    <font>
      <sz val="12"/>
      <color theme="1"/>
      <name val="Courier New"/>
      <family val="1"/>
    </font>
    <font>
      <sz val="12"/>
      <color theme="1"/>
      <name val="Times New Roman"/>
      <family val="1"/>
    </font>
    <font>
      <u/>
      <sz val="10"/>
      <color theme="10"/>
      <name val="Arial"/>
      <family val="2"/>
    </font>
    <font>
      <b/>
      <sz val="14"/>
      <color rgb="FF000000"/>
      <name val="Arial"/>
      <family val="2"/>
    </font>
    <font>
      <i/>
      <u/>
      <sz val="10"/>
      <color theme="10"/>
      <name val="Arial"/>
      <family val="2"/>
    </font>
    <font>
      <u/>
      <sz val="8"/>
      <color theme="10"/>
      <name val="Arial"/>
      <family val="2"/>
    </font>
    <font>
      <sz val="10"/>
      <color rgb="FFFF0000"/>
      <name val="Arial"/>
      <family val="2"/>
    </font>
    <font>
      <b/>
      <u/>
      <sz val="11"/>
      <color theme="0"/>
      <name val="Calibri"/>
      <family val="2"/>
      <scheme val="minor"/>
    </font>
    <font>
      <b/>
      <sz val="11"/>
      <name val="Calibri"/>
    </font>
    <font>
      <b/>
      <sz val="11"/>
      <name val="Calibri"/>
      <family val="2"/>
    </font>
    <font>
      <b/>
      <sz val="16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0C0C0"/>
        <bgColor rgb="FFC0C0C0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rgb="FFB2B2B2"/>
        <bgColor rgb="FFB2B2B2"/>
      </patternFill>
    </fill>
    <fill>
      <patternFill patternType="solid">
        <fgColor rgb="FF999999"/>
        <bgColor rgb="FF999999"/>
      </patternFill>
    </fill>
    <fill>
      <patternFill patternType="solid">
        <fgColor rgb="FF969696"/>
        <bgColor rgb="FF969696"/>
      </patternFill>
    </fill>
    <fill>
      <patternFill patternType="solid">
        <fgColor rgb="FFA9D18E"/>
        <bgColor rgb="FFA9D18E"/>
      </patternFill>
    </fill>
    <fill>
      <patternFill patternType="solid">
        <fgColor rgb="FFFFF5CE"/>
        <bgColor rgb="FFFFF5CE"/>
      </patternFill>
    </fill>
    <fill>
      <patternFill patternType="solid">
        <fgColor theme="4" tint="0.79998168889431442"/>
        <bgColor rgb="FF26237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rgb="FFDDDDDD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rgb="FFDDDDDD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rgb="FF999999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8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0">
    <xf numFmtId="0" fontId="0" fillId="0" borderId="0"/>
    <xf numFmtId="0" fontId="15" fillId="0" borderId="0"/>
    <xf numFmtId="0" fontId="16" fillId="2" borderId="0"/>
    <xf numFmtId="0" fontId="16" fillId="3" borderId="0"/>
    <xf numFmtId="0" fontId="15" fillId="4" borderId="0"/>
    <xf numFmtId="0" fontId="17" fillId="5" borderId="0"/>
    <xf numFmtId="0" fontId="18" fillId="6" borderId="1"/>
    <xf numFmtId="0" fontId="19" fillId="7" borderId="0"/>
    <xf numFmtId="0" fontId="20" fillId="0" borderId="0"/>
    <xf numFmtId="9" fontId="14" fillId="0" borderId="0"/>
    <xf numFmtId="167" fontId="20" fillId="0" borderId="0"/>
    <xf numFmtId="0" fontId="22" fillId="0" borderId="0"/>
    <xf numFmtId="0" fontId="23" fillId="8" borderId="0"/>
    <xf numFmtId="0" fontId="24" fillId="0" borderId="0">
      <alignment horizontal="center"/>
    </xf>
    <xf numFmtId="0" fontId="24" fillId="0" borderId="0">
      <alignment horizontal="center" textRotation="90"/>
    </xf>
    <xf numFmtId="0" fontId="25" fillId="0" borderId="0"/>
    <xf numFmtId="0" fontId="26" fillId="0" borderId="0"/>
    <xf numFmtId="168" fontId="27" fillId="0" borderId="0"/>
    <xf numFmtId="0" fontId="28" fillId="9" borderId="0"/>
    <xf numFmtId="0" fontId="20" fillId="0" borderId="0"/>
    <xf numFmtId="0" fontId="20" fillId="0" borderId="0"/>
    <xf numFmtId="0" fontId="29" fillId="9" borderId="2"/>
    <xf numFmtId="9" fontId="20" fillId="0" borderId="0"/>
    <xf numFmtId="9" fontId="27" fillId="0" borderId="0"/>
    <xf numFmtId="0" fontId="30" fillId="0" borderId="0"/>
    <xf numFmtId="169" fontId="30" fillId="0" borderId="0"/>
    <xf numFmtId="0" fontId="14" fillId="0" borderId="0"/>
    <xf numFmtId="0" fontId="14" fillId="0" borderId="0"/>
    <xf numFmtId="167" fontId="20" fillId="0" borderId="0"/>
    <xf numFmtId="0" fontId="17" fillId="0" borderId="0"/>
    <xf numFmtId="0" fontId="13" fillId="0" borderId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2" fillId="0" borderId="0"/>
    <xf numFmtId="0" fontId="11" fillId="0" borderId="0"/>
    <xf numFmtId="0" fontId="9" fillId="0" borderId="0"/>
    <xf numFmtId="43" fontId="9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4" fillId="33" borderId="0" applyNumberFormat="0" applyBorder="0" applyAlignment="0" applyProtection="0"/>
    <xf numFmtId="0" fontId="69" fillId="0" borderId="0" applyNumberFormat="0" applyFill="0" applyBorder="0" applyAlignment="0" applyProtection="0"/>
  </cellStyleXfs>
  <cellXfs count="678">
    <xf numFmtId="0" fontId="0" fillId="0" borderId="0" xfId="0"/>
    <xf numFmtId="0" fontId="15" fillId="10" borderId="4" xfId="0" applyFont="1" applyFill="1" applyBorder="1" applyAlignment="1">
      <alignment horizontal="center" vertical="center" wrapText="1"/>
    </xf>
    <xf numFmtId="0" fontId="21" fillId="10" borderId="5" xfId="0" applyFont="1" applyFill="1" applyBorder="1" applyAlignment="1">
      <alignment horizontal="center" vertical="center"/>
    </xf>
    <xf numFmtId="0" fontId="0" fillId="10" borderId="0" xfId="0" applyFont="1" applyFill="1" applyBorder="1" applyAlignment="1">
      <alignment horizontal="left" vertical="center"/>
    </xf>
    <xf numFmtId="0" fontId="0" fillId="10" borderId="6" xfId="0" applyFont="1" applyFill="1" applyBorder="1" applyAlignment="1">
      <alignment horizontal="left" vertical="center"/>
    </xf>
    <xf numFmtId="0" fontId="33" fillId="10" borderId="5" xfId="0" applyFont="1" applyFill="1" applyBorder="1" applyAlignment="1">
      <alignment horizontal="left" vertical="center"/>
    </xf>
    <xf numFmtId="0" fontId="33" fillId="10" borderId="0" xfId="0" applyFont="1" applyFill="1" applyBorder="1" applyAlignment="1">
      <alignment horizontal="right" vertical="center"/>
    </xf>
    <xf numFmtId="10" fontId="34" fillId="10" borderId="6" xfId="0" applyNumberFormat="1" applyFont="1" applyFill="1" applyBorder="1" applyAlignment="1">
      <alignment horizontal="center" vertical="center"/>
    </xf>
    <xf numFmtId="0" fontId="35" fillId="10" borderId="0" xfId="0" applyFont="1" applyFill="1" applyBorder="1" applyAlignment="1">
      <alignment horizontal="right" vertical="center"/>
    </xf>
    <xf numFmtId="0" fontId="34" fillId="10" borderId="0" xfId="0" applyFont="1" applyFill="1" applyBorder="1" applyAlignment="1">
      <alignment horizontal="right" vertical="center"/>
    </xf>
    <xf numFmtId="10" fontId="35" fillId="10" borderId="6" xfId="0" applyNumberFormat="1" applyFont="1" applyFill="1" applyBorder="1" applyAlignment="1">
      <alignment horizontal="center" vertical="center"/>
    </xf>
    <xf numFmtId="0" fontId="36" fillId="10" borderId="0" xfId="0" applyFont="1" applyFill="1" applyBorder="1" applyAlignment="1">
      <alignment horizontal="right" vertical="center"/>
    </xf>
    <xf numFmtId="10" fontId="36" fillId="10" borderId="6" xfId="0" applyNumberFormat="1" applyFont="1" applyFill="1" applyBorder="1" applyAlignment="1">
      <alignment horizontal="center" vertical="center"/>
    </xf>
    <xf numFmtId="0" fontId="33" fillId="10" borderId="6" xfId="0" applyFont="1" applyFill="1" applyBorder="1" applyAlignment="1">
      <alignment horizontal="center" vertical="center"/>
    </xf>
    <xf numFmtId="49" fontId="34" fillId="11" borderId="1" xfId="0" applyNumberFormat="1" applyFont="1" applyFill="1" applyBorder="1" applyAlignment="1">
      <alignment horizontal="center" vertical="center" wrapText="1"/>
    </xf>
    <xf numFmtId="164" fontId="34" fillId="11" borderId="1" xfId="0" applyNumberFormat="1" applyFont="1" applyFill="1" applyBorder="1" applyAlignment="1">
      <alignment horizontal="right" vertical="center" wrapText="1"/>
    </xf>
    <xf numFmtId="49" fontId="33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left" vertical="center" wrapText="1"/>
    </xf>
    <xf numFmtId="164" fontId="33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164" fontId="33" fillId="0" borderId="1" xfId="0" applyNumberFormat="1" applyFont="1" applyFill="1" applyBorder="1" applyAlignment="1">
      <alignment horizontal="right" vertical="center" wrapText="1"/>
    </xf>
    <xf numFmtId="164" fontId="34" fillId="11" borderId="1" xfId="0" applyNumberFormat="1" applyFont="1" applyFill="1" applyBorder="1" applyAlignment="1">
      <alignment horizontal="center" vertical="center" wrapText="1"/>
    </xf>
    <xf numFmtId="166" fontId="33" fillId="0" borderId="1" xfId="0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9" fillId="0" borderId="8" xfId="0" applyFont="1" applyFill="1" applyBorder="1" applyAlignment="1">
      <alignment horizontal="center" vertical="center"/>
    </xf>
    <xf numFmtId="0" fontId="21" fillId="10" borderId="9" xfId="0" applyFont="1" applyFill="1" applyBorder="1" applyAlignment="1">
      <alignment horizontal="left" vertical="center"/>
    </xf>
    <xf numFmtId="0" fontId="0" fillId="10" borderId="9" xfId="0" applyFont="1" applyFill="1" applyBorder="1"/>
    <xf numFmtId="0" fontId="40" fillId="10" borderId="9" xfId="0" applyFont="1" applyFill="1" applyBorder="1"/>
    <xf numFmtId="0" fontId="38" fillId="10" borderId="10" xfId="0" applyFont="1" applyFill="1" applyBorder="1" applyAlignment="1">
      <alignment horizontal="center"/>
    </xf>
    <xf numFmtId="10" fontId="34" fillId="10" borderId="6" xfId="0" applyNumberFormat="1" applyFont="1" applyFill="1" applyBorder="1" applyAlignment="1">
      <alignment horizontal="right"/>
    </xf>
    <xf numFmtId="10" fontId="34" fillId="10" borderId="6" xfId="0" applyNumberFormat="1" applyFont="1" applyFill="1" applyBorder="1"/>
    <xf numFmtId="10" fontId="21" fillId="10" borderId="11" xfId="0" applyNumberFormat="1" applyFont="1" applyFill="1" applyBorder="1"/>
    <xf numFmtId="0" fontId="41" fillId="14" borderId="1" xfId="0" applyFont="1" applyFill="1" applyBorder="1" applyAlignment="1">
      <alignment horizontal="center" vertical="center" wrapText="1"/>
    </xf>
    <xf numFmtId="1" fontId="41" fillId="14" borderId="1" xfId="0" applyNumberFormat="1" applyFont="1" applyFill="1" applyBorder="1" applyAlignment="1">
      <alignment horizontal="center" vertical="center" wrapText="1"/>
    </xf>
    <xf numFmtId="0" fontId="41" fillId="14" borderId="1" xfId="0" applyFont="1" applyFill="1" applyBorder="1" applyAlignment="1">
      <alignment horizontal="left" vertical="center" wrapText="1"/>
    </xf>
    <xf numFmtId="166" fontId="41" fillId="14" borderId="1" xfId="0" applyNumberFormat="1" applyFont="1" applyFill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165" fontId="33" fillId="0" borderId="1" xfId="0" applyNumberFormat="1" applyFont="1" applyBorder="1" applyAlignment="1">
      <alignment horizontal="center" vertical="center"/>
    </xf>
    <xf numFmtId="166" fontId="44" fillId="4" borderId="1" xfId="20" applyNumberFormat="1" applyFont="1" applyFill="1" applyBorder="1" applyAlignment="1">
      <alignment horizontal="center" vertical="center" wrapText="1"/>
    </xf>
    <xf numFmtId="0" fontId="42" fillId="0" borderId="1" xfId="0" applyFont="1" applyBorder="1" applyAlignment="1">
      <alignment wrapText="1"/>
    </xf>
    <xf numFmtId="2" fontId="33" fillId="0" borderId="1" xfId="0" applyNumberFormat="1" applyFont="1" applyBorder="1" applyAlignment="1">
      <alignment horizontal="center" vertical="center" wrapText="1"/>
    </xf>
    <xf numFmtId="166" fontId="33" fillId="0" borderId="1" xfId="0" applyNumberFormat="1" applyFont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46" fillId="4" borderId="1" xfId="8" applyFont="1" applyFill="1" applyBorder="1" applyAlignment="1">
      <alignment horizontal="center" vertical="center" wrapText="1"/>
    </xf>
    <xf numFmtId="0" fontId="46" fillId="4" borderId="1" xfId="8" applyFont="1" applyFill="1" applyBorder="1" applyAlignment="1">
      <alignment horizontal="left" vertical="center" wrapText="1"/>
    </xf>
    <xf numFmtId="165" fontId="46" fillId="4" borderId="1" xfId="8" applyNumberFormat="1" applyFont="1" applyFill="1" applyBorder="1" applyAlignment="1">
      <alignment horizontal="right" vertical="center" wrapText="1"/>
    </xf>
    <xf numFmtId="164" fontId="46" fillId="4" borderId="1" xfId="8" applyNumberFormat="1" applyFont="1" applyFill="1" applyBorder="1" applyAlignment="1">
      <alignment horizontal="right" vertical="center" wrapText="1"/>
    </xf>
    <xf numFmtId="164" fontId="46" fillId="4" borderId="1" xfId="0" applyNumberFormat="1" applyFont="1" applyFill="1" applyBorder="1" applyAlignment="1">
      <alignment horizontal="right" vertical="center" wrapText="1"/>
    </xf>
    <xf numFmtId="0" fontId="0" fillId="0" borderId="0" xfId="0" applyFill="1"/>
    <xf numFmtId="0" fontId="42" fillId="0" borderId="0" xfId="0" applyFont="1" applyFill="1" applyBorder="1" applyAlignment="1">
      <alignment horizontal="right" vertical="center"/>
    </xf>
    <xf numFmtId="4" fontId="45" fillId="0" borderId="0" xfId="20" applyNumberFormat="1" applyFont="1" applyFill="1" applyBorder="1" applyAlignment="1">
      <alignment horizontal="center" vertical="center" wrapText="1"/>
    </xf>
    <xf numFmtId="0" fontId="47" fillId="10" borderId="0" xfId="19" applyFont="1" applyFill="1" applyBorder="1" applyAlignment="1" applyProtection="1">
      <alignment horizontal="center"/>
    </xf>
    <xf numFmtId="0" fontId="15" fillId="10" borderId="0" xfId="19" applyFont="1" applyFill="1" applyBorder="1" applyAlignment="1" applyProtection="1">
      <alignment horizontal="center"/>
    </xf>
    <xf numFmtId="0" fontId="47" fillId="10" borderId="5" xfId="19" applyFont="1" applyFill="1" applyBorder="1" applyAlignment="1" applyProtection="1">
      <alignment horizontal="center"/>
    </xf>
    <xf numFmtId="0" fontId="15" fillId="15" borderId="1" xfId="19" applyFont="1" applyFill="1" applyBorder="1" applyAlignment="1" applyProtection="1">
      <alignment horizontal="center" vertical="center"/>
    </xf>
    <xf numFmtId="0" fontId="49" fillId="0" borderId="1" xfId="19" applyFont="1" applyBorder="1" applyAlignment="1" applyProtection="1">
      <alignment horizontal="center" vertical="center"/>
    </xf>
    <xf numFmtId="0" fontId="49" fillId="0" borderId="1" xfId="19" applyFont="1" applyBorder="1" applyAlignment="1" applyProtection="1">
      <alignment vertical="center"/>
    </xf>
    <xf numFmtId="10" fontId="49" fillId="16" borderId="1" xfId="22" applyNumberFormat="1" applyFont="1" applyFill="1" applyBorder="1" applyAlignment="1" applyProtection="1">
      <alignment horizontal="center" vertical="center"/>
      <protection locked="0"/>
    </xf>
    <xf numFmtId="0" fontId="49" fillId="0" borderId="3" xfId="19" applyFont="1" applyBorder="1" applyAlignment="1" applyProtection="1">
      <alignment horizontal="center" vertical="center"/>
    </xf>
    <xf numFmtId="0" fontId="49" fillId="0" borderId="3" xfId="19" applyFont="1" applyBorder="1" applyAlignment="1" applyProtection="1">
      <alignment vertical="center"/>
    </xf>
    <xf numFmtId="10" fontId="49" fillId="16" borderId="3" xfId="22" applyNumberFormat="1" applyFont="1" applyFill="1" applyBorder="1" applyAlignment="1" applyProtection="1">
      <alignment horizontal="center" vertical="center"/>
      <protection locked="0"/>
    </xf>
    <xf numFmtId="0" fontId="20" fillId="0" borderId="1" xfId="19" applyBorder="1" applyAlignment="1" applyProtection="1">
      <alignment horizontal="center" vertical="center"/>
    </xf>
    <xf numFmtId="0" fontId="20" fillId="0" borderId="13" xfId="19" applyBorder="1" applyAlignment="1" applyProtection="1">
      <alignment horizontal="center" vertical="center"/>
    </xf>
    <xf numFmtId="0" fontId="20" fillId="0" borderId="13" xfId="19" applyFont="1" applyBorder="1" applyAlignment="1" applyProtection="1">
      <alignment vertical="center"/>
    </xf>
    <xf numFmtId="0" fontId="20" fillId="0" borderId="13" xfId="19" applyFont="1" applyBorder="1" applyAlignment="1" applyProtection="1">
      <alignment horizontal="center" vertical="center"/>
    </xf>
    <xf numFmtId="0" fontId="20" fillId="0" borderId="1" xfId="19" applyFont="1" applyBorder="1" applyAlignment="1" applyProtection="1">
      <alignment vertical="center"/>
    </xf>
    <xf numFmtId="0" fontId="20" fillId="0" borderId="1" xfId="19" applyFont="1" applyBorder="1" applyAlignment="1" applyProtection="1">
      <alignment horizontal="center" vertical="center"/>
    </xf>
    <xf numFmtId="0" fontId="20" fillId="0" borderId="1" xfId="19" applyFont="1" applyBorder="1" applyAlignment="1" applyProtection="1">
      <alignment horizontal="center" vertical="center" wrapText="1"/>
    </xf>
    <xf numFmtId="0" fontId="15" fillId="0" borderId="1" xfId="19" applyFont="1" applyFill="1" applyBorder="1" applyAlignment="1" applyProtection="1">
      <alignment horizontal="center" vertical="center"/>
    </xf>
    <xf numFmtId="10" fontId="15" fillId="17" borderId="1" xfId="22" applyNumberFormat="1" applyFont="1" applyFill="1" applyBorder="1" applyAlignment="1" applyProtection="1">
      <alignment horizontal="center" vertical="center"/>
    </xf>
    <xf numFmtId="0" fontId="34" fillId="18" borderId="7" xfId="0" applyFont="1" applyFill="1" applyBorder="1" applyAlignment="1">
      <alignment horizontal="center" vertical="center" wrapText="1"/>
    </xf>
    <xf numFmtId="0" fontId="34" fillId="18" borderId="1" xfId="0" applyFont="1" applyFill="1" applyBorder="1" applyAlignment="1">
      <alignment horizontal="center" vertical="center" wrapText="1"/>
    </xf>
    <xf numFmtId="0" fontId="48" fillId="10" borderId="0" xfId="19" applyFont="1" applyFill="1" applyBorder="1" applyAlignment="1" applyProtection="1">
      <alignment wrapText="1"/>
    </xf>
    <xf numFmtId="0" fontId="48" fillId="10" borderId="6" xfId="19" applyFont="1" applyFill="1" applyBorder="1" applyAlignment="1" applyProtection="1">
      <alignment wrapText="1"/>
    </xf>
    <xf numFmtId="170" fontId="0" fillId="0" borderId="0" xfId="0" applyNumberFormat="1"/>
    <xf numFmtId="0" fontId="0" fillId="0" borderId="0" xfId="0"/>
    <xf numFmtId="43" fontId="51" fillId="19" borderId="14" xfId="30" applyNumberFormat="1" applyFont="1" applyFill="1" applyBorder="1" applyAlignment="1">
      <alignment vertical="center"/>
    </xf>
    <xf numFmtId="0" fontId="13" fillId="0" borderId="0" xfId="30"/>
    <xf numFmtId="0" fontId="51" fillId="0" borderId="14" xfId="30" applyFont="1" applyBorder="1" applyAlignment="1">
      <alignment horizontal="center" vertical="center"/>
    </xf>
    <xf numFmtId="0" fontId="51" fillId="0" borderId="14" xfId="30" applyFont="1" applyBorder="1" applyAlignment="1">
      <alignment horizontal="center" vertical="center" wrapText="1"/>
    </xf>
    <xf numFmtId="0" fontId="13" fillId="0" borderId="14" xfId="30" applyBorder="1" applyAlignment="1">
      <alignment horizontal="center" vertical="center"/>
    </xf>
    <xf numFmtId="4" fontId="13" fillId="0" borderId="14" xfId="30" applyNumberFormat="1" applyBorder="1" applyAlignment="1">
      <alignment horizontal="center" vertical="center"/>
    </xf>
    <xf numFmtId="43" fontId="0" fillId="0" borderId="14" xfId="31" applyFont="1" applyBorder="1" applyAlignment="1">
      <alignment horizontal="center" vertical="center"/>
    </xf>
    <xf numFmtId="0" fontId="33" fillId="10" borderId="15" xfId="0" applyFont="1" applyFill="1" applyBorder="1" applyAlignment="1">
      <alignment horizontal="right" vertical="center"/>
    </xf>
    <xf numFmtId="0" fontId="33" fillId="10" borderId="16" xfId="0" applyFont="1" applyFill="1" applyBorder="1" applyAlignment="1">
      <alignment horizontal="center" vertical="center"/>
    </xf>
    <xf numFmtId="0" fontId="15" fillId="10" borderId="20" xfId="0" applyFont="1" applyFill="1" applyBorder="1" applyAlignment="1">
      <alignment horizontal="center" vertical="center" wrapText="1"/>
    </xf>
    <xf numFmtId="0" fontId="21" fillId="10" borderId="20" xfId="0" applyFont="1" applyFill="1" applyBorder="1" applyAlignment="1">
      <alignment horizontal="center" vertical="center"/>
    </xf>
    <xf numFmtId="0" fontId="33" fillId="10" borderId="20" xfId="0" applyFont="1" applyFill="1" applyBorder="1" applyAlignment="1">
      <alignment horizontal="left" vertical="center"/>
    </xf>
    <xf numFmtId="0" fontId="33" fillId="10" borderId="21" xfId="0" applyFont="1" applyFill="1" applyBorder="1" applyAlignment="1">
      <alignment horizontal="left" vertical="center"/>
    </xf>
    <xf numFmtId="0" fontId="51" fillId="19" borderId="14" xfId="30" applyFont="1" applyFill="1" applyBorder="1" applyAlignment="1">
      <alignment horizontal="center" vertical="center" wrapText="1"/>
    </xf>
    <xf numFmtId="0" fontId="38" fillId="0" borderId="0" xfId="0" applyFont="1" applyFill="1" applyAlignment="1">
      <alignment horizontal="center"/>
    </xf>
    <xf numFmtId="43" fontId="13" fillId="0" borderId="0" xfId="30" applyNumberFormat="1"/>
    <xf numFmtId="0" fontId="39" fillId="0" borderId="14" xfId="0" applyFont="1" applyBorder="1" applyAlignment="1">
      <alignment horizontal="center"/>
    </xf>
    <xf numFmtId="0" fontId="52" fillId="0" borderId="14" xfId="0" applyFont="1" applyBorder="1" applyAlignment="1">
      <alignment horizontal="center"/>
    </xf>
    <xf numFmtId="0" fontId="53" fillId="0" borderId="1" xfId="0" applyFont="1" applyBorder="1" applyAlignment="1">
      <alignment wrapText="1"/>
    </xf>
    <xf numFmtId="0" fontId="0" fillId="0" borderId="0" xfId="0"/>
    <xf numFmtId="43" fontId="0" fillId="0" borderId="0" xfId="0" applyNumberFormat="1"/>
    <xf numFmtId="10" fontId="0" fillId="0" borderId="0" xfId="0" applyNumberFormat="1"/>
    <xf numFmtId="0" fontId="0" fillId="0" borderId="0" xfId="0"/>
    <xf numFmtId="0" fontId="0" fillId="0" borderId="0" xfId="0"/>
    <xf numFmtId="49" fontId="33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2" fontId="33" fillId="0" borderId="1" xfId="0" applyNumberFormat="1" applyFont="1" applyBorder="1" applyAlignment="1">
      <alignment horizontal="center" vertical="center"/>
    </xf>
    <xf numFmtId="171" fontId="0" fillId="0" borderId="0" xfId="0" applyNumberFormat="1"/>
    <xf numFmtId="43" fontId="33" fillId="0" borderId="1" xfId="32" applyFont="1" applyBorder="1" applyAlignment="1">
      <alignment horizontal="center" vertical="center" wrapText="1"/>
    </xf>
    <xf numFmtId="49" fontId="33" fillId="0" borderId="22" xfId="0" applyNumberFormat="1" applyFont="1" applyFill="1" applyBorder="1" applyAlignment="1">
      <alignment horizontal="center" vertical="center" wrapText="1"/>
    </xf>
    <xf numFmtId="4" fontId="43" fillId="0" borderId="0" xfId="20" applyNumberFormat="1" applyFont="1" applyFill="1" applyBorder="1" applyAlignment="1">
      <alignment horizontal="center" vertical="center" wrapText="1"/>
    </xf>
    <xf numFmtId="0" fontId="0" fillId="0" borderId="0" xfId="0"/>
    <xf numFmtId="0" fontId="10" fillId="0" borderId="14" xfId="30" applyFont="1" applyBorder="1" applyAlignment="1">
      <alignment horizontal="center" vertical="center"/>
    </xf>
    <xf numFmtId="0" fontId="0" fillId="0" borderId="0" xfId="0"/>
    <xf numFmtId="2" fontId="0" fillId="0" borderId="0" xfId="0" applyNumberFormat="1"/>
    <xf numFmtId="0" fontId="0" fillId="0" borderId="0" xfId="0"/>
    <xf numFmtId="43" fontId="33" fillId="0" borderId="1" xfId="32" applyFont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56" fillId="0" borderId="0" xfId="35" applyFont="1"/>
    <xf numFmtId="0" fontId="9" fillId="0" borderId="0" xfId="35"/>
    <xf numFmtId="0" fontId="57" fillId="0" borderId="20" xfId="35" applyFont="1" applyBorder="1"/>
    <xf numFmtId="0" fontId="57" fillId="0" borderId="25" xfId="35" applyFont="1" applyBorder="1"/>
    <xf numFmtId="0" fontId="57" fillId="0" borderId="32" xfId="35" applyFont="1" applyBorder="1"/>
    <xf numFmtId="0" fontId="9" fillId="0" borderId="32" xfId="35" applyBorder="1"/>
    <xf numFmtId="172" fontId="57" fillId="0" borderId="25" xfId="35" applyNumberFormat="1" applyFont="1" applyBorder="1"/>
    <xf numFmtId="172" fontId="57" fillId="0" borderId="32" xfId="35" applyNumberFormat="1" applyFont="1" applyBorder="1"/>
    <xf numFmtId="172" fontId="9" fillId="0" borderId="32" xfId="35" applyNumberFormat="1" applyBorder="1"/>
    <xf numFmtId="0" fontId="9" fillId="0" borderId="20" xfId="35" applyBorder="1"/>
    <xf numFmtId="0" fontId="9" fillId="0" borderId="25" xfId="35" applyBorder="1"/>
    <xf numFmtId="0" fontId="56" fillId="22" borderId="32" xfId="35" applyFont="1" applyFill="1" applyBorder="1"/>
    <xf numFmtId="173" fontId="57" fillId="0" borderId="32" xfId="36" applyNumberFormat="1" applyFont="1" applyBorder="1"/>
    <xf numFmtId="0" fontId="57" fillId="0" borderId="21" xfId="35" applyFont="1" applyBorder="1"/>
    <xf numFmtId="172" fontId="57" fillId="0" borderId="26" xfId="35" applyNumberFormat="1" applyFont="1" applyBorder="1"/>
    <xf numFmtId="174" fontId="57" fillId="0" borderId="33" xfId="35" applyNumberFormat="1" applyFont="1" applyBorder="1"/>
    <xf numFmtId="0" fontId="0" fillId="0" borderId="0" xfId="0" applyAlignment="1">
      <alignment horizontal="left" indent="1"/>
    </xf>
    <xf numFmtId="0" fontId="0" fillId="23" borderId="0" xfId="0" applyFill="1" applyAlignment="1">
      <alignment horizontal="center"/>
    </xf>
    <xf numFmtId="0" fontId="0" fillId="23" borderId="0" xfId="0" applyFill="1" applyAlignment="1">
      <alignment horizontal="left" indent="1"/>
    </xf>
    <xf numFmtId="0" fontId="0" fillId="0" borderId="15" xfId="0" applyBorder="1" applyAlignment="1">
      <alignment horizontal="left" indent="1"/>
    </xf>
    <xf numFmtId="0" fontId="0" fillId="0" borderId="15" xfId="0" applyBorder="1" applyAlignment="1">
      <alignment horizontal="center"/>
    </xf>
    <xf numFmtId="0" fontId="0" fillId="0" borderId="15" xfId="0" applyBorder="1"/>
    <xf numFmtId="0" fontId="0" fillId="23" borderId="15" xfId="0" applyFill="1" applyBorder="1" applyAlignment="1">
      <alignment horizontal="center"/>
    </xf>
    <xf numFmtId="0" fontId="51" fillId="0" borderId="0" xfId="35" applyFont="1" applyAlignment="1">
      <alignment horizontal="center"/>
    </xf>
    <xf numFmtId="0" fontId="51" fillId="0" borderId="0" xfId="0" applyFont="1" applyBorder="1" applyAlignment="1">
      <alignment horizontal="left"/>
    </xf>
    <xf numFmtId="0" fontId="51" fillId="0" borderId="14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71" fontId="38" fillId="0" borderId="0" xfId="0" applyNumberFormat="1" applyFont="1" applyAlignment="1">
      <alignment horizontal="center"/>
    </xf>
    <xf numFmtId="0" fontId="0" fillId="0" borderId="0" xfId="0"/>
    <xf numFmtId="49" fontId="33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2" fontId="33" fillId="0" borderId="1" xfId="0" applyNumberFormat="1" applyFont="1" applyFill="1" applyBorder="1" applyAlignment="1">
      <alignment horizontal="center" vertical="center" wrapText="1"/>
    </xf>
    <xf numFmtId="2" fontId="33" fillId="0" borderId="1" xfId="0" applyNumberFormat="1" applyFont="1" applyFill="1" applyBorder="1" applyAlignment="1">
      <alignment horizontal="center" vertical="center"/>
    </xf>
    <xf numFmtId="43" fontId="38" fillId="0" borderId="0" xfId="0" applyNumberFormat="1" applyFont="1" applyAlignment="1">
      <alignment horizontal="center"/>
    </xf>
    <xf numFmtId="10" fontId="34" fillId="10" borderId="6" xfId="0" applyNumberFormat="1" applyFont="1" applyFill="1" applyBorder="1" applyAlignment="1">
      <alignment horizontal="center"/>
    </xf>
    <xf numFmtId="0" fontId="33" fillId="0" borderId="3" xfId="0" applyFont="1" applyFill="1" applyBorder="1" applyAlignment="1">
      <alignment horizontal="left" vertical="center" wrapText="1"/>
    </xf>
    <xf numFmtId="0" fontId="33" fillId="0" borderId="34" xfId="0" applyFont="1" applyFill="1" applyBorder="1" applyAlignment="1">
      <alignment horizontal="left" vertical="center" wrapText="1"/>
    </xf>
    <xf numFmtId="0" fontId="33" fillId="0" borderId="14" xfId="0" applyFont="1" applyFill="1" applyBorder="1" applyAlignment="1">
      <alignment horizontal="left" vertical="center" wrapText="1"/>
    </xf>
    <xf numFmtId="0" fontId="8" fillId="0" borderId="14" xfId="30" applyFont="1" applyBorder="1" applyAlignment="1">
      <alignment wrapText="1"/>
    </xf>
    <xf numFmtId="175" fontId="13" fillId="0" borderId="0" xfId="30" applyNumberFormat="1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171" fontId="0" fillId="0" borderId="0" xfId="0" applyNumberFormat="1" applyFill="1"/>
    <xf numFmtId="174" fontId="57" fillId="0" borderId="26" xfId="35" applyNumberFormat="1" applyFont="1" applyBorder="1"/>
    <xf numFmtId="0" fontId="0" fillId="0" borderId="36" xfId="0" applyBorder="1"/>
    <xf numFmtId="0" fontId="51" fillId="0" borderId="36" xfId="0" applyFont="1" applyBorder="1" applyAlignment="1">
      <alignment horizontal="center" vertical="center"/>
    </xf>
    <xf numFmtId="0" fontId="0" fillId="23" borderId="15" xfId="0" applyFill="1" applyBorder="1"/>
    <xf numFmtId="0" fontId="0" fillId="20" borderId="0" xfId="0" applyFill="1"/>
    <xf numFmtId="0" fontId="0" fillId="20" borderId="0" xfId="0" applyFill="1" applyAlignment="1">
      <alignment horizontal="center"/>
    </xf>
    <xf numFmtId="0" fontId="0" fillId="20" borderId="15" xfId="0" applyFill="1" applyBorder="1" applyAlignment="1">
      <alignment horizontal="center"/>
    </xf>
    <xf numFmtId="0" fontId="0" fillId="24" borderId="0" xfId="0" applyFill="1"/>
    <xf numFmtId="0" fontId="0" fillId="24" borderId="0" xfId="0" applyFill="1" applyAlignment="1">
      <alignment horizontal="center"/>
    </xf>
    <xf numFmtId="0" fontId="0" fillId="24" borderId="15" xfId="0" applyFill="1" applyBorder="1" applyAlignment="1">
      <alignment horizontal="center"/>
    </xf>
    <xf numFmtId="0" fontId="0" fillId="0" borderId="0" xfId="0"/>
    <xf numFmtId="0" fontId="0" fillId="0" borderId="0" xfId="0" applyFill="1" applyAlignment="1">
      <alignment horizontal="center"/>
    </xf>
    <xf numFmtId="0" fontId="0" fillId="20" borderId="0" xfId="0" applyFill="1" applyBorder="1" applyAlignment="1">
      <alignment horizontal="center"/>
    </xf>
    <xf numFmtId="0" fontId="0" fillId="20" borderId="0" xfId="0" applyFill="1" applyAlignment="1">
      <alignment horizontal="left" indent="1"/>
    </xf>
    <xf numFmtId="0" fontId="0" fillId="24" borderId="0" xfId="0" applyFill="1" applyAlignment="1">
      <alignment horizontal="left" indent="1"/>
    </xf>
    <xf numFmtId="0" fontId="0" fillId="0" borderId="15" xfId="0" applyFill="1" applyBorder="1" applyAlignment="1">
      <alignment horizontal="center"/>
    </xf>
    <xf numFmtId="0" fontId="0" fillId="25" borderId="0" xfId="0" applyFill="1" applyAlignment="1">
      <alignment horizontal="center"/>
    </xf>
    <xf numFmtId="0" fontId="53" fillId="0" borderId="27" xfId="0" applyFont="1" applyBorder="1" applyAlignment="1">
      <alignment wrapText="1"/>
    </xf>
    <xf numFmtId="0" fontId="0" fillId="0" borderId="14" xfId="0" applyBorder="1" applyAlignment="1">
      <alignment horizontal="center"/>
    </xf>
    <xf numFmtId="0" fontId="21" fillId="22" borderId="14" xfId="0" applyFont="1" applyFill="1" applyBorder="1" applyAlignment="1">
      <alignment horizontal="center"/>
    </xf>
    <xf numFmtId="0" fontId="53" fillId="0" borderId="3" xfId="0" applyFont="1" applyBorder="1" applyAlignment="1">
      <alignment wrapText="1"/>
    </xf>
    <xf numFmtId="0" fontId="53" fillId="0" borderId="14" xfId="0" applyFont="1" applyFill="1" applyBorder="1" applyAlignment="1">
      <alignment wrapText="1"/>
    </xf>
    <xf numFmtId="0" fontId="53" fillId="0" borderId="0" xfId="0" applyFont="1" applyFill="1" applyBorder="1" applyAlignment="1">
      <alignment horizontal="right" wrapText="1"/>
    </xf>
    <xf numFmtId="0" fontId="0" fillId="0" borderId="0" xfId="0" applyAlignment="1">
      <alignment vertical="center"/>
    </xf>
    <xf numFmtId="0" fontId="0" fillId="0" borderId="0" xfId="0" applyAlignment="1"/>
    <xf numFmtId="0" fontId="39" fillId="23" borderId="14" xfId="0" applyFont="1" applyFill="1" applyBorder="1" applyAlignment="1">
      <alignment horizontal="center"/>
    </xf>
    <xf numFmtId="0" fontId="52" fillId="23" borderId="14" xfId="0" applyFont="1" applyFill="1" applyBorder="1" applyAlignment="1">
      <alignment horizontal="center"/>
    </xf>
    <xf numFmtId="43" fontId="0" fillId="23" borderId="14" xfId="0" applyNumberFormat="1" applyFill="1" applyBorder="1"/>
    <xf numFmtId="0" fontId="39" fillId="24" borderId="14" xfId="0" applyFont="1" applyFill="1" applyBorder="1" applyAlignment="1">
      <alignment horizontal="center"/>
    </xf>
    <xf numFmtId="0" fontId="52" fillId="24" borderId="14" xfId="0" applyFont="1" applyFill="1" applyBorder="1" applyAlignment="1">
      <alignment horizontal="center"/>
    </xf>
    <xf numFmtId="43" fontId="0" fillId="24" borderId="14" xfId="0" applyNumberFormat="1" applyFill="1" applyBorder="1"/>
    <xf numFmtId="0" fontId="53" fillId="0" borderId="27" xfId="0" applyFont="1" applyFill="1" applyBorder="1" applyAlignment="1">
      <alignment wrapText="1"/>
    </xf>
    <xf numFmtId="0" fontId="7" fillId="0" borderId="0" xfId="35" applyFont="1"/>
    <xf numFmtId="0" fontId="7" fillId="0" borderId="0" xfId="35" applyFont="1" applyAlignment="1">
      <alignment horizontal="center"/>
    </xf>
    <xf numFmtId="0" fontId="9" fillId="0" borderId="0" xfId="35" applyAlignment="1">
      <alignment horizontal="center"/>
    </xf>
    <xf numFmtId="171" fontId="0" fillId="0" borderId="0" xfId="0" applyNumberFormat="1" applyAlignment="1">
      <alignment horizontal="right"/>
    </xf>
    <xf numFmtId="0" fontId="39" fillId="10" borderId="1" xfId="0" applyFont="1" applyFill="1" applyBorder="1" applyAlignment="1">
      <alignment horizontal="center" vertical="center" wrapText="1"/>
    </xf>
    <xf numFmtId="0" fontId="32" fillId="14" borderId="1" xfId="0" applyFont="1" applyFill="1" applyBorder="1" applyAlignment="1">
      <alignment horizontal="center" vertical="center" wrapText="1"/>
    </xf>
    <xf numFmtId="1" fontId="32" fillId="14" borderId="1" xfId="0" applyNumberFormat="1" applyFont="1" applyFill="1" applyBorder="1" applyAlignment="1">
      <alignment horizontal="center" vertical="center" wrapText="1"/>
    </xf>
    <xf numFmtId="0" fontId="32" fillId="14" borderId="1" xfId="0" applyFont="1" applyFill="1" applyBorder="1" applyAlignment="1">
      <alignment horizontal="left" vertical="center" wrapText="1"/>
    </xf>
    <xf numFmtId="0" fontId="39" fillId="4" borderId="1" xfId="0" applyFont="1" applyFill="1" applyBorder="1" applyAlignment="1">
      <alignment horizontal="center" vertical="center" wrapText="1"/>
    </xf>
    <xf numFmtId="0" fontId="32" fillId="4" borderId="1" xfId="8" applyFont="1" applyFill="1" applyBorder="1" applyAlignment="1">
      <alignment horizontal="center" vertical="center" wrapText="1"/>
    </xf>
    <xf numFmtId="0" fontId="32" fillId="4" borderId="1" xfId="8" applyFont="1" applyFill="1" applyBorder="1" applyAlignment="1">
      <alignment horizontal="left" vertical="center" wrapText="1"/>
    </xf>
    <xf numFmtId="165" fontId="32" fillId="4" borderId="1" xfId="8" applyNumberFormat="1" applyFont="1" applyFill="1" applyBorder="1" applyAlignment="1">
      <alignment horizontal="right" vertical="center" wrapText="1"/>
    </xf>
    <xf numFmtId="164" fontId="32" fillId="4" borderId="1" xfId="8" applyNumberFormat="1" applyFont="1" applyFill="1" applyBorder="1" applyAlignment="1">
      <alignment horizontal="right" vertical="center" wrapText="1"/>
    </xf>
    <xf numFmtId="0" fontId="52" fillId="0" borderId="1" xfId="0" applyFont="1" applyBorder="1" applyAlignment="1">
      <alignment horizontal="center" vertical="center" wrapText="1"/>
    </xf>
    <xf numFmtId="43" fontId="52" fillId="0" borderId="1" xfId="32" applyFont="1" applyBorder="1" applyAlignment="1">
      <alignment horizontal="center" vertical="center"/>
    </xf>
    <xf numFmtId="2" fontId="52" fillId="0" borderId="1" xfId="0" applyNumberFormat="1" applyFont="1" applyBorder="1" applyAlignment="1">
      <alignment horizontal="center" vertical="center" wrapText="1"/>
    </xf>
    <xf numFmtId="43" fontId="52" fillId="0" borderId="1" xfId="32" applyFont="1" applyBorder="1" applyAlignment="1">
      <alignment horizontal="center" vertical="center" wrapText="1"/>
    </xf>
    <xf numFmtId="0" fontId="39" fillId="26" borderId="1" xfId="0" applyFont="1" applyFill="1" applyBorder="1" applyAlignment="1">
      <alignment horizontal="center" vertical="center" wrapText="1"/>
    </xf>
    <xf numFmtId="43" fontId="32" fillId="14" borderId="1" xfId="0" applyNumberFormat="1" applyFont="1" applyFill="1" applyBorder="1" applyAlignment="1">
      <alignment horizontal="left" vertical="center" wrapText="1"/>
    </xf>
    <xf numFmtId="2" fontId="52" fillId="0" borderId="1" xfId="0" applyNumberFormat="1" applyFont="1" applyFill="1" applyBorder="1" applyAlignment="1">
      <alignment horizontal="center" vertical="center"/>
    </xf>
    <xf numFmtId="0" fontId="52" fillId="0" borderId="1" xfId="0" applyFont="1" applyBorder="1" applyAlignment="1">
      <alignment wrapText="1"/>
    </xf>
    <xf numFmtId="0" fontId="52" fillId="0" borderId="1" xfId="0" applyFont="1" applyBorder="1" applyAlignment="1">
      <alignment vertical="center" wrapText="1"/>
    </xf>
    <xf numFmtId="0" fontId="52" fillId="0" borderId="0" xfId="0" applyFont="1" applyBorder="1" applyAlignment="1">
      <alignment horizontal="center" vertical="center" wrapText="1"/>
    </xf>
    <xf numFmtId="0" fontId="52" fillId="0" borderId="0" xfId="0" applyFont="1" applyBorder="1" applyAlignment="1">
      <alignment wrapText="1"/>
    </xf>
    <xf numFmtId="43" fontId="52" fillId="0" borderId="0" xfId="32" applyFont="1" applyBorder="1" applyAlignment="1">
      <alignment horizontal="center" vertical="center"/>
    </xf>
    <xf numFmtId="2" fontId="52" fillId="0" borderId="0" xfId="0" applyNumberFormat="1" applyFont="1" applyBorder="1" applyAlignment="1">
      <alignment horizontal="center" vertical="center" wrapText="1"/>
    </xf>
    <xf numFmtId="43" fontId="52" fillId="0" borderId="0" xfId="32" applyFont="1" applyBorder="1" applyAlignment="1">
      <alignment horizontal="center" vertical="center" wrapText="1"/>
    </xf>
    <xf numFmtId="176" fontId="45" fillId="0" borderId="0" xfId="20" applyNumberFormat="1" applyFont="1" applyFill="1" applyBorder="1" applyAlignment="1">
      <alignment horizontal="center" vertical="center" wrapText="1"/>
    </xf>
    <xf numFmtId="0" fontId="6" fillId="0" borderId="14" xfId="30" applyFont="1" applyBorder="1" applyAlignment="1">
      <alignment wrapText="1"/>
    </xf>
    <xf numFmtId="0" fontId="0" fillId="0" borderId="0" xfId="0"/>
    <xf numFmtId="0" fontId="55" fillId="0" borderId="14" xfId="0" applyFont="1" applyBorder="1" applyAlignment="1">
      <alignment horizontal="center"/>
    </xf>
    <xf numFmtId="0" fontId="53" fillId="0" borderId="22" xfId="0" applyFont="1" applyBorder="1" applyAlignment="1">
      <alignment wrapText="1"/>
    </xf>
    <xf numFmtId="0" fontId="0" fillId="0" borderId="24" xfId="0" applyBorder="1" applyAlignment="1">
      <alignment vertical="center"/>
    </xf>
    <xf numFmtId="0" fontId="0" fillId="0" borderId="26" xfId="0" applyBorder="1" applyAlignment="1"/>
    <xf numFmtId="0" fontId="55" fillId="0" borderId="14" xfId="0" applyFont="1" applyBorder="1" applyAlignment="1"/>
    <xf numFmtId="0" fontId="53" fillId="0" borderId="22" xfId="0" applyFont="1" applyFill="1" applyBorder="1" applyAlignment="1">
      <alignment wrapText="1"/>
    </xf>
    <xf numFmtId="0" fontId="53" fillId="0" borderId="8" xfId="0" applyFont="1" applyFill="1" applyBorder="1" applyAlignment="1">
      <alignment wrapText="1"/>
    </xf>
    <xf numFmtId="0" fontId="53" fillId="0" borderId="35" xfId="0" applyFont="1" applyFill="1" applyBorder="1" applyAlignment="1">
      <alignment wrapText="1"/>
    </xf>
    <xf numFmtId="43" fontId="52" fillId="0" borderId="14" xfId="32" applyFont="1" applyBorder="1" applyAlignment="1">
      <alignment vertical="center"/>
    </xf>
    <xf numFmtId="43" fontId="52" fillId="0" borderId="14" xfId="0" applyNumberFormat="1" applyFont="1" applyBorder="1" applyAlignment="1">
      <alignment vertical="center"/>
    </xf>
    <xf numFmtId="0" fontId="53" fillId="0" borderId="0" xfId="0" applyFont="1" applyFill="1" applyBorder="1" applyAlignment="1">
      <alignment wrapText="1"/>
    </xf>
    <xf numFmtId="0" fontId="58" fillId="0" borderId="0" xfId="0" applyFont="1" applyFill="1" applyBorder="1" applyAlignment="1">
      <alignment wrapText="1"/>
    </xf>
    <xf numFmtId="2" fontId="52" fillId="27" borderId="1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43" fontId="0" fillId="24" borderId="14" xfId="0" applyNumberFormat="1" applyFont="1" applyFill="1" applyBorder="1"/>
    <xf numFmtId="0" fontId="32" fillId="14" borderId="3" xfId="0" applyFont="1" applyFill="1" applyBorder="1" applyAlignment="1">
      <alignment horizontal="left" vertical="center" wrapText="1"/>
    </xf>
    <xf numFmtId="0" fontId="32" fillId="14" borderId="3" xfId="0" applyFont="1" applyFill="1" applyBorder="1" applyAlignment="1">
      <alignment horizontal="center" vertical="center" wrapText="1"/>
    </xf>
    <xf numFmtId="0" fontId="40" fillId="0" borderId="14" xfId="0" applyFont="1" applyBorder="1" applyAlignment="1">
      <alignment horizontal="center" vertical="center" wrapText="1"/>
    </xf>
    <xf numFmtId="4" fontId="40" fillId="0" borderId="14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/>
    </xf>
    <xf numFmtId="0" fontId="38" fillId="0" borderId="14" xfId="0" applyFont="1" applyBorder="1" applyAlignment="1">
      <alignment horizontal="center" vertical="center" wrapText="1"/>
    </xf>
    <xf numFmtId="0" fontId="15" fillId="4" borderId="4" xfId="8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2" fontId="33" fillId="27" borderId="1" xfId="0" applyNumberFormat="1" applyFont="1" applyFill="1" applyBorder="1" applyAlignment="1">
      <alignment horizontal="center" vertical="center" wrapText="1"/>
    </xf>
    <xf numFmtId="0" fontId="51" fillId="0" borderId="30" xfId="35" applyFont="1" applyBorder="1" applyAlignment="1">
      <alignment horizontal="center"/>
    </xf>
    <xf numFmtId="0" fontId="5" fillId="0" borderId="0" xfId="35" applyFont="1"/>
    <xf numFmtId="0" fontId="21" fillId="0" borderId="15" xfId="0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2" fontId="33" fillId="27" borderId="1" xfId="0" applyNumberFormat="1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 wrapText="1"/>
    </xf>
    <xf numFmtId="1" fontId="32" fillId="0" borderId="12" xfId="0" applyNumberFormat="1" applyFont="1" applyBorder="1" applyAlignment="1">
      <alignment horizontal="center" vertical="center" wrapText="1"/>
    </xf>
    <xf numFmtId="0" fontId="32" fillId="0" borderId="12" xfId="0" applyFont="1" applyBorder="1" applyAlignment="1">
      <alignment horizontal="left" vertical="center" wrapText="1"/>
    </xf>
    <xf numFmtId="43" fontId="32" fillId="0" borderId="12" xfId="0" applyNumberFormat="1" applyFont="1" applyBorder="1" applyAlignment="1">
      <alignment horizontal="left" vertical="center" wrapText="1"/>
    </xf>
    <xf numFmtId="0" fontId="0" fillId="0" borderId="14" xfId="0" applyBorder="1"/>
    <xf numFmtId="0" fontId="21" fillId="0" borderId="14" xfId="0" applyFont="1" applyBorder="1"/>
    <xf numFmtId="0" fontId="21" fillId="23" borderId="14" xfId="0" applyFont="1" applyFill="1" applyBorder="1" applyAlignment="1">
      <alignment horizontal="center" vertical="center"/>
    </xf>
    <xf numFmtId="0" fontId="0" fillId="31" borderId="14" xfId="0" applyFill="1" applyBorder="1" applyAlignment="1">
      <alignment vertical="center"/>
    </xf>
    <xf numFmtId="0" fontId="0" fillId="31" borderId="14" xfId="0" applyFill="1" applyBorder="1" applyAlignment="1">
      <alignment horizontal="center" vertical="center"/>
    </xf>
    <xf numFmtId="0" fontId="0" fillId="31" borderId="35" xfId="0" applyFill="1" applyBorder="1" applyAlignment="1">
      <alignment horizontal="center" vertical="center"/>
    </xf>
    <xf numFmtId="0" fontId="0" fillId="23" borderId="14" xfId="0" applyFill="1" applyBorder="1" applyAlignment="1">
      <alignment horizontal="center" vertical="center"/>
    </xf>
    <xf numFmtId="0" fontId="32" fillId="32" borderId="1" xfId="0" applyFont="1" applyFill="1" applyBorder="1" applyAlignment="1">
      <alignment horizontal="center" vertical="center" wrapText="1"/>
    </xf>
    <xf numFmtId="1" fontId="32" fillId="32" borderId="1" xfId="0" applyNumberFormat="1" applyFont="1" applyFill="1" applyBorder="1" applyAlignment="1">
      <alignment horizontal="center" vertical="center" wrapText="1"/>
    </xf>
    <xf numFmtId="0" fontId="32" fillId="32" borderId="1" xfId="0" applyFont="1" applyFill="1" applyBorder="1" applyAlignment="1">
      <alignment horizontal="left" vertical="center" wrapText="1"/>
    </xf>
    <xf numFmtId="43" fontId="32" fillId="32" borderId="1" xfId="0" applyNumberFormat="1" applyFont="1" applyFill="1" applyBorder="1" applyAlignment="1">
      <alignment horizontal="left" vertical="center" wrapText="1"/>
    </xf>
    <xf numFmtId="0" fontId="0" fillId="0" borderId="14" xfId="0" applyBorder="1" applyAlignment="1">
      <alignment vertical="center"/>
    </xf>
    <xf numFmtId="0" fontId="0" fillId="0" borderId="35" xfId="0" applyBorder="1" applyAlignment="1">
      <alignment horizontal="center" vertical="center"/>
    </xf>
    <xf numFmtId="0" fontId="52" fillId="0" borderId="0" xfId="0" applyFont="1" applyAlignment="1">
      <alignment horizontal="center" vertical="center" wrapText="1"/>
    </xf>
    <xf numFmtId="0" fontId="52" fillId="0" borderId="0" xfId="0" applyFont="1" applyAlignment="1">
      <alignment vertical="center" wrapText="1"/>
    </xf>
    <xf numFmtId="2" fontId="52" fillId="0" borderId="0" xfId="0" applyNumberFormat="1" applyFont="1" applyAlignment="1">
      <alignment horizontal="center" vertical="center" wrapText="1"/>
    </xf>
    <xf numFmtId="43" fontId="52" fillId="0" borderId="1" xfId="32" applyFont="1" applyFill="1" applyBorder="1" applyAlignment="1">
      <alignment horizontal="center" vertical="center" wrapText="1"/>
    </xf>
    <xf numFmtId="0" fontId="52" fillId="0" borderId="0" xfId="0" applyFont="1" applyAlignment="1">
      <alignment wrapText="1"/>
    </xf>
    <xf numFmtId="2" fontId="52" fillId="0" borderId="1" xfId="0" applyNumberFormat="1" applyFont="1" applyBorder="1" applyAlignment="1">
      <alignment horizontal="center" vertical="center"/>
    </xf>
    <xf numFmtId="0" fontId="42" fillId="0" borderId="1" xfId="0" applyFont="1" applyFill="1" applyBorder="1" applyAlignment="1">
      <alignment wrapText="1"/>
    </xf>
    <xf numFmtId="0" fontId="0" fillId="0" borderId="0" xfId="0"/>
    <xf numFmtId="0" fontId="0" fillId="0" borderId="0" xfId="0"/>
    <xf numFmtId="0" fontId="66" fillId="0" borderId="14" xfId="0" applyFont="1" applyBorder="1" applyAlignment="1">
      <alignment vertical="center"/>
    </xf>
    <xf numFmtId="0" fontId="66" fillId="0" borderId="14" xfId="0" applyFont="1" applyBorder="1" applyAlignment="1">
      <alignment vertical="center" wrapText="1"/>
    </xf>
    <xf numFmtId="0" fontId="52" fillId="0" borderId="14" xfId="0" applyFont="1" applyBorder="1"/>
    <xf numFmtId="2" fontId="52" fillId="0" borderId="14" xfId="0" applyNumberFormat="1" applyFont="1" applyBorder="1"/>
    <xf numFmtId="0" fontId="67" fillId="0" borderId="14" xfId="0" applyFont="1" applyBorder="1" applyAlignment="1">
      <alignment vertical="center"/>
    </xf>
    <xf numFmtId="2" fontId="52" fillId="0" borderId="14" xfId="0" applyNumberFormat="1" applyFont="1" applyBorder="1" applyAlignment="1">
      <alignment horizontal="center"/>
    </xf>
    <xf numFmtId="0" fontId="70" fillId="14" borderId="1" xfId="0" applyFont="1" applyFill="1" applyBorder="1" applyAlignment="1">
      <alignment horizontal="center" vertical="center" wrapText="1"/>
    </xf>
    <xf numFmtId="1" fontId="70" fillId="14" borderId="1" xfId="0" applyNumberFormat="1" applyFont="1" applyFill="1" applyBorder="1" applyAlignment="1">
      <alignment horizontal="center" vertical="center" wrapText="1"/>
    </xf>
    <xf numFmtId="0" fontId="70" fillId="14" borderId="1" xfId="0" applyFont="1" applyFill="1" applyBorder="1" applyAlignment="1">
      <alignment horizontal="left" vertical="center" wrapText="1"/>
    </xf>
    <xf numFmtId="44" fontId="70" fillId="14" borderId="1" xfId="37" applyFont="1" applyFill="1" applyBorder="1" applyAlignment="1">
      <alignment horizontal="left" vertical="center" wrapText="1"/>
    </xf>
    <xf numFmtId="0" fontId="42" fillId="27" borderId="1" xfId="0" applyFont="1" applyFill="1" applyBorder="1" applyAlignment="1">
      <alignment horizontal="center" vertical="center" wrapText="1"/>
    </xf>
    <xf numFmtId="0" fontId="71" fillId="0" borderId="1" xfId="39" applyFont="1" applyBorder="1" applyAlignment="1">
      <alignment horizontal="center" vertical="center" wrapText="1"/>
    </xf>
    <xf numFmtId="0" fontId="72" fillId="0" borderId="1" xfId="39" applyFont="1" applyBorder="1" applyAlignment="1">
      <alignment horizontal="center" vertical="center" wrapText="1"/>
    </xf>
    <xf numFmtId="4" fontId="33" fillId="27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17" fontId="0" fillId="0" borderId="0" xfId="0" applyNumberFormat="1" applyBorder="1"/>
    <xf numFmtId="0" fontId="0" fillId="35" borderId="0" xfId="0" applyFill="1"/>
    <xf numFmtId="0" fontId="0" fillId="0" borderId="0" xfId="0"/>
    <xf numFmtId="0" fontId="41" fillId="14" borderId="13" xfId="0" applyFont="1" applyFill="1" applyBorder="1" applyAlignment="1">
      <alignment horizontal="center" vertical="center" wrapText="1"/>
    </xf>
    <xf numFmtId="1" fontId="41" fillId="14" borderId="13" xfId="0" applyNumberFormat="1" applyFont="1" applyFill="1" applyBorder="1" applyAlignment="1">
      <alignment horizontal="center" vertical="center" wrapText="1"/>
    </xf>
    <xf numFmtId="0" fontId="41" fillId="14" borderId="13" xfId="0" applyFont="1" applyFill="1" applyBorder="1" applyAlignment="1">
      <alignment horizontal="left" vertical="center" wrapText="1"/>
    </xf>
    <xf numFmtId="166" fontId="41" fillId="14" borderId="13" xfId="0" applyNumberFormat="1" applyFont="1" applyFill="1" applyBorder="1" applyAlignment="1">
      <alignment horizontal="left" vertical="center" wrapText="1"/>
    </xf>
    <xf numFmtId="0" fontId="38" fillId="21" borderId="3" xfId="0" applyFont="1" applyFill="1" applyBorder="1" applyAlignment="1">
      <alignment horizontal="center" vertical="center" wrapText="1"/>
    </xf>
    <xf numFmtId="166" fontId="45" fillId="4" borderId="3" xfId="20" applyNumberFormat="1" applyFont="1" applyFill="1" applyBorder="1" applyAlignment="1">
      <alignment horizontal="right" vertical="center" wrapText="1"/>
    </xf>
    <xf numFmtId="0" fontId="34" fillId="4" borderId="13" xfId="0" applyFont="1" applyFill="1" applyBorder="1" applyAlignment="1">
      <alignment horizontal="center" vertical="center" wrapText="1"/>
    </xf>
    <xf numFmtId="0" fontId="46" fillId="4" borderId="13" xfId="8" applyFont="1" applyFill="1" applyBorder="1" applyAlignment="1">
      <alignment horizontal="center" vertical="center" wrapText="1"/>
    </xf>
    <xf numFmtId="0" fontId="46" fillId="4" borderId="13" xfId="8" applyFont="1" applyFill="1" applyBorder="1" applyAlignment="1">
      <alignment horizontal="left" vertical="center" wrapText="1"/>
    </xf>
    <xf numFmtId="165" fontId="46" fillId="4" borderId="13" xfId="8" applyNumberFormat="1" applyFont="1" applyFill="1" applyBorder="1" applyAlignment="1">
      <alignment horizontal="right" vertical="center" wrapText="1"/>
    </xf>
    <xf numFmtId="164" fontId="46" fillId="4" borderId="13" xfId="8" applyNumberFormat="1" applyFont="1" applyFill="1" applyBorder="1" applyAlignment="1">
      <alignment horizontal="right" vertical="center" wrapText="1"/>
    </xf>
    <xf numFmtId="164" fontId="46" fillId="4" borderId="13" xfId="0" applyNumberFormat="1" applyFont="1" applyFill="1" applyBorder="1" applyAlignment="1">
      <alignment horizontal="right" vertical="center" wrapText="1"/>
    </xf>
    <xf numFmtId="0" fontId="0" fillId="0" borderId="35" xfId="0" applyBorder="1"/>
    <xf numFmtId="0" fontId="0" fillId="0" borderId="37" xfId="0" applyBorder="1"/>
    <xf numFmtId="0" fontId="51" fillId="33" borderId="0" xfId="38" applyFont="1"/>
    <xf numFmtId="0" fontId="0" fillId="0" borderId="0" xfId="0"/>
    <xf numFmtId="0" fontId="0" fillId="0" borderId="0" xfId="0" applyBorder="1" applyAlignment="1">
      <alignment horizontal="center"/>
    </xf>
    <xf numFmtId="2" fontId="51" fillId="33" borderId="0" xfId="38" applyNumberFormat="1" applyFont="1"/>
    <xf numFmtId="0" fontId="33" fillId="18" borderId="1" xfId="0" applyFont="1" applyFill="1" applyBorder="1" applyAlignment="1">
      <alignment horizontal="center" vertical="center" wrapText="1"/>
    </xf>
    <xf numFmtId="0" fontId="51" fillId="20" borderId="14" xfId="30" applyFont="1" applyFill="1" applyBorder="1" applyAlignment="1">
      <alignment horizontal="center" vertical="center" wrapText="1"/>
    </xf>
    <xf numFmtId="0" fontId="2" fillId="0" borderId="36" xfId="30" applyFont="1" applyBorder="1"/>
    <xf numFmtId="4" fontId="13" fillId="0" borderId="37" xfId="30" applyNumberFormat="1" applyBorder="1" applyAlignment="1">
      <alignment horizontal="center"/>
    </xf>
    <xf numFmtId="0" fontId="3" fillId="0" borderId="24" xfId="30" applyFont="1" applyBorder="1" applyAlignment="1">
      <alignment vertical="center" wrapText="1"/>
    </xf>
    <xf numFmtId="0" fontId="2" fillId="0" borderId="24" xfId="30" applyFont="1" applyBorder="1" applyAlignment="1">
      <alignment horizontal="center" vertical="center" wrapText="1"/>
    </xf>
    <xf numFmtId="0" fontId="13" fillId="0" borderId="24" xfId="30" applyBorder="1" applyAlignment="1">
      <alignment horizontal="center" vertical="center" wrapText="1"/>
    </xf>
    <xf numFmtId="4" fontId="13" fillId="0" borderId="24" xfId="30" applyNumberFormat="1" applyBorder="1" applyAlignment="1">
      <alignment horizontal="center" vertical="center"/>
    </xf>
    <xf numFmtId="0" fontId="2" fillId="0" borderId="36" xfId="30" applyFont="1" applyBorder="1" applyAlignment="1">
      <alignment horizontal="center" vertical="center" wrapText="1"/>
    </xf>
    <xf numFmtId="0" fontId="2" fillId="0" borderId="35" xfId="30" applyFont="1" applyBorder="1" applyAlignment="1">
      <alignment horizontal="center"/>
    </xf>
    <xf numFmtId="0" fontId="73" fillId="0" borderId="0" xfId="0" applyFont="1"/>
    <xf numFmtId="0" fontId="0" fillId="0" borderId="40" xfId="0" applyBorder="1"/>
    <xf numFmtId="0" fontId="0" fillId="0" borderId="41" xfId="0" applyBorder="1"/>
    <xf numFmtId="49" fontId="0" fillId="0" borderId="42" xfId="0" applyNumberFormat="1" applyBorder="1"/>
    <xf numFmtId="0" fontId="21" fillId="0" borderId="40" xfId="0" applyFont="1" applyBorder="1" applyAlignment="1">
      <alignment horizontal="center" vertical="center"/>
    </xf>
    <xf numFmtId="0" fontId="51" fillId="0" borderId="41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0" fillId="0" borderId="43" xfId="0" applyBorder="1"/>
    <xf numFmtId="0" fontId="69" fillId="0" borderId="0" xfId="39" applyBorder="1"/>
    <xf numFmtId="0" fontId="0" fillId="0" borderId="44" xfId="0" applyBorder="1"/>
    <xf numFmtId="0" fontId="51" fillId="0" borderId="43" xfId="0" applyFont="1" applyBorder="1" applyAlignment="1">
      <alignment horizontal="center" vertical="center"/>
    </xf>
    <xf numFmtId="0" fontId="51" fillId="0" borderId="45" xfId="0" applyFont="1" applyBorder="1" applyAlignment="1">
      <alignment horizontal="center" vertical="center"/>
    </xf>
    <xf numFmtId="44" fontId="51" fillId="0" borderId="46" xfId="37" applyFont="1" applyBorder="1" applyAlignment="1">
      <alignment horizontal="center" vertical="center"/>
    </xf>
    <xf numFmtId="0" fontId="51" fillId="0" borderId="46" xfId="0" applyFont="1" applyBorder="1" applyAlignment="1">
      <alignment horizontal="center" vertical="center"/>
    </xf>
    <xf numFmtId="44" fontId="51" fillId="0" borderId="47" xfId="37" applyFont="1" applyBorder="1" applyAlignment="1">
      <alignment horizontal="center" vertical="center"/>
    </xf>
    <xf numFmtId="0" fontId="75" fillId="37" borderId="26" xfId="0" applyFont="1" applyFill="1" applyBorder="1" applyAlignment="1">
      <alignment horizontal="center" vertical="center" wrapText="1"/>
    </xf>
    <xf numFmtId="0" fontId="75" fillId="37" borderId="48" xfId="0" applyFont="1" applyFill="1" applyBorder="1" applyAlignment="1">
      <alignment horizontal="center" vertical="center" wrapText="1"/>
    </xf>
    <xf numFmtId="0" fontId="75" fillId="37" borderId="49" xfId="0" applyFont="1" applyFill="1" applyBorder="1" applyAlignment="1">
      <alignment horizontal="center" vertical="center" wrapText="1"/>
    </xf>
    <xf numFmtId="44" fontId="0" fillId="0" borderId="43" xfId="37" applyFont="1" applyBorder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37" applyFont="1" applyBorder="1" applyAlignment="1">
      <alignment horizontal="center"/>
    </xf>
    <xf numFmtId="10" fontId="0" fillId="0" borderId="44" xfId="0" applyNumberFormat="1" applyBorder="1" applyAlignment="1">
      <alignment horizontal="center"/>
    </xf>
    <xf numFmtId="44" fontId="0" fillId="0" borderId="44" xfId="37" applyFont="1" applyBorder="1" applyAlignment="1">
      <alignment horizontal="center"/>
    </xf>
    <xf numFmtId="44" fontId="51" fillId="38" borderId="43" xfId="37" applyFont="1" applyFill="1" applyBorder="1" applyAlignment="1">
      <alignment horizontal="center"/>
    </xf>
    <xf numFmtId="44" fontId="51" fillId="38" borderId="0" xfId="37" applyFont="1" applyFill="1" applyBorder="1" applyAlignment="1">
      <alignment horizontal="center"/>
    </xf>
    <xf numFmtId="44" fontId="51" fillId="38" borderId="44" xfId="37" applyFont="1" applyFill="1" applyBorder="1" applyAlignment="1">
      <alignment horizontal="center"/>
    </xf>
    <xf numFmtId="0" fontId="51" fillId="0" borderId="0" xfId="0" applyFont="1"/>
    <xf numFmtId="44" fontId="51" fillId="39" borderId="45" xfId="37" applyFont="1" applyFill="1" applyBorder="1" applyAlignment="1">
      <alignment horizontal="center"/>
    </xf>
    <xf numFmtId="44" fontId="51" fillId="39" borderId="46" xfId="37" applyFont="1" applyFill="1" applyBorder="1" applyAlignment="1">
      <alignment horizontal="center"/>
    </xf>
    <xf numFmtId="44" fontId="51" fillId="39" borderId="47" xfId="37" applyFont="1" applyFill="1" applyBorder="1" applyAlignment="1">
      <alignment horizontal="center"/>
    </xf>
    <xf numFmtId="44" fontId="0" fillId="0" borderId="0" xfId="0" applyNumberFormat="1" applyAlignment="1">
      <alignment horizontal="center"/>
    </xf>
    <xf numFmtId="0" fontId="51" fillId="0" borderId="40" xfId="0" applyFont="1" applyBorder="1" applyAlignment="1">
      <alignment horizontal="center" vertical="center"/>
    </xf>
    <xf numFmtId="0" fontId="51" fillId="0" borderId="42" xfId="0" applyFont="1" applyBorder="1" applyAlignment="1">
      <alignment horizontal="center" vertical="center"/>
    </xf>
    <xf numFmtId="0" fontId="51" fillId="0" borderId="44" xfId="0" applyFont="1" applyBorder="1" applyAlignment="1">
      <alignment horizontal="center" vertical="center"/>
    </xf>
    <xf numFmtId="0" fontId="75" fillId="37" borderId="43" xfId="0" applyFont="1" applyFill="1" applyBorder="1" applyAlignment="1">
      <alignment horizontal="center" vertical="center" wrapText="1"/>
    </xf>
    <xf numFmtId="0" fontId="75" fillId="37" borderId="44" xfId="0" applyFont="1" applyFill="1" applyBorder="1" applyAlignment="1">
      <alignment horizontal="center" vertical="center" wrapText="1"/>
    </xf>
    <xf numFmtId="44" fontId="75" fillId="22" borderId="43" xfId="37" applyFont="1" applyFill="1" applyBorder="1" applyAlignment="1">
      <alignment horizontal="center" vertical="center" wrapText="1"/>
    </xf>
    <xf numFmtId="44" fontId="75" fillId="22" borderId="44" xfId="37" applyFont="1" applyFill="1" applyBorder="1" applyAlignment="1">
      <alignment horizontal="center" vertical="center" wrapText="1"/>
    </xf>
    <xf numFmtId="44" fontId="76" fillId="22" borderId="43" xfId="37" applyFont="1" applyFill="1" applyBorder="1" applyAlignment="1">
      <alignment horizontal="center" vertical="center" wrapText="1"/>
    </xf>
    <xf numFmtId="44" fontId="76" fillId="22" borderId="44" xfId="37" applyFont="1" applyFill="1" applyBorder="1" applyAlignment="1">
      <alignment horizontal="center" vertical="center" wrapText="1"/>
    </xf>
    <xf numFmtId="44" fontId="51" fillId="22" borderId="43" xfId="37" applyFont="1" applyFill="1" applyBorder="1" applyAlignment="1">
      <alignment horizontal="center"/>
    </xf>
    <xf numFmtId="44" fontId="51" fillId="22" borderId="44" xfId="37" applyFont="1" applyFill="1" applyBorder="1" applyAlignment="1">
      <alignment horizontal="center"/>
    </xf>
    <xf numFmtId="0" fontId="51" fillId="0" borderId="0" xfId="0" applyFont="1" applyBorder="1" applyAlignment="1">
      <alignment horizontal="center" vertical="center"/>
    </xf>
    <xf numFmtId="44" fontId="51" fillId="0" borderId="45" xfId="37" applyFont="1" applyBorder="1" applyAlignment="1">
      <alignment horizontal="center" vertical="center"/>
    </xf>
    <xf numFmtId="0" fontId="74" fillId="28" borderId="45" xfId="0" applyFont="1" applyFill="1" applyBorder="1" applyAlignment="1">
      <alignment vertical="center"/>
    </xf>
    <xf numFmtId="0" fontId="74" fillId="28" borderId="46" xfId="0" applyFont="1" applyFill="1" applyBorder="1" applyAlignment="1">
      <alignment vertical="center"/>
    </xf>
    <xf numFmtId="0" fontId="74" fillId="28" borderId="47" xfId="0" applyFont="1" applyFill="1" applyBorder="1" applyAlignment="1">
      <alignment vertical="center"/>
    </xf>
    <xf numFmtId="0" fontId="74" fillId="28" borderId="0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44" fontId="0" fillId="0" borderId="43" xfId="0" applyNumberFormat="1" applyBorder="1" applyAlignment="1">
      <alignment horizontal="center"/>
    </xf>
    <xf numFmtId="44" fontId="0" fillId="0" borderId="0" xfId="0" applyNumberFormat="1" applyBorder="1" applyAlignment="1">
      <alignment horizontal="center"/>
    </xf>
    <xf numFmtId="43" fontId="0" fillId="0" borderId="0" xfId="0" applyNumberFormat="1" applyBorder="1" applyAlignment="1">
      <alignment horizontal="center"/>
    </xf>
    <xf numFmtId="43" fontId="0" fillId="0" borderId="44" xfId="0" applyNumberFormat="1" applyBorder="1" applyAlignment="1">
      <alignment horizontal="center"/>
    </xf>
    <xf numFmtId="44" fontId="0" fillId="0" borderId="44" xfId="0" applyNumberFormat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75" fillId="37" borderId="40" xfId="0" applyFont="1" applyFill="1" applyBorder="1" applyAlignment="1">
      <alignment horizontal="center" vertical="center" wrapText="1"/>
    </xf>
    <xf numFmtId="0" fontId="75" fillId="37" borderId="42" xfId="0" applyFont="1" applyFill="1" applyBorder="1" applyAlignment="1">
      <alignment horizontal="center" vertical="center" wrapText="1"/>
    </xf>
    <xf numFmtId="44" fontId="0" fillId="0" borderId="53" xfId="37" applyFont="1" applyBorder="1" applyAlignment="1">
      <alignment horizontal="center"/>
    </xf>
    <xf numFmtId="10" fontId="0" fillId="0" borderId="0" xfId="0" applyNumberFormat="1" applyAlignment="1"/>
    <xf numFmtId="0" fontId="21" fillId="0" borderId="0" xfId="0" applyFont="1" applyAlignment="1"/>
    <xf numFmtId="10" fontId="21" fillId="0" borderId="0" xfId="0" applyNumberFormat="1" applyFont="1" applyAlignment="1"/>
    <xf numFmtId="0" fontId="76" fillId="37" borderId="40" xfId="0" applyFont="1" applyFill="1" applyBorder="1" applyAlignment="1">
      <alignment horizontal="center" vertical="center" wrapText="1"/>
    </xf>
    <xf numFmtId="0" fontId="76" fillId="37" borderId="42" xfId="0" applyFont="1" applyFill="1" applyBorder="1" applyAlignment="1">
      <alignment horizontal="center" vertical="center" wrapText="1"/>
    </xf>
    <xf numFmtId="9" fontId="0" fillId="0" borderId="0" xfId="0" applyNumberFormat="1" applyBorder="1"/>
    <xf numFmtId="9" fontId="0" fillId="0" borderId="44" xfId="0" applyNumberFormat="1" applyBorder="1"/>
    <xf numFmtId="10" fontId="0" fillId="0" borderId="0" xfId="0" applyNumberFormat="1" applyBorder="1"/>
    <xf numFmtId="10" fontId="0" fillId="0" borderId="44" xfId="0" applyNumberFormat="1" applyBorder="1"/>
    <xf numFmtId="0" fontId="51" fillId="38" borderId="43" xfId="0" applyFont="1" applyFill="1" applyBorder="1"/>
    <xf numFmtId="0" fontId="51" fillId="38" borderId="0" xfId="0" applyFont="1" applyFill="1" applyBorder="1"/>
    <xf numFmtId="10" fontId="51" fillId="38" borderId="0" xfId="0" applyNumberFormat="1" applyFont="1" applyFill="1" applyBorder="1"/>
    <xf numFmtId="10" fontId="51" fillId="38" borderId="44" xfId="0" applyNumberFormat="1" applyFont="1" applyFill="1" applyBorder="1"/>
    <xf numFmtId="10" fontId="51" fillId="39" borderId="46" xfId="0" applyNumberFormat="1" applyFont="1" applyFill="1" applyBorder="1"/>
    <xf numFmtId="10" fontId="51" fillId="39" borderId="47" xfId="0" applyNumberFormat="1" applyFont="1" applyFill="1" applyBorder="1"/>
    <xf numFmtId="173" fontId="0" fillId="0" borderId="14" xfId="0" applyNumberFormat="1" applyBorder="1"/>
    <xf numFmtId="0" fontId="42" fillId="27" borderId="1" xfId="0" applyFont="1" applyFill="1" applyBorder="1" applyAlignment="1">
      <alignment wrapText="1"/>
    </xf>
    <xf numFmtId="0" fontId="33" fillId="27" borderId="1" xfId="0" applyFont="1" applyFill="1" applyBorder="1" applyAlignment="1">
      <alignment horizontal="center" vertical="center" wrapText="1"/>
    </xf>
    <xf numFmtId="43" fontId="33" fillId="27" borderId="1" xfId="32" applyFont="1" applyFill="1" applyBorder="1" applyAlignment="1">
      <alignment horizontal="center" vertical="center"/>
    </xf>
    <xf numFmtId="43" fontId="33" fillId="27" borderId="1" xfId="32" applyFont="1" applyFill="1" applyBorder="1" applyAlignment="1">
      <alignment horizontal="center" vertical="center" wrapText="1"/>
    </xf>
    <xf numFmtId="166" fontId="33" fillId="27" borderId="1" xfId="0" applyNumberFormat="1" applyFont="1" applyFill="1" applyBorder="1" applyAlignment="1">
      <alignment horizontal="center" vertical="center" wrapText="1"/>
    </xf>
    <xf numFmtId="0" fontId="0" fillId="27" borderId="0" xfId="0" applyFont="1" applyFill="1"/>
    <xf numFmtId="0" fontId="0" fillId="27" borderId="0" xfId="0" applyFill="1"/>
    <xf numFmtId="171" fontId="0" fillId="27" borderId="0" xfId="0" applyNumberFormat="1" applyFill="1"/>
    <xf numFmtId="0" fontId="73" fillId="27" borderId="0" xfId="0" applyFont="1" applyFill="1"/>
    <xf numFmtId="171" fontId="73" fillId="27" borderId="0" xfId="0" applyNumberFormat="1" applyFont="1" applyFill="1"/>
    <xf numFmtId="10" fontId="34" fillId="10" borderId="44" xfId="0" applyNumberFormat="1" applyFont="1" applyFill="1" applyBorder="1" applyAlignment="1">
      <alignment horizontal="right"/>
    </xf>
    <xf numFmtId="10" fontId="34" fillId="10" borderId="44" xfId="0" applyNumberFormat="1" applyFont="1" applyFill="1" applyBorder="1"/>
    <xf numFmtId="10" fontId="21" fillId="10" borderId="59" xfId="0" applyNumberFormat="1" applyFont="1" applyFill="1" applyBorder="1"/>
    <xf numFmtId="0" fontId="38" fillId="21" borderId="60" xfId="0" applyFont="1" applyFill="1" applyBorder="1" applyAlignment="1">
      <alignment horizontal="center" vertical="center" wrapText="1"/>
    </xf>
    <xf numFmtId="0" fontId="41" fillId="14" borderId="64" xfId="0" applyFont="1" applyFill="1" applyBorder="1" applyAlignment="1">
      <alignment horizontal="center" vertical="center" wrapText="1"/>
    </xf>
    <xf numFmtId="0" fontId="34" fillId="4" borderId="66" xfId="0" applyFont="1" applyFill="1" applyBorder="1" applyAlignment="1">
      <alignment horizontal="center" vertical="center" wrapText="1"/>
    </xf>
    <xf numFmtId="164" fontId="46" fillId="4" borderId="67" xfId="0" applyNumberFormat="1" applyFont="1" applyFill="1" applyBorder="1" applyAlignment="1">
      <alignment horizontal="right" vertical="center" wrapText="1"/>
    </xf>
    <xf numFmtId="0" fontId="42" fillId="27" borderId="66" xfId="0" applyFont="1" applyFill="1" applyBorder="1" applyAlignment="1">
      <alignment horizontal="center" vertical="center" wrapText="1"/>
    </xf>
    <xf numFmtId="166" fontId="33" fillId="27" borderId="67" xfId="0" applyNumberFormat="1" applyFont="1" applyFill="1" applyBorder="1" applyAlignment="1">
      <alignment horizontal="center" vertical="center" wrapText="1"/>
    </xf>
    <xf numFmtId="0" fontId="42" fillId="0" borderId="66" xfId="0" applyFont="1" applyBorder="1" applyAlignment="1">
      <alignment horizontal="center" vertical="center" wrapText="1"/>
    </xf>
    <xf numFmtId="166" fontId="33" fillId="0" borderId="67" xfId="0" applyNumberFormat="1" applyFont="1" applyBorder="1" applyAlignment="1">
      <alignment horizontal="center" vertical="center" wrapText="1"/>
    </xf>
    <xf numFmtId="0" fontId="0" fillId="0" borderId="62" xfId="0" applyBorder="1"/>
    <xf numFmtId="0" fontId="72" fillId="0" borderId="66" xfId="39" applyFont="1" applyBorder="1" applyAlignment="1">
      <alignment horizontal="center" vertical="center" wrapText="1"/>
    </xf>
    <xf numFmtId="0" fontId="41" fillId="14" borderId="66" xfId="0" applyFont="1" applyFill="1" applyBorder="1" applyAlignment="1">
      <alignment horizontal="center" vertical="center" wrapText="1"/>
    </xf>
    <xf numFmtId="166" fontId="41" fillId="14" borderId="67" xfId="0" applyNumberFormat="1" applyFont="1" applyFill="1" applyBorder="1" applyAlignment="1">
      <alignment horizontal="left" vertical="center" wrapText="1"/>
    </xf>
    <xf numFmtId="166" fontId="45" fillId="4" borderId="61" xfId="20" applyNumberFormat="1" applyFont="1" applyFill="1" applyBorder="1" applyAlignment="1">
      <alignment horizontal="right" vertical="center" wrapText="1"/>
    </xf>
    <xf numFmtId="0" fontId="34" fillId="4" borderId="64" xfId="0" applyFont="1" applyFill="1" applyBorder="1" applyAlignment="1">
      <alignment horizontal="center" vertical="center" wrapText="1"/>
    </xf>
    <xf numFmtId="164" fontId="46" fillId="4" borderId="65" xfId="0" applyNumberFormat="1" applyFont="1" applyFill="1" applyBorder="1" applyAlignment="1">
      <alignment horizontal="right" vertical="center" wrapText="1"/>
    </xf>
    <xf numFmtId="0" fontId="33" fillId="0" borderId="66" xfId="0" applyFont="1" applyBorder="1" applyAlignment="1">
      <alignment horizontal="center" vertical="center" wrapText="1"/>
    </xf>
    <xf numFmtId="0" fontId="41" fillId="14" borderId="70" xfId="0" applyFont="1" applyFill="1" applyBorder="1" applyAlignment="1">
      <alignment horizontal="center" vertical="center" wrapText="1"/>
    </xf>
    <xf numFmtId="1" fontId="41" fillId="14" borderId="71" xfId="0" applyNumberFormat="1" applyFont="1" applyFill="1" applyBorder="1" applyAlignment="1">
      <alignment horizontal="center" vertical="center" wrapText="1"/>
    </xf>
    <xf numFmtId="0" fontId="1" fillId="33" borderId="0" xfId="38" applyFont="1"/>
    <xf numFmtId="2" fontId="1" fillId="33" borderId="0" xfId="38" applyNumberFormat="1" applyFont="1"/>
    <xf numFmtId="166" fontId="41" fillId="14" borderId="52" xfId="0" applyNumberFormat="1" applyFont="1" applyFill="1" applyBorder="1" applyAlignment="1">
      <alignment horizontal="left" vertical="center" wrapText="1"/>
    </xf>
    <xf numFmtId="0" fontId="39" fillId="27" borderId="0" xfId="0" applyFont="1" applyFill="1" applyBorder="1" applyAlignment="1">
      <alignment vertical="center"/>
    </xf>
    <xf numFmtId="0" fontId="33" fillId="10" borderId="58" xfId="0" applyFont="1" applyFill="1" applyBorder="1" applyAlignment="1">
      <alignment vertical="center"/>
    </xf>
    <xf numFmtId="0" fontId="33" fillId="10" borderId="28" xfId="0" applyFont="1" applyFill="1" applyBorder="1" applyAlignment="1">
      <alignment vertical="center"/>
    </xf>
    <xf numFmtId="0" fontId="33" fillId="10" borderId="43" xfId="0" applyFont="1" applyFill="1" applyBorder="1" applyAlignment="1">
      <alignment vertical="center"/>
    </xf>
    <xf numFmtId="0" fontId="33" fillId="10" borderId="0" xfId="0" applyFont="1" applyFill="1" applyBorder="1" applyAlignment="1">
      <alignment vertical="center"/>
    </xf>
    <xf numFmtId="0" fontId="38" fillId="21" borderId="8" xfId="0" applyFont="1" applyFill="1" applyBorder="1" applyAlignment="1">
      <alignment horizontal="center" vertical="center" wrapText="1"/>
    </xf>
    <xf numFmtId="0" fontId="38" fillId="21" borderId="77" xfId="0" applyFont="1" applyFill="1" applyBorder="1" applyAlignment="1">
      <alignment horizontal="center" vertical="center" wrapText="1"/>
    </xf>
    <xf numFmtId="0" fontId="38" fillId="21" borderId="78" xfId="0" applyFont="1" applyFill="1" applyBorder="1" applyAlignment="1">
      <alignment horizontal="center" vertical="center" wrapText="1"/>
    </xf>
    <xf numFmtId="0" fontId="38" fillId="21" borderId="79" xfId="0" applyFont="1" applyFill="1" applyBorder="1" applyAlignment="1">
      <alignment horizontal="center" vertical="center" wrapText="1"/>
    </xf>
    <xf numFmtId="166" fontId="44" fillId="4" borderId="13" xfId="20" applyNumberFormat="1" applyFont="1" applyFill="1" applyBorder="1" applyAlignment="1">
      <alignment horizontal="center" vertical="center" wrapText="1"/>
    </xf>
    <xf numFmtId="0" fontId="41" fillId="14" borderId="80" xfId="0" applyFont="1" applyFill="1" applyBorder="1" applyAlignment="1">
      <alignment horizontal="left" vertical="center" wrapText="1"/>
    </xf>
    <xf numFmtId="0" fontId="41" fillId="14" borderId="81" xfId="0" applyFont="1" applyFill="1" applyBorder="1" applyAlignment="1">
      <alignment horizontal="left" vertical="center" wrapText="1"/>
    </xf>
    <xf numFmtId="166" fontId="41" fillId="14" borderId="82" xfId="0" applyNumberFormat="1" applyFont="1" applyFill="1" applyBorder="1" applyAlignment="1">
      <alignment horizontal="left" vertical="center" wrapText="1"/>
    </xf>
    <xf numFmtId="164" fontId="46" fillId="4" borderId="66" xfId="8" applyNumberFormat="1" applyFont="1" applyFill="1" applyBorder="1" applyAlignment="1">
      <alignment horizontal="right" vertical="center" wrapText="1"/>
    </xf>
    <xf numFmtId="2" fontId="33" fillId="27" borderId="66" xfId="0" applyNumberFormat="1" applyFont="1" applyFill="1" applyBorder="1" applyAlignment="1">
      <alignment horizontal="center" vertical="center" wrapText="1"/>
    </xf>
    <xf numFmtId="2" fontId="33" fillId="27" borderId="77" xfId="0" applyNumberFormat="1" applyFont="1" applyFill="1" applyBorder="1" applyAlignment="1">
      <alignment horizontal="center" vertical="center" wrapText="1"/>
    </xf>
    <xf numFmtId="43" fontId="33" fillId="27" borderId="78" xfId="32" applyFont="1" applyFill="1" applyBorder="1" applyAlignment="1">
      <alignment horizontal="center" vertical="center" wrapText="1"/>
    </xf>
    <xf numFmtId="2" fontId="33" fillId="27" borderId="78" xfId="0" applyNumberFormat="1" applyFont="1" applyFill="1" applyBorder="1" applyAlignment="1">
      <alignment horizontal="center" vertical="center" wrapText="1"/>
    </xf>
    <xf numFmtId="166" fontId="33" fillId="27" borderId="79" xfId="0" applyNumberFormat="1" applyFont="1" applyFill="1" applyBorder="1" applyAlignment="1">
      <alignment horizontal="center" vertical="center" wrapText="1"/>
    </xf>
    <xf numFmtId="0" fontId="41" fillId="14" borderId="27" xfId="0" applyFont="1" applyFill="1" applyBorder="1" applyAlignment="1">
      <alignment horizontal="left" vertical="center" wrapText="1"/>
    </xf>
    <xf numFmtId="165" fontId="46" fillId="4" borderId="22" xfId="8" applyNumberFormat="1" applyFont="1" applyFill="1" applyBorder="1" applyAlignment="1">
      <alignment horizontal="right" vertical="center" wrapText="1"/>
    </xf>
    <xf numFmtId="43" fontId="33" fillId="27" borderId="22" xfId="32" applyFont="1" applyFill="1" applyBorder="1" applyAlignment="1">
      <alignment horizontal="center" vertical="center"/>
    </xf>
    <xf numFmtId="166" fontId="44" fillId="4" borderId="65" xfId="20" applyNumberFormat="1" applyFont="1" applyFill="1" applyBorder="1" applyAlignment="1">
      <alignment horizontal="center" vertical="center" wrapText="1"/>
    </xf>
    <xf numFmtId="165" fontId="33" fillId="0" borderId="22" xfId="0" applyNumberFormat="1" applyFont="1" applyBorder="1" applyAlignment="1">
      <alignment horizontal="center" vertical="center"/>
    </xf>
    <xf numFmtId="43" fontId="33" fillId="0" borderId="22" xfId="32" applyFont="1" applyBorder="1" applyAlignment="1">
      <alignment horizontal="center" vertical="center"/>
    </xf>
    <xf numFmtId="166" fontId="44" fillId="4" borderId="57" xfId="20" applyNumberFormat="1" applyFont="1" applyFill="1" applyBorder="1" applyAlignment="1">
      <alignment horizontal="center" vertical="center" wrapText="1"/>
    </xf>
    <xf numFmtId="2" fontId="33" fillId="0" borderId="80" xfId="0" applyNumberFormat="1" applyFont="1" applyBorder="1" applyAlignment="1">
      <alignment horizontal="center" vertical="center" wrapText="1"/>
    </xf>
    <xf numFmtId="2" fontId="33" fillId="0" borderId="81" xfId="0" applyNumberFormat="1" applyFont="1" applyBorder="1" applyAlignment="1">
      <alignment horizontal="center" vertical="center" wrapText="1"/>
    </xf>
    <xf numFmtId="166" fontId="33" fillId="0" borderId="82" xfId="0" applyNumberFormat="1" applyFont="1" applyBorder="1" applyAlignment="1">
      <alignment horizontal="center" vertical="center" wrapText="1"/>
    </xf>
    <xf numFmtId="4" fontId="33" fillId="27" borderId="66" xfId="0" applyNumberFormat="1" applyFont="1" applyFill="1" applyBorder="1" applyAlignment="1">
      <alignment horizontal="center" vertical="center" wrapText="1"/>
    </xf>
    <xf numFmtId="2" fontId="33" fillId="0" borderId="66" xfId="0" applyNumberFormat="1" applyFont="1" applyBorder="1" applyAlignment="1">
      <alignment horizontal="center" vertical="center" wrapText="1"/>
    </xf>
    <xf numFmtId="2" fontId="33" fillId="0" borderId="77" xfId="0" applyNumberFormat="1" applyFont="1" applyBorder="1" applyAlignment="1">
      <alignment horizontal="center" vertical="center" wrapText="1"/>
    </xf>
    <xf numFmtId="43" fontId="33" fillId="0" borderId="78" xfId="32" applyFont="1" applyBorder="1" applyAlignment="1">
      <alignment horizontal="center" vertical="center" wrapText="1"/>
    </xf>
    <xf numFmtId="2" fontId="33" fillId="0" borderId="78" xfId="0" applyNumberFormat="1" applyFont="1" applyBorder="1" applyAlignment="1">
      <alignment horizontal="center" vertical="center" wrapText="1"/>
    </xf>
    <xf numFmtId="166" fontId="33" fillId="0" borderId="79" xfId="0" applyNumberFormat="1" applyFont="1" applyBorder="1" applyAlignment="1">
      <alignment horizontal="center" vertical="center" wrapText="1"/>
    </xf>
    <xf numFmtId="166" fontId="44" fillId="4" borderId="4" xfId="20" applyNumberFormat="1" applyFont="1" applyFill="1" applyBorder="1" applyAlignment="1">
      <alignment horizontal="center" vertical="center" wrapText="1"/>
    </xf>
    <xf numFmtId="2" fontId="33" fillId="0" borderId="22" xfId="0" applyNumberFormat="1" applyFont="1" applyBorder="1" applyAlignment="1">
      <alignment horizontal="center" vertical="center"/>
    </xf>
    <xf numFmtId="0" fontId="0" fillId="0" borderId="83" xfId="0" applyBorder="1"/>
    <xf numFmtId="0" fontId="0" fillId="0" borderId="84" xfId="0" applyBorder="1"/>
    <xf numFmtId="0" fontId="0" fillId="0" borderId="85" xfId="0" applyBorder="1"/>
    <xf numFmtId="4" fontId="33" fillId="27" borderId="77" xfId="0" applyNumberFormat="1" applyFont="1" applyFill="1" applyBorder="1" applyAlignment="1">
      <alignment horizontal="center" vertical="center" wrapText="1"/>
    </xf>
    <xf numFmtId="2" fontId="33" fillId="0" borderId="22" xfId="0" applyNumberFormat="1" applyFont="1" applyFill="1" applyBorder="1" applyAlignment="1">
      <alignment horizontal="center" vertical="center"/>
    </xf>
    <xf numFmtId="2" fontId="33" fillId="27" borderId="22" xfId="0" applyNumberFormat="1" applyFont="1" applyFill="1" applyBorder="1" applyAlignment="1">
      <alignment horizontal="center" vertical="center"/>
    </xf>
    <xf numFmtId="2" fontId="33" fillId="0" borderId="66" xfId="0" applyNumberFormat="1" applyFont="1" applyFill="1" applyBorder="1" applyAlignment="1">
      <alignment horizontal="center" vertical="center" wrapText="1"/>
    </xf>
    <xf numFmtId="0" fontId="41" fillId="14" borderId="22" xfId="0" applyFont="1" applyFill="1" applyBorder="1" applyAlignment="1">
      <alignment horizontal="left" vertical="center" wrapText="1"/>
    </xf>
    <xf numFmtId="166" fontId="45" fillId="4" borderId="57" xfId="20" applyNumberFormat="1" applyFont="1" applyFill="1" applyBorder="1" applyAlignment="1">
      <alignment horizontal="right" vertical="center" wrapText="1"/>
    </xf>
    <xf numFmtId="0" fontId="41" fillId="14" borderId="66" xfId="0" applyFont="1" applyFill="1" applyBorder="1" applyAlignment="1">
      <alignment horizontal="left" vertical="center" wrapText="1"/>
    </xf>
    <xf numFmtId="166" fontId="45" fillId="4" borderId="4" xfId="20" applyNumberFormat="1" applyFont="1" applyFill="1" applyBorder="1" applyAlignment="1">
      <alignment horizontal="right" vertical="center" wrapText="1"/>
    </xf>
    <xf numFmtId="165" fontId="46" fillId="4" borderId="27" xfId="8" applyNumberFormat="1" applyFont="1" applyFill="1" applyBorder="1" applyAlignment="1">
      <alignment horizontal="right" vertical="center" wrapText="1"/>
    </xf>
    <xf numFmtId="164" fontId="46" fillId="4" borderId="64" xfId="8" applyNumberFormat="1" applyFont="1" applyFill="1" applyBorder="1" applyAlignment="1">
      <alignment horizontal="right" vertical="center" wrapText="1"/>
    </xf>
    <xf numFmtId="0" fontId="54" fillId="27" borderId="1" xfId="0" applyFont="1" applyFill="1" applyBorder="1" applyAlignment="1">
      <alignment horizontal="center" vertical="center" wrapText="1"/>
    </xf>
    <xf numFmtId="43" fontId="54" fillId="27" borderId="1" xfId="32" applyFont="1" applyFill="1" applyBorder="1" applyAlignment="1">
      <alignment horizontal="center" vertical="center"/>
    </xf>
    <xf numFmtId="2" fontId="54" fillId="27" borderId="1" xfId="0" applyNumberFormat="1" applyFont="1" applyFill="1" applyBorder="1" applyAlignment="1">
      <alignment horizontal="center" vertical="center" wrapText="1"/>
    </xf>
    <xf numFmtId="43" fontId="54" fillId="27" borderId="1" xfId="32" applyFont="1" applyFill="1" applyBorder="1" applyAlignment="1">
      <alignment horizontal="center" vertical="center" wrapText="1"/>
    </xf>
    <xf numFmtId="166" fontId="54" fillId="27" borderId="1" xfId="0" applyNumberFormat="1" applyFont="1" applyFill="1" applyBorder="1" applyAlignment="1">
      <alignment horizontal="center" vertical="center" wrapText="1"/>
    </xf>
    <xf numFmtId="0" fontId="51" fillId="19" borderId="14" xfId="30" applyFont="1" applyFill="1" applyBorder="1" applyAlignment="1">
      <alignment horizontal="left" vertical="center" wrapText="1"/>
    </xf>
    <xf numFmtId="0" fontId="51" fillId="19" borderId="14" xfId="30" applyFont="1" applyFill="1" applyBorder="1" applyAlignment="1">
      <alignment horizontal="left" vertical="center"/>
    </xf>
    <xf numFmtId="0" fontId="31" fillId="0" borderId="17" xfId="0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/>
    </xf>
    <xf numFmtId="0" fontId="32" fillId="6" borderId="18" xfId="0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center" vertical="center" wrapText="1"/>
    </xf>
    <xf numFmtId="0" fontId="0" fillId="10" borderId="19" xfId="0" applyFill="1" applyBorder="1"/>
    <xf numFmtId="0" fontId="0" fillId="10" borderId="4" xfId="0" applyFill="1" applyBorder="1"/>
    <xf numFmtId="0" fontId="15" fillId="10" borderId="0" xfId="0" applyFont="1" applyFill="1" applyBorder="1" applyAlignment="1">
      <alignment horizontal="right" vertical="center" wrapText="1"/>
    </xf>
    <xf numFmtId="0" fontId="15" fillId="10" borderId="6" xfId="0" applyFont="1" applyFill="1" applyBorder="1" applyAlignment="1">
      <alignment horizontal="right" vertical="center" wrapText="1"/>
    </xf>
    <xf numFmtId="0" fontId="51" fillId="20" borderId="14" xfId="30" applyFont="1" applyFill="1" applyBorder="1" applyAlignment="1">
      <alignment horizontal="center" vertical="center"/>
    </xf>
    <xf numFmtId="0" fontId="0" fillId="0" borderId="0" xfId="0"/>
    <xf numFmtId="49" fontId="21" fillId="12" borderId="1" xfId="0" applyNumberFormat="1" applyFont="1" applyFill="1" applyBorder="1" applyAlignment="1">
      <alignment horizontal="right" vertical="center" wrapText="1"/>
    </xf>
    <xf numFmtId="166" fontId="21" fillId="12" borderId="1" xfId="0" applyNumberFormat="1" applyFont="1" applyFill="1" applyBorder="1" applyAlignment="1">
      <alignment horizontal="center" vertical="center" wrapText="1"/>
    </xf>
    <xf numFmtId="0" fontId="34" fillId="11" borderId="1" xfId="0" applyFont="1" applyFill="1" applyBorder="1" applyAlignment="1">
      <alignment horizontal="left" vertical="center" wrapText="1"/>
    </xf>
    <xf numFmtId="0" fontId="33" fillId="0" borderId="14" xfId="0" applyFont="1" applyBorder="1" applyAlignment="1">
      <alignment horizontal="center" vertical="center" wrapText="1"/>
    </xf>
    <xf numFmtId="49" fontId="33" fillId="0" borderId="8" xfId="0" applyNumberFormat="1" applyFont="1" applyFill="1" applyBorder="1" applyAlignment="1">
      <alignment horizontal="center" vertical="center" wrapText="1"/>
    </xf>
    <xf numFmtId="49" fontId="33" fillId="0" borderId="9" xfId="0" applyNumberFormat="1" applyFont="1" applyFill="1" applyBorder="1" applyAlignment="1">
      <alignment horizontal="center" vertical="center" wrapText="1"/>
    </xf>
    <xf numFmtId="49" fontId="33" fillId="0" borderId="10" xfId="0" applyNumberFormat="1" applyFont="1" applyFill="1" applyBorder="1" applyAlignment="1">
      <alignment horizontal="center" vertical="center" wrapText="1"/>
    </xf>
    <xf numFmtId="0" fontId="15" fillId="10" borderId="4" xfId="0" applyFont="1" applyFill="1" applyBorder="1" applyAlignment="1">
      <alignment horizontal="center" vertical="center" wrapText="1"/>
    </xf>
    <xf numFmtId="0" fontId="21" fillId="11" borderId="1" xfId="0" applyFont="1" applyFill="1" applyBorder="1" applyAlignment="1">
      <alignment horizontal="justify" vertical="center" wrapText="1"/>
    </xf>
    <xf numFmtId="0" fontId="31" fillId="10" borderId="3" xfId="0" applyFont="1" applyFill="1" applyBorder="1" applyAlignment="1">
      <alignment horizontal="center" vertical="center"/>
    </xf>
    <xf numFmtId="0" fontId="33" fillId="10" borderId="43" xfId="0" applyFont="1" applyFill="1" applyBorder="1" applyAlignment="1">
      <alignment horizontal="center" vertical="center"/>
    </xf>
    <xf numFmtId="0" fontId="33" fillId="10" borderId="0" xfId="0" applyFont="1" applyFill="1" applyBorder="1" applyAlignment="1">
      <alignment horizontal="center" vertical="center"/>
    </xf>
    <xf numFmtId="0" fontId="33" fillId="10" borderId="44" xfId="0" applyFont="1" applyFill="1" applyBorder="1" applyAlignment="1">
      <alignment horizontal="center" vertical="center"/>
    </xf>
    <xf numFmtId="0" fontId="21" fillId="0" borderId="40" xfId="0" applyFont="1" applyFill="1" applyBorder="1" applyAlignment="1">
      <alignment horizontal="center" vertical="center"/>
    </xf>
    <xf numFmtId="0" fontId="21" fillId="0" borderId="41" xfId="0" applyFont="1" applyFill="1" applyBorder="1" applyAlignment="1">
      <alignment horizontal="center" vertical="center"/>
    </xf>
    <xf numFmtId="0" fontId="21" fillId="0" borderId="42" xfId="0" applyFont="1" applyFill="1" applyBorder="1" applyAlignment="1">
      <alignment horizontal="center" vertical="center"/>
    </xf>
    <xf numFmtId="0" fontId="39" fillId="13" borderId="40" xfId="0" applyFont="1" applyFill="1" applyBorder="1" applyAlignment="1">
      <alignment horizontal="center" vertical="center"/>
    </xf>
    <xf numFmtId="0" fontId="39" fillId="13" borderId="41" xfId="0" applyFont="1" applyFill="1" applyBorder="1" applyAlignment="1">
      <alignment horizontal="center" vertical="center"/>
    </xf>
    <xf numFmtId="0" fontId="39" fillId="13" borderId="55" xfId="0" applyFont="1" applyFill="1" applyBorder="1" applyAlignment="1">
      <alignment horizontal="center" vertical="center"/>
    </xf>
    <xf numFmtId="0" fontId="39" fillId="13" borderId="73" xfId="0" applyFont="1" applyFill="1" applyBorder="1" applyAlignment="1">
      <alignment horizontal="center" vertical="center"/>
    </xf>
    <xf numFmtId="0" fontId="39" fillId="40" borderId="74" xfId="0" applyFont="1" applyFill="1" applyBorder="1" applyAlignment="1">
      <alignment horizontal="center" vertical="center"/>
    </xf>
    <xf numFmtId="0" fontId="39" fillId="40" borderId="75" xfId="0" applyFont="1" applyFill="1" applyBorder="1" applyAlignment="1">
      <alignment horizontal="center" vertical="center"/>
    </xf>
    <xf numFmtId="0" fontId="39" fillId="40" borderId="76" xfId="0" applyFont="1" applyFill="1" applyBorder="1" applyAlignment="1">
      <alignment horizontal="center" vertical="center"/>
    </xf>
    <xf numFmtId="0" fontId="39" fillId="24" borderId="54" xfId="0" applyFont="1" applyFill="1" applyBorder="1" applyAlignment="1">
      <alignment horizontal="center" vertical="center"/>
    </xf>
    <xf numFmtId="0" fontId="39" fillId="24" borderId="55" xfId="0" applyFont="1" applyFill="1" applyBorder="1" applyAlignment="1">
      <alignment horizontal="center" vertical="center"/>
    </xf>
    <xf numFmtId="0" fontId="39" fillId="24" borderId="73" xfId="0" applyFont="1" applyFill="1" applyBorder="1" applyAlignment="1">
      <alignment horizontal="center" vertical="center"/>
    </xf>
    <xf numFmtId="0" fontId="21" fillId="0" borderId="43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44" xfId="0" applyFont="1" applyFill="1" applyBorder="1" applyAlignment="1">
      <alignment horizontal="center" vertical="center"/>
    </xf>
    <xf numFmtId="0" fontId="41" fillId="14" borderId="72" xfId="0" applyFont="1" applyFill="1" applyBorder="1" applyAlignment="1">
      <alignment horizontal="center" vertical="center" wrapText="1"/>
    </xf>
    <xf numFmtId="0" fontId="41" fillId="14" borderId="46" xfId="0" applyFont="1" applyFill="1" applyBorder="1" applyAlignment="1">
      <alignment horizontal="center" vertical="center" wrapText="1"/>
    </xf>
    <xf numFmtId="0" fontId="21" fillId="0" borderId="56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57" xfId="0" applyFont="1" applyFill="1" applyBorder="1" applyAlignment="1">
      <alignment horizontal="center" vertical="center"/>
    </xf>
    <xf numFmtId="0" fontId="33" fillId="10" borderId="43" xfId="0" applyFont="1" applyFill="1" applyBorder="1" applyAlignment="1">
      <alignment horizontal="right" vertical="center"/>
    </xf>
    <xf numFmtId="0" fontId="33" fillId="10" borderId="0" xfId="0" applyFont="1" applyFill="1" applyBorder="1" applyAlignment="1">
      <alignment horizontal="right" vertical="center"/>
    </xf>
    <xf numFmtId="0" fontId="33" fillId="10" borderId="58" xfId="0" applyFont="1" applyFill="1" applyBorder="1" applyAlignment="1">
      <alignment horizontal="right" vertical="center"/>
    </xf>
    <xf numFmtId="0" fontId="33" fillId="10" borderId="28" xfId="0" applyFont="1" applyFill="1" applyBorder="1" applyAlignment="1">
      <alignment horizontal="right" vertical="center"/>
    </xf>
    <xf numFmtId="0" fontId="38" fillId="36" borderId="0" xfId="0" applyFont="1" applyFill="1" applyBorder="1" applyAlignment="1">
      <alignment horizontal="center" vertical="center" wrapText="1"/>
    </xf>
    <xf numFmtId="0" fontId="38" fillId="36" borderId="32" xfId="0" applyFont="1" applyFill="1" applyBorder="1" applyAlignment="1">
      <alignment horizontal="center" vertical="center" wrapText="1"/>
    </xf>
    <xf numFmtId="0" fontId="33" fillId="4" borderId="0" xfId="0" applyFont="1" applyFill="1" applyBorder="1" applyAlignment="1">
      <alignment horizontal="right" vertical="center"/>
    </xf>
    <xf numFmtId="0" fontId="33" fillId="4" borderId="6" xfId="0" applyFont="1" applyFill="1" applyBorder="1" applyAlignment="1">
      <alignment horizontal="right" vertical="center"/>
    </xf>
    <xf numFmtId="0" fontId="33" fillId="4" borderId="69" xfId="0" applyFont="1" applyFill="1" applyBorder="1" applyAlignment="1">
      <alignment horizontal="right" vertical="center"/>
    </xf>
    <xf numFmtId="0" fontId="33" fillId="4" borderId="9" xfId="0" applyFont="1" applyFill="1" applyBorder="1" applyAlignment="1">
      <alignment horizontal="right" vertical="center"/>
    </xf>
    <xf numFmtId="0" fontId="33" fillId="4" borderId="68" xfId="0" applyFont="1" applyFill="1" applyBorder="1" applyAlignment="1">
      <alignment horizontal="right" vertical="center"/>
    </xf>
    <xf numFmtId="0" fontId="33" fillId="4" borderId="12" xfId="0" applyFont="1" applyFill="1" applyBorder="1" applyAlignment="1">
      <alignment horizontal="right" vertical="center"/>
    </xf>
    <xf numFmtId="0" fontId="33" fillId="4" borderId="28" xfId="0" applyFont="1" applyFill="1" applyBorder="1" applyAlignment="1">
      <alignment horizontal="right" vertical="center"/>
    </xf>
    <xf numFmtId="0" fontId="33" fillId="4" borderId="11" xfId="0" applyFont="1" applyFill="1" applyBorder="1" applyAlignment="1">
      <alignment horizontal="right" vertical="center"/>
    </xf>
    <xf numFmtId="0" fontId="0" fillId="0" borderId="62" xfId="0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0" fillId="0" borderId="63" xfId="0" applyFill="1" applyBorder="1" applyAlignment="1">
      <alignment horizontal="center"/>
    </xf>
    <xf numFmtId="0" fontId="38" fillId="36" borderId="62" xfId="0" applyFont="1" applyFill="1" applyBorder="1" applyAlignment="1">
      <alignment horizontal="center" vertical="center" wrapText="1"/>
    </xf>
    <xf numFmtId="0" fontId="38" fillId="36" borderId="36" xfId="0" applyFont="1" applyFill="1" applyBorder="1" applyAlignment="1">
      <alignment horizontal="center" vertical="center" wrapText="1"/>
    </xf>
    <xf numFmtId="0" fontId="38" fillId="36" borderId="63" xfId="0" applyFont="1" applyFill="1" applyBorder="1" applyAlignment="1">
      <alignment horizontal="center" vertical="center" wrapText="1"/>
    </xf>
    <xf numFmtId="0" fontId="33" fillId="4" borderId="10" xfId="0" applyFont="1" applyFill="1" applyBorder="1" applyAlignment="1">
      <alignment horizontal="right" vertical="center"/>
    </xf>
    <xf numFmtId="0" fontId="0" fillId="0" borderId="51" xfId="0" applyFill="1" applyBorder="1" applyAlignment="1">
      <alignment horizontal="center"/>
    </xf>
    <xf numFmtId="0" fontId="38" fillId="36" borderId="44" xfId="0" applyFont="1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/>
    </xf>
    <xf numFmtId="0" fontId="41" fillId="14" borderId="28" xfId="0" applyFont="1" applyFill="1" applyBorder="1" applyAlignment="1">
      <alignment horizontal="center" vertical="center" wrapText="1"/>
    </xf>
    <xf numFmtId="0" fontId="0" fillId="0" borderId="37" xfId="0" applyFill="1" applyBorder="1" applyAlignment="1">
      <alignment horizontal="center"/>
    </xf>
    <xf numFmtId="0" fontId="38" fillId="36" borderId="37" xfId="0" applyFont="1" applyFill="1" applyBorder="1" applyAlignment="1">
      <alignment horizontal="center" vertical="center" wrapText="1"/>
    </xf>
    <xf numFmtId="0" fontId="33" fillId="10" borderId="58" xfId="0" applyFont="1" applyFill="1" applyBorder="1" applyAlignment="1">
      <alignment horizontal="center" vertical="center"/>
    </xf>
    <xf numFmtId="0" fontId="33" fillId="10" borderId="28" xfId="0" applyFont="1" applyFill="1" applyBorder="1" applyAlignment="1">
      <alignment horizontal="center" vertical="center"/>
    </xf>
    <xf numFmtId="0" fontId="33" fillId="10" borderId="59" xfId="0" applyFont="1" applyFill="1" applyBorder="1" applyAlignment="1">
      <alignment horizontal="center" vertical="center"/>
    </xf>
    <xf numFmtId="0" fontId="51" fillId="0" borderId="41" xfId="0" applyFont="1" applyBorder="1" applyAlignment="1">
      <alignment horizontal="center" vertical="center"/>
    </xf>
    <xf numFmtId="0" fontId="51" fillId="0" borderId="42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44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1" xfId="0" applyBorder="1" applyAlignment="1">
      <alignment horizontal="center"/>
    </xf>
    <xf numFmtId="0" fontId="75" fillId="22" borderId="50" xfId="0" applyFont="1" applyFill="1" applyBorder="1" applyAlignment="1">
      <alignment horizontal="center" vertical="center" wrapText="1"/>
    </xf>
    <xf numFmtId="0" fontId="75" fillId="22" borderId="30" xfId="0" applyFont="1" applyFill="1" applyBorder="1" applyAlignment="1">
      <alignment horizontal="center" vertical="center" wrapText="1"/>
    </xf>
    <xf numFmtId="0" fontId="75" fillId="22" borderId="51" xfId="0" applyFont="1" applyFill="1" applyBorder="1" applyAlignment="1">
      <alignment horizontal="center" vertical="center" wrapText="1"/>
    </xf>
    <xf numFmtId="0" fontId="74" fillId="28" borderId="45" xfId="0" applyFont="1" applyFill="1" applyBorder="1" applyAlignment="1">
      <alignment horizontal="center" vertical="center"/>
    </xf>
    <xf numFmtId="0" fontId="74" fillId="28" borderId="46" xfId="0" applyFont="1" applyFill="1" applyBorder="1" applyAlignment="1">
      <alignment horizontal="center" vertical="center"/>
    </xf>
    <xf numFmtId="0" fontId="74" fillId="28" borderId="47" xfId="0" applyFont="1" applyFill="1" applyBorder="1" applyAlignment="1">
      <alignment horizontal="center" vertical="center"/>
    </xf>
    <xf numFmtId="0" fontId="74" fillId="28" borderId="54" xfId="0" applyFont="1" applyFill="1" applyBorder="1" applyAlignment="1">
      <alignment horizontal="center" vertical="center"/>
    </xf>
    <xf numFmtId="0" fontId="74" fillId="28" borderId="55" xfId="0" applyFont="1" applyFill="1" applyBorder="1" applyAlignment="1">
      <alignment horizontal="center" vertical="center"/>
    </xf>
    <xf numFmtId="0" fontId="76" fillId="22" borderId="50" xfId="0" applyFont="1" applyFill="1" applyBorder="1" applyAlignment="1">
      <alignment horizontal="center" vertical="center" wrapText="1"/>
    </xf>
    <xf numFmtId="0" fontId="76" fillId="22" borderId="30" xfId="0" applyFont="1" applyFill="1" applyBorder="1" applyAlignment="1">
      <alignment horizontal="center" vertical="center" wrapText="1"/>
    </xf>
    <xf numFmtId="0" fontId="76" fillId="22" borderId="51" xfId="0" applyFont="1" applyFill="1" applyBorder="1" applyAlignment="1">
      <alignment horizontal="center" vertical="center" wrapText="1"/>
    </xf>
    <xf numFmtId="0" fontId="51" fillId="22" borderId="43" xfId="0" applyFont="1" applyFill="1" applyBorder="1" applyAlignment="1">
      <alignment horizontal="center"/>
    </xf>
    <xf numFmtId="0" fontId="51" fillId="22" borderId="0" xfId="0" applyFont="1" applyFill="1" applyAlignment="1">
      <alignment horizontal="center"/>
    </xf>
    <xf numFmtId="0" fontId="51" fillId="22" borderId="44" xfId="0" applyFont="1" applyFill="1" applyBorder="1" applyAlignment="1">
      <alignment horizontal="center"/>
    </xf>
    <xf numFmtId="0" fontId="51" fillId="22" borderId="0" xfId="0" applyFont="1" applyFill="1" applyBorder="1" applyAlignment="1">
      <alignment horizontal="center"/>
    </xf>
    <xf numFmtId="0" fontId="51" fillId="39" borderId="45" xfId="0" applyFont="1" applyFill="1" applyBorder="1" applyAlignment="1">
      <alignment horizontal="center"/>
    </xf>
    <xf numFmtId="0" fontId="51" fillId="39" borderId="46" xfId="0" applyFont="1" applyFill="1" applyBorder="1" applyAlignment="1">
      <alignment horizontal="center"/>
    </xf>
    <xf numFmtId="0" fontId="0" fillId="0" borderId="40" xfId="0" applyBorder="1" applyAlignment="1">
      <alignment horizontal="center"/>
    </xf>
    <xf numFmtId="0" fontId="74" fillId="28" borderId="40" xfId="0" applyFont="1" applyFill="1" applyBorder="1" applyAlignment="1">
      <alignment horizontal="center" vertical="center"/>
    </xf>
    <xf numFmtId="0" fontId="74" fillId="28" borderId="41" xfId="0" applyFont="1" applyFill="1" applyBorder="1" applyAlignment="1">
      <alignment horizontal="center" vertical="center"/>
    </xf>
    <xf numFmtId="0" fontId="74" fillId="28" borderId="42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35" borderId="0" xfId="0" applyFill="1" applyAlignment="1">
      <alignment horizontal="center"/>
    </xf>
    <xf numFmtId="0" fontId="21" fillId="34" borderId="0" xfId="0" applyFont="1" applyFill="1" applyAlignment="1">
      <alignment horizontal="center"/>
    </xf>
    <xf numFmtId="0" fontId="0" fillId="0" borderId="1" xfId="0" applyFill="1" applyBorder="1"/>
    <xf numFmtId="0" fontId="15" fillId="15" borderId="1" xfId="19" applyFont="1" applyFill="1" applyBorder="1" applyAlignment="1" applyProtection="1">
      <alignment horizontal="center" vertical="center"/>
    </xf>
    <xf numFmtId="0" fontId="20" fillId="0" borderId="1" xfId="19" applyFont="1" applyFill="1" applyBorder="1" applyAlignment="1" applyProtection="1">
      <alignment horizontal="center" vertical="center"/>
    </xf>
    <xf numFmtId="0" fontId="0" fillId="10" borderId="3" xfId="0" applyFill="1" applyBorder="1"/>
    <xf numFmtId="0" fontId="15" fillId="10" borderId="4" xfId="19" applyFont="1" applyFill="1" applyBorder="1" applyAlignment="1" applyProtection="1">
      <alignment horizontal="center"/>
    </xf>
    <xf numFmtId="0" fontId="0" fillId="10" borderId="13" xfId="0" applyFill="1" applyBorder="1"/>
    <xf numFmtId="0" fontId="50" fillId="0" borderId="3" xfId="19" applyFont="1" applyFill="1" applyBorder="1" applyAlignment="1" applyProtection="1">
      <alignment horizontal="center" vertical="center"/>
    </xf>
    <xf numFmtId="0" fontId="0" fillId="0" borderId="0" xfId="0" applyAlignment="1">
      <alignment horizontal="center" wrapText="1"/>
    </xf>
    <xf numFmtId="0" fontId="47" fillId="10" borderId="3" xfId="19" applyFont="1" applyFill="1" applyBorder="1" applyAlignment="1" applyProtection="1">
      <alignment horizontal="center"/>
    </xf>
    <xf numFmtId="0" fontId="48" fillId="10" borderId="5" xfId="19" applyFont="1" applyFill="1" applyBorder="1" applyAlignment="1" applyProtection="1">
      <alignment horizontal="center" wrapText="1"/>
    </xf>
    <xf numFmtId="0" fontId="48" fillId="10" borderId="0" xfId="19" applyFont="1" applyFill="1" applyBorder="1" applyAlignment="1" applyProtection="1">
      <alignment horizontal="center" wrapText="1"/>
    </xf>
    <xf numFmtId="0" fontId="48" fillId="10" borderId="6" xfId="19" applyFont="1" applyFill="1" applyBorder="1" applyAlignment="1" applyProtection="1">
      <alignment horizontal="center" wrapText="1"/>
    </xf>
    <xf numFmtId="0" fontId="15" fillId="10" borderId="4" xfId="19" applyFont="1" applyFill="1" applyBorder="1" applyAlignment="1" applyProtection="1">
      <alignment horizontal="center" vertical="center"/>
    </xf>
    <xf numFmtId="0" fontId="15" fillId="10" borderId="13" xfId="19" applyFont="1" applyFill="1" applyBorder="1" applyAlignment="1" applyProtection="1">
      <alignment horizontal="center"/>
    </xf>
    <xf numFmtId="0" fontId="41" fillId="14" borderId="27" xfId="0" applyFont="1" applyFill="1" applyBorder="1" applyAlignment="1">
      <alignment horizontal="center" vertical="center" wrapText="1"/>
    </xf>
    <xf numFmtId="0" fontId="41" fillId="14" borderId="11" xfId="0" applyFont="1" applyFill="1" applyBorder="1" applyAlignment="1">
      <alignment horizontal="center" vertical="center" wrapText="1"/>
    </xf>
    <xf numFmtId="0" fontId="33" fillId="4" borderId="8" xfId="0" applyFont="1" applyFill="1" applyBorder="1" applyAlignment="1">
      <alignment horizontal="right" vertical="center"/>
    </xf>
    <xf numFmtId="0" fontId="33" fillId="10" borderId="5" xfId="0" applyFont="1" applyFill="1" applyBorder="1" applyAlignment="1">
      <alignment horizontal="right" vertical="center"/>
    </xf>
    <xf numFmtId="0" fontId="33" fillId="10" borderId="27" xfId="0" applyFont="1" applyFill="1" applyBorder="1" applyAlignment="1">
      <alignment horizontal="right" vertical="center"/>
    </xf>
    <xf numFmtId="0" fontId="33" fillId="4" borderId="22" xfId="0" applyFont="1" applyFill="1" applyBorder="1" applyAlignment="1">
      <alignment horizontal="right" vertical="center"/>
    </xf>
    <xf numFmtId="0" fontId="33" fillId="4" borderId="23" xfId="0" applyFont="1" applyFill="1" applyBorder="1" applyAlignment="1">
      <alignment horizontal="right" vertical="center"/>
    </xf>
    <xf numFmtId="0" fontId="38" fillId="36" borderId="35" xfId="0" applyFont="1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/>
    </xf>
    <xf numFmtId="0" fontId="39" fillId="13" borderId="1" xfId="0" applyFont="1" applyFill="1" applyBorder="1" applyAlignment="1">
      <alignment horizontal="center" vertical="center"/>
    </xf>
    <xf numFmtId="0" fontId="39" fillId="22" borderId="35" xfId="0" applyFont="1" applyFill="1" applyBorder="1" applyAlignment="1">
      <alignment horizontal="center" vertical="center"/>
    </xf>
    <xf numFmtId="0" fontId="55" fillId="0" borderId="29" xfId="0" applyFont="1" applyBorder="1" applyAlignment="1">
      <alignment horizontal="center" vertical="center"/>
    </xf>
    <xf numFmtId="0" fontId="55" fillId="0" borderId="31" xfId="0" applyFont="1" applyBorder="1" applyAlignment="1">
      <alignment horizontal="center" vertical="center"/>
    </xf>
    <xf numFmtId="0" fontId="55" fillId="0" borderId="21" xfId="0" applyFont="1" applyBorder="1" applyAlignment="1">
      <alignment horizontal="center" vertical="center"/>
    </xf>
    <xf numFmtId="0" fontId="55" fillId="0" borderId="33" xfId="0" applyFont="1" applyBorder="1" applyAlignment="1">
      <alignment horizontal="center" vertical="center"/>
    </xf>
    <xf numFmtId="0" fontId="21" fillId="22" borderId="14" xfId="0" applyFont="1" applyFill="1" applyBorder="1" applyAlignment="1">
      <alignment horizontal="center" vertical="center"/>
    </xf>
    <xf numFmtId="0" fontId="0" fillId="19" borderId="14" xfId="0" applyFill="1" applyBorder="1" applyAlignment="1">
      <alignment horizontal="center"/>
    </xf>
    <xf numFmtId="0" fontId="51" fillId="0" borderId="35" xfId="0" applyFont="1" applyBorder="1" applyAlignment="1">
      <alignment horizontal="center"/>
    </xf>
    <xf numFmtId="0" fontId="51" fillId="0" borderId="36" xfId="0" applyFont="1" applyBorder="1" applyAlignment="1">
      <alignment horizontal="center"/>
    </xf>
    <xf numFmtId="0" fontId="51" fillId="0" borderId="37" xfId="0" applyFont="1" applyBorder="1" applyAlignment="1">
      <alignment horizontal="center"/>
    </xf>
    <xf numFmtId="0" fontId="56" fillId="22" borderId="20" xfId="35" applyFont="1" applyFill="1" applyBorder="1" applyAlignment="1">
      <alignment horizontal="center"/>
    </xf>
    <xf numFmtId="0" fontId="56" fillId="22" borderId="0" xfId="35" applyFont="1" applyFill="1" applyAlignment="1">
      <alignment horizontal="center"/>
    </xf>
    <xf numFmtId="0" fontId="56" fillId="22" borderId="29" xfId="35" applyFont="1" applyFill="1" applyBorder="1" applyAlignment="1">
      <alignment horizontal="center"/>
    </xf>
    <xf numFmtId="0" fontId="56" fillId="22" borderId="30" xfId="35" applyFont="1" applyFill="1" applyBorder="1" applyAlignment="1">
      <alignment horizontal="center"/>
    </xf>
    <xf numFmtId="0" fontId="56" fillId="22" borderId="31" xfId="35" applyFont="1" applyFill="1" applyBorder="1" applyAlignment="1">
      <alignment horizontal="center"/>
    </xf>
    <xf numFmtId="0" fontId="51" fillId="0" borderId="24" xfId="0" applyFont="1" applyBorder="1" applyAlignment="1">
      <alignment horizontal="center" vertical="center"/>
    </xf>
    <xf numFmtId="0" fontId="51" fillId="0" borderId="26" xfId="0" applyFont="1" applyBorder="1" applyAlignment="1">
      <alignment horizontal="center" vertical="center"/>
    </xf>
    <xf numFmtId="0" fontId="51" fillId="0" borderId="30" xfId="35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51" fillId="0" borderId="14" xfId="0" applyFont="1" applyBorder="1" applyAlignment="1">
      <alignment horizontal="center"/>
    </xf>
    <xf numFmtId="0" fontId="51" fillId="0" borderId="24" xfId="0" applyFont="1" applyBorder="1" applyAlignment="1">
      <alignment horizontal="center" wrapText="1"/>
    </xf>
    <xf numFmtId="0" fontId="51" fillId="0" borderId="26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39" fillId="26" borderId="35" xfId="0" applyFont="1" applyFill="1" applyBorder="1" applyAlignment="1">
      <alignment horizontal="center" vertical="center" wrapText="1"/>
    </xf>
    <xf numFmtId="0" fontId="39" fillId="26" borderId="36" xfId="0" applyFont="1" applyFill="1" applyBorder="1" applyAlignment="1">
      <alignment horizontal="center" vertical="center" wrapText="1"/>
    </xf>
    <xf numFmtId="0" fontId="39" fillId="26" borderId="37" xfId="0" applyFont="1" applyFill="1" applyBorder="1" applyAlignment="1">
      <alignment horizontal="center" vertical="center" wrapText="1"/>
    </xf>
    <xf numFmtId="0" fontId="39" fillId="26" borderId="22" xfId="0" applyFont="1" applyFill="1" applyBorder="1" applyAlignment="1">
      <alignment horizontal="center" vertical="center" wrapText="1"/>
    </xf>
    <xf numFmtId="0" fontId="39" fillId="26" borderId="12" xfId="0" applyFont="1" applyFill="1" applyBorder="1" applyAlignment="1">
      <alignment horizontal="center" vertical="center" wrapText="1"/>
    </xf>
    <xf numFmtId="0" fontId="39" fillId="26" borderId="23" xfId="0" applyFont="1" applyFill="1" applyBorder="1" applyAlignment="1">
      <alignment horizontal="center" vertical="center" wrapText="1"/>
    </xf>
    <xf numFmtId="0" fontId="32" fillId="14" borderId="38" xfId="0" applyFont="1" applyFill="1" applyBorder="1" applyAlignment="1">
      <alignment horizontal="center" vertical="center" wrapText="1"/>
    </xf>
    <xf numFmtId="0" fontId="32" fillId="14" borderId="39" xfId="0" applyFont="1" applyFill="1" applyBorder="1" applyAlignment="1">
      <alignment horizontal="center" vertical="center" wrapText="1"/>
    </xf>
    <xf numFmtId="0" fontId="61" fillId="28" borderId="24" xfId="0" applyFont="1" applyFill="1" applyBorder="1" applyAlignment="1">
      <alignment horizontal="center" vertical="center"/>
    </xf>
    <xf numFmtId="0" fontId="61" fillId="28" borderId="25" xfId="0" applyFont="1" applyFill="1" applyBorder="1" applyAlignment="1">
      <alignment horizontal="center" vertical="center"/>
    </xf>
    <xf numFmtId="0" fontId="61" fillId="28" borderId="26" xfId="0" applyFont="1" applyFill="1" applyBorder="1" applyAlignment="1">
      <alignment horizontal="center" vertical="center"/>
    </xf>
    <xf numFmtId="0" fontId="61" fillId="29" borderId="24" xfId="0" applyFont="1" applyFill="1" applyBorder="1" applyAlignment="1">
      <alignment horizontal="center" vertical="center"/>
    </xf>
    <xf numFmtId="0" fontId="61" fillId="29" borderId="26" xfId="0" applyFont="1" applyFill="1" applyBorder="1" applyAlignment="1">
      <alignment horizontal="center" vertical="center"/>
    </xf>
    <xf numFmtId="0" fontId="61" fillId="30" borderId="24" xfId="0" applyFont="1" applyFill="1" applyBorder="1" applyAlignment="1">
      <alignment horizontal="center" vertical="center"/>
    </xf>
    <xf numFmtId="0" fontId="61" fillId="30" borderId="25" xfId="0" applyFont="1" applyFill="1" applyBorder="1" applyAlignment="1">
      <alignment horizontal="center" vertical="center"/>
    </xf>
    <xf numFmtId="0" fontId="61" fillId="30" borderId="26" xfId="0" applyFont="1" applyFill="1" applyBorder="1" applyAlignment="1">
      <alignment horizontal="center" vertical="center"/>
    </xf>
    <xf numFmtId="0" fontId="21" fillId="0" borderId="14" xfId="0" applyFont="1" applyBorder="1" applyAlignment="1">
      <alignment horizontal="center"/>
    </xf>
    <xf numFmtId="0" fontId="21" fillId="0" borderId="14" xfId="0" applyFont="1" applyBorder="1" applyAlignment="1">
      <alignment horizontal="center" vertical="center"/>
    </xf>
    <xf numFmtId="0" fontId="0" fillId="24" borderId="14" xfId="0" applyFill="1" applyBorder="1" applyAlignment="1">
      <alignment horizontal="center"/>
    </xf>
  </cellXfs>
  <cellStyles count="40">
    <cellStyle name="20% - Ênfase3" xfId="38" builtinId="38"/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ConditionalStyle_1" xfId="6" xr:uid="{00000000-0005-0000-0000-000005000000}"/>
    <cellStyle name="Error" xfId="7" xr:uid="{00000000-0005-0000-0000-000006000000}"/>
    <cellStyle name="Excel Built-in Excel Built-in Excel Bu" xfId="8" xr:uid="{00000000-0005-0000-0000-000007000000}"/>
    <cellStyle name="Excel Built-in Percent" xfId="9" xr:uid="{00000000-0005-0000-0000-000008000000}"/>
    <cellStyle name="Excel_BuiltIn_Comma" xfId="10" xr:uid="{00000000-0005-0000-0000-000009000000}"/>
    <cellStyle name="Footnote" xfId="11" xr:uid="{00000000-0005-0000-0000-00000A000000}"/>
    <cellStyle name="Good" xfId="12" xr:uid="{00000000-0005-0000-0000-00000B000000}"/>
    <cellStyle name="Heading" xfId="13" xr:uid="{00000000-0005-0000-0000-00000C000000}"/>
    <cellStyle name="Heading 1" xfId="14" xr:uid="{00000000-0005-0000-0000-00000D000000}"/>
    <cellStyle name="Heading 2" xfId="15" xr:uid="{00000000-0005-0000-0000-00000E000000}"/>
    <cellStyle name="Hiperlink" xfId="39" builtinId="8"/>
    <cellStyle name="Hyperlink" xfId="16" xr:uid="{00000000-0005-0000-0000-00000F000000}"/>
    <cellStyle name="Moeda" xfId="37" builtinId="4"/>
    <cellStyle name="Moeda 2" xfId="17" xr:uid="{00000000-0005-0000-0000-000010000000}"/>
    <cellStyle name="Neutral" xfId="18" xr:uid="{00000000-0005-0000-0000-000011000000}"/>
    <cellStyle name="Normal" xfId="0" builtinId="0" customBuiltin="1"/>
    <cellStyle name="Normal 2" xfId="19" xr:uid="{00000000-0005-0000-0000-000013000000}"/>
    <cellStyle name="Normal 3" xfId="30" xr:uid="{20A4DA90-5682-43F8-88FA-D66E476FA44D}"/>
    <cellStyle name="Normal 4" xfId="33" xr:uid="{ED55D7D8-3498-46AC-A8C5-48AA57DFF060}"/>
    <cellStyle name="Normal 5" xfId="34" xr:uid="{921D1B05-D795-4E68-9BE8-64A5BC0A8510}"/>
    <cellStyle name="Normal 6" xfId="35" xr:uid="{F809C7D1-802E-4E98-9280-BA966C492AD4}"/>
    <cellStyle name="Normal_Pesquisa no referencial 10 de maio de 2013" xfId="20" xr:uid="{00000000-0005-0000-0000-000014000000}"/>
    <cellStyle name="Note" xfId="21" xr:uid="{00000000-0005-0000-0000-000015000000}"/>
    <cellStyle name="Porcentagem 2" xfId="22" xr:uid="{00000000-0005-0000-0000-000016000000}"/>
    <cellStyle name="Porcentagem 3" xfId="23" xr:uid="{00000000-0005-0000-0000-000017000000}"/>
    <cellStyle name="Result" xfId="24" xr:uid="{00000000-0005-0000-0000-000018000000}"/>
    <cellStyle name="Result2" xfId="25" xr:uid="{00000000-0005-0000-0000-000019000000}"/>
    <cellStyle name="Status" xfId="26" xr:uid="{00000000-0005-0000-0000-00001A000000}"/>
    <cellStyle name="Text" xfId="27" xr:uid="{00000000-0005-0000-0000-00001B000000}"/>
    <cellStyle name="Vírgula" xfId="32" builtinId="3"/>
    <cellStyle name="Vírgula 2" xfId="28" xr:uid="{00000000-0005-0000-0000-00001C000000}"/>
    <cellStyle name="Vírgula 2 2" xfId="36" xr:uid="{73C3D1FC-986A-4845-AC0A-72B854D1F441}"/>
    <cellStyle name="Vírgula 3" xfId="31" xr:uid="{2901BA93-48B7-4597-8316-5983AA6F9466}"/>
    <cellStyle name="Warning" xfId="29" xr:uid="{00000000-0005-0000-0000-00001D000000}"/>
  </cellStyles>
  <dxfs count="76"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family val="2"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family val="2"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family val="2"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family val="2"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family val="2"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family val="2"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family val="2"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family val="2"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family val="2"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family val="2"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family val="2"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family val="2"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  <family val="2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lor rgb="FF000000"/>
        <family val="2"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family val="2"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  <family val="2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lor rgb="FF000000"/>
        <family val="2"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  <family val="2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lor rgb="FF000000"/>
        <family val="2"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  <family val="2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lor rgb="FF000000"/>
        <family val="2"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  <family val="2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lor rgb="FF000000"/>
        <family val="2"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family val="2"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family val="2"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family val="2"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family val="2"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  <family val="2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lor rgb="FF000000"/>
        <family val="2"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family val="2"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  <family val="2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lor rgb="FF000000"/>
        <family val="2"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  <family val="2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lor rgb="FF000000"/>
        <family val="2"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  <family val="2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lor rgb="FF000000"/>
        <family val="2"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  <family val="2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lor rgb="FF000000"/>
        <family val="2"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  <family val="2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lor rgb="FF000000"/>
        <family val="2"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family val="2"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  <family val="2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lor rgb="FF000000"/>
        <family val="2"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  <family val="2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lor rgb="FF000000"/>
        <family val="2"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  <family val="2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lor rgb="FF000000"/>
        <family val="2"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  <family val="2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lor rgb="FF000000"/>
        <family val="2"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family val="2"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family val="2"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family val="2"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family val="2"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3</xdr:row>
      <xdr:rowOff>66675</xdr:rowOff>
    </xdr:from>
    <xdr:to>
      <xdr:col>2</xdr:col>
      <xdr:colOff>104107</xdr:colOff>
      <xdr:row>6</xdr:row>
      <xdr:rowOff>68249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D6BD786-13AC-BD2A-31A3-B3317FAC9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714375"/>
          <a:ext cx="1085182" cy="573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2</xdr:row>
      <xdr:rowOff>149807</xdr:rowOff>
    </xdr:from>
    <xdr:to>
      <xdr:col>1</xdr:col>
      <xdr:colOff>996740</xdr:colOff>
      <xdr:row>8</xdr:row>
      <xdr:rowOff>19050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75FAABA-A994-94A9-B9CB-51F01D0BC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299" y="607007"/>
          <a:ext cx="1587291" cy="8407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504826</xdr:colOff>
      <xdr:row>2</xdr:row>
      <xdr:rowOff>196851</xdr:rowOff>
    </xdr:from>
    <xdr:to>
      <xdr:col>1</xdr:col>
      <xdr:colOff>768840</xdr:colOff>
      <xdr:row>6</xdr:row>
      <xdr:rowOff>86229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7CEDB2F-C2D1-40C2-9198-913F509E3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6" y="649289"/>
          <a:ext cx="1132377" cy="5672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3</xdr:row>
      <xdr:rowOff>0</xdr:rowOff>
    </xdr:from>
    <xdr:to>
      <xdr:col>2</xdr:col>
      <xdr:colOff>164432</xdr:colOff>
      <xdr:row>5</xdr:row>
      <xdr:rowOff>153974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115C1F4-A542-ADE3-0A5B-67C3FE257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5" y="771525"/>
          <a:ext cx="1085182" cy="573074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5</xdr:row>
      <xdr:rowOff>26330</xdr:rowOff>
    </xdr:from>
    <xdr:to>
      <xdr:col>12</xdr:col>
      <xdr:colOff>336549</xdr:colOff>
      <xdr:row>18</xdr:row>
      <xdr:rowOff>47625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60D79BD-EA50-1136-5E21-3D56FB404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0575" y="1216955"/>
          <a:ext cx="4575174" cy="2107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2</xdr:row>
      <xdr:rowOff>133351</xdr:rowOff>
    </xdr:from>
    <xdr:to>
      <xdr:col>1</xdr:col>
      <xdr:colOff>438640</xdr:colOff>
      <xdr:row>6</xdr:row>
      <xdr:rowOff>25904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C6B5232-9AE6-4F23-A556-A2C55AE3A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1" y="590551"/>
          <a:ext cx="1085850" cy="57517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17</xdr:row>
      <xdr:rowOff>0</xdr:rowOff>
    </xdr:from>
    <xdr:to>
      <xdr:col>14</xdr:col>
      <xdr:colOff>305621</xdr:colOff>
      <xdr:row>45</xdr:row>
      <xdr:rowOff>75570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0A9CFF9-D930-008B-9B2E-29C9590AC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06075" y="3876675"/>
          <a:ext cx="4314286" cy="502857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31</xdr:row>
      <xdr:rowOff>47625</xdr:rowOff>
    </xdr:from>
    <xdr:to>
      <xdr:col>2</xdr:col>
      <xdr:colOff>4305300</xdr:colOff>
      <xdr:row>52</xdr:row>
      <xdr:rowOff>103034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0E5546A-29D5-4CC3-8CF6-7FF2D646A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7486650"/>
          <a:ext cx="5638800" cy="3455834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12</xdr:row>
      <xdr:rowOff>47625</xdr:rowOff>
    </xdr:from>
    <xdr:to>
      <xdr:col>14</xdr:col>
      <xdr:colOff>76827</xdr:colOff>
      <xdr:row>44</xdr:row>
      <xdr:rowOff>96162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FE347DF-DEF0-4A05-A595-FBD76FBA0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91775" y="3295650"/>
          <a:ext cx="4496427" cy="6535062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54</xdr:row>
      <xdr:rowOff>85725</xdr:rowOff>
    </xdr:from>
    <xdr:to>
      <xdr:col>9</xdr:col>
      <xdr:colOff>354081</xdr:colOff>
      <xdr:row>107</xdr:row>
      <xdr:rowOff>125028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3567981-0FF9-4E4E-AD73-C8AEE45ED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9550" y="11630025"/>
          <a:ext cx="11869806" cy="862132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teus Grossi Algayer" id="{AF09EFE7-BDDC-4D32-9749-C5CFA294424B}" userId="S::mateus.algayer@rfb.gov.br::ea078004-e132-4bbf-a657-60946f722aaa" providerId="AD"/>
  <person displayName="Eduardo Fernando da Silva" id="{AF4DC155-717F-4848-9846-E60A32DBE35C}" userId="S::eduardo-fernando.silva@rfb.gov.br::6806e000-9eef-4241-8cf4-0cc63ee2e8ce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6" dT="2025-09-03T16:39:17.75" personId="{AF09EFE7-BDDC-4D32-9749-C5CFA294424B}" id="{951CFAF7-2DC9-4AF2-90D0-6F9AF119967E}">
    <text>Para fiel comparação, deve-se expurgar valor da CPRB do BDI</text>
  </threadedComment>
  <threadedComment ref="F56" dT="2025-09-03T16:42:17.77" personId="{AF09EFE7-BDDC-4D32-9749-C5CFA294424B}" id="{0B2A804B-5F6E-4F7C-8781-9A973E5C35A8}">
    <text>Valor unitários COM desoneração da aba "MO SINAPI"</text>
  </threadedComment>
  <threadedComment ref="K56" dT="2025-09-03T16:42:33.42" personId="{AF09EFE7-BDDC-4D32-9749-C5CFA294424B}" id="{0823680E-17CE-46C6-A25D-0BFF860226E7}">
    <text>Valor unitários SEM desoneração da aba "MO SINAPI"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J4" dT="2025-09-03T12:57:01.88" personId="{AF09EFE7-BDDC-4D32-9749-C5CFA294424B}" id="{E63DA144-D216-4E6F-BAFC-0FF4619E8AF3}">
    <text>Único mensalista</text>
  </threadedComment>
  <threadedComment ref="L45" dT="2025-09-03T14:59:52.29" personId="{AF09EFE7-BDDC-4D32-9749-C5CFA294424B}" id="{399C237A-7DF4-4590-B12E-F99CE0DA9595}">
    <text>Compara com somatório "preventiva" e "corretiva" sem BDI</text>
  </threadedComment>
  <threadedComment ref="S45" dT="2025-09-03T15:00:00.86" personId="{AF09EFE7-BDDC-4D32-9749-C5CFA294424B}" id="{617199B3-7D08-4D60-A989-9B55E0600DE8}">
    <text>Compara com somatório "preventiva" e "corretiva" sem BDI</text>
  </threadedComment>
  <threadedComment ref="Z45" dT="2025-09-03T15:00:15.19" personId="{AF09EFE7-BDDC-4D32-9749-C5CFA294424B}" id="{4BAD3D98-B273-4C67-8591-18A75A5A4757}">
    <text>Compara com somatório "preventiva" e "corretiva" sem BDI</text>
  </threadedComment>
  <threadedComment ref="AG45" dT="2025-09-03T15:00:25.41" personId="{AF09EFE7-BDDC-4D32-9749-C5CFA294424B}" id="{2391D58A-9200-4ADA-86C9-1AAA83633E7F}">
    <text>Compara com somatório "preventiva" e "corretiva" sem BDI</text>
  </threadedComment>
  <threadedComment ref="AN45" dT="2025-09-03T15:00:34.95" personId="{AF09EFE7-BDDC-4D32-9749-C5CFA294424B}" id="{5482F6D2-1076-4FD6-995A-772183F4EFFD}">
    <text>Compara com somatório "preventiva" e "corretiva" sem BDI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E19" dT="2025-06-25T18:02:57.11" personId="{AF4DC155-717F-4848-9846-E60A32DBE35C}" id="{A55C4D9D-A72E-4180-9D4F-26A4AF381009}">
    <text>Serão duas locações por ano. Portanto serão 10 locações para o contrato.</text>
  </threadedComment>
  <threadedComment ref="E24" dT="2025-06-25T18:02:15.90" personId="{AF4DC155-717F-4848-9846-E60A32DBE35C}" id="{43DD8F13-C827-4930-9CC7-C761608F8AB8}">
    <text>Serão duas companhas por ano com sete diárias cada. Portanto serão 70 diárias durante o contrato.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hyperlink" Target="https://www.caixa.gov.br/Downloads/sinapi-metodologia/Livro_SINAPI_Calculos_Parametros.pdf" TargetMode="External"/><Relationship Id="rId4" Type="http://schemas.microsoft.com/office/2017/10/relationships/threadedComment" Target="../threadedComments/threadedComment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5A070-7F2F-4789-B793-E3A21FB7A1B8}">
  <dimension ref="A1:H22"/>
  <sheetViews>
    <sheetView showGridLines="0" tabSelected="1" workbookViewId="0">
      <selection activeCell="J10" sqref="J10"/>
    </sheetView>
  </sheetViews>
  <sheetFormatPr defaultColWidth="9.1796875" defaultRowHeight="14.5"/>
  <cols>
    <col min="1" max="2" width="9.1796875" style="79"/>
    <col min="3" max="3" width="29.54296875" style="79" customWidth="1"/>
    <col min="4" max="5" width="8.7265625" style="79" customWidth="1"/>
    <col min="6" max="6" width="32.1796875" style="79" customWidth="1"/>
    <col min="7" max="7" width="14.54296875" style="79" customWidth="1"/>
    <col min="8" max="8" width="14.26953125" style="79" bestFit="1" customWidth="1"/>
    <col min="9" max="16384" width="9.1796875" style="79"/>
  </cols>
  <sheetData>
    <row r="1" spans="1:8" ht="20">
      <c r="A1" s="503" t="s">
        <v>519</v>
      </c>
      <c r="B1" s="504"/>
      <c r="C1" s="504"/>
      <c r="D1" s="504"/>
      <c r="E1" s="504"/>
      <c r="F1" s="504"/>
      <c r="G1" s="504"/>
      <c r="H1" s="504"/>
    </row>
    <row r="2" spans="1:8" ht="15.5">
      <c r="A2" s="505" t="s">
        <v>59</v>
      </c>
      <c r="B2" s="506"/>
      <c r="C2" s="506"/>
      <c r="D2" s="506"/>
      <c r="E2" s="506"/>
      <c r="F2" s="506"/>
      <c r="G2" s="506"/>
      <c r="H2" s="506"/>
    </row>
    <row r="3" spans="1:8">
      <c r="A3" s="507"/>
      <c r="B3" s="508"/>
      <c r="C3" s="508"/>
      <c r="D3" s="508"/>
      <c r="E3" s="508"/>
      <c r="F3" s="508"/>
      <c r="G3" s="508"/>
      <c r="H3" s="508"/>
    </row>
    <row r="4" spans="1:8" ht="15" customHeight="1">
      <c r="A4" s="87"/>
      <c r="B4" s="509" t="s">
        <v>109</v>
      </c>
      <c r="C4" s="509"/>
      <c r="D4" s="509"/>
      <c r="E4" s="509"/>
      <c r="F4" s="509"/>
      <c r="G4" s="509"/>
      <c r="H4" s="510"/>
    </row>
    <row r="5" spans="1:8">
      <c r="A5" s="88"/>
      <c r="B5" s="509"/>
      <c r="C5" s="509"/>
      <c r="D5" s="509"/>
      <c r="E5" s="509"/>
      <c r="F5" s="509"/>
      <c r="G5" s="509"/>
      <c r="H5" s="510"/>
    </row>
    <row r="6" spans="1:8">
      <c r="A6" s="89"/>
      <c r="B6" s="6"/>
      <c r="C6" s="6"/>
      <c r="D6" s="6"/>
      <c r="E6" s="6"/>
      <c r="F6" s="6"/>
      <c r="G6" s="6" t="s">
        <v>64</v>
      </c>
      <c r="H6" s="151">
        <v>0.9022</v>
      </c>
    </row>
    <row r="7" spans="1:8">
      <c r="A7" s="89"/>
      <c r="B7" s="8"/>
      <c r="C7" s="9"/>
      <c r="D7" s="9"/>
      <c r="E7" s="9"/>
      <c r="F7" s="9"/>
      <c r="G7" s="8" t="s">
        <v>1</v>
      </c>
      <c r="H7" s="10">
        <f>BDI!E22</f>
        <v>0.2782</v>
      </c>
    </row>
    <row r="8" spans="1:8">
      <c r="A8" s="89"/>
      <c r="B8" s="11"/>
      <c r="C8" s="9"/>
      <c r="D8" s="9"/>
      <c r="E8" s="9"/>
      <c r="F8" s="9"/>
      <c r="G8" s="11" t="s">
        <v>2</v>
      </c>
      <c r="H8" s="12">
        <f>BDI!E42</f>
        <v>0.1401</v>
      </c>
    </row>
    <row r="9" spans="1:8">
      <c r="A9" s="90"/>
      <c r="B9" s="85"/>
      <c r="C9" s="85"/>
      <c r="D9" s="85"/>
      <c r="E9" s="85"/>
      <c r="F9" s="85"/>
      <c r="G9" s="85" t="s">
        <v>421</v>
      </c>
      <c r="H9" s="86"/>
    </row>
    <row r="12" spans="1:8" ht="33" customHeight="1">
      <c r="C12" s="511" t="s">
        <v>60</v>
      </c>
      <c r="D12" s="511"/>
      <c r="E12" s="511"/>
      <c r="F12" s="511"/>
      <c r="G12" s="326" t="s">
        <v>85</v>
      </c>
    </row>
    <row r="13" spans="1:8" ht="74.25" customHeight="1">
      <c r="B13" s="91" t="s">
        <v>54</v>
      </c>
      <c r="C13" s="501" t="s">
        <v>208</v>
      </c>
      <c r="D13" s="502"/>
      <c r="E13" s="502"/>
      <c r="F13" s="502"/>
      <c r="G13" s="78">
        <f>SUM(G15:G17)</f>
        <v>20840799.304606877</v>
      </c>
    </row>
    <row r="14" spans="1:8">
      <c r="B14" s="80" t="s">
        <v>32</v>
      </c>
      <c r="C14" s="80" t="s">
        <v>55</v>
      </c>
      <c r="D14" s="80" t="s">
        <v>56</v>
      </c>
      <c r="E14" s="80" t="s">
        <v>57</v>
      </c>
      <c r="F14" s="81" t="s">
        <v>427</v>
      </c>
      <c r="G14" s="80" t="s">
        <v>77</v>
      </c>
    </row>
    <row r="15" spans="1:8" ht="29">
      <c r="B15" s="82" t="s">
        <v>11</v>
      </c>
      <c r="C15" s="221" t="s">
        <v>206</v>
      </c>
      <c r="D15" s="82" t="s">
        <v>58</v>
      </c>
      <c r="E15" s="82">
        <f>Sintética!D13</f>
        <v>60</v>
      </c>
      <c r="F15" s="83">
        <f>SUM(Sintética!G13:G16)</f>
        <v>192493.83676045024</v>
      </c>
      <c r="G15" s="84">
        <f>Sintética!H12</f>
        <v>11549630.199999999</v>
      </c>
      <c r="H15" s="93"/>
    </row>
    <row r="16" spans="1:8" ht="43.5">
      <c r="B16" s="82" t="s">
        <v>14</v>
      </c>
      <c r="C16" s="155" t="s">
        <v>158</v>
      </c>
      <c r="D16" s="82" t="s">
        <v>58</v>
      </c>
      <c r="E16" s="82">
        <f>Sintética!D19</f>
        <v>60</v>
      </c>
      <c r="F16" s="83">
        <f>SUM(Sintética!G19:G20)</f>
        <v>74695.89793993198</v>
      </c>
      <c r="G16" s="84">
        <f>Sintética!H18</f>
        <v>4481753.88</v>
      </c>
      <c r="H16" s="93"/>
    </row>
    <row r="17" spans="2:8" ht="78" customHeight="1">
      <c r="B17" s="110" t="s">
        <v>15</v>
      </c>
      <c r="C17" s="329" t="s">
        <v>416</v>
      </c>
      <c r="D17" s="330" t="s">
        <v>58</v>
      </c>
      <c r="E17" s="331">
        <v>60</v>
      </c>
      <c r="F17" s="332">
        <f>Sintética!E24</f>
        <v>80156.920410114675</v>
      </c>
      <c r="G17" s="84">
        <f>Sintética!H22</f>
        <v>4809415.2246068809</v>
      </c>
      <c r="H17" s="93"/>
    </row>
    <row r="18" spans="2:8">
      <c r="C18" s="334" t="s">
        <v>428</v>
      </c>
      <c r="D18" s="333"/>
      <c r="E18" s="327"/>
      <c r="F18" s="328">
        <f>SUM(F15:F17)</f>
        <v>347346.65511049691</v>
      </c>
    </row>
    <row r="19" spans="2:8">
      <c r="F19" s="93"/>
    </row>
    <row r="20" spans="2:8">
      <c r="G20" s="93"/>
    </row>
    <row r="21" spans="2:8">
      <c r="G21" s="93"/>
    </row>
    <row r="22" spans="2:8">
      <c r="G22" s="156"/>
    </row>
  </sheetData>
  <mergeCells count="6">
    <mergeCell ref="C13:F13"/>
    <mergeCell ref="A1:H1"/>
    <mergeCell ref="A2:H2"/>
    <mergeCell ref="A3:H3"/>
    <mergeCell ref="B4:H5"/>
    <mergeCell ref="C12:F12"/>
  </mergeCells>
  <pageMargins left="0.51181102362204722" right="0.51181102362204722" top="0.78740157480314965" bottom="0.78740157480314965" header="0.31496062992125984" footer="0.31496062992125984"/>
  <pageSetup paperSize="9" scale="9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05FD1-AD4E-4CF7-B94D-694560E2D174}">
  <dimension ref="C4:U41"/>
  <sheetViews>
    <sheetView showGridLines="0" topLeftCell="B1" workbookViewId="0">
      <selection activeCell="O40" sqref="O40"/>
    </sheetView>
  </sheetViews>
  <sheetFormatPr defaultColWidth="9.1796875" defaultRowHeight="14.5"/>
  <cols>
    <col min="1" max="2" width="9.1796875" style="118"/>
    <col min="3" max="3" width="14.26953125" style="118" customWidth="1"/>
    <col min="4" max="16384" width="9.1796875" style="118"/>
  </cols>
  <sheetData>
    <row r="4" spans="3:14">
      <c r="C4" s="652" t="s">
        <v>151</v>
      </c>
      <c r="D4" s="652"/>
      <c r="E4" s="652"/>
      <c r="F4" s="652"/>
      <c r="G4" s="652"/>
      <c r="H4" s="652"/>
      <c r="I4" s="652"/>
      <c r="J4" s="652"/>
      <c r="K4" s="652"/>
      <c r="L4" s="652"/>
      <c r="M4" s="652"/>
      <c r="N4" s="652"/>
    </row>
    <row r="5" spans="3:14">
      <c r="C5" s="141"/>
      <c r="D5" s="654" t="s">
        <v>139</v>
      </c>
      <c r="E5" s="654"/>
      <c r="F5" s="654" t="s">
        <v>140</v>
      </c>
      <c r="G5" s="654"/>
      <c r="H5" s="654" t="s">
        <v>141</v>
      </c>
      <c r="I5" s="654"/>
      <c r="J5" s="654" t="s">
        <v>142</v>
      </c>
      <c r="K5" s="654"/>
      <c r="L5" s="654" t="s">
        <v>143</v>
      </c>
      <c r="M5" s="654"/>
      <c r="N5" s="655" t="s">
        <v>150</v>
      </c>
    </row>
    <row r="6" spans="3:14">
      <c r="C6" s="141"/>
      <c r="D6" s="142" t="s">
        <v>147</v>
      </c>
      <c r="E6" s="142" t="s">
        <v>148</v>
      </c>
      <c r="F6" s="142" t="s">
        <v>147</v>
      </c>
      <c r="G6" s="142" t="s">
        <v>148</v>
      </c>
      <c r="H6" s="142" t="s">
        <v>147</v>
      </c>
      <c r="I6" s="142" t="s">
        <v>148</v>
      </c>
      <c r="J6" s="142" t="s">
        <v>147</v>
      </c>
      <c r="K6" s="142" t="s">
        <v>148</v>
      </c>
      <c r="L6" s="142" t="s">
        <v>147</v>
      </c>
      <c r="M6" s="142" t="s">
        <v>148</v>
      </c>
      <c r="N6" s="656"/>
    </row>
    <row r="7" spans="3:14">
      <c r="C7" s="133" t="s">
        <v>167</v>
      </c>
      <c r="D7" s="116">
        <v>5</v>
      </c>
      <c r="E7" s="116">
        <v>3</v>
      </c>
      <c r="F7" s="116">
        <v>4</v>
      </c>
      <c r="G7" s="116">
        <v>2</v>
      </c>
      <c r="H7" s="116">
        <v>3</v>
      </c>
      <c r="I7" s="116">
        <v>1</v>
      </c>
      <c r="J7" s="116">
        <v>2</v>
      </c>
      <c r="K7" s="116">
        <v>1</v>
      </c>
      <c r="L7" s="116">
        <v>1</v>
      </c>
      <c r="M7" s="116">
        <v>1</v>
      </c>
      <c r="N7" s="134">
        <v>8</v>
      </c>
    </row>
    <row r="8" spans="3:14">
      <c r="C8" s="135" t="s">
        <v>168</v>
      </c>
      <c r="D8" s="134">
        <v>0</v>
      </c>
      <c r="E8" s="134">
        <v>0</v>
      </c>
      <c r="F8" s="134">
        <v>0</v>
      </c>
      <c r="G8" s="134">
        <v>0</v>
      </c>
      <c r="H8" s="134">
        <v>0</v>
      </c>
      <c r="I8" s="134">
        <v>0</v>
      </c>
      <c r="J8" s="134">
        <v>0</v>
      </c>
      <c r="K8" s="134">
        <v>0</v>
      </c>
      <c r="L8" s="134">
        <v>0</v>
      </c>
      <c r="M8" s="134">
        <v>0</v>
      </c>
      <c r="N8" s="134">
        <v>0</v>
      </c>
    </row>
    <row r="9" spans="3:14">
      <c r="C9" s="133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72"/>
    </row>
    <row r="10" spans="3:14">
      <c r="C10" s="174" t="s">
        <v>169</v>
      </c>
      <c r="D10" s="166">
        <v>0</v>
      </c>
      <c r="E10" s="166">
        <v>0</v>
      </c>
      <c r="F10" s="166">
        <v>0</v>
      </c>
      <c r="G10" s="166">
        <v>0</v>
      </c>
      <c r="H10" s="166">
        <v>0</v>
      </c>
      <c r="I10" s="173">
        <v>0</v>
      </c>
      <c r="J10" s="166">
        <v>0</v>
      </c>
      <c r="K10" s="173">
        <v>0</v>
      </c>
      <c r="L10" s="166">
        <v>0</v>
      </c>
      <c r="M10" s="166">
        <v>0</v>
      </c>
      <c r="N10" s="166">
        <v>0</v>
      </c>
    </row>
    <row r="11" spans="3:14">
      <c r="C11" s="133" t="s">
        <v>170</v>
      </c>
      <c r="D11" s="116">
        <v>9</v>
      </c>
      <c r="E11" s="116">
        <v>3</v>
      </c>
      <c r="F11" s="116">
        <v>7</v>
      </c>
      <c r="G11" s="116">
        <v>4</v>
      </c>
      <c r="H11" s="116">
        <v>4</v>
      </c>
      <c r="I11" s="143">
        <v>2</v>
      </c>
      <c r="J11" s="116">
        <v>5</v>
      </c>
      <c r="K11" s="116">
        <v>2</v>
      </c>
      <c r="L11" s="116">
        <v>3</v>
      </c>
      <c r="M11" s="116">
        <v>1</v>
      </c>
      <c r="N11" s="166">
        <v>12</v>
      </c>
    </row>
    <row r="12" spans="3:14">
      <c r="C12" s="133"/>
      <c r="D12" s="116"/>
      <c r="E12" s="116"/>
      <c r="F12" s="116"/>
      <c r="G12" s="116"/>
      <c r="H12" s="116"/>
      <c r="I12" s="143"/>
      <c r="J12" s="116"/>
      <c r="K12" s="116"/>
      <c r="L12" s="116"/>
      <c r="M12" s="116"/>
      <c r="N12" s="172"/>
    </row>
    <row r="13" spans="3:14">
      <c r="C13" s="175" t="s">
        <v>171</v>
      </c>
      <c r="D13" s="169">
        <v>0</v>
      </c>
      <c r="E13" s="169">
        <v>0</v>
      </c>
      <c r="F13" s="169">
        <v>0</v>
      </c>
      <c r="G13" s="169">
        <v>0</v>
      </c>
      <c r="H13" s="169">
        <v>0</v>
      </c>
      <c r="I13" s="169">
        <v>0</v>
      </c>
      <c r="J13" s="169">
        <v>0</v>
      </c>
      <c r="K13" s="169">
        <v>0</v>
      </c>
      <c r="L13" s="169">
        <v>0</v>
      </c>
      <c r="M13" s="169">
        <v>0</v>
      </c>
      <c r="N13" s="169">
        <v>0</v>
      </c>
    </row>
    <row r="14" spans="3:14">
      <c r="C14" s="136" t="s">
        <v>172</v>
      </c>
      <c r="D14" s="137">
        <v>5</v>
      </c>
      <c r="E14" s="137">
        <v>2</v>
      </c>
      <c r="F14" s="137">
        <v>3</v>
      </c>
      <c r="G14" s="137">
        <v>2</v>
      </c>
      <c r="H14" s="137">
        <v>3</v>
      </c>
      <c r="I14" s="137">
        <v>2</v>
      </c>
      <c r="J14" s="137">
        <v>5</v>
      </c>
      <c r="K14" s="137">
        <v>2</v>
      </c>
      <c r="L14" s="137">
        <v>1</v>
      </c>
      <c r="M14" s="137">
        <v>1</v>
      </c>
      <c r="N14" s="170">
        <v>7</v>
      </c>
    </row>
    <row r="16" spans="3:14">
      <c r="C16" s="653" t="s">
        <v>149</v>
      </c>
      <c r="D16" s="653"/>
      <c r="E16" s="653"/>
      <c r="F16" s="653"/>
      <c r="G16" s="653"/>
      <c r="H16" s="653"/>
      <c r="I16" s="653"/>
      <c r="J16" s="653"/>
      <c r="K16" s="653"/>
      <c r="L16" s="653"/>
      <c r="M16" s="653"/>
      <c r="N16" s="653"/>
    </row>
    <row r="17" spans="3:21">
      <c r="C17" s="141"/>
      <c r="D17" s="654" t="s">
        <v>139</v>
      </c>
      <c r="E17" s="654"/>
      <c r="F17" s="654" t="s">
        <v>140</v>
      </c>
      <c r="G17" s="654"/>
      <c r="H17" s="654" t="s">
        <v>141</v>
      </c>
      <c r="I17" s="654"/>
      <c r="J17" s="654" t="s">
        <v>142</v>
      </c>
      <c r="K17" s="654"/>
      <c r="L17" s="654" t="s">
        <v>143</v>
      </c>
      <c r="M17" s="654"/>
      <c r="N17" s="649" t="s">
        <v>257</v>
      </c>
      <c r="O17" s="649" t="s">
        <v>258</v>
      </c>
    </row>
    <row r="18" spans="3:21">
      <c r="C18" s="141"/>
      <c r="D18" s="142" t="s">
        <v>147</v>
      </c>
      <c r="E18" s="142" t="s">
        <v>148</v>
      </c>
      <c r="F18" s="142" t="s">
        <v>147</v>
      </c>
      <c r="G18" s="142" t="s">
        <v>148</v>
      </c>
      <c r="H18" s="142" t="s">
        <v>147</v>
      </c>
      <c r="I18" s="142" t="s">
        <v>148</v>
      </c>
      <c r="J18" s="142" t="s">
        <v>147</v>
      </c>
      <c r="K18" s="142" t="s">
        <v>148</v>
      </c>
      <c r="L18" s="142" t="s">
        <v>147</v>
      </c>
      <c r="M18" s="142" t="s">
        <v>148</v>
      </c>
      <c r="N18" s="650"/>
      <c r="O18" s="650"/>
    </row>
    <row r="19" spans="3:21">
      <c r="C19" s="133" t="s">
        <v>167</v>
      </c>
      <c r="D19" s="116">
        <f t="shared" ref="D19:G20" si="0">2*D7</f>
        <v>10</v>
      </c>
      <c r="E19" s="116">
        <f t="shared" si="0"/>
        <v>6</v>
      </c>
      <c r="F19" s="116">
        <f t="shared" si="0"/>
        <v>8</v>
      </c>
      <c r="G19" s="116">
        <f t="shared" si="0"/>
        <v>4</v>
      </c>
      <c r="H19" s="116">
        <f t="shared" ref="H19:I20" si="1">1*H7</f>
        <v>3</v>
      </c>
      <c r="I19" s="116">
        <f t="shared" si="1"/>
        <v>1</v>
      </c>
      <c r="J19" s="116">
        <f>1*J7</f>
        <v>2</v>
      </c>
      <c r="K19" s="116">
        <f>1*K7</f>
        <v>1</v>
      </c>
      <c r="L19" s="116">
        <f t="shared" ref="L19:M20" si="2">1*L7</f>
        <v>1</v>
      </c>
      <c r="M19" s="116">
        <f t="shared" si="2"/>
        <v>1</v>
      </c>
      <c r="N19" s="259">
        <f>D19+F19+H19+J19+L19</f>
        <v>24</v>
      </c>
      <c r="O19" s="259">
        <f>E19+G19+I19+K19+M19</f>
        <v>13</v>
      </c>
    </row>
    <row r="20" spans="3:21">
      <c r="C20" s="135" t="s">
        <v>168</v>
      </c>
      <c r="D20" s="134">
        <f t="shared" si="0"/>
        <v>0</v>
      </c>
      <c r="E20" s="134">
        <f t="shared" si="0"/>
        <v>0</v>
      </c>
      <c r="F20" s="134">
        <f t="shared" si="0"/>
        <v>0</v>
      </c>
      <c r="G20" s="134">
        <f t="shared" si="0"/>
        <v>0</v>
      </c>
      <c r="H20" s="134">
        <f t="shared" si="1"/>
        <v>0</v>
      </c>
      <c r="I20" s="134">
        <f t="shared" si="1"/>
        <v>0</v>
      </c>
      <c r="J20" s="134">
        <f t="shared" ref="J20:K20" si="3">2*J8</f>
        <v>0</v>
      </c>
      <c r="K20" s="134">
        <f t="shared" si="3"/>
        <v>0</v>
      </c>
      <c r="L20" s="134">
        <f t="shared" si="2"/>
        <v>0</v>
      </c>
      <c r="M20" s="134">
        <f t="shared" si="2"/>
        <v>0</v>
      </c>
      <c r="N20" s="134">
        <f t="shared" ref="N20:N25" si="4">SUM(D20:M20)</f>
        <v>0</v>
      </c>
      <c r="O20" s="134">
        <f t="shared" ref="O20:O25" si="5">SUM(E20:N20)</f>
        <v>0</v>
      </c>
    </row>
    <row r="21" spans="3:21">
      <c r="C21" s="133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72">
        <f t="shared" si="4"/>
        <v>0</v>
      </c>
      <c r="O21" s="172">
        <f t="shared" si="5"/>
        <v>0</v>
      </c>
    </row>
    <row r="22" spans="3:21">
      <c r="C22" s="174" t="s">
        <v>169</v>
      </c>
      <c r="D22" s="166">
        <v>0</v>
      </c>
      <c r="E22" s="166">
        <v>0</v>
      </c>
      <c r="F22" s="166">
        <v>0</v>
      </c>
      <c r="G22" s="166">
        <v>0</v>
      </c>
      <c r="H22" s="166">
        <v>0</v>
      </c>
      <c r="I22" s="166">
        <v>0</v>
      </c>
      <c r="J22" s="166">
        <v>0</v>
      </c>
      <c r="K22" s="166">
        <v>0</v>
      </c>
      <c r="L22" s="166">
        <v>0</v>
      </c>
      <c r="M22" s="166">
        <v>0</v>
      </c>
      <c r="N22" s="166">
        <f t="shared" si="4"/>
        <v>0</v>
      </c>
      <c r="O22" s="166">
        <f t="shared" si="5"/>
        <v>0</v>
      </c>
    </row>
    <row r="23" spans="3:21">
      <c r="C23" s="133" t="s">
        <v>170</v>
      </c>
      <c r="D23" s="116">
        <f t="shared" ref="D23:G23" si="6">2*D11</f>
        <v>18</v>
      </c>
      <c r="E23" s="116">
        <f t="shared" si="6"/>
        <v>6</v>
      </c>
      <c r="F23" s="116">
        <f t="shared" si="6"/>
        <v>14</v>
      </c>
      <c r="G23" s="116">
        <f t="shared" si="6"/>
        <v>8</v>
      </c>
      <c r="H23" s="116">
        <f>1*H11</f>
        <v>4</v>
      </c>
      <c r="I23" s="116">
        <f>1*I11</f>
        <v>2</v>
      </c>
      <c r="J23" s="116">
        <f>2*J11</f>
        <v>10</v>
      </c>
      <c r="K23" s="116">
        <f>2*K11</f>
        <v>4</v>
      </c>
      <c r="L23" s="116">
        <f>1*L11</f>
        <v>3</v>
      </c>
      <c r="M23" s="116">
        <f>1*M11</f>
        <v>1</v>
      </c>
      <c r="N23" s="259">
        <f>D23+F23+H23+J23+L23</f>
        <v>49</v>
      </c>
      <c r="O23" s="259">
        <f>E23+G23+I23+K23+M23</f>
        <v>21</v>
      </c>
    </row>
    <row r="24" spans="3:21">
      <c r="C24" s="133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72">
        <f t="shared" si="4"/>
        <v>0</v>
      </c>
      <c r="O24" s="172">
        <f t="shared" si="5"/>
        <v>0</v>
      </c>
    </row>
    <row r="25" spans="3:21">
      <c r="C25" s="175" t="s">
        <v>171</v>
      </c>
      <c r="D25" s="169">
        <v>0</v>
      </c>
      <c r="E25" s="169">
        <v>0</v>
      </c>
      <c r="F25" s="169">
        <v>0</v>
      </c>
      <c r="G25" s="169">
        <v>0</v>
      </c>
      <c r="H25" s="169">
        <v>0</v>
      </c>
      <c r="I25" s="169">
        <v>0</v>
      </c>
      <c r="J25" s="169">
        <v>0</v>
      </c>
      <c r="K25" s="169">
        <v>0</v>
      </c>
      <c r="L25" s="169">
        <v>0</v>
      </c>
      <c r="M25" s="169">
        <v>0</v>
      </c>
      <c r="N25" s="177">
        <f t="shared" si="4"/>
        <v>0</v>
      </c>
      <c r="O25" s="177">
        <f t="shared" si="5"/>
        <v>0</v>
      </c>
    </row>
    <row r="26" spans="3:21">
      <c r="C26" s="136" t="s">
        <v>172</v>
      </c>
      <c r="D26" s="137">
        <v>0</v>
      </c>
      <c r="E26" s="137">
        <v>0</v>
      </c>
      <c r="F26" s="137">
        <v>0</v>
      </c>
      <c r="G26" s="137">
        <v>0</v>
      </c>
      <c r="H26" s="137">
        <v>0</v>
      </c>
      <c r="I26" s="137">
        <v>0</v>
      </c>
      <c r="J26" s="137">
        <v>0</v>
      </c>
      <c r="K26" s="137">
        <v>0</v>
      </c>
      <c r="L26" s="137">
        <v>0</v>
      </c>
      <c r="M26" s="137">
        <v>0</v>
      </c>
      <c r="N26" s="176">
        <f>D26+F26+H26+J26+L26</f>
        <v>0</v>
      </c>
      <c r="O26" s="176">
        <f>E26+G26+I26+K26+M26</f>
        <v>0</v>
      </c>
    </row>
    <row r="27" spans="3:21">
      <c r="L27" s="140" t="s">
        <v>259</v>
      </c>
      <c r="M27" s="140"/>
      <c r="N27" s="256">
        <f>SUM(N19:N26)</f>
        <v>73</v>
      </c>
      <c r="O27" s="256">
        <f>SUM(O19:O26)</f>
        <v>34</v>
      </c>
    </row>
    <row r="28" spans="3:21">
      <c r="L28" s="140" t="s">
        <v>145</v>
      </c>
      <c r="N28" s="651">
        <f>N27+O27</f>
        <v>107</v>
      </c>
      <c r="O28" s="651"/>
    </row>
    <row r="29" spans="3:21">
      <c r="L29" s="257"/>
    </row>
    <row r="30" spans="3:21">
      <c r="C30" s="653" t="s">
        <v>146</v>
      </c>
      <c r="D30" s="653"/>
      <c r="E30" s="653"/>
      <c r="F30" s="653"/>
      <c r="G30" s="653"/>
      <c r="H30" s="653"/>
      <c r="I30" s="653"/>
      <c r="J30" s="653"/>
      <c r="K30" s="653"/>
      <c r="L30" s="653"/>
      <c r="M30" s="653"/>
      <c r="N30" s="653"/>
    </row>
    <row r="31" spans="3:21">
      <c r="C31" s="141"/>
      <c r="D31" s="654" t="s">
        <v>139</v>
      </c>
      <c r="E31" s="654"/>
      <c r="F31" s="654" t="s">
        <v>140</v>
      </c>
      <c r="G31" s="654"/>
      <c r="H31" s="654" t="s">
        <v>141</v>
      </c>
      <c r="I31" s="654"/>
      <c r="J31" s="654" t="s">
        <v>142</v>
      </c>
      <c r="K31" s="654"/>
      <c r="L31" s="654" t="s">
        <v>143</v>
      </c>
      <c r="M31" s="654"/>
      <c r="N31" s="649" t="s">
        <v>257</v>
      </c>
      <c r="O31" s="649" t="s">
        <v>258</v>
      </c>
      <c r="T31" s="194"/>
      <c r="U31" s="194"/>
    </row>
    <row r="32" spans="3:21">
      <c r="C32" s="141"/>
      <c r="D32" s="142" t="s">
        <v>147</v>
      </c>
      <c r="E32" s="142" t="s">
        <v>148</v>
      </c>
      <c r="F32" s="142" t="s">
        <v>147</v>
      </c>
      <c r="G32" s="142" t="s">
        <v>148</v>
      </c>
      <c r="H32" s="142" t="s">
        <v>147</v>
      </c>
      <c r="I32" s="142" t="s">
        <v>148</v>
      </c>
      <c r="J32" s="142" t="s">
        <v>147</v>
      </c>
      <c r="K32" s="142" t="s">
        <v>148</v>
      </c>
      <c r="L32" s="142" t="s">
        <v>147</v>
      </c>
      <c r="M32" s="142" t="s">
        <v>148</v>
      </c>
      <c r="N32" s="650"/>
      <c r="O32" s="650"/>
      <c r="S32" s="193"/>
      <c r="T32" s="195"/>
      <c r="U32" s="195"/>
    </row>
    <row r="33" spans="3:21">
      <c r="C33" s="133" t="s">
        <v>167</v>
      </c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f>1*L20</f>
        <v>0</v>
      </c>
      <c r="M33" s="116">
        <v>0</v>
      </c>
      <c r="N33" s="172">
        <f>SUM(D33:L33)</f>
        <v>0</v>
      </c>
      <c r="O33" s="172">
        <f>SUM(E33:M33)</f>
        <v>0</v>
      </c>
      <c r="S33" s="193"/>
      <c r="T33" s="195"/>
      <c r="U33" s="195"/>
    </row>
    <row r="34" spans="3:21">
      <c r="C34" s="135" t="s">
        <v>168</v>
      </c>
      <c r="D34" s="134">
        <v>0</v>
      </c>
      <c r="E34" s="134">
        <v>0</v>
      </c>
      <c r="F34" s="134">
        <v>0</v>
      </c>
      <c r="G34" s="134">
        <v>0</v>
      </c>
      <c r="H34" s="134">
        <v>0</v>
      </c>
      <c r="I34" s="134">
        <v>0</v>
      </c>
      <c r="J34" s="134">
        <v>0</v>
      </c>
      <c r="K34" s="134">
        <v>0</v>
      </c>
      <c r="L34" s="134">
        <v>0</v>
      </c>
      <c r="M34" s="134">
        <v>0</v>
      </c>
      <c r="N34" s="134">
        <f t="shared" ref="N34:O39" si="7">SUM(D34:M34)</f>
        <v>0</v>
      </c>
      <c r="O34" s="134">
        <f t="shared" si="7"/>
        <v>0</v>
      </c>
      <c r="T34" s="195"/>
      <c r="U34" s="195"/>
    </row>
    <row r="35" spans="3:21">
      <c r="C35" s="133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72">
        <f t="shared" si="7"/>
        <v>0</v>
      </c>
      <c r="O35" s="172">
        <f t="shared" si="7"/>
        <v>0</v>
      </c>
    </row>
    <row r="36" spans="3:21">
      <c r="C36" s="174" t="s">
        <v>169</v>
      </c>
      <c r="D36" s="166">
        <f>2*D10</f>
        <v>0</v>
      </c>
      <c r="E36" s="166">
        <f t="shared" ref="E36:M36" si="8">2*E10</f>
        <v>0</v>
      </c>
      <c r="F36" s="166">
        <f t="shared" si="8"/>
        <v>0</v>
      </c>
      <c r="G36" s="166">
        <f t="shared" si="8"/>
        <v>0</v>
      </c>
      <c r="H36" s="166">
        <f>1*H10</f>
        <v>0</v>
      </c>
      <c r="I36" s="166">
        <f>1*I10</f>
        <v>0</v>
      </c>
      <c r="J36" s="166">
        <f t="shared" si="8"/>
        <v>0</v>
      </c>
      <c r="K36" s="166">
        <f t="shared" si="8"/>
        <v>0</v>
      </c>
      <c r="L36" s="166">
        <f t="shared" si="8"/>
        <v>0</v>
      </c>
      <c r="M36" s="166">
        <f t="shared" si="8"/>
        <v>0</v>
      </c>
      <c r="N36" s="166">
        <f t="shared" si="7"/>
        <v>0</v>
      </c>
      <c r="O36" s="166">
        <f t="shared" si="7"/>
        <v>0</v>
      </c>
    </row>
    <row r="37" spans="3:21">
      <c r="C37" s="133" t="s">
        <v>170</v>
      </c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43">
        <v>0</v>
      </c>
      <c r="J37" s="116">
        <v>0</v>
      </c>
      <c r="K37" s="116">
        <v>0</v>
      </c>
      <c r="L37" s="116">
        <v>0</v>
      </c>
      <c r="M37" s="116">
        <v>0</v>
      </c>
      <c r="N37" s="172">
        <f t="shared" si="7"/>
        <v>0</v>
      </c>
      <c r="O37" s="172">
        <f t="shared" si="7"/>
        <v>0</v>
      </c>
    </row>
    <row r="38" spans="3:21">
      <c r="C38" s="133"/>
      <c r="D38" s="116">
        <f>2*D25</f>
        <v>0</v>
      </c>
      <c r="E38" s="116">
        <v>0</v>
      </c>
      <c r="F38" s="116">
        <v>0</v>
      </c>
      <c r="G38" s="116">
        <v>0</v>
      </c>
      <c r="H38" s="116">
        <v>0</v>
      </c>
      <c r="I38" s="143">
        <v>0</v>
      </c>
      <c r="J38" s="116">
        <v>0</v>
      </c>
      <c r="K38" s="116">
        <v>0</v>
      </c>
      <c r="L38" s="116">
        <v>0</v>
      </c>
      <c r="M38" s="116">
        <v>0</v>
      </c>
      <c r="N38" s="172">
        <f t="shared" si="7"/>
        <v>0</v>
      </c>
      <c r="O38" s="172">
        <f t="shared" si="7"/>
        <v>0</v>
      </c>
    </row>
    <row r="39" spans="3:21">
      <c r="C39" s="175" t="s">
        <v>171</v>
      </c>
      <c r="D39" s="177">
        <v>0</v>
      </c>
      <c r="E39" s="177">
        <v>0</v>
      </c>
      <c r="F39" s="177">
        <v>0</v>
      </c>
      <c r="G39" s="177">
        <v>0</v>
      </c>
      <c r="H39" s="177">
        <v>0</v>
      </c>
      <c r="I39" s="177">
        <v>0</v>
      </c>
      <c r="J39" s="177">
        <v>0</v>
      </c>
      <c r="K39" s="177">
        <v>0</v>
      </c>
      <c r="L39" s="177">
        <v>0</v>
      </c>
      <c r="M39" s="177">
        <v>0</v>
      </c>
      <c r="N39" s="177">
        <f t="shared" si="7"/>
        <v>0</v>
      </c>
      <c r="O39" s="177">
        <f t="shared" si="7"/>
        <v>0</v>
      </c>
    </row>
    <row r="40" spans="3:21">
      <c r="C40" s="136" t="s">
        <v>172</v>
      </c>
      <c r="D40" s="137">
        <f>2*D14</f>
        <v>10</v>
      </c>
      <c r="E40" s="137">
        <f>2*E14</f>
        <v>4</v>
      </c>
      <c r="F40" s="137">
        <f t="shared" ref="F40:G40" si="9">2*F14</f>
        <v>6</v>
      </c>
      <c r="G40" s="137">
        <f t="shared" si="9"/>
        <v>4</v>
      </c>
      <c r="H40" s="137">
        <f t="shared" ref="H40:M40" si="10">1*H14</f>
        <v>3</v>
      </c>
      <c r="I40" s="137">
        <f t="shared" si="10"/>
        <v>2</v>
      </c>
      <c r="J40" s="137">
        <f t="shared" si="10"/>
        <v>5</v>
      </c>
      <c r="K40" s="137">
        <f t="shared" si="10"/>
        <v>2</v>
      </c>
      <c r="L40" s="137">
        <f t="shared" si="10"/>
        <v>1</v>
      </c>
      <c r="M40" s="137">
        <f t="shared" si="10"/>
        <v>1</v>
      </c>
      <c r="N40" s="258">
        <f>D40+F40+H40+J40+L40</f>
        <v>25</v>
      </c>
      <c r="O40" s="258">
        <f>E40+G40+I40+K40+M40</f>
        <v>13</v>
      </c>
    </row>
    <row r="41" spans="3:21">
      <c r="L41" s="140" t="s">
        <v>145</v>
      </c>
      <c r="M41" s="140"/>
      <c r="N41" s="651">
        <f>N40+O40</f>
        <v>38</v>
      </c>
      <c r="O41" s="651"/>
    </row>
  </sheetData>
  <mergeCells count="25">
    <mergeCell ref="L31:M31"/>
    <mergeCell ref="D17:E17"/>
    <mergeCell ref="F17:G17"/>
    <mergeCell ref="H17:I17"/>
    <mergeCell ref="J17:K17"/>
    <mergeCell ref="D31:E31"/>
    <mergeCell ref="F31:G31"/>
    <mergeCell ref="H31:I31"/>
    <mergeCell ref="J31:K31"/>
    <mergeCell ref="O31:O32"/>
    <mergeCell ref="N41:O41"/>
    <mergeCell ref="O17:O18"/>
    <mergeCell ref="N28:O28"/>
    <mergeCell ref="C4:N4"/>
    <mergeCell ref="C16:N16"/>
    <mergeCell ref="C30:N30"/>
    <mergeCell ref="L17:M17"/>
    <mergeCell ref="N17:N18"/>
    <mergeCell ref="N31:N32"/>
    <mergeCell ref="N5:N6"/>
    <mergeCell ref="D5:E5"/>
    <mergeCell ref="F5:G5"/>
    <mergeCell ref="H5:I5"/>
    <mergeCell ref="J5:K5"/>
    <mergeCell ref="L5:M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8579D-6E16-4D47-AA58-FB5B0AE0C2C2}">
  <dimension ref="A1:G83"/>
  <sheetViews>
    <sheetView showGridLines="0" zoomScaleNormal="100" workbookViewId="0">
      <selection activeCell="C16" sqref="C16"/>
    </sheetView>
  </sheetViews>
  <sheetFormatPr defaultColWidth="9.1796875" defaultRowHeight="12.5"/>
  <cols>
    <col min="1" max="1" width="21" style="287" customWidth="1"/>
    <col min="2" max="2" width="13.26953125" style="287" customWidth="1"/>
    <col min="3" max="3" width="69.7265625" style="287" customWidth="1"/>
    <col min="4" max="4" width="13.54296875" style="287" customWidth="1"/>
    <col min="5" max="5" width="14.54296875" style="287" customWidth="1"/>
    <col min="6" max="6" width="14.26953125" style="287" bestFit="1" customWidth="1"/>
    <col min="7" max="7" width="19.453125" style="287" customWidth="1"/>
    <col min="8" max="16384" width="9.1796875" style="287"/>
  </cols>
  <sheetData>
    <row r="1" spans="1:7" ht="44.25" customHeight="1">
      <c r="A1" s="210" t="s">
        <v>18</v>
      </c>
      <c r="B1" s="210" t="s">
        <v>19</v>
      </c>
      <c r="C1" s="210" t="s">
        <v>20</v>
      </c>
      <c r="D1" s="210" t="s">
        <v>21</v>
      </c>
      <c r="E1" s="210" t="s">
        <v>372</v>
      </c>
      <c r="F1" s="210" t="s">
        <v>302</v>
      </c>
      <c r="G1" s="210" t="s">
        <v>402</v>
      </c>
    </row>
    <row r="2" spans="1:7" ht="18">
      <c r="A2" s="295"/>
      <c r="B2" s="296" t="s">
        <v>397</v>
      </c>
      <c r="C2" s="297" t="s">
        <v>414</v>
      </c>
      <c r="D2" s="297"/>
      <c r="E2" s="297"/>
      <c r="F2" s="297"/>
      <c r="G2" s="298">
        <f>G3+G55+G65+G79</f>
        <v>20637.605779154157</v>
      </c>
    </row>
    <row r="3" spans="1:7" ht="15.5">
      <c r="A3" s="288"/>
      <c r="B3" s="202" t="s">
        <v>398</v>
      </c>
      <c r="C3" s="203" t="s">
        <v>295</v>
      </c>
      <c r="D3" s="202"/>
      <c r="E3" s="202"/>
      <c r="F3" s="204"/>
      <c r="G3" s="205">
        <f>SUM(G4:G53)</f>
        <v>14412.485612487491</v>
      </c>
    </row>
    <row r="4" spans="1:7" ht="16">
      <c r="A4" s="206" t="s">
        <v>423</v>
      </c>
      <c r="B4" s="291">
        <v>414</v>
      </c>
      <c r="C4" s="289" t="s">
        <v>296</v>
      </c>
      <c r="D4" s="291" t="s">
        <v>370</v>
      </c>
      <c r="E4" s="292">
        <v>7</v>
      </c>
      <c r="F4" s="291">
        <v>1</v>
      </c>
      <c r="G4" s="209">
        <f>E4*F4</f>
        <v>7</v>
      </c>
    </row>
    <row r="5" spans="1:7" ht="16">
      <c r="A5" s="206" t="s">
        <v>423</v>
      </c>
      <c r="B5" s="291">
        <v>411</v>
      </c>
      <c r="C5" s="289" t="s">
        <v>304</v>
      </c>
      <c r="D5" s="291" t="s">
        <v>370</v>
      </c>
      <c r="E5" s="292">
        <v>22</v>
      </c>
      <c r="F5" s="291">
        <v>1</v>
      </c>
      <c r="G5" s="209">
        <f t="shared" ref="G5:G53" si="0">E5*F5</f>
        <v>22</v>
      </c>
    </row>
    <row r="6" spans="1:7" ht="16">
      <c r="A6" s="206" t="s">
        <v>367</v>
      </c>
      <c r="B6" s="291"/>
      <c r="C6" s="289" t="s">
        <v>305</v>
      </c>
      <c r="D6" s="291" t="s">
        <v>370</v>
      </c>
      <c r="E6" s="292">
        <v>13.95</v>
      </c>
      <c r="F6" s="291">
        <v>1</v>
      </c>
      <c r="G6" s="209">
        <f t="shared" si="0"/>
        <v>13.95</v>
      </c>
    </row>
    <row r="7" spans="1:7" ht="16">
      <c r="A7" s="206" t="s">
        <v>423</v>
      </c>
      <c r="B7" s="291">
        <v>119</v>
      </c>
      <c r="C7" s="289" t="s">
        <v>306</v>
      </c>
      <c r="D7" s="291" t="s">
        <v>303</v>
      </c>
      <c r="E7" s="292">
        <v>10.49</v>
      </c>
      <c r="F7" s="291">
        <v>6</v>
      </c>
      <c r="G7" s="209">
        <f t="shared" si="0"/>
        <v>62.94</v>
      </c>
    </row>
    <row r="8" spans="1:7" ht="16">
      <c r="A8" s="206" t="s">
        <v>368</v>
      </c>
      <c r="B8" s="291"/>
      <c r="C8" s="289" t="s">
        <v>307</v>
      </c>
      <c r="D8" s="291" t="s">
        <v>303</v>
      </c>
      <c r="E8" s="292">
        <f>AVERAGE(129.76,133.16,104)</f>
        <v>122.30666666666666</v>
      </c>
      <c r="F8" s="291">
        <v>2</v>
      </c>
      <c r="G8" s="209">
        <f t="shared" si="0"/>
        <v>244.61333333333332</v>
      </c>
    </row>
    <row r="9" spans="1:7" ht="16">
      <c r="A9" s="206" t="s">
        <v>368</v>
      </c>
      <c r="B9" s="291"/>
      <c r="C9" s="289" t="s">
        <v>308</v>
      </c>
      <c r="D9" s="291" t="s">
        <v>303</v>
      </c>
      <c r="E9" s="292">
        <f>AVERAGE(20,73.61,79.4)</f>
        <v>57.669999999999995</v>
      </c>
      <c r="F9" s="291">
        <v>2</v>
      </c>
      <c r="G9" s="209">
        <f t="shared" si="0"/>
        <v>115.33999999999999</v>
      </c>
    </row>
    <row r="10" spans="1:7" ht="16">
      <c r="A10" s="206" t="s">
        <v>423</v>
      </c>
      <c r="B10" s="291">
        <v>345</v>
      </c>
      <c r="C10" s="289" t="s">
        <v>309</v>
      </c>
      <c r="D10" s="291" t="s">
        <v>310</v>
      </c>
      <c r="E10" s="292">
        <v>30.55</v>
      </c>
      <c r="F10" s="291">
        <v>2</v>
      </c>
      <c r="G10" s="209">
        <f t="shared" si="0"/>
        <v>61.1</v>
      </c>
    </row>
    <row r="11" spans="1:7" ht="16">
      <c r="A11" s="206" t="s">
        <v>367</v>
      </c>
      <c r="B11" s="291"/>
      <c r="C11" s="289" t="s">
        <v>298</v>
      </c>
      <c r="D11" s="291" t="s">
        <v>369</v>
      </c>
      <c r="E11" s="292">
        <v>2.2999999999999998</v>
      </c>
      <c r="F11" s="291">
        <v>10</v>
      </c>
      <c r="G11" s="209">
        <f t="shared" si="0"/>
        <v>23</v>
      </c>
    </row>
    <row r="12" spans="1:7" ht="15.5">
      <c r="A12" s="206" t="s">
        <v>423</v>
      </c>
      <c r="B12" s="291">
        <v>38395</v>
      </c>
      <c r="C12" s="291" t="s">
        <v>311</v>
      </c>
      <c r="D12" s="291" t="s">
        <v>303</v>
      </c>
      <c r="E12" s="292">
        <v>9.3699999999999992</v>
      </c>
      <c r="F12" s="291">
        <v>6</v>
      </c>
      <c r="G12" s="209">
        <f t="shared" si="0"/>
        <v>56.22</v>
      </c>
    </row>
    <row r="13" spans="1:7" ht="16">
      <c r="A13" s="206" t="s">
        <v>423</v>
      </c>
      <c r="B13" s="291">
        <v>11945</v>
      </c>
      <c r="C13" s="289" t="s">
        <v>312</v>
      </c>
      <c r="D13" s="291" t="s">
        <v>303</v>
      </c>
      <c r="E13" s="292">
        <v>0.12</v>
      </c>
      <c r="F13" s="291">
        <v>200</v>
      </c>
      <c r="G13" s="209">
        <f t="shared" si="0"/>
        <v>24</v>
      </c>
    </row>
    <row r="14" spans="1:7" ht="16">
      <c r="A14" s="206" t="s">
        <v>423</v>
      </c>
      <c r="B14" s="291">
        <v>11946</v>
      </c>
      <c r="C14" s="289" t="s">
        <v>313</v>
      </c>
      <c r="D14" s="291" t="s">
        <v>303</v>
      </c>
      <c r="E14" s="292">
        <v>0.13</v>
      </c>
      <c r="F14" s="291">
        <v>200</v>
      </c>
      <c r="G14" s="209">
        <f t="shared" si="0"/>
        <v>26</v>
      </c>
    </row>
    <row r="15" spans="1:7" ht="16">
      <c r="A15" s="206" t="s">
        <v>423</v>
      </c>
      <c r="B15" s="291">
        <v>4375</v>
      </c>
      <c r="C15" s="289" t="s">
        <v>314</v>
      </c>
      <c r="D15" s="291" t="s">
        <v>303</v>
      </c>
      <c r="E15" s="292">
        <v>0.2</v>
      </c>
      <c r="F15" s="291">
        <v>300</v>
      </c>
      <c r="G15" s="209">
        <f t="shared" si="0"/>
        <v>60</v>
      </c>
    </row>
    <row r="16" spans="1:7" ht="48">
      <c r="A16" s="206" t="s">
        <v>423</v>
      </c>
      <c r="B16" s="291">
        <v>11950</v>
      </c>
      <c r="C16" s="290" t="s">
        <v>371</v>
      </c>
      <c r="D16" s="291" t="s">
        <v>303</v>
      </c>
      <c r="E16" s="292">
        <v>0.41</v>
      </c>
      <c r="F16" s="291">
        <v>150</v>
      </c>
      <c r="G16" s="209">
        <f t="shared" si="0"/>
        <v>61.499999999999993</v>
      </c>
    </row>
    <row r="17" spans="1:7" ht="16">
      <c r="A17" s="206" t="s">
        <v>423</v>
      </c>
      <c r="B17" s="291">
        <v>4376</v>
      </c>
      <c r="C17" s="289" t="s">
        <v>315</v>
      </c>
      <c r="D17" s="291" t="s">
        <v>303</v>
      </c>
      <c r="E17" s="292">
        <v>0.39</v>
      </c>
      <c r="F17" s="291">
        <v>200</v>
      </c>
      <c r="G17" s="209">
        <f t="shared" si="0"/>
        <v>78</v>
      </c>
    </row>
    <row r="18" spans="1:7" ht="48">
      <c r="A18" s="206" t="s">
        <v>423</v>
      </c>
      <c r="B18" s="291">
        <v>7583</v>
      </c>
      <c r="C18" s="290" t="s">
        <v>316</v>
      </c>
      <c r="D18" s="291" t="s">
        <v>303</v>
      </c>
      <c r="E18" s="292">
        <v>0.83</v>
      </c>
      <c r="F18" s="291">
        <v>100</v>
      </c>
      <c r="G18" s="209">
        <f t="shared" si="0"/>
        <v>83</v>
      </c>
    </row>
    <row r="19" spans="1:7" ht="16">
      <c r="A19" s="206" t="s">
        <v>423</v>
      </c>
      <c r="B19" s="291">
        <v>4374</v>
      </c>
      <c r="C19" s="289" t="s">
        <v>317</v>
      </c>
      <c r="D19" s="291" t="s">
        <v>303</v>
      </c>
      <c r="E19" s="292">
        <v>0.74</v>
      </c>
      <c r="F19" s="291">
        <v>100</v>
      </c>
      <c r="G19" s="209">
        <f t="shared" si="0"/>
        <v>74</v>
      </c>
    </row>
    <row r="20" spans="1:7" ht="48">
      <c r="A20" s="206" t="s">
        <v>423</v>
      </c>
      <c r="B20" s="291">
        <v>7568</v>
      </c>
      <c r="C20" s="290" t="s">
        <v>318</v>
      </c>
      <c r="D20" s="291" t="s">
        <v>303</v>
      </c>
      <c r="E20" s="292">
        <v>1.22</v>
      </c>
      <c r="F20" s="291">
        <v>50</v>
      </c>
      <c r="G20" s="209">
        <f t="shared" si="0"/>
        <v>61</v>
      </c>
    </row>
    <row r="21" spans="1:7" ht="31.5" customHeight="1">
      <c r="A21" s="206" t="s">
        <v>423</v>
      </c>
      <c r="B21" s="291">
        <v>7584</v>
      </c>
      <c r="C21" s="290" t="s">
        <v>319</v>
      </c>
      <c r="D21" s="291" t="s">
        <v>303</v>
      </c>
      <c r="E21" s="292">
        <v>1.87</v>
      </c>
      <c r="F21" s="291">
        <v>50</v>
      </c>
      <c r="G21" s="209">
        <f t="shared" si="0"/>
        <v>93.5</v>
      </c>
    </row>
    <row r="22" spans="1:7" ht="16">
      <c r="A22" s="206" t="s">
        <v>367</v>
      </c>
      <c r="B22" s="291"/>
      <c r="C22" s="289" t="s">
        <v>373</v>
      </c>
      <c r="D22" s="291" t="s">
        <v>374</v>
      </c>
      <c r="E22" s="292">
        <v>46.25</v>
      </c>
      <c r="F22" s="291">
        <v>1</v>
      </c>
      <c r="G22" s="209">
        <f t="shared" si="0"/>
        <v>46.25</v>
      </c>
    </row>
    <row r="23" spans="1:7" ht="16">
      <c r="A23" s="206" t="s">
        <v>368</v>
      </c>
      <c r="B23" s="291"/>
      <c r="C23" s="289" t="s">
        <v>299</v>
      </c>
      <c r="D23" s="291" t="s">
        <v>303</v>
      </c>
      <c r="E23" s="292">
        <f>AVERAGE(34.99/200,26.9/100,1.01)</f>
        <v>0.48464999999999997</v>
      </c>
      <c r="F23" s="291">
        <v>50</v>
      </c>
      <c r="G23" s="209">
        <f t="shared" si="0"/>
        <v>24.232499999999998</v>
      </c>
    </row>
    <row r="24" spans="1:7" ht="16">
      <c r="A24" s="206" t="s">
        <v>368</v>
      </c>
      <c r="B24" s="291"/>
      <c r="C24" s="289" t="s">
        <v>375</v>
      </c>
      <c r="D24" s="291" t="s">
        <v>303</v>
      </c>
      <c r="E24" s="292">
        <f>AVERAGE(44.8,34.54,32.89)</f>
        <v>37.410000000000004</v>
      </c>
      <c r="F24" s="291">
        <v>10</v>
      </c>
      <c r="G24" s="209">
        <f t="shared" si="0"/>
        <v>374.1</v>
      </c>
    </row>
    <row r="25" spans="1:7" ht="16">
      <c r="A25" s="206" t="s">
        <v>368</v>
      </c>
      <c r="B25" s="291"/>
      <c r="C25" s="293" t="s">
        <v>382</v>
      </c>
      <c r="D25" s="291" t="s">
        <v>303</v>
      </c>
      <c r="E25" s="292">
        <f>AVERAGE(19.1/100,154.9/300,2.9,140/100)</f>
        <v>1.2518333333333334</v>
      </c>
      <c r="F25" s="291">
        <v>100</v>
      </c>
      <c r="G25" s="209">
        <f t="shared" si="0"/>
        <v>125.18333333333334</v>
      </c>
    </row>
    <row r="26" spans="1:7" ht="16">
      <c r="A26" s="206" t="s">
        <v>368</v>
      </c>
      <c r="B26" s="291"/>
      <c r="C26" s="289" t="s">
        <v>300</v>
      </c>
      <c r="D26" s="291" t="s">
        <v>303</v>
      </c>
      <c r="E26" s="292">
        <f>AVERAGE(54.9/20,95.3/20,5.9/10)</f>
        <v>2.6999999999999997</v>
      </c>
      <c r="F26" s="291">
        <v>100</v>
      </c>
      <c r="G26" s="209">
        <f t="shared" si="0"/>
        <v>270</v>
      </c>
    </row>
    <row r="27" spans="1:7" ht="16">
      <c r="A27" s="206" t="s">
        <v>368</v>
      </c>
      <c r="B27" s="291"/>
      <c r="C27" s="289" t="s">
        <v>301</v>
      </c>
      <c r="D27" s="291" t="s">
        <v>303</v>
      </c>
      <c r="E27" s="292">
        <f>AVERAGE(15.89,13.9,23.47)</f>
        <v>17.753333333333334</v>
      </c>
      <c r="F27" s="291">
        <v>100</v>
      </c>
      <c r="G27" s="209">
        <f t="shared" si="0"/>
        <v>1775.3333333333335</v>
      </c>
    </row>
    <row r="28" spans="1:7" ht="16">
      <c r="A28" s="206" t="s">
        <v>368</v>
      </c>
      <c r="B28" s="291"/>
      <c r="C28" s="289" t="s">
        <v>320</v>
      </c>
      <c r="D28" s="291" t="s">
        <v>303</v>
      </c>
      <c r="E28" s="292">
        <f>AVERAGE(86.9,64.89,74.95)</f>
        <v>75.58</v>
      </c>
      <c r="F28" s="291">
        <v>12</v>
      </c>
      <c r="G28" s="209">
        <f t="shared" si="0"/>
        <v>906.96</v>
      </c>
    </row>
    <row r="29" spans="1:7" ht="16">
      <c r="A29" s="206" t="s">
        <v>368</v>
      </c>
      <c r="B29" s="291"/>
      <c r="C29" s="289" t="s">
        <v>321</v>
      </c>
      <c r="D29" s="291" t="s">
        <v>303</v>
      </c>
      <c r="E29" s="292">
        <f>AVERAGE(28.7/6,3.9,8.49/4,10/10)</f>
        <v>2.9514583333333335</v>
      </c>
      <c r="F29" s="291">
        <v>36</v>
      </c>
      <c r="G29" s="209">
        <f t="shared" si="0"/>
        <v>106.25250000000001</v>
      </c>
    </row>
    <row r="30" spans="1:7" ht="16">
      <c r="A30" s="206" t="s">
        <v>423</v>
      </c>
      <c r="B30" s="291">
        <v>13</v>
      </c>
      <c r="C30" s="289" t="s">
        <v>322</v>
      </c>
      <c r="D30" s="291" t="s">
        <v>310</v>
      </c>
      <c r="E30" s="292">
        <v>19.829999999999998</v>
      </c>
      <c r="F30" s="291">
        <v>10</v>
      </c>
      <c r="G30" s="209">
        <f t="shared" si="0"/>
        <v>198.29999999999998</v>
      </c>
    </row>
    <row r="31" spans="1:7" ht="16">
      <c r="A31" s="206" t="s">
        <v>368</v>
      </c>
      <c r="B31" s="291"/>
      <c r="C31" s="289" t="s">
        <v>323</v>
      </c>
      <c r="D31" s="291" t="s">
        <v>310</v>
      </c>
      <c r="E31" s="292">
        <f>AVERAGE(80.89/10,140/20,135.98/25,210/20)</f>
        <v>7.7570499999999996</v>
      </c>
      <c r="F31" s="291">
        <v>25</v>
      </c>
      <c r="G31" s="209">
        <f t="shared" si="0"/>
        <v>193.92624999999998</v>
      </c>
    </row>
    <row r="32" spans="1:7" ht="16">
      <c r="A32" s="206" t="s">
        <v>368</v>
      </c>
      <c r="B32" s="291"/>
      <c r="C32" s="289" t="s">
        <v>324</v>
      </c>
      <c r="D32" s="291" t="s">
        <v>303</v>
      </c>
      <c r="E32" s="292">
        <f>AVERAGE(29.19,30.62,18.9)</f>
        <v>26.236666666666668</v>
      </c>
      <c r="F32" s="291">
        <v>1</v>
      </c>
      <c r="G32" s="209">
        <f t="shared" si="0"/>
        <v>26.236666666666668</v>
      </c>
    </row>
    <row r="33" spans="1:7" ht="16">
      <c r="A33" s="206" t="s">
        <v>423</v>
      </c>
      <c r="B33" s="291">
        <v>12815</v>
      </c>
      <c r="C33" s="289" t="s">
        <v>325</v>
      </c>
      <c r="D33" s="291" t="s">
        <v>303</v>
      </c>
      <c r="E33" s="292">
        <v>13.94</v>
      </c>
      <c r="F33" s="291">
        <v>30</v>
      </c>
      <c r="G33" s="209">
        <f t="shared" si="0"/>
        <v>418.2</v>
      </c>
    </row>
    <row r="34" spans="1:7" ht="14.25" customHeight="1">
      <c r="A34" s="206" t="s">
        <v>368</v>
      </c>
      <c r="B34" s="291"/>
      <c r="C34" s="289" t="s">
        <v>376</v>
      </c>
      <c r="D34" s="291" t="s">
        <v>328</v>
      </c>
      <c r="E34" s="292">
        <f>AVERAGE(17.97/1.5,14.9/5,21.81/1.5,26.9/2)</f>
        <v>10.737500000000001</v>
      </c>
      <c r="F34" s="291">
        <v>25</v>
      </c>
      <c r="G34" s="209">
        <f t="shared" si="0"/>
        <v>268.4375</v>
      </c>
    </row>
    <row r="35" spans="1:7" ht="16">
      <c r="A35" s="206" t="s">
        <v>423</v>
      </c>
      <c r="B35" s="291">
        <v>21127</v>
      </c>
      <c r="C35" s="289" t="s">
        <v>326</v>
      </c>
      <c r="D35" s="291" t="s">
        <v>303</v>
      </c>
      <c r="E35" s="292">
        <v>3.32</v>
      </c>
      <c r="F35" s="291">
        <v>100</v>
      </c>
      <c r="G35" s="209">
        <f t="shared" si="0"/>
        <v>332</v>
      </c>
    </row>
    <row r="36" spans="1:7" ht="32">
      <c r="A36" s="206" t="s">
        <v>423</v>
      </c>
      <c r="B36" s="291">
        <v>404</v>
      </c>
      <c r="C36" s="290" t="s">
        <v>327</v>
      </c>
      <c r="D36" s="291" t="s">
        <v>328</v>
      </c>
      <c r="E36" s="292">
        <v>1.19</v>
      </c>
      <c r="F36" s="291">
        <v>20</v>
      </c>
      <c r="G36" s="209">
        <f t="shared" si="0"/>
        <v>23.799999999999997</v>
      </c>
    </row>
    <row r="37" spans="1:7" ht="16">
      <c r="A37" s="206" t="s">
        <v>423</v>
      </c>
      <c r="B37" s="291">
        <v>3146</v>
      </c>
      <c r="C37" s="289" t="s">
        <v>329</v>
      </c>
      <c r="D37" s="291" t="s">
        <v>303</v>
      </c>
      <c r="E37" s="292">
        <v>4.9000000000000004</v>
      </c>
      <c r="F37" s="291">
        <v>20</v>
      </c>
      <c r="G37" s="209">
        <f t="shared" si="0"/>
        <v>98</v>
      </c>
    </row>
    <row r="38" spans="1:7" ht="48">
      <c r="A38" s="206" t="s">
        <v>423</v>
      </c>
      <c r="B38" s="291">
        <v>4229</v>
      </c>
      <c r="C38" s="290" t="s">
        <v>377</v>
      </c>
      <c r="D38" s="291" t="s">
        <v>310</v>
      </c>
      <c r="E38" s="292">
        <v>44.91</v>
      </c>
      <c r="F38" s="291">
        <v>5</v>
      </c>
      <c r="G38" s="209">
        <f t="shared" si="0"/>
        <v>224.54999999999998</v>
      </c>
    </row>
    <row r="39" spans="1:7" ht="16">
      <c r="A39" s="206" t="s">
        <v>368</v>
      </c>
      <c r="B39" s="291"/>
      <c r="C39" s="289" t="s">
        <v>330</v>
      </c>
      <c r="D39" s="291" t="s">
        <v>303</v>
      </c>
      <c r="E39" s="292">
        <f>AVERAGE(99.89,41.77,80.84)</f>
        <v>74.166666666666671</v>
      </c>
      <c r="F39" s="291">
        <v>10</v>
      </c>
      <c r="G39" s="209">
        <f t="shared" si="0"/>
        <v>741.66666666666674</v>
      </c>
    </row>
    <row r="40" spans="1:7" ht="16">
      <c r="A40" s="206" t="s">
        <v>367</v>
      </c>
      <c r="B40" s="291"/>
      <c r="C40" s="289" t="s">
        <v>378</v>
      </c>
      <c r="D40" s="291" t="s">
        <v>303</v>
      </c>
      <c r="E40" s="292">
        <v>38.46</v>
      </c>
      <c r="F40" s="291">
        <v>30</v>
      </c>
      <c r="G40" s="209">
        <f t="shared" si="0"/>
        <v>1153.8</v>
      </c>
    </row>
    <row r="41" spans="1:7" ht="16">
      <c r="A41" s="206" t="s">
        <v>367</v>
      </c>
      <c r="B41" s="291"/>
      <c r="C41" s="289" t="s">
        <v>331</v>
      </c>
      <c r="D41" s="291" t="s">
        <v>303</v>
      </c>
      <c r="E41" s="292">
        <v>13.38</v>
      </c>
      <c r="F41" s="291">
        <v>6</v>
      </c>
      <c r="G41" s="209">
        <f t="shared" si="0"/>
        <v>80.28</v>
      </c>
    </row>
    <row r="42" spans="1:7" ht="16">
      <c r="A42" s="206" t="s">
        <v>423</v>
      </c>
      <c r="B42" s="291">
        <v>3768</v>
      </c>
      <c r="C42" s="289" t="s">
        <v>332</v>
      </c>
      <c r="D42" s="291" t="s">
        <v>303</v>
      </c>
      <c r="E42" s="292">
        <v>4.5599999999999996</v>
      </c>
      <c r="F42" s="291">
        <v>100</v>
      </c>
      <c r="G42" s="209">
        <f t="shared" si="0"/>
        <v>455.99999999999994</v>
      </c>
    </row>
    <row r="43" spans="1:7" ht="16">
      <c r="A43" s="206" t="s">
        <v>423</v>
      </c>
      <c r="B43" s="291">
        <v>3767</v>
      </c>
      <c r="C43" s="289" t="s">
        <v>333</v>
      </c>
      <c r="D43" s="291" t="s">
        <v>303</v>
      </c>
      <c r="E43" s="292">
        <v>1.56</v>
      </c>
      <c r="F43" s="291">
        <v>300</v>
      </c>
      <c r="G43" s="209">
        <f t="shared" si="0"/>
        <v>468</v>
      </c>
    </row>
    <row r="44" spans="1:7" ht="16">
      <c r="A44" s="206" t="s">
        <v>423</v>
      </c>
      <c r="B44" s="291">
        <v>38383</v>
      </c>
      <c r="C44" s="289" t="s">
        <v>334</v>
      </c>
      <c r="D44" s="291" t="s">
        <v>303</v>
      </c>
      <c r="E44" s="292">
        <v>2.31</v>
      </c>
      <c r="F44" s="291">
        <v>150</v>
      </c>
      <c r="G44" s="209">
        <f t="shared" si="0"/>
        <v>346.5</v>
      </c>
    </row>
    <row r="45" spans="1:7" ht="16">
      <c r="A45" s="206" t="s">
        <v>423</v>
      </c>
      <c r="B45" s="291">
        <v>4049</v>
      </c>
      <c r="C45" s="289" t="s">
        <v>335</v>
      </c>
      <c r="D45" s="291" t="s">
        <v>384</v>
      </c>
      <c r="E45" s="292">
        <v>90.72</v>
      </c>
      <c r="F45" s="291">
        <v>10</v>
      </c>
      <c r="G45" s="209">
        <f t="shared" si="0"/>
        <v>907.2</v>
      </c>
    </row>
    <row r="46" spans="1:7" ht="16">
      <c r="A46" s="206" t="s">
        <v>368</v>
      </c>
      <c r="B46" s="291"/>
      <c r="C46" s="289" t="s">
        <v>336</v>
      </c>
      <c r="D46" s="291" t="s">
        <v>383</v>
      </c>
      <c r="E46" s="292">
        <f>AVERAGE(110/25,130.93/25,42.88/10)</f>
        <v>4.6417333333333337</v>
      </c>
      <c r="F46" s="291">
        <v>100</v>
      </c>
      <c r="G46" s="209">
        <f t="shared" si="0"/>
        <v>464.17333333333335</v>
      </c>
    </row>
    <row r="47" spans="1:7" ht="16">
      <c r="A47" s="206" t="s">
        <v>368</v>
      </c>
      <c r="B47" s="291"/>
      <c r="C47" s="289" t="s">
        <v>337</v>
      </c>
      <c r="D47" s="291" t="s">
        <v>379</v>
      </c>
      <c r="E47" s="292">
        <f>AVERAGE(119.9/3.7,255.09/8.1,337/50,189.9/6)</f>
        <v>25.571999499499501</v>
      </c>
      <c r="F47" s="291">
        <v>25</v>
      </c>
      <c r="G47" s="209">
        <f t="shared" si="0"/>
        <v>639.29998748748756</v>
      </c>
    </row>
    <row r="48" spans="1:7" ht="16">
      <c r="A48" s="206" t="s">
        <v>368</v>
      </c>
      <c r="B48" s="291"/>
      <c r="C48" s="289" t="s">
        <v>381</v>
      </c>
      <c r="D48" s="291" t="s">
        <v>303</v>
      </c>
      <c r="E48" s="292">
        <f>AVERAGE(49.82,50,62.08)/40</f>
        <v>1.3491666666666666</v>
      </c>
      <c r="F48" s="291">
        <v>50</v>
      </c>
      <c r="G48" s="209">
        <f>E48*F48</f>
        <v>67.458333333333329</v>
      </c>
    </row>
    <row r="49" spans="1:7" ht="16">
      <c r="A49" s="206" t="s">
        <v>368</v>
      </c>
      <c r="B49" s="291"/>
      <c r="C49" s="289" t="s">
        <v>380</v>
      </c>
      <c r="D49" s="291" t="s">
        <v>303</v>
      </c>
      <c r="E49" s="292">
        <f>AVERAGE(76.14/40,32.59/40,44.84/40,34.9/40)</f>
        <v>1.1779375000000001</v>
      </c>
      <c r="F49" s="291">
        <v>50</v>
      </c>
      <c r="G49" s="209">
        <f>E49*F49</f>
        <v>58.896875000000001</v>
      </c>
    </row>
    <row r="50" spans="1:7" ht="16">
      <c r="A50" s="206" t="s">
        <v>368</v>
      </c>
      <c r="B50" s="291"/>
      <c r="C50" s="289" t="s">
        <v>338</v>
      </c>
      <c r="D50" s="291" t="s">
        <v>303</v>
      </c>
      <c r="E50" s="292">
        <f>AVERAGE(10.99,113.98/12,10.9,10.9)</f>
        <v>10.572083333333333</v>
      </c>
      <c r="F50" s="291">
        <v>12</v>
      </c>
      <c r="G50" s="209">
        <f t="shared" si="0"/>
        <v>126.86500000000001</v>
      </c>
    </row>
    <row r="51" spans="1:7" ht="16">
      <c r="A51" s="206" t="s">
        <v>423</v>
      </c>
      <c r="B51" s="291">
        <v>3777</v>
      </c>
      <c r="C51" s="290" t="s">
        <v>339</v>
      </c>
      <c r="D51" s="291" t="s">
        <v>340</v>
      </c>
      <c r="E51" s="292">
        <v>1.95</v>
      </c>
      <c r="F51" s="291">
        <v>1000</v>
      </c>
      <c r="G51" s="209">
        <f t="shared" si="0"/>
        <v>1950</v>
      </c>
    </row>
    <row r="52" spans="1:7" ht="16">
      <c r="A52" s="206" t="s">
        <v>423</v>
      </c>
      <c r="B52" s="291">
        <v>39961</v>
      </c>
      <c r="C52" s="289" t="s">
        <v>341</v>
      </c>
      <c r="D52" s="291" t="s">
        <v>303</v>
      </c>
      <c r="E52" s="292">
        <v>23.51</v>
      </c>
      <c r="F52" s="291">
        <v>12</v>
      </c>
      <c r="G52" s="209">
        <f t="shared" si="0"/>
        <v>282.12</v>
      </c>
    </row>
    <row r="53" spans="1:7" ht="16">
      <c r="A53" s="206" t="s">
        <v>368</v>
      </c>
      <c r="B53" s="291"/>
      <c r="C53" s="289" t="s">
        <v>342</v>
      </c>
      <c r="D53" s="291" t="s">
        <v>303</v>
      </c>
      <c r="E53" s="292">
        <f>AVERAGE(13.99,12.67,18.99)</f>
        <v>15.216666666666667</v>
      </c>
      <c r="F53" s="291">
        <v>6</v>
      </c>
      <c r="G53" s="209">
        <f t="shared" si="0"/>
        <v>91.3</v>
      </c>
    </row>
    <row r="54" spans="1:7">
      <c r="E54" s="112"/>
    </row>
    <row r="55" spans="1:7" ht="15.5">
      <c r="A55" s="288"/>
      <c r="B55" s="202" t="s">
        <v>399</v>
      </c>
      <c r="C55" s="203" t="s">
        <v>350</v>
      </c>
      <c r="D55" s="202"/>
      <c r="E55" s="202"/>
      <c r="F55" s="204"/>
      <c r="G55" s="205">
        <f>SUM(G56:G63)</f>
        <v>863.29466666666667</v>
      </c>
    </row>
    <row r="56" spans="1:7" ht="16">
      <c r="A56" s="206" t="s">
        <v>367</v>
      </c>
      <c r="B56" s="267"/>
      <c r="C56" s="289" t="s">
        <v>386</v>
      </c>
      <c r="D56" s="267" t="s">
        <v>385</v>
      </c>
      <c r="E56" s="292">
        <v>33.9</v>
      </c>
      <c r="F56" s="291">
        <f>((250*12)/500)*3</f>
        <v>18</v>
      </c>
      <c r="G56" s="209">
        <f>E56*F56</f>
        <v>610.19999999999993</v>
      </c>
    </row>
    <row r="57" spans="1:7" ht="16">
      <c r="A57" s="206" t="s">
        <v>367</v>
      </c>
      <c r="B57" s="267"/>
      <c r="C57" s="289" t="s">
        <v>343</v>
      </c>
      <c r="D57" s="267" t="s">
        <v>387</v>
      </c>
      <c r="E57" s="292">
        <f>30.55/50</f>
        <v>0.61099999999999999</v>
      </c>
      <c r="F57" s="291">
        <f>26*2</f>
        <v>52</v>
      </c>
      <c r="G57" s="209">
        <f t="shared" ref="G57:G63" si="1">E57*F57</f>
        <v>31.771999999999998</v>
      </c>
    </row>
    <row r="58" spans="1:7" ht="16">
      <c r="A58" s="206" t="s">
        <v>367</v>
      </c>
      <c r="B58" s="267"/>
      <c r="C58" s="289" t="s">
        <v>344</v>
      </c>
      <c r="D58" s="267" t="s">
        <v>387</v>
      </c>
      <c r="E58" s="292">
        <f>7.48/12</f>
        <v>0.62333333333333341</v>
      </c>
      <c r="F58" s="291">
        <v>26</v>
      </c>
      <c r="G58" s="209">
        <f t="shared" si="1"/>
        <v>16.206666666666667</v>
      </c>
    </row>
    <row r="59" spans="1:7" ht="16">
      <c r="A59" s="206" t="s">
        <v>367</v>
      </c>
      <c r="B59" s="267"/>
      <c r="C59" s="289" t="s">
        <v>345</v>
      </c>
      <c r="D59" s="267" t="s">
        <v>387</v>
      </c>
      <c r="E59" s="292">
        <f>38.95/100</f>
        <v>0.38950000000000001</v>
      </c>
      <c r="F59" s="291">
        <f>36*3</f>
        <v>108</v>
      </c>
      <c r="G59" s="209">
        <f t="shared" si="1"/>
        <v>42.066000000000003</v>
      </c>
    </row>
    <row r="60" spans="1:7" ht="16">
      <c r="A60" s="206" t="s">
        <v>367</v>
      </c>
      <c r="B60" s="267"/>
      <c r="C60" s="289" t="s">
        <v>346</v>
      </c>
      <c r="D60" s="267" t="s">
        <v>297</v>
      </c>
      <c r="E60" s="292">
        <v>2.25</v>
      </c>
      <c r="F60" s="291">
        <f>2*3</f>
        <v>6</v>
      </c>
      <c r="G60" s="209">
        <f t="shared" si="1"/>
        <v>13.5</v>
      </c>
    </row>
    <row r="61" spans="1:7" ht="16">
      <c r="A61" s="206" t="s">
        <v>367</v>
      </c>
      <c r="B61" s="267"/>
      <c r="C61" s="289" t="s">
        <v>347</v>
      </c>
      <c r="D61" s="267" t="s">
        <v>387</v>
      </c>
      <c r="E61" s="292">
        <v>18.309999999999999</v>
      </c>
      <c r="F61" s="291">
        <f>2*3</f>
        <v>6</v>
      </c>
      <c r="G61" s="209">
        <f t="shared" si="1"/>
        <v>109.85999999999999</v>
      </c>
    </row>
    <row r="62" spans="1:7" ht="16">
      <c r="A62" s="206" t="s">
        <v>367</v>
      </c>
      <c r="B62" s="267"/>
      <c r="C62" s="289" t="s">
        <v>348</v>
      </c>
      <c r="D62" s="267" t="s">
        <v>388</v>
      </c>
      <c r="E62" s="292">
        <v>5.17</v>
      </c>
      <c r="F62" s="291">
        <f>1*3</f>
        <v>3</v>
      </c>
      <c r="G62" s="209">
        <f t="shared" si="1"/>
        <v>15.51</v>
      </c>
    </row>
    <row r="63" spans="1:7" ht="16">
      <c r="A63" s="206" t="s">
        <v>367</v>
      </c>
      <c r="B63" s="267"/>
      <c r="C63" s="289" t="s">
        <v>349</v>
      </c>
      <c r="D63" s="267" t="s">
        <v>389</v>
      </c>
      <c r="E63" s="292">
        <v>4.03</v>
      </c>
      <c r="F63" s="291">
        <f>2*3</f>
        <v>6</v>
      </c>
      <c r="G63" s="209">
        <f t="shared" si="1"/>
        <v>24.18</v>
      </c>
    </row>
    <row r="64" spans="1:7">
      <c r="A64" s="288"/>
      <c r="B64" s="288"/>
      <c r="C64" s="288"/>
      <c r="D64" s="288"/>
      <c r="E64" s="112"/>
      <c r="F64" s="288"/>
      <c r="G64" s="288"/>
    </row>
    <row r="65" spans="1:7" ht="15.5">
      <c r="A65" s="288"/>
      <c r="B65" s="202" t="s">
        <v>400</v>
      </c>
      <c r="C65" s="203" t="s">
        <v>351</v>
      </c>
      <c r="D65" s="202"/>
      <c r="E65" s="202"/>
      <c r="F65" s="204"/>
      <c r="G65" s="205">
        <f>SUM(G66:G77)</f>
        <v>3521.8275000000003</v>
      </c>
    </row>
    <row r="66" spans="1:7" ht="16">
      <c r="A66" s="206" t="s">
        <v>367</v>
      </c>
      <c r="B66" s="267"/>
      <c r="C66" s="289" t="s">
        <v>352</v>
      </c>
      <c r="D66" s="267" t="s">
        <v>390</v>
      </c>
      <c r="E66" s="292">
        <v>2.35</v>
      </c>
      <c r="F66" s="291">
        <f>4*12*3</f>
        <v>144</v>
      </c>
      <c r="G66" s="209">
        <f>E66*F66</f>
        <v>338.40000000000003</v>
      </c>
    </row>
    <row r="67" spans="1:7" ht="16">
      <c r="A67" s="206" t="s">
        <v>367</v>
      </c>
      <c r="B67" s="267"/>
      <c r="C67" s="289" t="s">
        <v>353</v>
      </c>
      <c r="D67" s="267" t="s">
        <v>45</v>
      </c>
      <c r="E67" s="292">
        <v>6.53</v>
      </c>
      <c r="F67" s="291">
        <f>0.25*12*3</f>
        <v>9</v>
      </c>
      <c r="G67" s="209">
        <f t="shared" ref="G67:G77" si="2">E67*F67</f>
        <v>58.77</v>
      </c>
    </row>
    <row r="68" spans="1:7" ht="16">
      <c r="A68" s="206" t="s">
        <v>367</v>
      </c>
      <c r="B68" s="267"/>
      <c r="C68" s="289" t="s">
        <v>354</v>
      </c>
      <c r="D68" s="267" t="s">
        <v>391</v>
      </c>
      <c r="E68" s="292">
        <v>5.2</v>
      </c>
      <c r="F68" s="291">
        <f>3*3</f>
        <v>9</v>
      </c>
      <c r="G68" s="209">
        <f t="shared" si="2"/>
        <v>46.800000000000004</v>
      </c>
    </row>
    <row r="69" spans="1:7" ht="16">
      <c r="A69" s="206" t="s">
        <v>367</v>
      </c>
      <c r="B69" s="267"/>
      <c r="C69" s="289" t="s">
        <v>355</v>
      </c>
      <c r="D69" s="267" t="s">
        <v>45</v>
      </c>
      <c r="E69" s="292">
        <v>8.86</v>
      </c>
      <c r="F69" s="291">
        <f>3*3</f>
        <v>9</v>
      </c>
      <c r="G69" s="209">
        <f t="shared" si="2"/>
        <v>79.739999999999995</v>
      </c>
    </row>
    <row r="70" spans="1:7" ht="16">
      <c r="A70" s="206" t="s">
        <v>367</v>
      </c>
      <c r="B70" s="267"/>
      <c r="C70" s="289" t="s">
        <v>356</v>
      </c>
      <c r="D70" s="267" t="s">
        <v>392</v>
      </c>
      <c r="E70" s="292">
        <v>9.8000000000000007</v>
      </c>
      <c r="F70" s="291">
        <f>0.5*12*3</f>
        <v>18</v>
      </c>
      <c r="G70" s="209">
        <f t="shared" si="2"/>
        <v>176.4</v>
      </c>
    </row>
    <row r="71" spans="1:7" ht="16">
      <c r="A71" s="206" t="s">
        <v>367</v>
      </c>
      <c r="B71" s="267"/>
      <c r="C71" s="289" t="s">
        <v>357</v>
      </c>
      <c r="D71" s="267" t="s">
        <v>387</v>
      </c>
      <c r="E71" s="292">
        <v>2.33</v>
      </c>
      <c r="F71" s="291">
        <f>10*12*3</f>
        <v>360</v>
      </c>
      <c r="G71" s="209">
        <f t="shared" si="2"/>
        <v>838.80000000000007</v>
      </c>
    </row>
    <row r="72" spans="1:7" ht="16">
      <c r="A72" s="206" t="s">
        <v>367</v>
      </c>
      <c r="B72" s="267"/>
      <c r="C72" s="289" t="s">
        <v>358</v>
      </c>
      <c r="D72" s="267" t="s">
        <v>387</v>
      </c>
      <c r="E72" s="292">
        <v>1.98</v>
      </c>
      <c r="F72" s="291">
        <f>10*12*3</f>
        <v>360</v>
      </c>
      <c r="G72" s="209">
        <f t="shared" si="2"/>
        <v>712.8</v>
      </c>
    </row>
    <row r="73" spans="1:7" ht="16">
      <c r="A73" s="294" t="str">
        <f>A29</f>
        <v>Mercado</v>
      </c>
      <c r="B73" s="267"/>
      <c r="C73" s="289" t="s">
        <v>359</v>
      </c>
      <c r="D73" s="267" t="s">
        <v>387</v>
      </c>
      <c r="E73" s="292">
        <f>E29</f>
        <v>2.9514583333333335</v>
      </c>
      <c r="F73" s="291">
        <f>1*12*3</f>
        <v>36</v>
      </c>
      <c r="G73" s="209">
        <f t="shared" si="2"/>
        <v>106.25250000000001</v>
      </c>
    </row>
    <row r="74" spans="1:7" ht="16">
      <c r="A74" s="206" t="s">
        <v>367</v>
      </c>
      <c r="B74" s="267"/>
      <c r="C74" s="289" t="s">
        <v>360</v>
      </c>
      <c r="D74" s="267" t="s">
        <v>387</v>
      </c>
      <c r="E74" s="292">
        <f>73.24/12</f>
        <v>6.1033333333333326</v>
      </c>
      <c r="F74" s="291">
        <f>6*3</f>
        <v>18</v>
      </c>
      <c r="G74" s="209">
        <f t="shared" si="2"/>
        <v>109.85999999999999</v>
      </c>
    </row>
    <row r="75" spans="1:7" ht="16">
      <c r="A75" s="206" t="s">
        <v>367</v>
      </c>
      <c r="B75" s="267"/>
      <c r="C75" s="289" t="s">
        <v>361</v>
      </c>
      <c r="D75" s="267" t="s">
        <v>387</v>
      </c>
      <c r="E75" s="292">
        <v>11.31</v>
      </c>
      <c r="F75" s="291">
        <v>18</v>
      </c>
      <c r="G75" s="209">
        <f t="shared" si="2"/>
        <v>203.58</v>
      </c>
    </row>
    <row r="76" spans="1:7" ht="16">
      <c r="A76" s="206" t="s">
        <v>367</v>
      </c>
      <c r="B76" s="267"/>
      <c r="C76" s="289" t="s">
        <v>362</v>
      </c>
      <c r="D76" s="267" t="s">
        <v>387</v>
      </c>
      <c r="E76" s="292">
        <f>75.67/12</f>
        <v>6.3058333333333332</v>
      </c>
      <c r="F76" s="291">
        <f>6*3</f>
        <v>18</v>
      </c>
      <c r="G76" s="209">
        <f t="shared" si="2"/>
        <v>113.505</v>
      </c>
    </row>
    <row r="77" spans="1:7" ht="16">
      <c r="A77" s="206" t="s">
        <v>367</v>
      </c>
      <c r="B77" s="267"/>
      <c r="C77" s="289" t="s">
        <v>393</v>
      </c>
      <c r="D77" s="267" t="s">
        <v>394</v>
      </c>
      <c r="E77" s="292">
        <f>20.47</f>
        <v>20.47</v>
      </c>
      <c r="F77" s="291">
        <f>1*12*3</f>
        <v>36</v>
      </c>
      <c r="G77" s="209">
        <f t="shared" si="2"/>
        <v>736.92</v>
      </c>
    </row>
    <row r="78" spans="1:7">
      <c r="A78" s="288"/>
      <c r="B78" s="288"/>
      <c r="C78" s="288"/>
      <c r="D78" s="288"/>
      <c r="E78" s="112"/>
      <c r="F78" s="288"/>
      <c r="G78" s="288"/>
    </row>
    <row r="79" spans="1:7" ht="15.5">
      <c r="B79" s="202" t="s">
        <v>401</v>
      </c>
      <c r="C79" s="203" t="s">
        <v>363</v>
      </c>
      <c r="D79" s="202"/>
      <c r="E79" s="202"/>
      <c r="F79" s="204"/>
      <c r="G79" s="205">
        <f>SUM(G80:G83)</f>
        <v>1839.9979999999998</v>
      </c>
    </row>
    <row r="80" spans="1:7" ht="16">
      <c r="A80" s="206" t="s">
        <v>367</v>
      </c>
      <c r="B80" s="267"/>
      <c r="C80" s="289" t="s">
        <v>364</v>
      </c>
      <c r="D80" s="267" t="s">
        <v>392</v>
      </c>
      <c r="E80" s="291">
        <v>15.25</v>
      </c>
      <c r="F80" s="291">
        <f>1*12*3</f>
        <v>36</v>
      </c>
      <c r="G80" s="209">
        <f>E80*F80</f>
        <v>549</v>
      </c>
    </row>
    <row r="81" spans="1:7" ht="16">
      <c r="A81" s="206" t="s">
        <v>367</v>
      </c>
      <c r="B81" s="267"/>
      <c r="C81" s="289" t="s">
        <v>396</v>
      </c>
      <c r="D81" s="267" t="s">
        <v>395</v>
      </c>
      <c r="E81" s="291">
        <v>67.63</v>
      </c>
      <c r="F81" s="291">
        <f>ROUND(((26*12)/64),0)</f>
        <v>5</v>
      </c>
      <c r="G81" s="209">
        <f t="shared" ref="G81:G83" si="3">E81*F81</f>
        <v>338.15</v>
      </c>
    </row>
    <row r="82" spans="1:7" ht="16">
      <c r="A82" s="206" t="s">
        <v>367</v>
      </c>
      <c r="B82" s="267"/>
      <c r="C82" s="289" t="s">
        <v>365</v>
      </c>
      <c r="D82" s="267" t="s">
        <v>388</v>
      </c>
      <c r="E82" s="292">
        <v>10.1</v>
      </c>
      <c r="F82" s="291">
        <f>(26*10*20*12)/1000</f>
        <v>62.4</v>
      </c>
      <c r="G82" s="209">
        <f t="shared" si="3"/>
        <v>630.24</v>
      </c>
    </row>
    <row r="83" spans="1:7" ht="16">
      <c r="A83" s="206" t="s">
        <v>367</v>
      </c>
      <c r="B83" s="267"/>
      <c r="C83" s="289" t="s">
        <v>366</v>
      </c>
      <c r="D83" s="267" t="s">
        <v>390</v>
      </c>
      <c r="E83" s="291">
        <v>5.17</v>
      </c>
      <c r="F83" s="291">
        <f>(26*5*20*12)/500</f>
        <v>62.4</v>
      </c>
      <c r="G83" s="209">
        <f t="shared" si="3"/>
        <v>322.608</v>
      </c>
    </row>
  </sheetData>
  <conditionalFormatting sqref="D56:D63 D65:E65 D66:D77">
    <cfRule type="expression" dxfId="23" priority="3" stopIfTrue="1">
      <formula>AND(#REF!&lt;&gt;"COMPOSICAO",#REF!&lt;&gt;"INSUMO",#REF!&lt;&gt;"")</formula>
    </cfRule>
    <cfRule type="expression" dxfId="22" priority="4" stopIfTrue="1">
      <formula>AND(OR(#REF!="COMPOSICAO",#REF!="INSUMO",#REF!&lt;&gt;""),#REF!&lt;&gt;"")</formula>
    </cfRule>
  </conditionalFormatting>
  <conditionalFormatting sqref="D4:E34">
    <cfRule type="expression" dxfId="21" priority="9" stopIfTrue="1">
      <formula>AND(#REF!&lt;&gt;"COMPOSICAO",#REF!&lt;&gt;"INSUMO",#REF!&lt;&gt;"")</formula>
    </cfRule>
    <cfRule type="expression" dxfId="20" priority="10" stopIfTrue="1">
      <formula>AND(OR(#REF!="COMPOSICAO",#REF!="INSUMO",#REF!&lt;&gt;""),#REF!&lt;&gt;"")</formula>
    </cfRule>
  </conditionalFormatting>
  <conditionalFormatting sqref="D37:E41">
    <cfRule type="expression" dxfId="19" priority="7" stopIfTrue="1">
      <formula>AND(#REF!&lt;&gt;"COMPOSICAO",#REF!&lt;&gt;"INSUMO",#REF!&lt;&gt;"")</formula>
    </cfRule>
    <cfRule type="expression" dxfId="18" priority="8" stopIfTrue="1">
      <formula>AND(OR(#REF!="COMPOSICAO",#REF!="INSUMO",#REF!&lt;&gt;""),#REF!&lt;&gt;"")</formula>
    </cfRule>
  </conditionalFormatting>
  <conditionalFormatting sqref="D43:E43">
    <cfRule type="expression" dxfId="17" priority="5" stopIfTrue="1">
      <formula>AND(#REF!&lt;&gt;"COMPOSICAO",#REF!&lt;&gt;"INSUMO",#REF!&lt;&gt;"")</formula>
    </cfRule>
    <cfRule type="expression" dxfId="16" priority="6" stopIfTrue="1">
      <formula>AND(OR(#REF!="COMPOSICAO",#REF!="INSUMO",#REF!&lt;&gt;""),#REF!&lt;&gt;"")</formula>
    </cfRule>
  </conditionalFormatting>
  <conditionalFormatting sqref="D79:E83">
    <cfRule type="expression" dxfId="15" priority="1" stopIfTrue="1">
      <formula>AND(#REF!&lt;&gt;"COMPOSICAO",#REF!&lt;&gt;"INSUMO",#REF!&lt;&gt;"")</formula>
    </cfRule>
    <cfRule type="expression" dxfId="14" priority="2" stopIfTrue="1">
      <formula>AND(OR(#REF!="COMPOSICAO",#REF!="INSUMO",#REF!&lt;&gt;""),#REF!&lt;&gt;"")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83577-5516-4E69-A61B-FB84B6A95CBA}">
  <dimension ref="A1:R29"/>
  <sheetViews>
    <sheetView showGridLines="0" zoomScale="90" zoomScaleNormal="90" workbookViewId="0">
      <selection activeCell="F14" sqref="F14"/>
    </sheetView>
  </sheetViews>
  <sheetFormatPr defaultRowHeight="12.5"/>
  <cols>
    <col min="1" max="1" width="11.1796875" customWidth="1"/>
    <col min="2" max="2" width="13.26953125" customWidth="1"/>
    <col min="3" max="3" width="67.81640625" customWidth="1"/>
    <col min="4" max="4" width="13.54296875" customWidth="1"/>
    <col min="5" max="5" width="14.26953125" bestFit="1" customWidth="1"/>
    <col min="6" max="6" width="11.1796875" customWidth="1"/>
    <col min="7" max="7" width="17.1796875" customWidth="1"/>
    <col min="9" max="9" width="9.1796875" style="222"/>
    <col min="10" max="10" width="10.453125" customWidth="1"/>
    <col min="11" max="11" width="10" customWidth="1"/>
    <col min="12" max="12" width="11.7265625" customWidth="1"/>
    <col min="13" max="13" width="9.1796875" customWidth="1"/>
    <col min="14" max="14" width="9.81640625" style="222" customWidth="1"/>
    <col min="15" max="15" width="9.453125" style="222" customWidth="1"/>
    <col min="16" max="16" width="9.7265625" style="222" customWidth="1"/>
    <col min="17" max="17" width="15" customWidth="1"/>
  </cols>
  <sheetData>
    <row r="1" spans="1:18" ht="44.25" customHeight="1">
      <c r="A1" s="210" t="s">
        <v>18</v>
      </c>
      <c r="B1" s="210" t="s">
        <v>19</v>
      </c>
      <c r="C1" s="210" t="s">
        <v>20</v>
      </c>
      <c r="D1" s="210" t="s">
        <v>21</v>
      </c>
      <c r="E1" s="210" t="s">
        <v>81</v>
      </c>
      <c r="F1" s="210" t="s">
        <v>22</v>
      </c>
      <c r="G1" s="210" t="s">
        <v>82</v>
      </c>
      <c r="I1" s="659" t="s">
        <v>238</v>
      </c>
      <c r="J1" s="660"/>
      <c r="K1" s="660"/>
      <c r="L1" s="660"/>
      <c r="M1" s="660"/>
      <c r="N1" s="660"/>
      <c r="O1" s="660"/>
      <c r="P1" s="660"/>
      <c r="Q1" s="661"/>
    </row>
    <row r="2" spans="1:18" ht="26">
      <c r="A2" s="197"/>
      <c r="B2" s="197"/>
      <c r="C2" s="197"/>
      <c r="D2" s="197"/>
      <c r="E2" s="197"/>
      <c r="F2" s="197"/>
      <c r="G2" s="197"/>
      <c r="I2" s="250" t="s">
        <v>245</v>
      </c>
      <c r="J2" s="250" t="s">
        <v>216</v>
      </c>
      <c r="K2" s="250" t="s">
        <v>217</v>
      </c>
      <c r="L2" s="250" t="s">
        <v>218</v>
      </c>
      <c r="M2" s="250" t="s">
        <v>219</v>
      </c>
      <c r="N2" s="250" t="s">
        <v>220</v>
      </c>
      <c r="O2" s="250" t="s">
        <v>244</v>
      </c>
      <c r="P2" s="250" t="s">
        <v>256</v>
      </c>
      <c r="Q2" s="250" t="s">
        <v>255</v>
      </c>
    </row>
    <row r="3" spans="1:18" ht="15.5">
      <c r="A3" s="198"/>
      <c r="B3" s="199" t="s">
        <v>11</v>
      </c>
      <c r="C3" s="200" t="s">
        <v>203</v>
      </c>
      <c r="D3" s="200"/>
      <c r="E3" s="200"/>
      <c r="F3" s="200"/>
      <c r="G3" s="211">
        <f>SUM(G5:G14)</f>
        <v>18636.896000000001</v>
      </c>
      <c r="I3" s="667">
        <v>1</v>
      </c>
      <c r="J3" s="237" t="s">
        <v>213</v>
      </c>
      <c r="K3" s="237" t="s">
        <v>214</v>
      </c>
      <c r="L3" s="236">
        <v>190</v>
      </c>
      <c r="M3" s="236">
        <v>174</v>
      </c>
      <c r="N3" s="236"/>
      <c r="O3" s="236">
        <v>40</v>
      </c>
      <c r="P3" s="236">
        <v>40</v>
      </c>
      <c r="Q3" s="236">
        <v>126</v>
      </c>
    </row>
    <row r="4" spans="1:18" ht="15.5">
      <c r="A4" s="201"/>
      <c r="B4" s="202" t="s">
        <v>12</v>
      </c>
      <c r="C4" s="203" t="s">
        <v>74</v>
      </c>
      <c r="D4" s="202"/>
      <c r="E4" s="204"/>
      <c r="F4" s="205"/>
      <c r="G4" s="205"/>
      <c r="I4" s="668"/>
      <c r="J4" s="237" t="s">
        <v>214</v>
      </c>
      <c r="K4" s="237" t="s">
        <v>162</v>
      </c>
      <c r="L4" s="236">
        <v>62</v>
      </c>
      <c r="M4" s="236">
        <v>59</v>
      </c>
      <c r="N4" s="236"/>
      <c r="O4" s="236">
        <v>40</v>
      </c>
      <c r="P4" s="236"/>
      <c r="Q4" s="236"/>
    </row>
    <row r="5" spans="1:18" ht="14.25" customHeight="1">
      <c r="A5" s="206" t="s">
        <v>25</v>
      </c>
      <c r="B5" s="206">
        <v>90778</v>
      </c>
      <c r="C5" s="214" t="s">
        <v>110</v>
      </c>
      <c r="D5" s="206" t="s">
        <v>26</v>
      </c>
      <c r="E5" s="207">
        <f>ROUND((M14)/60,0)+E28+F28</f>
        <v>121</v>
      </c>
      <c r="F5" s="208">
        <v>121.61</v>
      </c>
      <c r="G5" s="209">
        <f>E5*F5</f>
        <v>14714.81</v>
      </c>
      <c r="I5" s="669"/>
      <c r="J5" s="238" t="s">
        <v>162</v>
      </c>
      <c r="K5" s="238" t="s">
        <v>213</v>
      </c>
      <c r="L5" s="251">
        <v>242</v>
      </c>
      <c r="M5" s="251">
        <v>225</v>
      </c>
      <c r="N5" s="251"/>
      <c r="O5" s="251"/>
      <c r="P5" s="251"/>
      <c r="Q5" s="251"/>
    </row>
    <row r="6" spans="1:18">
      <c r="J6" s="240"/>
      <c r="K6" s="241"/>
      <c r="L6" s="252"/>
      <c r="M6" s="252"/>
      <c r="N6" s="252"/>
      <c r="O6" s="252"/>
      <c r="P6" s="252"/>
      <c r="Q6" s="253"/>
    </row>
    <row r="7" spans="1:18" ht="15.5">
      <c r="A7" s="201"/>
      <c r="B7" s="202" t="s">
        <v>75</v>
      </c>
      <c r="C7" s="203" t="s">
        <v>122</v>
      </c>
      <c r="D7" s="202"/>
      <c r="E7" s="204"/>
      <c r="F7" s="205"/>
      <c r="G7" s="205"/>
      <c r="I7" s="670">
        <v>2</v>
      </c>
      <c r="J7" s="239" t="s">
        <v>213</v>
      </c>
      <c r="K7" s="239" t="s">
        <v>164</v>
      </c>
      <c r="L7" s="254">
        <v>142</v>
      </c>
      <c r="M7" s="254">
        <v>113</v>
      </c>
      <c r="N7" s="254">
        <v>19.600000000000001</v>
      </c>
      <c r="O7" s="254">
        <v>40</v>
      </c>
      <c r="P7" s="254"/>
      <c r="Q7" s="254"/>
    </row>
    <row r="8" spans="1:18" ht="15.5">
      <c r="A8" s="206" t="s">
        <v>68</v>
      </c>
      <c r="B8" s="206"/>
      <c r="C8" s="213" t="s">
        <v>246</v>
      </c>
      <c r="D8" s="206" t="s">
        <v>21</v>
      </c>
      <c r="E8" s="207">
        <v>8</v>
      </c>
      <c r="F8" s="235">
        <v>40</v>
      </c>
      <c r="G8" s="209">
        <f>E8*F8</f>
        <v>320</v>
      </c>
      <c r="I8" s="671"/>
      <c r="J8" s="238" t="s">
        <v>164</v>
      </c>
      <c r="K8" s="238" t="s">
        <v>213</v>
      </c>
      <c r="L8" s="251">
        <v>141</v>
      </c>
      <c r="M8" s="251">
        <v>113</v>
      </c>
      <c r="N8" s="251">
        <v>19.600000000000001</v>
      </c>
      <c r="O8" s="251"/>
      <c r="P8" s="251"/>
      <c r="Q8" s="251"/>
      <c r="R8" s="222"/>
    </row>
    <row r="9" spans="1:18" ht="15.5">
      <c r="A9" s="206" t="s">
        <v>68</v>
      </c>
      <c r="B9" s="206"/>
      <c r="C9" s="213" t="s">
        <v>247</v>
      </c>
      <c r="D9" s="206" t="s">
        <v>21</v>
      </c>
      <c r="E9" s="207">
        <v>3</v>
      </c>
      <c r="F9" s="235">
        <f>AVERAGE(Q3:Q12)</f>
        <v>176.66666666666666</v>
      </c>
      <c r="G9" s="209">
        <f>E9*F9</f>
        <v>530</v>
      </c>
      <c r="J9" s="240"/>
      <c r="K9" s="241"/>
      <c r="L9" s="252"/>
      <c r="M9" s="252"/>
      <c r="N9" s="252"/>
      <c r="O9" s="252"/>
      <c r="P9" s="252"/>
      <c r="Q9" s="253"/>
      <c r="R9" s="222"/>
    </row>
    <row r="10" spans="1:18" ht="15.5">
      <c r="A10" s="206" t="s">
        <v>68</v>
      </c>
      <c r="B10" s="206"/>
      <c r="C10" s="213" t="s">
        <v>123</v>
      </c>
      <c r="D10" s="206" t="s">
        <v>45</v>
      </c>
      <c r="E10" s="207">
        <f>L14/10</f>
        <v>133.80000000000001</v>
      </c>
      <c r="F10" s="208">
        <v>6.47</v>
      </c>
      <c r="G10" s="209">
        <f>E10*F10</f>
        <v>865.68600000000004</v>
      </c>
      <c r="I10" s="672">
        <v>3</v>
      </c>
      <c r="J10" s="239" t="s">
        <v>213</v>
      </c>
      <c r="K10" s="239" t="s">
        <v>215</v>
      </c>
      <c r="L10" s="254">
        <v>59</v>
      </c>
      <c r="M10" s="254">
        <v>65</v>
      </c>
      <c r="N10" s="254">
        <v>19.600000000000001</v>
      </c>
      <c r="O10" s="254">
        <v>40</v>
      </c>
      <c r="P10" s="254">
        <v>40</v>
      </c>
      <c r="Q10" s="254">
        <v>144</v>
      </c>
      <c r="R10" s="222"/>
    </row>
    <row r="11" spans="1:18" ht="15.5">
      <c r="A11" s="206" t="s">
        <v>68</v>
      </c>
      <c r="B11" s="206"/>
      <c r="C11" s="213" t="s">
        <v>124</v>
      </c>
      <c r="D11" s="206" t="s">
        <v>21</v>
      </c>
      <c r="E11" s="207">
        <v>4</v>
      </c>
      <c r="F11" s="208">
        <v>19.600000000000001</v>
      </c>
      <c r="G11" s="209">
        <f>E11*F11</f>
        <v>78.400000000000006</v>
      </c>
      <c r="I11" s="673"/>
      <c r="J11" s="237" t="s">
        <v>215</v>
      </c>
      <c r="K11" s="237" t="s">
        <v>166</v>
      </c>
      <c r="L11" s="236">
        <v>242</v>
      </c>
      <c r="M11" s="236">
        <v>192</v>
      </c>
      <c r="N11" s="236"/>
      <c r="O11" s="236">
        <v>40</v>
      </c>
      <c r="P11" s="236">
        <v>40</v>
      </c>
      <c r="Q11" s="236">
        <v>260</v>
      </c>
      <c r="R11" s="222"/>
    </row>
    <row r="12" spans="1:18" ht="15.5">
      <c r="A12" s="215"/>
      <c r="B12" s="215"/>
      <c r="C12" s="216"/>
      <c r="D12" s="215"/>
      <c r="E12" s="217"/>
      <c r="F12" s="218"/>
      <c r="G12" s="219"/>
      <c r="I12" s="673"/>
      <c r="J12" s="238" t="s">
        <v>166</v>
      </c>
      <c r="K12" s="238" t="s">
        <v>213</v>
      </c>
      <c r="L12" s="251">
        <v>260</v>
      </c>
      <c r="M12" s="251">
        <v>207</v>
      </c>
      <c r="N12" s="251">
        <v>19.600000000000001</v>
      </c>
      <c r="O12" s="251"/>
      <c r="P12" s="251"/>
      <c r="Q12" s="251"/>
      <c r="R12" s="222"/>
    </row>
    <row r="13" spans="1:18" s="171" customFormat="1" ht="15.5">
      <c r="A13" s="201"/>
      <c r="B13" s="202" t="s">
        <v>125</v>
      </c>
      <c r="C13" s="203" t="s">
        <v>204</v>
      </c>
      <c r="D13" s="202"/>
      <c r="E13" s="204"/>
      <c r="F13" s="205"/>
      <c r="G13" s="205"/>
      <c r="I13" s="674"/>
      <c r="J13" s="240"/>
      <c r="K13" s="241"/>
      <c r="L13" s="252"/>
      <c r="M13" s="252"/>
      <c r="N13" s="252"/>
      <c r="O13" s="252"/>
      <c r="P13" s="252"/>
      <c r="Q13" s="253"/>
      <c r="R13" s="222"/>
    </row>
    <row r="14" spans="1:18" ht="31">
      <c r="A14" s="206" t="s">
        <v>68</v>
      </c>
      <c r="B14" s="206" t="s">
        <v>72</v>
      </c>
      <c r="C14" s="214" t="s">
        <v>205</v>
      </c>
      <c r="D14" s="206" t="s">
        <v>21</v>
      </c>
      <c r="E14" s="212">
        <v>8</v>
      </c>
      <c r="F14" s="208">
        <v>266</v>
      </c>
      <c r="G14" s="209">
        <f t="shared" ref="G14" si="0">E14*F14</f>
        <v>2128</v>
      </c>
      <c r="J14" s="657" t="s">
        <v>77</v>
      </c>
      <c r="K14" s="658"/>
      <c r="L14" s="254">
        <f>SUM(L3:L12)</f>
        <v>1338</v>
      </c>
      <c r="M14" s="254">
        <f>SUM(M3:M12)</f>
        <v>1148</v>
      </c>
      <c r="N14" s="254">
        <f>SUM(N3:N12)</f>
        <v>78.400000000000006</v>
      </c>
      <c r="O14" s="254">
        <f t="shared" ref="O14:Q14" si="1">SUM(O3:O12)</f>
        <v>200</v>
      </c>
      <c r="P14" s="254">
        <f t="shared" si="1"/>
        <v>120</v>
      </c>
      <c r="Q14" s="254">
        <f t="shared" si="1"/>
        <v>530</v>
      </c>
      <c r="R14" s="222"/>
    </row>
    <row r="15" spans="1:18">
      <c r="J15" s="242" t="s">
        <v>221</v>
      </c>
      <c r="K15" s="185"/>
      <c r="L15" s="185"/>
    </row>
    <row r="18" spans="1:6" ht="15.75" customHeight="1">
      <c r="A18" s="222"/>
      <c r="B18" s="662" t="s">
        <v>243</v>
      </c>
      <c r="C18" s="663"/>
      <c r="D18" s="663"/>
      <c r="E18" s="663"/>
      <c r="F18" s="664"/>
    </row>
    <row r="19" spans="1:6" ht="31">
      <c r="A19" s="222"/>
      <c r="B19" s="665" t="s">
        <v>241</v>
      </c>
      <c r="C19" s="666"/>
      <c r="D19" s="244" t="s">
        <v>242</v>
      </c>
      <c r="E19" s="245" t="s">
        <v>248</v>
      </c>
      <c r="F19" s="245" t="s">
        <v>249</v>
      </c>
    </row>
    <row r="20" spans="1:6" ht="13">
      <c r="A20" s="222"/>
      <c r="B20" s="246" t="s">
        <v>222</v>
      </c>
      <c r="C20" s="246" t="s">
        <v>223</v>
      </c>
      <c r="D20" s="247">
        <v>6500</v>
      </c>
      <c r="E20" s="248">
        <v>8</v>
      </c>
      <c r="F20" s="248">
        <v>8</v>
      </c>
    </row>
    <row r="21" spans="1:6" ht="13">
      <c r="A21" s="222"/>
      <c r="B21" s="246" t="s">
        <v>224</v>
      </c>
      <c r="C21" s="246" t="s">
        <v>225</v>
      </c>
      <c r="D21" s="247">
        <v>2774</v>
      </c>
      <c r="E21" s="248">
        <v>8</v>
      </c>
      <c r="F21" s="248">
        <v>8</v>
      </c>
    </row>
    <row r="22" spans="1:6" ht="13">
      <c r="A22" s="222"/>
      <c r="B22" s="246" t="s">
        <v>226</v>
      </c>
      <c r="C22" s="246" t="s">
        <v>227</v>
      </c>
      <c r="D22" s="247">
        <v>4395</v>
      </c>
      <c r="E22" s="248">
        <v>8</v>
      </c>
      <c r="F22" s="248">
        <v>8</v>
      </c>
    </row>
    <row r="23" spans="1:6" ht="13">
      <c r="A23" s="222"/>
      <c r="B23" s="246" t="s">
        <v>228</v>
      </c>
      <c r="C23" s="246" t="s">
        <v>229</v>
      </c>
      <c r="D23" s="247">
        <v>2106</v>
      </c>
      <c r="E23" s="248">
        <v>6</v>
      </c>
      <c r="F23" s="248">
        <v>8</v>
      </c>
    </row>
    <row r="24" spans="1:6" ht="23">
      <c r="A24" s="222"/>
      <c r="B24" s="246" t="s">
        <v>230</v>
      </c>
      <c r="C24" s="246" t="s">
        <v>231</v>
      </c>
      <c r="D24" s="246">
        <v>574.88</v>
      </c>
      <c r="E24" s="248">
        <v>6</v>
      </c>
      <c r="F24" s="248">
        <v>8</v>
      </c>
    </row>
    <row r="25" spans="1:6" ht="13">
      <c r="A25" s="222"/>
      <c r="B25" s="246" t="s">
        <v>232</v>
      </c>
      <c r="C25" s="246" t="s">
        <v>233</v>
      </c>
      <c r="D25" s="247">
        <v>1834.2</v>
      </c>
      <c r="E25" s="248">
        <v>4</v>
      </c>
      <c r="F25" s="248">
        <v>6</v>
      </c>
    </row>
    <row r="26" spans="1:6" ht="13">
      <c r="A26" s="222"/>
      <c r="B26" s="246" t="s">
        <v>234</v>
      </c>
      <c r="C26" s="246" t="s">
        <v>235</v>
      </c>
      <c r="D26" s="247">
        <v>1559.95</v>
      </c>
      <c r="E26" s="248">
        <v>4</v>
      </c>
      <c r="F26" s="248">
        <v>6</v>
      </c>
    </row>
    <row r="27" spans="1:6" ht="13">
      <c r="A27" s="222"/>
      <c r="B27" s="246" t="s">
        <v>236</v>
      </c>
      <c r="C27" s="246" t="s">
        <v>237</v>
      </c>
      <c r="D27" s="247">
        <v>696</v>
      </c>
      <c r="E27" s="248">
        <v>2</v>
      </c>
      <c r="F27" s="248">
        <v>4</v>
      </c>
    </row>
    <row r="28" spans="1:6" ht="13">
      <c r="A28" s="222"/>
      <c r="D28" s="249" t="s">
        <v>77</v>
      </c>
      <c r="E28" s="248">
        <f>SUM(E20:E27)</f>
        <v>46</v>
      </c>
      <c r="F28" s="248">
        <f>SUM(F20:F27)</f>
        <v>56</v>
      </c>
    </row>
    <row r="29" spans="1:6">
      <c r="A29" s="222"/>
    </row>
  </sheetData>
  <mergeCells count="7">
    <mergeCell ref="J14:K14"/>
    <mergeCell ref="I1:Q1"/>
    <mergeCell ref="B18:F18"/>
    <mergeCell ref="B19:C19"/>
    <mergeCell ref="I3:I5"/>
    <mergeCell ref="I7:I8"/>
    <mergeCell ref="I10:I13"/>
  </mergeCells>
  <conditionalFormatting sqref="D5">
    <cfRule type="expression" dxfId="13" priority="5" stopIfTrue="1">
      <formula>AND(#REF!&lt;&gt;"COMPOSICAO",#REF!&lt;&gt;"INSUMO",#REF!&lt;&gt;"")</formula>
    </cfRule>
    <cfRule type="expression" dxfId="12" priority="6" stopIfTrue="1">
      <formula>AND(OR(#REF!="COMPOSICAO",#REF!="INSUMO",#REF!&lt;&gt;""),#REF!&lt;&gt;"")</formula>
    </cfRule>
  </conditionalFormatting>
  <conditionalFormatting sqref="D8:D12">
    <cfRule type="expression" dxfId="11" priority="3" stopIfTrue="1">
      <formula>AND(#REF!&lt;&gt;"COMPOSICAO",#REF!&lt;&gt;"INSUMO",#REF!&lt;&gt;"")</formula>
    </cfRule>
    <cfRule type="expression" dxfId="10" priority="4" stopIfTrue="1">
      <formula>AND(OR(#REF!="COMPOSICAO",#REF!="INSUMO",#REF!&lt;&gt;""),#REF!&lt;&gt;"")</formula>
    </cfRule>
  </conditionalFormatting>
  <conditionalFormatting sqref="D14">
    <cfRule type="expression" dxfId="9" priority="1" stopIfTrue="1">
      <formula>AND(#REF!&lt;&gt;"COMPOSICAO",#REF!&lt;&gt;"INSUMO",#REF!&lt;&gt;"")</formula>
    </cfRule>
    <cfRule type="expression" dxfId="8" priority="2" stopIfTrue="1">
      <formula>AND(OR(#REF!="COMPOSICAO",#REF!="INSUMO",#REF!&lt;&gt;""),#REF!&lt;&gt;"")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5DA3-02D2-4C1B-92A7-C9DD6CC127FF}">
  <dimension ref="A2:U113"/>
  <sheetViews>
    <sheetView workbookViewId="0">
      <selection activeCell="I2" sqref="I2"/>
    </sheetView>
  </sheetViews>
  <sheetFormatPr defaultColWidth="9.1796875" defaultRowHeight="12.5"/>
  <cols>
    <col min="1" max="1" width="11.1796875" style="260" customWidth="1"/>
    <col min="2" max="2" width="13.26953125" style="260" customWidth="1"/>
    <col min="3" max="3" width="67.81640625" style="260" customWidth="1"/>
    <col min="4" max="4" width="9.1796875" style="260"/>
    <col min="5" max="5" width="14.26953125" style="260" bestFit="1" customWidth="1"/>
    <col min="6" max="6" width="11.26953125" style="260" bestFit="1" customWidth="1"/>
    <col min="7" max="7" width="17.1796875" style="260" customWidth="1"/>
    <col min="8" max="8" width="9.1796875" style="260"/>
    <col min="9" max="9" width="22.54296875" style="260" customWidth="1"/>
    <col min="10" max="11" width="9.453125" style="260" customWidth="1"/>
    <col min="12" max="15" width="9.1796875" style="260"/>
    <col min="16" max="16" width="11.26953125" style="260" bestFit="1" customWidth="1"/>
    <col min="17" max="17" width="9.54296875" style="260" bestFit="1" customWidth="1"/>
    <col min="18" max="18" width="8.7265625" style="260" customWidth="1"/>
    <col min="19" max="19" width="11.26953125" style="260" bestFit="1" customWidth="1"/>
    <col min="20" max="20" width="6" style="260" customWidth="1"/>
    <col min="21" max="16384" width="9.1796875" style="260"/>
  </cols>
  <sheetData>
    <row r="2" spans="1:21">
      <c r="I2" s="98">
        <f>G6/5</f>
        <v>4471.5253200000006</v>
      </c>
    </row>
    <row r="4" spans="1:21" ht="31.5" customHeight="1">
      <c r="A4" s="210" t="s">
        <v>18</v>
      </c>
      <c r="B4" s="210" t="s">
        <v>19</v>
      </c>
      <c r="C4" s="210" t="s">
        <v>20</v>
      </c>
      <c r="D4" s="210" t="s">
        <v>21</v>
      </c>
      <c r="E4" s="210" t="s">
        <v>81</v>
      </c>
      <c r="F4" s="210" t="s">
        <v>22</v>
      </c>
      <c r="G4" s="210" t="s">
        <v>82</v>
      </c>
    </row>
    <row r="5" spans="1:21" ht="15.5">
      <c r="A5" s="197"/>
      <c r="B5" s="197"/>
      <c r="C5" s="197"/>
      <c r="D5" s="197"/>
      <c r="E5" s="197"/>
      <c r="F5" s="197"/>
      <c r="G5" s="197"/>
      <c r="J5" s="675" t="s">
        <v>264</v>
      </c>
      <c r="K5" s="675"/>
      <c r="L5" s="675"/>
      <c r="M5" s="675"/>
      <c r="N5" s="675"/>
      <c r="O5" s="675"/>
      <c r="P5" s="676" t="s">
        <v>265</v>
      </c>
      <c r="Q5" s="676"/>
      <c r="R5" s="676"/>
      <c r="S5" s="676"/>
    </row>
    <row r="6" spans="1:21" ht="15.5">
      <c r="A6" s="198"/>
      <c r="B6" s="199" t="s">
        <v>11</v>
      </c>
      <c r="C6" s="200" t="s">
        <v>266</v>
      </c>
      <c r="D6" s="200"/>
      <c r="E6" s="200"/>
      <c r="F6" s="200"/>
      <c r="G6" s="211">
        <f>G8+G18+G21+G28</f>
        <v>22357.626600000003</v>
      </c>
      <c r="J6" s="677" t="s">
        <v>267</v>
      </c>
      <c r="K6" s="677"/>
      <c r="L6" s="677" t="s">
        <v>268</v>
      </c>
      <c r="M6" s="677"/>
      <c r="N6" s="677" t="s">
        <v>269</v>
      </c>
      <c r="O6" s="677"/>
      <c r="P6" s="676"/>
      <c r="Q6" s="676"/>
      <c r="R6" s="676"/>
      <c r="S6" s="676"/>
    </row>
    <row r="7" spans="1:21" ht="15.5">
      <c r="A7" s="263"/>
      <c r="B7" s="264"/>
      <c r="C7" s="265"/>
      <c r="D7" s="265"/>
      <c r="E7" s="265"/>
      <c r="F7" s="265"/>
      <c r="G7" s="266"/>
      <c r="J7" s="267" t="s">
        <v>232</v>
      </c>
      <c r="K7" s="267" t="s">
        <v>270</v>
      </c>
      <c r="L7" s="267" t="s">
        <v>226</v>
      </c>
      <c r="M7" s="267" t="s">
        <v>228</v>
      </c>
      <c r="N7" s="267" t="s">
        <v>222</v>
      </c>
      <c r="O7" s="267" t="s">
        <v>271</v>
      </c>
      <c r="P7" s="268" t="s">
        <v>272</v>
      </c>
      <c r="Q7" s="269" t="s">
        <v>273</v>
      </c>
      <c r="R7" s="269" t="s">
        <v>274</v>
      </c>
      <c r="S7" s="269" t="s">
        <v>275</v>
      </c>
      <c r="U7" s="260" t="s">
        <v>276</v>
      </c>
    </row>
    <row r="8" spans="1:21" ht="15.5">
      <c r="A8" s="201"/>
      <c r="B8" s="202" t="s">
        <v>12</v>
      </c>
      <c r="C8" s="203" t="s">
        <v>74</v>
      </c>
      <c r="D8" s="202"/>
      <c r="E8" s="204"/>
      <c r="F8" s="205"/>
      <c r="G8" s="205">
        <f>G10+G12+G14+G16</f>
        <v>8544.3186000000005</v>
      </c>
      <c r="I8" s="270" t="s">
        <v>277</v>
      </c>
      <c r="J8" s="271">
        <v>1</v>
      </c>
      <c r="K8" s="271">
        <v>1</v>
      </c>
      <c r="L8" s="271">
        <v>1</v>
      </c>
      <c r="M8" s="271">
        <v>1</v>
      </c>
      <c r="N8" s="271">
        <v>1</v>
      </c>
      <c r="O8" s="271">
        <v>1</v>
      </c>
      <c r="P8" s="272" t="s">
        <v>278</v>
      </c>
      <c r="Q8" s="273">
        <f>(SUM(J8:O8))*1</f>
        <v>6</v>
      </c>
      <c r="R8" s="269">
        <v>1</v>
      </c>
      <c r="S8" s="273">
        <f>Q8*R8</f>
        <v>6</v>
      </c>
      <c r="U8" s="261">
        <v>30</v>
      </c>
    </row>
    <row r="9" spans="1:21" ht="31">
      <c r="A9" s="274"/>
      <c r="B9" s="275" t="s">
        <v>279</v>
      </c>
      <c r="C9" s="276" t="s">
        <v>201</v>
      </c>
      <c r="D9" s="276"/>
      <c r="E9" s="276"/>
      <c r="F9" s="276"/>
      <c r="G9" s="277"/>
      <c r="I9" s="278" t="s">
        <v>280</v>
      </c>
      <c r="J9" s="236">
        <v>1</v>
      </c>
      <c r="K9" s="236">
        <v>1</v>
      </c>
      <c r="L9" s="236">
        <v>2</v>
      </c>
      <c r="M9" s="236">
        <v>2</v>
      </c>
      <c r="N9" s="236">
        <v>2</v>
      </c>
      <c r="O9" s="236">
        <v>3</v>
      </c>
      <c r="P9" s="279" t="s">
        <v>281</v>
      </c>
      <c r="Q9" s="273">
        <f>(SUM(J9:O9))*2</f>
        <v>22</v>
      </c>
      <c r="R9" s="269">
        <v>0.5</v>
      </c>
      <c r="S9" s="273">
        <f t="shared" ref="S9:S11" si="0">Q9*R9</f>
        <v>11</v>
      </c>
      <c r="U9" s="261">
        <v>55</v>
      </c>
    </row>
    <row r="10" spans="1:21" ht="22.5" customHeight="1">
      <c r="A10" s="206" t="s">
        <v>25</v>
      </c>
      <c r="B10" s="206">
        <v>90778</v>
      </c>
      <c r="C10" s="214" t="s">
        <v>110</v>
      </c>
      <c r="D10" s="206" t="s">
        <v>99</v>
      </c>
      <c r="E10" s="207">
        <f>Q8</f>
        <v>6</v>
      </c>
      <c r="F10" s="208">
        <f>'MO SINAPI'!F5</f>
        <v>121.61</v>
      </c>
      <c r="G10" s="209">
        <f>E10*F10</f>
        <v>729.66</v>
      </c>
      <c r="I10" s="270" t="s">
        <v>282</v>
      </c>
      <c r="J10" s="271">
        <v>1</v>
      </c>
      <c r="K10" s="271">
        <v>1</v>
      </c>
      <c r="L10" s="271">
        <v>1</v>
      </c>
      <c r="M10" s="271">
        <v>1</v>
      </c>
      <c r="N10" s="271">
        <v>1</v>
      </c>
      <c r="O10" s="271">
        <v>1</v>
      </c>
      <c r="P10" s="272" t="s">
        <v>278</v>
      </c>
      <c r="Q10" s="273">
        <f t="shared" ref="Q10" si="1">(SUM(J10:O10))*1</f>
        <v>6</v>
      </c>
      <c r="R10" s="269">
        <v>1</v>
      </c>
      <c r="S10" s="273">
        <f t="shared" si="0"/>
        <v>6</v>
      </c>
      <c r="U10" s="261">
        <v>30</v>
      </c>
    </row>
    <row r="11" spans="1:21" ht="31">
      <c r="A11" s="274"/>
      <c r="B11" s="275" t="s">
        <v>283</v>
      </c>
      <c r="C11" s="276" t="s">
        <v>284</v>
      </c>
      <c r="D11" s="276"/>
      <c r="E11" s="276"/>
      <c r="F11" s="276"/>
      <c r="G11" s="277"/>
      <c r="I11" s="278" t="s">
        <v>285</v>
      </c>
      <c r="J11" s="236">
        <v>8</v>
      </c>
      <c r="K11" s="236">
        <v>0</v>
      </c>
      <c r="L11" s="236">
        <v>1</v>
      </c>
      <c r="M11" s="236">
        <v>0</v>
      </c>
      <c r="N11" s="236">
        <v>0</v>
      </c>
      <c r="O11" s="236">
        <v>0</v>
      </c>
      <c r="P11" s="279" t="s">
        <v>281</v>
      </c>
      <c r="Q11" s="273">
        <f>(SUM(J11:O11))*2</f>
        <v>18</v>
      </c>
      <c r="R11" s="269">
        <v>0.5</v>
      </c>
      <c r="S11" s="273">
        <f t="shared" si="0"/>
        <v>9</v>
      </c>
      <c r="U11" s="261">
        <v>45</v>
      </c>
    </row>
    <row r="12" spans="1:21" ht="22.5" customHeight="1">
      <c r="A12" s="206" t="s">
        <v>25</v>
      </c>
      <c r="B12" s="206">
        <v>90778</v>
      </c>
      <c r="C12" s="214" t="s">
        <v>110</v>
      </c>
      <c r="D12" s="206" t="s">
        <v>99</v>
      </c>
      <c r="E12" s="207">
        <f>S9</f>
        <v>11</v>
      </c>
      <c r="F12" s="208">
        <f>'MO SINAPI'!F5</f>
        <v>121.61</v>
      </c>
      <c r="G12" s="209">
        <f>E12*F12</f>
        <v>1337.71</v>
      </c>
    </row>
    <row r="13" spans="1:21" ht="31">
      <c r="A13" s="274"/>
      <c r="B13" s="275" t="s">
        <v>286</v>
      </c>
      <c r="C13" s="276" t="s">
        <v>287</v>
      </c>
      <c r="D13" s="276"/>
      <c r="E13" s="276"/>
      <c r="F13" s="276"/>
      <c r="G13" s="277"/>
    </row>
    <row r="14" spans="1:21" ht="21.75" customHeight="1">
      <c r="A14" s="206" t="s">
        <v>25</v>
      </c>
      <c r="B14" s="206">
        <v>90778</v>
      </c>
      <c r="C14" s="214" t="s">
        <v>110</v>
      </c>
      <c r="D14" s="206" t="s">
        <v>99</v>
      </c>
      <c r="E14" s="207">
        <f>S10+S11</f>
        <v>15</v>
      </c>
      <c r="F14" s="208">
        <f>'MO SINAPI'!F5</f>
        <v>121.61</v>
      </c>
      <c r="G14" s="209">
        <f>E14*F14</f>
        <v>1824.15</v>
      </c>
    </row>
    <row r="15" spans="1:21" ht="15.5">
      <c r="A15" s="274"/>
      <c r="B15" s="275" t="s">
        <v>288</v>
      </c>
      <c r="C15" s="276" t="s">
        <v>289</v>
      </c>
      <c r="D15" s="276"/>
      <c r="E15" s="276"/>
      <c r="F15" s="276"/>
      <c r="G15" s="277"/>
    </row>
    <row r="16" spans="1:21" ht="23.25" customHeight="1">
      <c r="A16" s="206" t="s">
        <v>25</v>
      </c>
      <c r="B16" s="206">
        <v>90778</v>
      </c>
      <c r="C16" s="214" t="s">
        <v>110</v>
      </c>
      <c r="D16" s="206" t="s">
        <v>99</v>
      </c>
      <c r="E16" s="207">
        <f>19.13*2</f>
        <v>38.26</v>
      </c>
      <c r="F16" s="208">
        <f>'MO SINAPI'!F5</f>
        <v>121.61</v>
      </c>
      <c r="G16" s="209">
        <f>E16*F16</f>
        <v>4652.7986000000001</v>
      </c>
    </row>
    <row r="17" spans="1:7" ht="15" customHeight="1">
      <c r="A17" s="280"/>
      <c r="B17" s="280"/>
      <c r="C17" s="281"/>
      <c r="D17" s="280"/>
      <c r="E17" s="217"/>
      <c r="F17" s="282"/>
      <c r="G17" s="219"/>
    </row>
    <row r="18" spans="1:7" ht="15.5">
      <c r="A18" s="201"/>
      <c r="B18" s="202" t="s">
        <v>75</v>
      </c>
      <c r="C18" s="203" t="s">
        <v>290</v>
      </c>
      <c r="D18" s="202"/>
      <c r="E18" s="204"/>
      <c r="F18" s="205"/>
      <c r="G18" s="205">
        <f>G19</f>
        <v>8599.98</v>
      </c>
    </row>
    <row r="19" spans="1:7" ht="31">
      <c r="A19" s="206" t="s">
        <v>68</v>
      </c>
      <c r="B19" s="206"/>
      <c r="C19" s="213" t="s">
        <v>291</v>
      </c>
      <c r="D19" s="206" t="s">
        <v>21</v>
      </c>
      <c r="E19" s="207">
        <f>2</f>
        <v>2</v>
      </c>
      <c r="F19" s="283">
        <v>4299.99</v>
      </c>
      <c r="G19" s="209">
        <f>E19*F19</f>
        <v>8599.98</v>
      </c>
    </row>
    <row r="20" spans="1:7" ht="15.5">
      <c r="A20" s="280"/>
      <c r="B20" s="280"/>
      <c r="C20" s="281"/>
      <c r="D20" s="280"/>
      <c r="E20" s="217"/>
      <c r="F20" s="282"/>
      <c r="G20" s="219"/>
    </row>
    <row r="21" spans="1:7" ht="15.5">
      <c r="A21" s="201"/>
      <c r="B21" s="202" t="s">
        <v>125</v>
      </c>
      <c r="C21" s="203" t="s">
        <v>122</v>
      </c>
      <c r="D21" s="202"/>
      <c r="E21" s="204"/>
      <c r="F21" s="205"/>
      <c r="G21" s="205">
        <f>SUM(G22:G26)</f>
        <v>4681.3280000000004</v>
      </c>
    </row>
    <row r="22" spans="1:7" ht="15.5">
      <c r="A22" s="206" t="s">
        <v>68</v>
      </c>
      <c r="B22" s="206"/>
      <c r="C22" s="213" t="s">
        <v>246</v>
      </c>
      <c r="D22" s="206" t="s">
        <v>21</v>
      </c>
      <c r="E22" s="207">
        <f>14</f>
        <v>14</v>
      </c>
      <c r="F22" s="208">
        <v>40</v>
      </c>
      <c r="G22" s="209">
        <f>E22*F22</f>
        <v>560</v>
      </c>
    </row>
    <row r="23" spans="1:7" ht="15.5">
      <c r="A23" s="206" t="s">
        <v>68</v>
      </c>
      <c r="B23" s="206"/>
      <c r="C23" s="213" t="s">
        <v>247</v>
      </c>
      <c r="D23" s="206" t="s">
        <v>21</v>
      </c>
      <c r="E23" s="207">
        <f>4</f>
        <v>4</v>
      </c>
      <c r="F23" s="208">
        <v>176.67</v>
      </c>
      <c r="G23" s="209">
        <f t="shared" ref="G23:G26" si="2">E23*F23</f>
        <v>706.68</v>
      </c>
    </row>
    <row r="24" spans="1:7" ht="15.5">
      <c r="A24" s="206" t="s">
        <v>68</v>
      </c>
      <c r="B24" s="206"/>
      <c r="C24" s="213" t="s">
        <v>292</v>
      </c>
      <c r="D24" s="206" t="s">
        <v>293</v>
      </c>
      <c r="E24" s="207">
        <f>7*2</f>
        <v>14</v>
      </c>
      <c r="F24" s="208">
        <v>111.71</v>
      </c>
      <c r="G24" s="209">
        <f t="shared" si="2"/>
        <v>1563.9399999999998</v>
      </c>
    </row>
    <row r="25" spans="1:7" ht="15.5">
      <c r="A25" s="206" t="s">
        <v>68</v>
      </c>
      <c r="B25" s="206"/>
      <c r="C25" s="213" t="s">
        <v>123</v>
      </c>
      <c r="D25" s="206" t="s">
        <v>294</v>
      </c>
      <c r="E25" s="207">
        <f>1338*2</f>
        <v>2676</v>
      </c>
      <c r="F25" s="208">
        <v>0.63300000000000001</v>
      </c>
      <c r="G25" s="209">
        <f t="shared" si="2"/>
        <v>1693.9080000000001</v>
      </c>
    </row>
    <row r="26" spans="1:7" ht="15.5">
      <c r="A26" s="206" t="s">
        <v>68</v>
      </c>
      <c r="B26" s="206"/>
      <c r="C26" s="213" t="s">
        <v>124</v>
      </c>
      <c r="D26" s="206" t="s">
        <v>21</v>
      </c>
      <c r="E26" s="207">
        <f>4*2</f>
        <v>8</v>
      </c>
      <c r="F26" s="208">
        <v>19.600000000000001</v>
      </c>
      <c r="G26" s="209">
        <f t="shared" si="2"/>
        <v>156.80000000000001</v>
      </c>
    </row>
    <row r="27" spans="1:7" ht="15.5">
      <c r="A27" s="280"/>
      <c r="B27" s="280"/>
      <c r="C27" s="284"/>
      <c r="D27" s="280"/>
      <c r="E27" s="217"/>
      <c r="F27" s="282"/>
      <c r="G27" s="219"/>
    </row>
    <row r="28" spans="1:7" ht="15.5">
      <c r="A28" s="201"/>
      <c r="B28" s="202" t="s">
        <v>160</v>
      </c>
      <c r="C28" s="203" t="s">
        <v>204</v>
      </c>
      <c r="D28" s="202"/>
      <c r="E28" s="204"/>
      <c r="F28" s="205"/>
      <c r="G28" s="205">
        <f>G29</f>
        <v>532</v>
      </c>
    </row>
    <row r="29" spans="1:7" ht="31">
      <c r="A29" s="206" t="s">
        <v>68</v>
      </c>
      <c r="B29" s="206" t="s">
        <v>72</v>
      </c>
      <c r="C29" s="214" t="s">
        <v>205</v>
      </c>
      <c r="D29" s="206" t="s">
        <v>21</v>
      </c>
      <c r="E29" s="285">
        <f>2</f>
        <v>2</v>
      </c>
      <c r="F29" s="208">
        <v>266</v>
      </c>
      <c r="G29" s="209">
        <f t="shared" ref="G29" si="3">E29*F29</f>
        <v>532</v>
      </c>
    </row>
    <row r="111" spans="5:5">
      <c r="E111" s="260">
        <f>786+778</f>
        <v>1564</v>
      </c>
    </row>
    <row r="112" spans="5:5">
      <c r="E112" s="260">
        <f>E111/2</f>
        <v>782</v>
      </c>
    </row>
    <row r="113" spans="5:5">
      <c r="E113" s="260">
        <f>E112/7</f>
        <v>111.71428571428571</v>
      </c>
    </row>
  </sheetData>
  <mergeCells count="5">
    <mergeCell ref="J5:O5"/>
    <mergeCell ref="P5:S6"/>
    <mergeCell ref="J6:K6"/>
    <mergeCell ref="L6:M6"/>
    <mergeCell ref="N6:O6"/>
  </mergeCells>
  <conditionalFormatting sqref="D10 D12 D14 D16:D17">
    <cfRule type="expression" dxfId="7" priority="7" stopIfTrue="1">
      <formula>AND(#REF!&lt;&gt;"COMPOSICAO",#REF!&lt;&gt;"INSUMO",#REF!&lt;&gt;"")</formula>
    </cfRule>
    <cfRule type="expression" dxfId="6" priority="8" stopIfTrue="1">
      <formula>AND(OR(#REF!="COMPOSICAO",#REF!="INSUMO",#REF!&lt;&gt;""),#REF!&lt;&gt;"")</formula>
    </cfRule>
  </conditionalFormatting>
  <conditionalFormatting sqref="D19:D20">
    <cfRule type="expression" dxfId="5" priority="1" stopIfTrue="1">
      <formula>AND(#REF!&lt;&gt;"COMPOSICAO",#REF!&lt;&gt;"INSUMO",#REF!&lt;&gt;"")</formula>
    </cfRule>
    <cfRule type="expression" dxfId="4" priority="2" stopIfTrue="1">
      <formula>AND(OR(#REF!="COMPOSICAO",#REF!="INSUMO",#REF!&lt;&gt;""),#REF!&lt;&gt;"")</formula>
    </cfRule>
  </conditionalFormatting>
  <conditionalFormatting sqref="D22:D27">
    <cfRule type="expression" dxfId="3" priority="5" stopIfTrue="1">
      <formula>AND(#REF!&lt;&gt;"COMPOSICAO",#REF!&lt;&gt;"INSUMO",#REF!&lt;&gt;"")</formula>
    </cfRule>
    <cfRule type="expression" dxfId="2" priority="6" stopIfTrue="1">
      <formula>AND(OR(#REF!="COMPOSICAO",#REF!="INSUMO",#REF!&lt;&gt;""),#REF!&lt;&gt;"")</formula>
    </cfRule>
  </conditionalFormatting>
  <conditionalFormatting sqref="D29">
    <cfRule type="expression" dxfId="1" priority="3" stopIfTrue="1">
      <formula>AND(#REF!&lt;&gt;"COMPOSICAO",#REF!&lt;&gt;"INSUMO",#REF!&lt;&gt;"")</formula>
    </cfRule>
    <cfRule type="expression" dxfId="0" priority="4" stopIfTrue="1">
      <formula>AND(OR(#REF!="COMPOSICAO",#REF!="INSUMO",#REF!&lt;&gt;""),#REF!&lt;&gt;"")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zoomScale="118" zoomScaleNormal="118" workbookViewId="0">
      <selection activeCell="B4" sqref="B4:H4"/>
    </sheetView>
  </sheetViews>
  <sheetFormatPr defaultRowHeight="12.5"/>
  <cols>
    <col min="1" max="1" width="10.54296875" customWidth="1"/>
    <col min="2" max="2" width="47.81640625" customWidth="1"/>
    <col min="3" max="3" width="7.81640625" customWidth="1"/>
    <col min="4" max="4" width="10.7265625" customWidth="1"/>
    <col min="5" max="6" width="12.26953125" bestFit="1" customWidth="1"/>
    <col min="7" max="7" width="12.54296875" customWidth="1"/>
    <col min="8" max="8" width="13.7265625" customWidth="1"/>
    <col min="9" max="9" width="10" customWidth="1"/>
    <col min="11" max="11" width="9.81640625" customWidth="1"/>
    <col min="12" max="12" width="25.54296875" customWidth="1"/>
  </cols>
  <sheetData>
    <row r="1" spans="1:12" ht="20">
      <c r="A1" s="503" t="s">
        <v>520</v>
      </c>
      <c r="B1" s="504"/>
      <c r="C1" s="504"/>
      <c r="D1" s="504"/>
      <c r="E1" s="504"/>
      <c r="F1" s="504"/>
      <c r="G1" s="504"/>
      <c r="H1" s="504"/>
    </row>
    <row r="2" spans="1:12" ht="15.5">
      <c r="A2" s="506" t="s">
        <v>0</v>
      </c>
      <c r="B2" s="506"/>
      <c r="C2" s="506"/>
      <c r="D2" s="506"/>
      <c r="E2" s="506"/>
      <c r="F2" s="506"/>
      <c r="G2" s="506"/>
      <c r="H2" s="506"/>
    </row>
    <row r="3" spans="1:12">
      <c r="A3" s="508"/>
      <c r="B3" s="508"/>
      <c r="C3" s="508"/>
      <c r="D3" s="508"/>
      <c r="E3" s="508"/>
      <c r="F3" s="508"/>
      <c r="G3" s="508"/>
      <c r="H3" s="508"/>
    </row>
    <row r="4" spans="1:12" ht="13">
      <c r="A4" s="1"/>
      <c r="B4" s="520" t="s">
        <v>109</v>
      </c>
      <c r="C4" s="520"/>
      <c r="D4" s="520"/>
      <c r="E4" s="520"/>
      <c r="F4" s="520"/>
      <c r="G4" s="520"/>
      <c r="H4" s="520"/>
    </row>
    <row r="5" spans="1:12" ht="13">
      <c r="A5" s="2"/>
      <c r="B5" s="3"/>
      <c r="C5" s="3"/>
      <c r="D5" s="3"/>
      <c r="E5" s="3"/>
      <c r="F5" s="3"/>
      <c r="G5" s="3"/>
      <c r="H5" s="4"/>
    </row>
    <row r="6" spans="1:12">
      <c r="A6" s="5"/>
      <c r="B6" s="6"/>
      <c r="C6" s="6"/>
      <c r="D6" s="6"/>
      <c r="E6" s="6"/>
      <c r="F6" s="6"/>
      <c r="G6" s="6" t="s">
        <v>64</v>
      </c>
      <c r="H6" s="7">
        <v>0.9022</v>
      </c>
    </row>
    <row r="7" spans="1:12">
      <c r="A7" s="5"/>
      <c r="B7" s="8"/>
      <c r="C7" s="9"/>
      <c r="D7" s="9"/>
      <c r="E7" s="9"/>
      <c r="F7" s="9"/>
      <c r="G7" s="8" t="s">
        <v>1</v>
      </c>
      <c r="H7" s="10">
        <f>BDI!E22</f>
        <v>0.2782</v>
      </c>
    </row>
    <row r="8" spans="1:12">
      <c r="A8" s="5"/>
      <c r="B8" s="11"/>
      <c r="C8" s="9"/>
      <c r="D8" s="9"/>
      <c r="E8" s="9"/>
      <c r="F8" s="9"/>
      <c r="G8" s="11" t="s">
        <v>2</v>
      </c>
      <c r="H8" s="12">
        <f>BDI!E42</f>
        <v>0.1401</v>
      </c>
    </row>
    <row r="9" spans="1:12">
      <c r="A9" s="5"/>
      <c r="B9" s="6"/>
      <c r="C9" s="6"/>
      <c r="D9" s="6"/>
      <c r="E9" s="6"/>
      <c r="F9" s="6"/>
      <c r="G9" s="6" t="s">
        <v>421</v>
      </c>
      <c r="H9" s="13"/>
    </row>
    <row r="10" spans="1:12" ht="66.75" customHeight="1">
      <c r="A10" s="14" t="s">
        <v>3</v>
      </c>
      <c r="B10" s="521" t="s">
        <v>208</v>
      </c>
      <c r="C10" s="521"/>
      <c r="D10" s="521"/>
      <c r="E10" s="521"/>
      <c r="F10" s="521"/>
      <c r="G10" s="521"/>
      <c r="H10" s="521"/>
    </row>
    <row r="11" spans="1:12" ht="31.5">
      <c r="A11" s="72" t="s">
        <v>4</v>
      </c>
      <c r="B11" s="72" t="s">
        <v>5</v>
      </c>
      <c r="C11" s="72" t="s">
        <v>6</v>
      </c>
      <c r="D11" s="72" t="s">
        <v>7</v>
      </c>
      <c r="E11" s="72" t="s">
        <v>8</v>
      </c>
      <c r="F11" s="72" t="s">
        <v>9</v>
      </c>
      <c r="G11" s="72" t="s">
        <v>10</v>
      </c>
      <c r="H11" s="72" t="s">
        <v>83</v>
      </c>
      <c r="L11" s="76"/>
    </row>
    <row r="12" spans="1:12">
      <c r="A12" s="14" t="s">
        <v>11</v>
      </c>
      <c r="B12" s="515" t="s">
        <v>152</v>
      </c>
      <c r="C12" s="515"/>
      <c r="D12" s="515"/>
      <c r="E12" s="515"/>
      <c r="F12" s="515"/>
      <c r="G12" s="515"/>
      <c r="H12" s="15">
        <f>SUM(H13:H16)</f>
        <v>11549630.199999999</v>
      </c>
    </row>
    <row r="13" spans="1:12">
      <c r="A13" s="16" t="s">
        <v>12</v>
      </c>
      <c r="B13" s="152" t="s">
        <v>417</v>
      </c>
      <c r="C13" s="18" t="s">
        <v>13</v>
      </c>
      <c r="D13" s="19">
        <v>60</v>
      </c>
      <c r="E13" s="18">
        <f>(SUM(Análitica!G13:G22))/60</f>
        <v>114772.72300851646</v>
      </c>
      <c r="F13" s="18">
        <f>((SUM(Análitica!J13:J22))/60)-E13</f>
        <v>31929.771540969305</v>
      </c>
      <c r="G13" s="18">
        <f>E13+F13</f>
        <v>146702.49454948577</v>
      </c>
      <c r="H13" s="20">
        <f>ROUND(D13*G13,2)</f>
        <v>8802149.6699999999</v>
      </c>
      <c r="L13" s="76"/>
    </row>
    <row r="14" spans="1:12" s="145" customFormat="1">
      <c r="A14" s="107" t="s">
        <v>75</v>
      </c>
      <c r="B14" s="154" t="s">
        <v>155</v>
      </c>
      <c r="C14" s="18" t="s">
        <v>13</v>
      </c>
      <c r="D14" s="147">
        <v>60</v>
      </c>
      <c r="E14" s="18">
        <f>(SUM(Análitica!G26:G30))/60</f>
        <v>27392.588</v>
      </c>
      <c r="F14" s="18">
        <f>((SUM(Análitica!J26:J30))/60)-E14</f>
        <v>7620.6179815999967</v>
      </c>
      <c r="G14" s="18">
        <f>E14+F14</f>
        <v>35013.205981599996</v>
      </c>
      <c r="H14" s="20">
        <f>ROUND(D14*G14,2)</f>
        <v>2100792.36</v>
      </c>
    </row>
    <row r="15" spans="1:12" s="145" customFormat="1">
      <c r="A15" s="107" t="s">
        <v>125</v>
      </c>
      <c r="B15" s="154" t="s">
        <v>418</v>
      </c>
      <c r="C15" s="18" t="s">
        <v>13</v>
      </c>
      <c r="D15" s="147">
        <v>60</v>
      </c>
      <c r="E15" s="18">
        <f>(SUM(Análitica!G34:G34))/60</f>
        <v>1719.8004815961797</v>
      </c>
      <c r="F15" s="18">
        <f>((SUM(Análitica!J34:J34))/60)-E15</f>
        <v>240.9440474716248</v>
      </c>
      <c r="G15" s="18">
        <f>E15+F15</f>
        <v>1960.7445290678045</v>
      </c>
      <c r="H15" s="20">
        <f>ROUND(D15*G15,2)</f>
        <v>117644.67</v>
      </c>
    </row>
    <row r="16" spans="1:12" s="145" customFormat="1">
      <c r="A16" s="107" t="s">
        <v>160</v>
      </c>
      <c r="B16" s="154" t="s">
        <v>156</v>
      </c>
      <c r="C16" s="18" t="s">
        <v>13</v>
      </c>
      <c r="D16" s="147">
        <v>60</v>
      </c>
      <c r="E16" s="18">
        <f>(SUM(Análitica!G38:G51))/60</f>
        <v>6898.2879833333336</v>
      </c>
      <c r="F16" s="18">
        <f>((SUM(Análitica!J38:J51))/60)-E16</f>
        <v>1919.1037169633346</v>
      </c>
      <c r="G16" s="18">
        <f>E16+F16</f>
        <v>8817.3917002966682</v>
      </c>
      <c r="H16" s="20">
        <f>ROUND(D16*G16,2)</f>
        <v>529043.5</v>
      </c>
    </row>
    <row r="17" spans="1:12" s="101" customFormat="1">
      <c r="A17" s="107"/>
      <c r="B17" s="153"/>
      <c r="C17" s="18"/>
      <c r="D17" s="103"/>
      <c r="E17" s="18"/>
      <c r="F17" s="18"/>
      <c r="G17" s="18"/>
      <c r="H17" s="20"/>
    </row>
    <row r="18" spans="1:12">
      <c r="A18" s="14" t="s">
        <v>14</v>
      </c>
      <c r="B18" s="515" t="s">
        <v>153</v>
      </c>
      <c r="C18" s="515"/>
      <c r="D18" s="515"/>
      <c r="E18" s="515"/>
      <c r="F18" s="515"/>
      <c r="G18" s="515"/>
      <c r="H18" s="15">
        <f>SUM(H19:H20)</f>
        <v>4481753.88</v>
      </c>
    </row>
    <row r="19" spans="1:12">
      <c r="A19" s="16" t="s">
        <v>126</v>
      </c>
      <c r="B19" s="17" t="s">
        <v>159</v>
      </c>
      <c r="C19" s="18" t="s">
        <v>13</v>
      </c>
      <c r="D19" s="19">
        <v>60</v>
      </c>
      <c r="E19" s="18">
        <f>(SUM(Análitica!G56:G65))/60</f>
        <v>49188.309860792775</v>
      </c>
      <c r="F19" s="18">
        <f>((SUM(Análitica!J56:J65))/60)-E19</f>
        <v>13684.187803272536</v>
      </c>
      <c r="G19" s="18">
        <f>E19+F19</f>
        <v>62872.497664065311</v>
      </c>
      <c r="H19" s="20">
        <f>ROUND(D19*G19,2)</f>
        <v>3772349.86</v>
      </c>
      <c r="K19" s="76"/>
    </row>
    <row r="20" spans="1:12" s="145" customFormat="1">
      <c r="A20" s="146" t="s">
        <v>127</v>
      </c>
      <c r="B20" s="154" t="s">
        <v>155</v>
      </c>
      <c r="C20" s="18" t="s">
        <v>13</v>
      </c>
      <c r="D20" s="147">
        <v>60</v>
      </c>
      <c r="E20" s="18">
        <f>(SUM(Análitica!G69:G73))/60</f>
        <v>9250.0393333333323</v>
      </c>
      <c r="F20" s="18">
        <f>((SUM(Análitica!J69:J73))/60)-E20</f>
        <v>2573.3609425333343</v>
      </c>
      <c r="G20" s="18">
        <f>E20+F20</f>
        <v>11823.400275866667</v>
      </c>
      <c r="H20" s="20">
        <f>ROUND(D20*G20,2)</f>
        <v>709404.02</v>
      </c>
      <c r="K20" s="76"/>
    </row>
    <row r="21" spans="1:12" s="101" customFormat="1">
      <c r="A21" s="102"/>
      <c r="B21" s="17"/>
      <c r="C21" s="18"/>
      <c r="D21" s="103"/>
      <c r="E21" s="18"/>
      <c r="F21" s="18"/>
      <c r="G21" s="18"/>
      <c r="H21" s="20"/>
      <c r="K21" s="76"/>
    </row>
    <row r="22" spans="1:12">
      <c r="A22" s="14" t="s">
        <v>15</v>
      </c>
      <c r="B22" s="515" t="s">
        <v>422</v>
      </c>
      <c r="C22" s="515"/>
      <c r="D22" s="515"/>
      <c r="E22" s="515"/>
      <c r="F22" s="515"/>
      <c r="G22" s="515"/>
      <c r="H22" s="21">
        <f>SUM(H24:H24)</f>
        <v>4809415.2246068809</v>
      </c>
    </row>
    <row r="23" spans="1:12" ht="21">
      <c r="A23" s="517"/>
      <c r="B23" s="518"/>
      <c r="C23" s="518"/>
      <c r="D23" s="519"/>
      <c r="E23" s="73" t="s">
        <v>425</v>
      </c>
      <c r="F23" s="325" t="s">
        <v>154</v>
      </c>
      <c r="G23" s="325" t="s">
        <v>426</v>
      </c>
      <c r="H23" s="73" t="s">
        <v>84</v>
      </c>
    </row>
    <row r="24" spans="1:12" ht="42" customHeight="1">
      <c r="A24" s="146" t="s">
        <v>16</v>
      </c>
      <c r="B24" s="516" t="s">
        <v>420</v>
      </c>
      <c r="C24" s="516"/>
      <c r="D24" s="516"/>
      <c r="E24" s="22">
        <f>Análitica!F78/12</f>
        <v>80156.920410114675</v>
      </c>
      <c r="F24" s="22" t="s">
        <v>408</v>
      </c>
      <c r="G24" s="22" t="s">
        <v>408</v>
      </c>
      <c r="H24" s="20">
        <f>E24*60</f>
        <v>4809415.2246068809</v>
      </c>
    </row>
    <row r="25" spans="1:12">
      <c r="A25" s="512"/>
      <c r="B25" s="512"/>
      <c r="C25" s="512"/>
      <c r="D25" s="512"/>
      <c r="E25" s="512"/>
      <c r="F25" s="512"/>
      <c r="G25" s="512"/>
      <c r="H25" s="512"/>
      <c r="L25" s="76"/>
    </row>
    <row r="26" spans="1:12" ht="13">
      <c r="A26" s="513" t="s">
        <v>87</v>
      </c>
      <c r="B26" s="513"/>
      <c r="C26" s="513"/>
      <c r="D26" s="513"/>
      <c r="E26" s="513"/>
      <c r="F26" s="513"/>
      <c r="G26" s="514">
        <f>H12+H18+H22</f>
        <v>20840799.304606877</v>
      </c>
      <c r="H26" s="514"/>
    </row>
    <row r="34" spans="8:8">
      <c r="H34" s="76"/>
    </row>
  </sheetData>
  <mergeCells count="13">
    <mergeCell ref="B12:G12"/>
    <mergeCell ref="A1:H1"/>
    <mergeCell ref="A2:H2"/>
    <mergeCell ref="A3:H3"/>
    <mergeCell ref="B4:H4"/>
    <mergeCell ref="B10:H10"/>
    <mergeCell ref="A25:H25"/>
    <mergeCell ref="A26:F26"/>
    <mergeCell ref="G26:H26"/>
    <mergeCell ref="B18:G18"/>
    <mergeCell ref="B22:G22"/>
    <mergeCell ref="B24:D24"/>
    <mergeCell ref="A23:D23"/>
  </mergeCells>
  <printOptions horizontalCentered="1"/>
  <pageMargins left="0" right="0" top="0.39370078740157483" bottom="0.39370078740157483" header="0" footer="0"/>
  <pageSetup paperSize="9" scale="71" fitToWidth="0" fitToHeight="0" pageOrder="overThenDown" orientation="portrait" useFirstPageNumber="1" horizontalDpi="360" verticalDpi="360" r:id="rId1"/>
  <headerFooter>
    <oddHeader>&amp;C&amp;A</oddHeader>
    <oddFooter>&amp;CPage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1D049-61B3-4540-9E35-C1EEACD1BF5B}">
  <sheetPr>
    <tabColor rgb="FFFFC000"/>
  </sheetPr>
  <dimension ref="A1:BH183"/>
  <sheetViews>
    <sheetView zoomScale="120" zoomScaleNormal="120" workbookViewId="0">
      <pane ySplit="9" topLeftCell="A10" activePane="bottomLeft" state="frozen"/>
      <selection pane="bottomLeft" sqref="A1:J1"/>
    </sheetView>
  </sheetViews>
  <sheetFormatPr defaultColWidth="8.7265625" defaultRowHeight="12.5" outlineLevelRow="2"/>
  <cols>
    <col min="1" max="1" width="12.453125" style="322" customWidth="1"/>
    <col min="2" max="2" width="12" style="24" customWidth="1"/>
    <col min="3" max="3" width="49.453125" style="24" customWidth="1"/>
    <col min="4" max="4" width="7" style="24" customWidth="1"/>
    <col min="5" max="5" width="9.81640625" style="24" bestFit="1" customWidth="1"/>
    <col min="6" max="6" width="10.26953125" style="24" customWidth="1"/>
    <col min="7" max="7" width="10.81640625" style="24" bestFit="1" customWidth="1"/>
    <col min="8" max="9" width="10.26953125" style="24" customWidth="1"/>
    <col min="10" max="10" width="15.1796875" style="24" bestFit="1" customWidth="1"/>
    <col min="11" max="14" width="12.1796875" style="24" customWidth="1"/>
    <col min="15" max="15" width="16" style="24" customWidth="1"/>
    <col min="16" max="60" width="12.1796875" style="24" customWidth="1"/>
    <col min="61" max="16384" width="8.7265625" style="322"/>
  </cols>
  <sheetData>
    <row r="1" spans="1:60" ht="20.5" thickBot="1">
      <c r="A1" s="522" t="s">
        <v>521</v>
      </c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522"/>
      <c r="O1" s="522"/>
    </row>
    <row r="2" spans="1:60" ht="16" thickBot="1">
      <c r="A2" s="529" t="s">
        <v>515</v>
      </c>
      <c r="B2" s="530"/>
      <c r="C2" s="530"/>
      <c r="D2" s="530"/>
      <c r="E2" s="530"/>
      <c r="F2" s="531"/>
      <c r="G2" s="531"/>
      <c r="H2" s="531"/>
      <c r="I2" s="531"/>
      <c r="J2" s="531"/>
      <c r="K2" s="531"/>
      <c r="L2" s="531"/>
      <c r="M2" s="531"/>
      <c r="N2" s="531"/>
      <c r="O2" s="532"/>
    </row>
    <row r="3" spans="1:60" ht="16" thickBot="1">
      <c r="A3" s="446"/>
      <c r="B3" s="446"/>
      <c r="C3" s="446"/>
      <c r="D3" s="446"/>
      <c r="E3" s="446"/>
      <c r="F3" s="536" t="s">
        <v>516</v>
      </c>
      <c r="G3" s="537"/>
      <c r="H3" s="537"/>
      <c r="I3" s="537"/>
      <c r="J3" s="538"/>
      <c r="K3" s="533" t="s">
        <v>518</v>
      </c>
      <c r="L3" s="534"/>
      <c r="M3" s="534"/>
      <c r="N3" s="534"/>
      <c r="O3" s="535"/>
    </row>
    <row r="4" spans="1:60" ht="13">
      <c r="A4" s="539" t="str">
        <f>Sintética!B4</f>
        <v>MANUTENÇÃO DE ATIVOS DAS UNIDADES DA RF10</v>
      </c>
      <c r="B4" s="540"/>
      <c r="C4" s="540"/>
      <c r="D4" s="540"/>
      <c r="E4" s="541"/>
      <c r="F4" s="526"/>
      <c r="G4" s="527"/>
      <c r="H4" s="527"/>
      <c r="I4" s="527"/>
      <c r="J4" s="528"/>
      <c r="K4" s="544"/>
      <c r="L4" s="545"/>
      <c r="M4" s="545"/>
      <c r="N4" s="545"/>
      <c r="O4" s="546"/>
    </row>
    <row r="5" spans="1:60">
      <c r="A5" s="523" t="str">
        <f>Sintética!G6</f>
        <v>LEIS SOCIAIS DESONERADAS – REFERÊNCIA HORISTA SINAPI: LS</v>
      </c>
      <c r="B5" s="524"/>
      <c r="C5" s="524"/>
      <c r="D5" s="524"/>
      <c r="E5" s="525"/>
      <c r="F5" s="449"/>
      <c r="G5" s="450"/>
      <c r="H5" s="450"/>
      <c r="I5" s="450"/>
      <c r="J5" s="422">
        <v>0.9022</v>
      </c>
      <c r="K5" s="547"/>
      <c r="L5" s="548"/>
      <c r="M5" s="548"/>
      <c r="N5" s="548"/>
      <c r="O5" s="422">
        <f>'Dem.Anlt.Enc.Soc'!E40</f>
        <v>1.1284000000000001</v>
      </c>
    </row>
    <row r="6" spans="1:60">
      <c r="A6" s="523" t="str">
        <f>Sintética!G7</f>
        <v>BENEFÍCIOS E DESPESA INDIRETAS: BDI (SERVIÇOS)</v>
      </c>
      <c r="B6" s="524"/>
      <c r="C6" s="524"/>
      <c r="D6" s="524"/>
      <c r="E6" s="525"/>
      <c r="F6" s="449"/>
      <c r="G6" s="450"/>
      <c r="H6" s="450"/>
      <c r="I6" s="450"/>
      <c r="J6" s="423">
        <f>Sintética!H7</f>
        <v>0.2782</v>
      </c>
      <c r="K6" s="547"/>
      <c r="L6" s="548"/>
      <c r="M6" s="548"/>
      <c r="N6" s="548"/>
      <c r="O6" s="423">
        <f>J6-BDI!E20</f>
        <v>0.2422</v>
      </c>
    </row>
    <row r="7" spans="1:60">
      <c r="A7" s="523" t="str">
        <f>Sintética!G8</f>
        <v>BENEFÍCIOS E DESPESA INDIRETAS: BDI (MATERIAIS)</v>
      </c>
      <c r="B7" s="524"/>
      <c r="C7" s="524"/>
      <c r="D7" s="524"/>
      <c r="E7" s="525"/>
      <c r="F7" s="449"/>
      <c r="G7" s="450"/>
      <c r="H7" s="450"/>
      <c r="I7" s="450"/>
      <c r="J7" s="423">
        <f>Sintética!H8</f>
        <v>0.1401</v>
      </c>
      <c r="K7" s="547"/>
      <c r="L7" s="548"/>
      <c r="M7" s="548"/>
      <c r="N7" s="548"/>
      <c r="O7" s="423">
        <f>J7</f>
        <v>0.1401</v>
      </c>
    </row>
    <row r="8" spans="1:60" ht="13">
      <c r="A8" s="574" t="str">
        <f>Sintética!G9</f>
        <v>REFERÊNCIA: SINAPI – RS – 06/25 (DESONERADA)</v>
      </c>
      <c r="B8" s="575"/>
      <c r="C8" s="575"/>
      <c r="D8" s="575"/>
      <c r="E8" s="576"/>
      <c r="F8" s="447"/>
      <c r="G8" s="448"/>
      <c r="H8" s="448"/>
      <c r="I8" s="448"/>
      <c r="J8" s="424"/>
      <c r="K8" s="549"/>
      <c r="L8" s="550"/>
      <c r="M8" s="550"/>
      <c r="N8" s="550"/>
      <c r="O8" s="424"/>
    </row>
    <row r="9" spans="1:60" ht="23.5" thickBot="1">
      <c r="A9" s="425" t="s">
        <v>18</v>
      </c>
      <c r="B9" s="311" t="s">
        <v>19</v>
      </c>
      <c r="C9" s="311" t="s">
        <v>20</v>
      </c>
      <c r="D9" s="311" t="s">
        <v>21</v>
      </c>
      <c r="E9" s="451" t="s">
        <v>81</v>
      </c>
      <c r="F9" s="452" t="s">
        <v>22</v>
      </c>
      <c r="G9" s="453" t="s">
        <v>82</v>
      </c>
      <c r="H9" s="453" t="s">
        <v>78</v>
      </c>
      <c r="I9" s="453" t="s">
        <v>79</v>
      </c>
      <c r="J9" s="454" t="s">
        <v>23</v>
      </c>
      <c r="K9" s="452" t="s">
        <v>22</v>
      </c>
      <c r="L9" s="453" t="s">
        <v>82</v>
      </c>
      <c r="M9" s="453" t="s">
        <v>78</v>
      </c>
      <c r="N9" s="453" t="s">
        <v>79</v>
      </c>
      <c r="O9" s="454" t="s">
        <v>23</v>
      </c>
    </row>
    <row r="10" spans="1:60" ht="13" thickBot="1">
      <c r="A10" s="564" t="s">
        <v>410</v>
      </c>
      <c r="B10" s="565"/>
      <c r="C10" s="565"/>
      <c r="D10" s="565"/>
      <c r="E10" s="565"/>
      <c r="F10" s="551"/>
      <c r="G10" s="551"/>
      <c r="H10" s="551"/>
      <c r="I10" s="551"/>
      <c r="J10" s="569"/>
      <c r="K10" s="551"/>
      <c r="L10" s="551"/>
      <c r="M10" s="551"/>
      <c r="N10" s="551"/>
      <c r="O10" s="552"/>
    </row>
    <row r="11" spans="1:60">
      <c r="A11" s="426"/>
      <c r="B11" s="308" t="s">
        <v>11</v>
      </c>
      <c r="C11" s="309" t="s">
        <v>157</v>
      </c>
      <c r="D11" s="309"/>
      <c r="E11" s="465"/>
      <c r="F11" s="456"/>
      <c r="G11" s="457"/>
      <c r="H11" s="457"/>
      <c r="I11" s="457"/>
      <c r="J11" s="458">
        <f>J23+J31+J35+J52</f>
        <v>11120549.340552615</v>
      </c>
      <c r="K11" s="456"/>
      <c r="L11" s="457"/>
      <c r="M11" s="457"/>
      <c r="N11" s="457"/>
      <c r="O11" s="458">
        <f>O23+O31+O35+O52</f>
        <v>11222511.897031467</v>
      </c>
      <c r="P11" s="322"/>
      <c r="Q11" s="322"/>
      <c r="R11" s="322"/>
      <c r="S11" s="322"/>
      <c r="T11" s="322"/>
      <c r="U11" s="322"/>
      <c r="V11" s="322"/>
      <c r="W11" s="322"/>
      <c r="X11" s="322"/>
      <c r="Y11" s="322"/>
      <c r="Z11" s="322"/>
      <c r="AA11" s="322"/>
      <c r="AB11" s="322"/>
      <c r="AC11" s="322"/>
      <c r="AD11" s="322"/>
      <c r="AE11" s="322"/>
      <c r="AF11" s="322"/>
      <c r="AG11" s="322"/>
      <c r="AH11" s="322"/>
      <c r="AI11" s="322"/>
      <c r="AJ11" s="322"/>
      <c r="AK11" s="322"/>
      <c r="AL11" s="322"/>
      <c r="AM11" s="322"/>
      <c r="AN11" s="322"/>
      <c r="AO11" s="322"/>
      <c r="AP11" s="322"/>
      <c r="AQ11" s="322"/>
      <c r="AR11" s="322"/>
      <c r="AS11" s="322"/>
      <c r="AT11" s="322"/>
      <c r="AU11" s="322"/>
      <c r="AV11" s="322"/>
      <c r="AW11" s="322"/>
      <c r="AX11" s="322"/>
      <c r="AY11" s="322"/>
      <c r="AZ11" s="322"/>
      <c r="BA11" s="322"/>
      <c r="BB11" s="322"/>
      <c r="BC11" s="322"/>
      <c r="BD11" s="322"/>
      <c r="BE11" s="322"/>
      <c r="BF11" s="322"/>
      <c r="BG11" s="322"/>
      <c r="BH11" s="322"/>
    </row>
    <row r="12" spans="1:60" outlineLevel="1">
      <c r="A12" s="427"/>
      <c r="B12" s="45" t="s">
        <v>12</v>
      </c>
      <c r="C12" s="46" t="s">
        <v>74</v>
      </c>
      <c r="D12" s="45"/>
      <c r="E12" s="466"/>
      <c r="F12" s="459"/>
      <c r="G12" s="48"/>
      <c r="H12" s="48"/>
      <c r="I12" s="48"/>
      <c r="J12" s="428"/>
      <c r="K12" s="459"/>
      <c r="L12" s="48"/>
      <c r="M12" s="48"/>
      <c r="N12" s="48"/>
      <c r="O12" s="428"/>
      <c r="P12" s="322"/>
      <c r="Q12" s="322"/>
      <c r="R12" s="322"/>
      <c r="S12" s="322"/>
      <c r="T12" s="322"/>
      <c r="U12" s="322"/>
      <c r="V12" s="322"/>
      <c r="W12" s="322"/>
      <c r="X12" s="322"/>
      <c r="Y12" s="322"/>
      <c r="Z12" s="322"/>
      <c r="AA12" s="322"/>
      <c r="AB12" s="322"/>
      <c r="AC12" s="322"/>
      <c r="AD12" s="322"/>
      <c r="AE12" s="322"/>
      <c r="AF12" s="322"/>
      <c r="AG12" s="322"/>
      <c r="AH12" s="322"/>
      <c r="AI12" s="322"/>
      <c r="AJ12" s="322"/>
      <c r="AK12" s="322"/>
      <c r="AL12" s="322"/>
      <c r="AM12" s="322"/>
      <c r="AN12" s="322"/>
      <c r="AO12" s="322"/>
      <c r="AP12" s="322"/>
      <c r="AQ12" s="322"/>
      <c r="AR12" s="322"/>
      <c r="AS12" s="322"/>
      <c r="AT12" s="322"/>
      <c r="AU12" s="322"/>
      <c r="AV12" s="322"/>
      <c r="AW12" s="322"/>
      <c r="AX12" s="322"/>
      <c r="AY12" s="322"/>
      <c r="AZ12" s="322"/>
      <c r="BA12" s="322"/>
      <c r="BB12" s="322"/>
      <c r="BC12" s="322"/>
      <c r="BD12" s="322"/>
      <c r="BE12" s="322"/>
      <c r="BF12" s="322"/>
      <c r="BG12" s="322"/>
      <c r="BH12" s="322"/>
    </row>
    <row r="13" spans="1:60" s="417" customFormat="1" outlineLevel="2">
      <c r="A13" s="429" t="s">
        <v>25</v>
      </c>
      <c r="B13" s="299">
        <v>90778</v>
      </c>
      <c r="C13" s="412" t="s">
        <v>110</v>
      </c>
      <c r="D13" s="413" t="s">
        <v>26</v>
      </c>
      <c r="E13" s="467">
        <f>'Plano Mnt Hh'!H14</f>
        <v>503.99999999999989</v>
      </c>
      <c r="F13" s="460">
        <f>'MO SINAPI'!F5</f>
        <v>121.61</v>
      </c>
      <c r="G13" s="415">
        <f t="shared" ref="G13:G22" si="0">E13*F13</f>
        <v>61291.439999999988</v>
      </c>
      <c r="H13" s="255">
        <f t="shared" ref="H13:H22" si="1">$J$6*F13</f>
        <v>33.831901999999999</v>
      </c>
      <c r="I13" s="255">
        <f t="shared" ref="I13:I22" si="2">F13+H13</f>
        <v>155.441902</v>
      </c>
      <c r="J13" s="430">
        <f t="shared" ref="J13:J22" si="3">E13*I13</f>
        <v>78342.718607999981</v>
      </c>
      <c r="K13" s="460">
        <f>'MO SINAPI'!E5</f>
        <v>135.80000000000001</v>
      </c>
      <c r="L13" s="415">
        <f t="shared" ref="L13:L22" si="4">E13*K13</f>
        <v>68443.199999999997</v>
      </c>
      <c r="M13" s="255">
        <f>$O$6*K13</f>
        <v>32.89076</v>
      </c>
      <c r="N13" s="255">
        <f t="shared" ref="N13:N22" si="5">K13+M13</f>
        <v>168.69076000000001</v>
      </c>
      <c r="O13" s="430">
        <f t="shared" ref="O13:O22" si="6">E13*N13</f>
        <v>85020.143039999981</v>
      </c>
    </row>
    <row r="14" spans="1:60" s="417" customFormat="1" outlineLevel="2">
      <c r="A14" s="429" t="s">
        <v>25</v>
      </c>
      <c r="B14" s="299">
        <v>100533</v>
      </c>
      <c r="C14" s="412" t="s">
        <v>111</v>
      </c>
      <c r="D14" s="413" t="s">
        <v>26</v>
      </c>
      <c r="E14" s="467">
        <f>'Plano Mnt Hh'!H13</f>
        <v>9240</v>
      </c>
      <c r="F14" s="460">
        <f>'MO SINAPI'!F11</f>
        <v>30.27</v>
      </c>
      <c r="G14" s="415">
        <f t="shared" si="0"/>
        <v>279694.8</v>
      </c>
      <c r="H14" s="255">
        <f t="shared" si="1"/>
        <v>8.4211139999999993</v>
      </c>
      <c r="I14" s="255">
        <f t="shared" si="2"/>
        <v>38.691113999999999</v>
      </c>
      <c r="J14" s="430">
        <f t="shared" si="3"/>
        <v>357505.89335999999</v>
      </c>
      <c r="K14" s="460">
        <f>'MO SINAPI'!E11</f>
        <v>33.6</v>
      </c>
      <c r="L14" s="415">
        <f t="shared" si="4"/>
        <v>310464</v>
      </c>
      <c r="M14" s="255">
        <f t="shared" ref="M14:M22" si="7">$O$6*K14</f>
        <v>8.1379200000000012</v>
      </c>
      <c r="N14" s="255">
        <f t="shared" si="5"/>
        <v>41.737920000000003</v>
      </c>
      <c r="O14" s="430">
        <f t="shared" si="6"/>
        <v>385658.38080000004</v>
      </c>
    </row>
    <row r="15" spans="1:60" s="417" customFormat="1" ht="20.5" outlineLevel="2">
      <c r="A15" s="429" t="s">
        <v>25</v>
      </c>
      <c r="B15" s="299">
        <v>100308</v>
      </c>
      <c r="C15" s="412" t="s">
        <v>66</v>
      </c>
      <c r="D15" s="413" t="s">
        <v>26</v>
      </c>
      <c r="E15" s="467">
        <f>'Plano Mnt Hh'!H8</f>
        <v>36960</v>
      </c>
      <c r="F15" s="460">
        <f>'MO SINAPI'!F6</f>
        <v>28.3</v>
      </c>
      <c r="G15" s="415">
        <f t="shared" si="0"/>
        <v>1045968</v>
      </c>
      <c r="H15" s="255">
        <f t="shared" si="1"/>
        <v>7.8730600000000006</v>
      </c>
      <c r="I15" s="255">
        <f t="shared" si="2"/>
        <v>36.17306</v>
      </c>
      <c r="J15" s="430">
        <f t="shared" si="3"/>
        <v>1336956.2975999999</v>
      </c>
      <c r="K15" s="460">
        <f>'MO SINAPI'!E6</f>
        <v>30.94</v>
      </c>
      <c r="L15" s="415">
        <f t="shared" si="4"/>
        <v>1143542.4000000001</v>
      </c>
      <c r="M15" s="255">
        <f t="shared" si="7"/>
        <v>7.4936680000000004</v>
      </c>
      <c r="N15" s="255">
        <f t="shared" si="5"/>
        <v>38.433668000000004</v>
      </c>
      <c r="O15" s="430">
        <f t="shared" si="6"/>
        <v>1420508.3692800002</v>
      </c>
    </row>
    <row r="16" spans="1:60" s="417" customFormat="1" outlineLevel="2">
      <c r="A16" s="429" t="s">
        <v>25</v>
      </c>
      <c r="B16" s="299">
        <v>88266</v>
      </c>
      <c r="C16" s="412" t="s">
        <v>254</v>
      </c>
      <c r="D16" s="413" t="s">
        <v>26</v>
      </c>
      <c r="E16" s="467">
        <f>'Plano Mnt Hh'!H6</f>
        <v>55439.999999999993</v>
      </c>
      <c r="F16" s="460">
        <f>'MO SINAPI'!F8+'MO SINAPI'!H8</f>
        <v>38.158191567658506</v>
      </c>
      <c r="G16" s="415">
        <f t="shared" si="0"/>
        <v>2115490.1405109875</v>
      </c>
      <c r="H16" s="255">
        <f t="shared" si="1"/>
        <v>10.615608894122596</v>
      </c>
      <c r="I16" s="255">
        <f t="shared" si="2"/>
        <v>48.7738004617811</v>
      </c>
      <c r="J16" s="430">
        <f t="shared" si="3"/>
        <v>2704019.497601144</v>
      </c>
      <c r="K16" s="460">
        <f>'MO SINAPI'!E8+'MO SINAPI'!R8</f>
        <v>36.17</v>
      </c>
      <c r="L16" s="415">
        <f t="shared" si="4"/>
        <v>2005264.7999999998</v>
      </c>
      <c r="M16" s="255">
        <f t="shared" si="7"/>
        <v>8.7603740000000005</v>
      </c>
      <c r="N16" s="255">
        <f t="shared" si="5"/>
        <v>44.930374</v>
      </c>
      <c r="O16" s="430">
        <f t="shared" si="6"/>
        <v>2490939.9345599995</v>
      </c>
    </row>
    <row r="17" spans="1:60" s="417" customFormat="1" outlineLevel="2">
      <c r="A17" s="429" t="s">
        <v>25</v>
      </c>
      <c r="B17" s="299">
        <v>88266</v>
      </c>
      <c r="C17" s="412" t="s">
        <v>119</v>
      </c>
      <c r="D17" s="413" t="s">
        <v>26</v>
      </c>
      <c r="E17" s="467">
        <f>'Plano Mnt Hh'!H7</f>
        <v>16170</v>
      </c>
      <c r="F17" s="460">
        <f>'MO SINAPI'!F8</f>
        <v>32.96</v>
      </c>
      <c r="G17" s="415">
        <f t="shared" si="0"/>
        <v>532963.20000000007</v>
      </c>
      <c r="H17" s="255">
        <f t="shared" si="1"/>
        <v>9.1694720000000007</v>
      </c>
      <c r="I17" s="255">
        <f t="shared" si="2"/>
        <v>42.129472</v>
      </c>
      <c r="J17" s="430">
        <f t="shared" si="3"/>
        <v>681233.56224</v>
      </c>
      <c r="K17" s="460">
        <f>'MO SINAPI'!E8</f>
        <v>36.17</v>
      </c>
      <c r="L17" s="415">
        <f t="shared" si="4"/>
        <v>584868.9</v>
      </c>
      <c r="M17" s="255">
        <f t="shared" si="7"/>
        <v>8.7603740000000005</v>
      </c>
      <c r="N17" s="255">
        <f t="shared" si="5"/>
        <v>44.930374</v>
      </c>
      <c r="O17" s="430">
        <f t="shared" si="6"/>
        <v>726524.14757999999</v>
      </c>
    </row>
    <row r="18" spans="1:60" s="417" customFormat="1" outlineLevel="2">
      <c r="A18" s="429" t="s">
        <v>25</v>
      </c>
      <c r="B18" s="299">
        <v>100308</v>
      </c>
      <c r="C18" s="412" t="s">
        <v>120</v>
      </c>
      <c r="D18" s="413" t="s">
        <v>26</v>
      </c>
      <c r="E18" s="467">
        <f>'Plano Mnt Hh'!H9</f>
        <v>11550</v>
      </c>
      <c r="F18" s="460">
        <f>'MO SINAPI'!F6</f>
        <v>28.3</v>
      </c>
      <c r="G18" s="415">
        <f t="shared" si="0"/>
        <v>326865</v>
      </c>
      <c r="H18" s="255">
        <f t="shared" si="1"/>
        <v>7.8730600000000006</v>
      </c>
      <c r="I18" s="255">
        <f t="shared" si="2"/>
        <v>36.17306</v>
      </c>
      <c r="J18" s="430">
        <f t="shared" si="3"/>
        <v>417798.84299999999</v>
      </c>
      <c r="K18" s="460">
        <f>'MO SINAPI'!E6</f>
        <v>30.94</v>
      </c>
      <c r="L18" s="415">
        <f t="shared" si="4"/>
        <v>357357</v>
      </c>
      <c r="M18" s="255">
        <f t="shared" si="7"/>
        <v>7.4936680000000004</v>
      </c>
      <c r="N18" s="255">
        <f t="shared" si="5"/>
        <v>38.433668000000004</v>
      </c>
      <c r="O18" s="430">
        <f t="shared" si="6"/>
        <v>443908.86540000007</v>
      </c>
    </row>
    <row r="19" spans="1:60" s="417" customFormat="1" outlineLevel="2">
      <c r="A19" s="429" t="s">
        <v>25</v>
      </c>
      <c r="B19" s="299">
        <v>88309</v>
      </c>
      <c r="C19" s="412" t="s">
        <v>121</v>
      </c>
      <c r="D19" s="413" t="s">
        <v>26</v>
      </c>
      <c r="E19" s="467">
        <f>'Plano Mnt Hh'!H5</f>
        <v>55439.999999999993</v>
      </c>
      <c r="F19" s="460">
        <f>'MO SINAPI'!F14</f>
        <v>25.72</v>
      </c>
      <c r="G19" s="415">
        <f t="shared" si="0"/>
        <v>1425916.7999999998</v>
      </c>
      <c r="H19" s="255">
        <f t="shared" si="1"/>
        <v>7.1553040000000001</v>
      </c>
      <c r="I19" s="255">
        <f t="shared" si="2"/>
        <v>32.875304</v>
      </c>
      <c r="J19" s="430">
        <f t="shared" si="3"/>
        <v>1822606.8537599999</v>
      </c>
      <c r="K19" s="460">
        <f>'MO SINAPI'!E14</f>
        <v>28.07</v>
      </c>
      <c r="L19" s="415">
        <f t="shared" si="4"/>
        <v>1556200.7999999998</v>
      </c>
      <c r="M19" s="255">
        <f t="shared" si="7"/>
        <v>6.7985540000000002</v>
      </c>
      <c r="N19" s="255">
        <f t="shared" si="5"/>
        <v>34.868554000000003</v>
      </c>
      <c r="O19" s="430">
        <f t="shared" si="6"/>
        <v>1933112.6337599999</v>
      </c>
    </row>
    <row r="20" spans="1:60" s="417" customFormat="1" outlineLevel="2">
      <c r="A20" s="429" t="s">
        <v>25</v>
      </c>
      <c r="B20" s="299">
        <v>88243</v>
      </c>
      <c r="C20" s="412" t="s">
        <v>190</v>
      </c>
      <c r="D20" s="413" t="s">
        <v>26</v>
      </c>
      <c r="E20" s="467">
        <f>'Plano Mnt Hh'!H10</f>
        <v>27719.999999999996</v>
      </c>
      <c r="F20" s="460">
        <f>'MO SINAPI'!F7</f>
        <v>22.35</v>
      </c>
      <c r="G20" s="415">
        <f t="shared" si="0"/>
        <v>619542</v>
      </c>
      <c r="H20" s="255">
        <f t="shared" si="1"/>
        <v>6.2177700000000007</v>
      </c>
      <c r="I20" s="255">
        <f t="shared" si="2"/>
        <v>28.567770000000003</v>
      </c>
      <c r="J20" s="430">
        <f t="shared" si="3"/>
        <v>791898.58439999993</v>
      </c>
      <c r="K20" s="460">
        <f>'MO SINAPI'!E7</f>
        <v>24.3</v>
      </c>
      <c r="L20" s="415">
        <f t="shared" si="4"/>
        <v>673595.99999999988</v>
      </c>
      <c r="M20" s="255">
        <f t="shared" si="7"/>
        <v>5.8854600000000001</v>
      </c>
      <c r="N20" s="255">
        <f t="shared" si="5"/>
        <v>30.185459999999999</v>
      </c>
      <c r="O20" s="430">
        <f t="shared" si="6"/>
        <v>836740.95119999989</v>
      </c>
    </row>
    <row r="21" spans="1:60" s="417" customFormat="1" outlineLevel="2">
      <c r="A21" s="429" t="s">
        <v>25</v>
      </c>
      <c r="B21" s="299">
        <v>88310</v>
      </c>
      <c r="C21" s="412" t="s">
        <v>188</v>
      </c>
      <c r="D21" s="413" t="s">
        <v>26</v>
      </c>
      <c r="E21" s="467">
        <f>'Plano Mnt Hh'!H11</f>
        <v>9240</v>
      </c>
      <c r="F21" s="460">
        <f>'MO SINAPI'!F18</f>
        <v>27.41</v>
      </c>
      <c r="G21" s="415">
        <f t="shared" si="0"/>
        <v>253268.4</v>
      </c>
      <c r="H21" s="255">
        <f t="shared" si="1"/>
        <v>7.6254619999999997</v>
      </c>
      <c r="I21" s="255">
        <f t="shared" si="2"/>
        <v>35.035462000000003</v>
      </c>
      <c r="J21" s="430">
        <f t="shared" si="3"/>
        <v>323727.66888000001</v>
      </c>
      <c r="K21" s="460">
        <f>'MO SINAPI'!E18</f>
        <v>29.74</v>
      </c>
      <c r="L21" s="415">
        <f t="shared" si="4"/>
        <v>274797.59999999998</v>
      </c>
      <c r="M21" s="255">
        <f t="shared" si="7"/>
        <v>7.2030279999999998</v>
      </c>
      <c r="N21" s="255">
        <f t="shared" si="5"/>
        <v>36.943027999999998</v>
      </c>
      <c r="O21" s="430">
        <f t="shared" si="6"/>
        <v>341353.57871999999</v>
      </c>
    </row>
    <row r="22" spans="1:60" s="417" customFormat="1" ht="13" outlineLevel="2" thickBot="1">
      <c r="A22" s="429" t="s">
        <v>25</v>
      </c>
      <c r="B22" s="299">
        <v>100301</v>
      </c>
      <c r="C22" s="412" t="s">
        <v>189</v>
      </c>
      <c r="D22" s="413" t="s">
        <v>26</v>
      </c>
      <c r="E22" s="467">
        <f>'Plano Mnt Hh'!H12</f>
        <v>9240</v>
      </c>
      <c r="F22" s="461">
        <f>'MO SINAPI'!F19</f>
        <v>24.39</v>
      </c>
      <c r="G22" s="462">
        <f t="shared" si="0"/>
        <v>225363.6</v>
      </c>
      <c r="H22" s="463">
        <f t="shared" si="1"/>
        <v>6.7852980000000001</v>
      </c>
      <c r="I22" s="463">
        <f t="shared" si="2"/>
        <v>31.175298000000002</v>
      </c>
      <c r="J22" s="464">
        <f t="shared" si="3"/>
        <v>288059.75352000003</v>
      </c>
      <c r="K22" s="461">
        <f>'MO SINAPI'!E19</f>
        <v>26.34</v>
      </c>
      <c r="L22" s="462">
        <f t="shared" si="4"/>
        <v>243381.6</v>
      </c>
      <c r="M22" s="463">
        <f t="shared" si="7"/>
        <v>6.3795479999999998</v>
      </c>
      <c r="N22" s="463">
        <f t="shared" si="5"/>
        <v>32.719548000000003</v>
      </c>
      <c r="O22" s="464">
        <f t="shared" si="6"/>
        <v>302328.62352000002</v>
      </c>
    </row>
    <row r="23" spans="1:60" ht="13" outlineLevel="2" thickBot="1">
      <c r="A23" s="557" t="s">
        <v>24</v>
      </c>
      <c r="B23" s="558"/>
      <c r="C23" s="558"/>
      <c r="D23" s="558"/>
      <c r="E23" s="558"/>
      <c r="F23" s="553"/>
      <c r="G23" s="553"/>
      <c r="H23" s="553"/>
      <c r="I23" s="554"/>
      <c r="J23" s="471">
        <f>SUM(J13:J22)</f>
        <v>8802149.6729691457</v>
      </c>
      <c r="K23" s="553"/>
      <c r="L23" s="553"/>
      <c r="M23" s="553"/>
      <c r="N23" s="554"/>
      <c r="O23" s="481">
        <f>SUM(O13:O22)</f>
        <v>8966095.6278599985</v>
      </c>
      <c r="P23" s="322"/>
      <c r="Q23" s="322"/>
      <c r="R23" s="322"/>
      <c r="S23" s="322"/>
      <c r="T23" s="322"/>
      <c r="U23" s="322"/>
      <c r="V23" s="322"/>
      <c r="W23" s="322"/>
      <c r="X23" s="322"/>
      <c r="Y23" s="322"/>
      <c r="Z23" s="322"/>
      <c r="AA23" s="322"/>
      <c r="AB23" s="322"/>
      <c r="AC23" s="322"/>
      <c r="AD23" s="322"/>
      <c r="AE23" s="322"/>
      <c r="AF23" s="322"/>
      <c r="AG23" s="322"/>
      <c r="AH23" s="322"/>
      <c r="AI23" s="322"/>
      <c r="AJ23" s="322"/>
      <c r="AK23" s="322"/>
      <c r="AL23" s="322"/>
      <c r="AM23" s="322"/>
      <c r="AN23" s="322"/>
      <c r="AO23" s="322"/>
      <c r="AP23" s="322"/>
      <c r="AQ23" s="322"/>
      <c r="AR23" s="322"/>
      <c r="AS23" s="322"/>
      <c r="AT23" s="322"/>
      <c r="AU23" s="322"/>
      <c r="AV23" s="322"/>
      <c r="AW23" s="322"/>
      <c r="AX23" s="322"/>
      <c r="AY23" s="322"/>
      <c r="AZ23" s="322"/>
      <c r="BA23" s="322"/>
      <c r="BB23" s="322"/>
      <c r="BC23" s="322"/>
      <c r="BD23" s="322"/>
      <c r="BE23" s="322"/>
      <c r="BF23" s="322"/>
      <c r="BG23" s="322"/>
      <c r="BH23" s="322"/>
    </row>
    <row r="24" spans="1:60" outlineLevel="2">
      <c r="A24" s="431"/>
      <c r="B24" s="37"/>
      <c r="C24" s="41"/>
      <c r="D24" s="38"/>
      <c r="E24" s="469"/>
      <c r="F24" s="472"/>
      <c r="G24" s="473"/>
      <c r="H24" s="473"/>
      <c r="I24" s="473"/>
      <c r="J24" s="474"/>
      <c r="K24" s="472"/>
      <c r="L24" s="473"/>
      <c r="M24" s="473"/>
      <c r="N24" s="473"/>
      <c r="O24" s="474"/>
      <c r="P24" s="322"/>
      <c r="Q24" s="322"/>
      <c r="R24" s="322"/>
      <c r="S24" s="322"/>
      <c r="T24" s="322"/>
      <c r="U24" s="322"/>
      <c r="V24" s="322"/>
      <c r="W24" s="322"/>
      <c r="X24" s="322"/>
      <c r="Y24" s="322"/>
      <c r="Z24" s="322"/>
      <c r="AA24" s="322"/>
      <c r="AB24" s="322"/>
      <c r="AC24" s="322"/>
      <c r="AD24" s="322"/>
      <c r="AE24" s="322"/>
      <c r="AF24" s="322"/>
      <c r="AG24" s="322"/>
      <c r="AH24" s="322"/>
      <c r="AI24" s="322"/>
      <c r="AJ24" s="322"/>
      <c r="AK24" s="322"/>
      <c r="AL24" s="322"/>
      <c r="AM24" s="322"/>
      <c r="AN24" s="322"/>
      <c r="AO24" s="322"/>
      <c r="AP24" s="322"/>
      <c r="AQ24" s="322"/>
      <c r="AR24" s="322"/>
      <c r="AS24" s="322"/>
      <c r="AT24" s="322"/>
      <c r="AU24" s="322"/>
      <c r="AV24" s="322"/>
      <c r="AW24" s="322"/>
      <c r="AX24" s="322"/>
      <c r="AY24" s="322"/>
      <c r="AZ24" s="322"/>
      <c r="BA24" s="322"/>
      <c r="BB24" s="322"/>
      <c r="BC24" s="322"/>
      <c r="BD24" s="322"/>
      <c r="BE24" s="322"/>
      <c r="BF24" s="322"/>
      <c r="BG24" s="322"/>
      <c r="BH24" s="322"/>
    </row>
    <row r="25" spans="1:60" outlineLevel="1">
      <c r="A25" s="427"/>
      <c r="B25" s="45" t="s">
        <v>75</v>
      </c>
      <c r="C25" s="46" t="s">
        <v>122</v>
      </c>
      <c r="D25" s="45"/>
      <c r="E25" s="466"/>
      <c r="F25" s="459"/>
      <c r="G25" s="48"/>
      <c r="H25" s="48"/>
      <c r="I25" s="48"/>
      <c r="J25" s="428"/>
      <c r="K25" s="459"/>
      <c r="L25" s="48"/>
      <c r="M25" s="48"/>
      <c r="N25" s="48"/>
      <c r="O25" s="428"/>
      <c r="P25" s="322"/>
      <c r="Q25" s="322"/>
      <c r="R25" s="322"/>
      <c r="S25" s="322"/>
      <c r="T25" s="322"/>
      <c r="U25" s="322"/>
      <c r="V25" s="322"/>
      <c r="W25" s="322"/>
      <c r="X25" s="322"/>
      <c r="Y25" s="322"/>
      <c r="Z25" s="322"/>
      <c r="AA25" s="322"/>
      <c r="AB25" s="322"/>
      <c r="AC25" s="322"/>
      <c r="AD25" s="322"/>
      <c r="AE25" s="322"/>
      <c r="AF25" s="322"/>
      <c r="AG25" s="322"/>
      <c r="AH25" s="322"/>
      <c r="AI25" s="322"/>
      <c r="AJ25" s="322"/>
      <c r="AK25" s="322"/>
      <c r="AL25" s="322"/>
      <c r="AM25" s="322"/>
      <c r="AN25" s="322"/>
      <c r="AO25" s="322"/>
      <c r="AP25" s="322"/>
      <c r="AQ25" s="322"/>
      <c r="AR25" s="322"/>
      <c r="AS25" s="322"/>
      <c r="AT25" s="322"/>
      <c r="AU25" s="322"/>
      <c r="AV25" s="322"/>
      <c r="AW25" s="322"/>
      <c r="AX25" s="322"/>
      <c r="AY25" s="322"/>
      <c r="AZ25" s="322"/>
      <c r="BA25" s="322"/>
      <c r="BB25" s="322"/>
      <c r="BC25" s="322"/>
      <c r="BD25" s="322"/>
      <c r="BE25" s="322"/>
      <c r="BF25" s="322"/>
      <c r="BG25" s="322"/>
      <c r="BH25" s="322"/>
    </row>
    <row r="26" spans="1:60" outlineLevel="2">
      <c r="A26" s="431" t="s">
        <v>368</v>
      </c>
      <c r="B26" s="37"/>
      <c r="C26" s="41" t="s">
        <v>261</v>
      </c>
      <c r="D26" s="38" t="s">
        <v>21</v>
      </c>
      <c r="E26" s="470">
        <f>Diárias!N27*60</f>
        <v>4380</v>
      </c>
      <c r="F26" s="460">
        <f>40+40</f>
        <v>80</v>
      </c>
      <c r="G26" s="106">
        <f>E26*F26</f>
        <v>350400</v>
      </c>
      <c r="H26" s="42">
        <f>$J$6*F26</f>
        <v>22.256</v>
      </c>
      <c r="I26" s="42">
        <f>F26+H26</f>
        <v>102.256</v>
      </c>
      <c r="J26" s="432">
        <f>E26*I26</f>
        <v>447881.28</v>
      </c>
      <c r="K26" s="460">
        <f>F26</f>
        <v>80</v>
      </c>
      <c r="L26" s="415">
        <f>E26*K26</f>
        <v>350400</v>
      </c>
      <c r="M26" s="255">
        <f t="shared" ref="M26:M30" si="8">$O$6*K26</f>
        <v>19.376000000000001</v>
      </c>
      <c r="N26" s="42">
        <f>K26+M26</f>
        <v>99.376000000000005</v>
      </c>
      <c r="O26" s="430">
        <f>E26*N26</f>
        <v>435266.88</v>
      </c>
      <c r="P26" s="322"/>
      <c r="Q26" s="322"/>
      <c r="R26" s="322"/>
      <c r="S26" s="322"/>
      <c r="T26" s="322"/>
      <c r="U26" s="322"/>
      <c r="V26" s="322"/>
      <c r="W26" s="322"/>
      <c r="X26" s="322"/>
      <c r="Y26" s="322"/>
      <c r="Z26" s="322"/>
      <c r="AA26" s="322"/>
      <c r="AB26" s="322"/>
      <c r="AC26" s="322"/>
      <c r="AD26" s="322"/>
      <c r="AE26" s="322"/>
      <c r="AF26" s="322"/>
      <c r="AG26" s="322"/>
      <c r="AH26" s="322"/>
      <c r="AI26" s="322"/>
      <c r="AJ26" s="322"/>
      <c r="AK26" s="322"/>
      <c r="AL26" s="322"/>
      <c r="AM26" s="322"/>
      <c r="AN26" s="322"/>
      <c r="AO26" s="322"/>
      <c r="AP26" s="322"/>
      <c r="AQ26" s="322"/>
      <c r="AR26" s="322"/>
      <c r="AS26" s="322"/>
      <c r="AT26" s="322"/>
      <c r="AU26" s="322"/>
      <c r="AV26" s="322"/>
      <c r="AW26" s="322"/>
      <c r="AX26" s="322"/>
      <c r="AY26" s="322"/>
      <c r="AZ26" s="322"/>
      <c r="BA26" s="322"/>
      <c r="BB26" s="322"/>
      <c r="BC26" s="322"/>
      <c r="BD26" s="322"/>
      <c r="BE26" s="322"/>
      <c r="BF26" s="322"/>
      <c r="BG26" s="322"/>
      <c r="BH26" s="322"/>
    </row>
    <row r="27" spans="1:60" outlineLevel="2">
      <c r="A27" s="431" t="s">
        <v>368</v>
      </c>
      <c r="B27" s="37"/>
      <c r="C27" s="41" t="s">
        <v>260</v>
      </c>
      <c r="D27" s="38" t="s">
        <v>21</v>
      </c>
      <c r="E27" s="470">
        <f>Diárias!N40*60</f>
        <v>1500</v>
      </c>
      <c r="F27" s="460">
        <v>260</v>
      </c>
      <c r="G27" s="106">
        <f>E27*F27</f>
        <v>390000</v>
      </c>
      <c r="H27" s="42">
        <f>$J$6*F27</f>
        <v>72.331999999999994</v>
      </c>
      <c r="I27" s="42">
        <f>F27+H27</f>
        <v>332.33199999999999</v>
      </c>
      <c r="J27" s="432">
        <f>E27*I27</f>
        <v>498498</v>
      </c>
      <c r="K27" s="460">
        <f t="shared" ref="K27:K30" si="9">F27</f>
        <v>260</v>
      </c>
      <c r="L27" s="415">
        <f>E27*K27</f>
        <v>390000</v>
      </c>
      <c r="M27" s="255">
        <f t="shared" si="8"/>
        <v>62.972000000000001</v>
      </c>
      <c r="N27" s="42">
        <f>K27+M27</f>
        <v>322.97199999999998</v>
      </c>
      <c r="O27" s="430">
        <f>E27*N27</f>
        <v>484457.99999999994</v>
      </c>
      <c r="P27" s="322"/>
      <c r="Q27" s="322"/>
      <c r="R27" s="322"/>
      <c r="S27" s="322"/>
      <c r="T27" s="322"/>
      <c r="U27" s="322"/>
      <c r="V27" s="322"/>
      <c r="W27" s="322"/>
      <c r="X27" s="322"/>
      <c r="Y27" s="322"/>
      <c r="Z27" s="322"/>
      <c r="AA27" s="322"/>
      <c r="AB27" s="322"/>
      <c r="AC27" s="322"/>
      <c r="AD27" s="322"/>
      <c r="AE27" s="322"/>
      <c r="AF27" s="322"/>
      <c r="AG27" s="322"/>
      <c r="AH27" s="322"/>
      <c r="AI27" s="322"/>
      <c r="AJ27" s="322"/>
      <c r="AK27" s="322"/>
      <c r="AL27" s="322"/>
      <c r="AM27" s="322"/>
      <c r="AN27" s="322"/>
      <c r="AO27" s="322"/>
      <c r="AP27" s="322"/>
      <c r="AQ27" s="322"/>
      <c r="AR27" s="322"/>
      <c r="AS27" s="322"/>
      <c r="AT27" s="322"/>
      <c r="AU27" s="322"/>
      <c r="AV27" s="322"/>
      <c r="AW27" s="322"/>
      <c r="AX27" s="322"/>
      <c r="AY27" s="322"/>
      <c r="AZ27" s="322"/>
      <c r="BA27" s="322"/>
      <c r="BB27" s="322"/>
      <c r="BC27" s="322"/>
      <c r="BD27" s="322"/>
      <c r="BE27" s="322"/>
      <c r="BF27" s="322"/>
      <c r="BG27" s="322"/>
      <c r="BH27" s="322"/>
    </row>
    <row r="28" spans="1:60" outlineLevel="2">
      <c r="A28" s="431" t="s">
        <v>368</v>
      </c>
      <c r="B28" s="37"/>
      <c r="C28" s="41" t="s">
        <v>252</v>
      </c>
      <c r="D28" s="38" t="s">
        <v>13</v>
      </c>
      <c r="E28" s="470">
        <f>12*5/30*21</f>
        <v>42</v>
      </c>
      <c r="F28" s="475">
        <v>12920</v>
      </c>
      <c r="G28" s="106">
        <f>E28*F28</f>
        <v>542640</v>
      </c>
      <c r="H28" s="42">
        <f>$J$6*F28</f>
        <v>3594.3440000000001</v>
      </c>
      <c r="I28" s="42">
        <f>F28+H28</f>
        <v>16514.344000000001</v>
      </c>
      <c r="J28" s="432">
        <f>E28*I28</f>
        <v>693602.44800000009</v>
      </c>
      <c r="K28" s="460">
        <f t="shared" si="9"/>
        <v>12920</v>
      </c>
      <c r="L28" s="415">
        <f>E28*K28</f>
        <v>542640</v>
      </c>
      <c r="M28" s="255">
        <f t="shared" si="8"/>
        <v>3129.2240000000002</v>
      </c>
      <c r="N28" s="42">
        <f>K28+M28</f>
        <v>16049.224</v>
      </c>
      <c r="O28" s="430">
        <f>E28*N28</f>
        <v>674067.40800000005</v>
      </c>
      <c r="P28" s="322"/>
      <c r="Q28" s="322"/>
      <c r="R28" s="322"/>
      <c r="S28" s="322"/>
      <c r="T28" s="322"/>
      <c r="U28" s="322"/>
      <c r="V28" s="322"/>
      <c r="W28" s="322"/>
      <c r="X28" s="322"/>
      <c r="Y28" s="322"/>
      <c r="Z28" s="322"/>
      <c r="AA28" s="322"/>
      <c r="AB28" s="322"/>
      <c r="AC28" s="322"/>
      <c r="AD28" s="322"/>
      <c r="AE28" s="322"/>
      <c r="AF28" s="322"/>
      <c r="AG28" s="322"/>
      <c r="AH28" s="322"/>
      <c r="AI28" s="322"/>
      <c r="AJ28" s="322"/>
      <c r="AK28" s="322"/>
      <c r="AL28" s="322"/>
      <c r="AM28" s="322"/>
      <c r="AN28" s="322"/>
      <c r="AO28" s="322"/>
      <c r="AP28" s="322"/>
      <c r="AQ28" s="322"/>
      <c r="AR28" s="322"/>
      <c r="AS28" s="322"/>
      <c r="AT28" s="322"/>
      <c r="AU28" s="322"/>
      <c r="AV28" s="322"/>
      <c r="AW28" s="322"/>
      <c r="AX28" s="322"/>
      <c r="AY28" s="322"/>
      <c r="AZ28" s="322"/>
      <c r="BA28" s="322"/>
      <c r="BB28" s="322"/>
      <c r="BC28" s="322"/>
      <c r="BD28" s="322"/>
      <c r="BE28" s="322"/>
      <c r="BF28" s="322"/>
      <c r="BG28" s="322"/>
      <c r="BH28" s="322"/>
    </row>
    <row r="29" spans="1:60" outlineLevel="2">
      <c r="A29" s="431" t="s">
        <v>368</v>
      </c>
      <c r="B29" s="37"/>
      <c r="C29" s="41" t="s">
        <v>123</v>
      </c>
      <c r="D29" s="38" t="s">
        <v>45</v>
      </c>
      <c r="E29" s="470">
        <f>(Deslocamentos!D14+Deslocamentos!D35+Deslocamentos!D56)/10</f>
        <v>557.4</v>
      </c>
      <c r="F29" s="476">
        <f>((6.47*(Deslocamentos!D56+Deslocamentos!D35))+(7.28*Deslocamentos!D14))/(Deslocamentos!D14+Deslocamentos!D35+Deslocamentos!D56)</f>
        <v>6.55864370290635</v>
      </c>
      <c r="G29" s="106">
        <f>E29*F29</f>
        <v>3655.7879999999996</v>
      </c>
      <c r="H29" s="42">
        <f>$J$6*F29</f>
        <v>1.8246146781485466</v>
      </c>
      <c r="I29" s="42">
        <f>F29+H29</f>
        <v>8.3832583810548975</v>
      </c>
      <c r="J29" s="432">
        <f>E29*I29</f>
        <v>4672.8282215999998</v>
      </c>
      <c r="K29" s="460">
        <f t="shared" si="9"/>
        <v>6.55864370290635</v>
      </c>
      <c r="L29" s="415">
        <f>E29*K29</f>
        <v>3655.7879999999996</v>
      </c>
      <c r="M29" s="255">
        <f t="shared" si="8"/>
        <v>1.588503504843918</v>
      </c>
      <c r="N29" s="42">
        <f>K29+M29</f>
        <v>8.1471472077502689</v>
      </c>
      <c r="O29" s="430">
        <f>E29*N29</f>
        <v>4541.2198535999996</v>
      </c>
      <c r="P29" s="322"/>
      <c r="Q29" s="322"/>
      <c r="R29" s="322"/>
      <c r="S29" s="322"/>
      <c r="T29" s="322"/>
      <c r="U29" s="322"/>
      <c r="V29" s="322"/>
      <c r="W29" s="322"/>
      <c r="X29" s="322"/>
      <c r="Y29" s="322"/>
      <c r="Z29" s="322"/>
      <c r="AA29" s="322"/>
      <c r="AB29" s="322"/>
      <c r="AC29" s="322"/>
      <c r="AD29" s="322"/>
      <c r="AE29" s="322"/>
      <c r="AF29" s="322"/>
      <c r="AG29" s="322"/>
      <c r="AH29" s="322"/>
      <c r="AI29" s="322"/>
      <c r="AJ29" s="322"/>
      <c r="AK29" s="322"/>
      <c r="AL29" s="322"/>
      <c r="AM29" s="322"/>
      <c r="AN29" s="322"/>
      <c r="AO29" s="322"/>
      <c r="AP29" s="322"/>
      <c r="AQ29" s="322"/>
      <c r="AR29" s="322"/>
      <c r="AS29" s="322"/>
      <c r="AT29" s="322"/>
      <c r="AU29" s="322"/>
      <c r="AV29" s="322"/>
      <c r="AW29" s="322"/>
      <c r="AX29" s="322"/>
      <c r="AY29" s="322"/>
      <c r="AZ29" s="322"/>
      <c r="BA29" s="322"/>
      <c r="BB29" s="322"/>
      <c r="BC29" s="322"/>
      <c r="BD29" s="322"/>
      <c r="BE29" s="322"/>
      <c r="BF29" s="322"/>
      <c r="BG29" s="322"/>
      <c r="BH29" s="322"/>
    </row>
    <row r="30" spans="1:60" ht="13" outlineLevel="2" thickBot="1">
      <c r="A30" s="431" t="s">
        <v>368</v>
      </c>
      <c r="B30" s="37"/>
      <c r="C30" s="41" t="s">
        <v>253</v>
      </c>
      <c r="D30" s="38" t="s">
        <v>21</v>
      </c>
      <c r="E30" s="470">
        <f>2*Deslocamentos!D34*60</f>
        <v>1080</v>
      </c>
      <c r="F30" s="477">
        <v>19.600000000000001</v>
      </c>
      <c r="G30" s="478">
        <f>E30*F30</f>
        <v>21168</v>
      </c>
      <c r="H30" s="479">
        <f>$J$6*F30</f>
        <v>5.4527200000000002</v>
      </c>
      <c r="I30" s="479">
        <f>F30+H30</f>
        <v>25.052720000000001</v>
      </c>
      <c r="J30" s="480">
        <f>E30*I30</f>
        <v>27056.937600000001</v>
      </c>
      <c r="K30" s="461">
        <f t="shared" si="9"/>
        <v>19.600000000000001</v>
      </c>
      <c r="L30" s="462">
        <f>E30*K30</f>
        <v>21168</v>
      </c>
      <c r="M30" s="463">
        <f t="shared" si="8"/>
        <v>4.7471200000000007</v>
      </c>
      <c r="N30" s="479">
        <f>K30+M30</f>
        <v>24.347120000000004</v>
      </c>
      <c r="O30" s="464">
        <f>E30*N30</f>
        <v>26294.889600000006</v>
      </c>
      <c r="P30" s="322"/>
      <c r="Q30" s="322"/>
      <c r="R30" s="322"/>
      <c r="S30" s="322"/>
      <c r="T30" s="322"/>
      <c r="U30" s="322"/>
      <c r="V30" s="322"/>
      <c r="W30" s="322"/>
      <c r="X30" s="322"/>
      <c r="Y30" s="322"/>
      <c r="Z30" s="322"/>
      <c r="AA30" s="322"/>
      <c r="AB30" s="322"/>
      <c r="AC30" s="322"/>
      <c r="AD30" s="322"/>
      <c r="AE30" s="322"/>
      <c r="AF30" s="322"/>
      <c r="AG30" s="322"/>
      <c r="AH30" s="322"/>
      <c r="AI30" s="322"/>
      <c r="AJ30" s="322"/>
      <c r="AK30" s="322"/>
      <c r="AL30" s="322"/>
      <c r="AM30" s="322"/>
      <c r="AN30" s="322"/>
      <c r="AO30" s="322"/>
      <c r="AP30" s="322"/>
      <c r="AQ30" s="322"/>
      <c r="AR30" s="322"/>
      <c r="AS30" s="322"/>
      <c r="AT30" s="322"/>
      <c r="AU30" s="322"/>
      <c r="AV30" s="322"/>
      <c r="AW30" s="322"/>
      <c r="AX30" s="322"/>
      <c r="AY30" s="322"/>
      <c r="AZ30" s="322"/>
      <c r="BA30" s="322"/>
      <c r="BB30" s="322"/>
      <c r="BC30" s="322"/>
      <c r="BD30" s="322"/>
      <c r="BE30" s="322"/>
      <c r="BF30" s="322"/>
      <c r="BG30" s="322"/>
      <c r="BH30" s="322"/>
    </row>
    <row r="31" spans="1:60" ht="13" outlineLevel="2" thickBot="1">
      <c r="A31" s="557" t="s">
        <v>24</v>
      </c>
      <c r="B31" s="558"/>
      <c r="C31" s="558"/>
      <c r="D31" s="558"/>
      <c r="E31" s="558"/>
      <c r="F31" s="553"/>
      <c r="G31" s="553"/>
      <c r="H31" s="553"/>
      <c r="I31" s="554"/>
      <c r="J31" s="471">
        <f>SUM(J26:J30)</f>
        <v>1671711.4938216002</v>
      </c>
      <c r="K31" s="553"/>
      <c r="L31" s="553"/>
      <c r="M31" s="553"/>
      <c r="N31" s="554"/>
      <c r="O31" s="481">
        <f>SUM(O26:O30)</f>
        <v>1624628.3974536001</v>
      </c>
      <c r="P31" s="322"/>
      <c r="Q31" s="322"/>
      <c r="R31" s="322"/>
      <c r="S31" s="322"/>
      <c r="T31" s="322"/>
      <c r="U31" s="322"/>
      <c r="V31" s="322"/>
      <c r="W31" s="322"/>
      <c r="X31" s="322"/>
      <c r="Y31" s="322"/>
      <c r="Z31" s="322"/>
      <c r="AA31" s="322"/>
      <c r="AB31" s="322"/>
      <c r="AC31" s="322"/>
      <c r="AD31" s="322"/>
      <c r="AE31" s="322"/>
      <c r="AF31" s="322"/>
      <c r="AG31" s="322"/>
      <c r="AH31" s="322"/>
      <c r="AI31" s="322"/>
      <c r="AJ31" s="322"/>
      <c r="AK31" s="322"/>
      <c r="AL31" s="322"/>
      <c r="AM31" s="322"/>
      <c r="AN31" s="322"/>
      <c r="AO31" s="322"/>
      <c r="AP31" s="322"/>
      <c r="AQ31" s="322"/>
      <c r="AR31" s="322"/>
      <c r="AS31" s="322"/>
      <c r="AT31" s="322"/>
      <c r="AU31" s="322"/>
      <c r="AV31" s="322"/>
      <c r="AW31" s="322"/>
      <c r="AX31" s="322"/>
      <c r="AY31" s="322"/>
      <c r="AZ31" s="322"/>
      <c r="BA31" s="322"/>
      <c r="BB31" s="322"/>
      <c r="BC31" s="322"/>
      <c r="BD31" s="322"/>
      <c r="BE31" s="322"/>
      <c r="BF31" s="322"/>
      <c r="BG31" s="322"/>
      <c r="BH31" s="322"/>
    </row>
    <row r="32" spans="1:60" outlineLevel="2">
      <c r="A32" s="433"/>
      <c r="B32" s="162"/>
      <c r="C32" s="162"/>
      <c r="D32" s="162"/>
      <c r="E32" s="162"/>
      <c r="F32" s="483"/>
      <c r="G32" s="484"/>
      <c r="H32" s="484"/>
      <c r="I32" s="484"/>
      <c r="J32" s="485"/>
      <c r="K32" s="483"/>
      <c r="L32" s="484"/>
      <c r="M32" s="484"/>
      <c r="N32" s="484"/>
      <c r="O32" s="485"/>
      <c r="P32" s="322"/>
      <c r="Q32" s="322"/>
      <c r="R32" s="322"/>
      <c r="S32" s="322"/>
      <c r="T32" s="322"/>
      <c r="U32" s="322"/>
      <c r="V32" s="322"/>
      <c r="W32" s="322"/>
      <c r="X32" s="322"/>
      <c r="Y32" s="322"/>
      <c r="Z32" s="322"/>
      <c r="AA32" s="322"/>
      <c r="AB32" s="322"/>
      <c r="AC32" s="322"/>
      <c r="AD32" s="322"/>
      <c r="AE32" s="322"/>
      <c r="AF32" s="322"/>
      <c r="AG32" s="322"/>
      <c r="AH32" s="322"/>
      <c r="AI32" s="322"/>
      <c r="AJ32" s="322"/>
      <c r="AK32" s="322"/>
      <c r="AL32" s="322"/>
      <c r="AM32" s="322"/>
      <c r="AN32" s="322"/>
      <c r="AO32" s="322"/>
      <c r="AP32" s="322"/>
      <c r="AQ32" s="322"/>
      <c r="AR32" s="322"/>
      <c r="AS32" s="322"/>
      <c r="AT32" s="322"/>
      <c r="AU32" s="322"/>
      <c r="AV32" s="322"/>
      <c r="AW32" s="322"/>
      <c r="AX32" s="322"/>
      <c r="AY32" s="322"/>
      <c r="AZ32" s="322"/>
      <c r="BA32" s="322"/>
      <c r="BB32" s="322"/>
      <c r="BC32" s="322"/>
      <c r="BD32" s="322"/>
      <c r="BE32" s="322"/>
      <c r="BF32" s="322"/>
      <c r="BG32" s="322"/>
      <c r="BH32" s="322"/>
    </row>
    <row r="33" spans="1:60" outlineLevel="1">
      <c r="A33" s="427"/>
      <c r="B33" s="45" t="s">
        <v>125</v>
      </c>
      <c r="C33" s="46" t="s">
        <v>412</v>
      </c>
      <c r="D33" s="45"/>
      <c r="E33" s="466"/>
      <c r="F33" s="459"/>
      <c r="G33" s="48"/>
      <c r="H33" s="48"/>
      <c r="I33" s="48"/>
      <c r="J33" s="428"/>
      <c r="K33" s="459"/>
      <c r="L33" s="48"/>
      <c r="M33" s="48"/>
      <c r="N33" s="48"/>
      <c r="O33" s="428"/>
      <c r="P33" s="322"/>
      <c r="Q33" s="322"/>
      <c r="R33" s="322"/>
      <c r="S33" s="322"/>
      <c r="T33" s="322"/>
      <c r="U33" s="322"/>
      <c r="V33" s="322"/>
      <c r="W33" s="322"/>
      <c r="X33" s="322"/>
      <c r="Y33" s="322"/>
      <c r="Z33" s="322"/>
      <c r="AA33" s="322"/>
      <c r="AB33" s="322"/>
      <c r="AC33" s="322"/>
      <c r="AD33" s="322"/>
      <c r="AE33" s="322"/>
      <c r="AF33" s="322"/>
      <c r="AG33" s="322"/>
      <c r="AH33" s="322"/>
      <c r="AI33" s="322"/>
      <c r="AJ33" s="322"/>
      <c r="AK33" s="322"/>
      <c r="AL33" s="322"/>
      <c r="AM33" s="322"/>
      <c r="AN33" s="322"/>
      <c r="AO33" s="322"/>
      <c r="AP33" s="322"/>
      <c r="AQ33" s="322"/>
      <c r="AR33" s="322"/>
      <c r="AS33" s="322"/>
      <c r="AT33" s="322"/>
      <c r="AU33" s="322"/>
      <c r="AV33" s="322"/>
      <c r="AW33" s="322"/>
      <c r="AX33" s="322"/>
      <c r="AY33" s="322"/>
      <c r="AZ33" s="322"/>
      <c r="BA33" s="322"/>
      <c r="BB33" s="322"/>
      <c r="BC33" s="322"/>
      <c r="BD33" s="322"/>
      <c r="BE33" s="322"/>
      <c r="BF33" s="322"/>
      <c r="BG33" s="322"/>
      <c r="BH33" s="322"/>
    </row>
    <row r="34" spans="1:60" ht="13.5" outlineLevel="2" thickBot="1">
      <c r="A34" s="434" t="s">
        <v>404</v>
      </c>
      <c r="B34" s="300"/>
      <c r="C34" s="41" t="s">
        <v>413</v>
      </c>
      <c r="D34" s="38" t="s">
        <v>403</v>
      </c>
      <c r="E34" s="482">
        <v>5</v>
      </c>
      <c r="F34" s="486">
        <f>Consumíveis!G2</f>
        <v>20637.605779154157</v>
      </c>
      <c r="G34" s="478">
        <f>E34*F34</f>
        <v>103188.02889577078</v>
      </c>
      <c r="H34" s="479">
        <f>$J$7*F34</f>
        <v>2891.3285696594976</v>
      </c>
      <c r="I34" s="479">
        <f>F34+H34</f>
        <v>23528.934348813655</v>
      </c>
      <c r="J34" s="480">
        <f>E34*I34</f>
        <v>117644.67174406827</v>
      </c>
      <c r="K34" s="486">
        <f>F34</f>
        <v>20637.605779154157</v>
      </c>
      <c r="L34" s="462">
        <f>E34*K34</f>
        <v>103188.02889577078</v>
      </c>
      <c r="M34" s="463">
        <f>$O$7*K34</f>
        <v>2891.3285696594976</v>
      </c>
      <c r="N34" s="479">
        <f>K34+M34</f>
        <v>23528.934348813655</v>
      </c>
      <c r="O34" s="464">
        <f>E34*N34</f>
        <v>117644.67174406827</v>
      </c>
      <c r="P34" s="322"/>
      <c r="Q34" s="322"/>
      <c r="R34" s="322"/>
      <c r="S34" s="322"/>
      <c r="T34" s="322"/>
      <c r="U34" s="322"/>
      <c r="V34" s="322"/>
      <c r="W34" s="322"/>
      <c r="X34" s="322"/>
      <c r="Y34" s="322"/>
      <c r="Z34" s="322"/>
      <c r="AA34" s="322"/>
      <c r="AB34" s="322"/>
      <c r="AC34" s="322"/>
      <c r="AD34" s="322"/>
      <c r="AE34" s="322"/>
      <c r="AF34" s="322"/>
      <c r="AG34" s="322"/>
      <c r="AH34" s="322"/>
      <c r="AI34" s="322"/>
      <c r="AJ34" s="322"/>
      <c r="AK34" s="322"/>
      <c r="AL34" s="322"/>
      <c r="AM34" s="322"/>
      <c r="AN34" s="322"/>
      <c r="AO34" s="322"/>
      <c r="AP34" s="322"/>
      <c r="AQ34" s="322"/>
      <c r="AR34" s="322"/>
      <c r="AS34" s="322"/>
      <c r="AT34" s="322"/>
      <c r="AU34" s="322"/>
      <c r="AV34" s="322"/>
      <c r="AW34" s="322"/>
      <c r="AX34" s="322"/>
      <c r="AY34" s="322"/>
      <c r="AZ34" s="322"/>
      <c r="BA34" s="322"/>
      <c r="BB34" s="322"/>
      <c r="BC34" s="322"/>
      <c r="BD34" s="322"/>
      <c r="BE34" s="322"/>
      <c r="BF34" s="322"/>
      <c r="BG34" s="322"/>
      <c r="BH34" s="322"/>
    </row>
    <row r="35" spans="1:60" ht="13" outlineLevel="2" thickBot="1">
      <c r="A35" s="557" t="s">
        <v>24</v>
      </c>
      <c r="B35" s="558"/>
      <c r="C35" s="558"/>
      <c r="D35" s="558"/>
      <c r="E35" s="558"/>
      <c r="F35" s="553"/>
      <c r="G35" s="553"/>
      <c r="H35" s="553"/>
      <c r="I35" s="554"/>
      <c r="J35" s="471">
        <f>SUM(J34:J34)</f>
        <v>117644.67174406827</v>
      </c>
      <c r="K35" s="553"/>
      <c r="L35" s="553"/>
      <c r="M35" s="553"/>
      <c r="N35" s="554"/>
      <c r="O35" s="481">
        <f>SUM(O34:O34)</f>
        <v>117644.67174406827</v>
      </c>
      <c r="P35" s="322"/>
      <c r="Q35" s="322"/>
      <c r="R35" s="322"/>
      <c r="S35" s="322"/>
      <c r="T35" s="322"/>
      <c r="U35" s="322"/>
      <c r="V35" s="322"/>
      <c r="W35" s="322"/>
      <c r="X35" s="322"/>
      <c r="Y35" s="322"/>
      <c r="Z35" s="322"/>
      <c r="AA35" s="322"/>
      <c r="AB35" s="322"/>
      <c r="AC35" s="322"/>
      <c r="AD35" s="322"/>
      <c r="AE35" s="322"/>
      <c r="AF35" s="322"/>
      <c r="AG35" s="322"/>
      <c r="AH35" s="322"/>
      <c r="AI35" s="322"/>
      <c r="AJ35" s="322"/>
      <c r="AK35" s="322"/>
      <c r="AL35" s="322"/>
      <c r="AM35" s="322"/>
      <c r="AN35" s="322"/>
      <c r="AO35" s="322"/>
      <c r="AP35" s="322"/>
      <c r="AQ35" s="322"/>
      <c r="AR35" s="322"/>
      <c r="AS35" s="322"/>
      <c r="AT35" s="322"/>
      <c r="AU35" s="322"/>
      <c r="AV35" s="322"/>
      <c r="AW35" s="322"/>
      <c r="AX35" s="322"/>
      <c r="AY35" s="322"/>
      <c r="AZ35" s="322"/>
      <c r="BA35" s="322"/>
      <c r="BB35" s="322"/>
      <c r="BC35" s="322"/>
      <c r="BD35" s="322"/>
      <c r="BE35" s="322"/>
      <c r="BF35" s="322"/>
      <c r="BG35" s="322"/>
      <c r="BH35" s="322"/>
    </row>
    <row r="36" spans="1:60" outlineLevel="2">
      <c r="A36" s="433"/>
      <c r="B36" s="162"/>
      <c r="C36" s="162"/>
      <c r="D36" s="162"/>
      <c r="E36" s="162"/>
      <c r="F36" s="483"/>
      <c r="G36" s="484"/>
      <c r="H36" s="484"/>
      <c r="I36" s="484"/>
      <c r="J36" s="485"/>
      <c r="K36" s="483"/>
      <c r="L36" s="484"/>
      <c r="M36" s="484"/>
      <c r="N36" s="484"/>
      <c r="O36" s="485"/>
      <c r="P36" s="322"/>
      <c r="Q36" s="322"/>
      <c r="R36" s="322"/>
      <c r="S36" s="322"/>
      <c r="T36" s="322"/>
      <c r="U36" s="322"/>
      <c r="V36" s="322"/>
      <c r="W36" s="322"/>
      <c r="X36" s="322"/>
      <c r="Y36" s="322"/>
      <c r="Z36" s="322"/>
      <c r="AA36" s="322"/>
      <c r="AB36" s="322"/>
      <c r="AC36" s="322"/>
      <c r="AD36" s="322"/>
      <c r="AE36" s="322"/>
      <c r="AF36" s="322"/>
      <c r="AG36" s="322"/>
      <c r="AH36" s="322"/>
      <c r="AI36" s="322"/>
      <c r="AJ36" s="322"/>
      <c r="AK36" s="322"/>
      <c r="AL36" s="322"/>
      <c r="AM36" s="322"/>
      <c r="AN36" s="322"/>
      <c r="AO36" s="322"/>
      <c r="AP36" s="322"/>
      <c r="AQ36" s="322"/>
      <c r="AR36" s="322"/>
      <c r="AS36" s="322"/>
      <c r="AT36" s="322"/>
      <c r="AU36" s="322"/>
      <c r="AV36" s="322"/>
      <c r="AW36" s="322"/>
      <c r="AX36" s="322"/>
      <c r="AY36" s="322"/>
      <c r="AZ36" s="322"/>
      <c r="BA36" s="322"/>
      <c r="BB36" s="322"/>
      <c r="BC36" s="322"/>
      <c r="BD36" s="322"/>
      <c r="BE36" s="322"/>
      <c r="BF36" s="322"/>
      <c r="BG36" s="322"/>
      <c r="BH36" s="322"/>
    </row>
    <row r="37" spans="1:60" outlineLevel="1">
      <c r="A37" s="427"/>
      <c r="B37" s="45" t="s">
        <v>160</v>
      </c>
      <c r="C37" s="46" t="s">
        <v>76</v>
      </c>
      <c r="D37" s="45"/>
      <c r="E37" s="466"/>
      <c r="F37" s="459"/>
      <c r="G37" s="48"/>
      <c r="H37" s="48"/>
      <c r="I37" s="48"/>
      <c r="J37" s="428"/>
      <c r="K37" s="459"/>
      <c r="L37" s="48"/>
      <c r="M37" s="48"/>
      <c r="N37" s="48"/>
      <c r="O37" s="428"/>
      <c r="P37" s="322"/>
      <c r="Q37" s="322"/>
      <c r="R37" s="322"/>
      <c r="S37" s="322"/>
      <c r="T37" s="322"/>
      <c r="U37" s="322"/>
      <c r="V37" s="322"/>
      <c r="W37" s="322"/>
      <c r="X37" s="322"/>
      <c r="Y37" s="322"/>
      <c r="Z37" s="322"/>
      <c r="AA37" s="322"/>
      <c r="AB37" s="322"/>
      <c r="AC37" s="322"/>
      <c r="AD37" s="322"/>
      <c r="AE37" s="322"/>
      <c r="AF37" s="322"/>
      <c r="AG37" s="322"/>
      <c r="AH37" s="322"/>
      <c r="AI37" s="322"/>
      <c r="AJ37" s="322"/>
      <c r="AK37" s="322"/>
      <c r="AL37" s="322"/>
      <c r="AM37" s="322"/>
      <c r="AN37" s="322"/>
      <c r="AO37" s="322"/>
      <c r="AP37" s="322"/>
      <c r="AQ37" s="322"/>
      <c r="AR37" s="322"/>
      <c r="AS37" s="322"/>
      <c r="AT37" s="322"/>
      <c r="AU37" s="322"/>
      <c r="AV37" s="322"/>
      <c r="AW37" s="322"/>
      <c r="AX37" s="322"/>
      <c r="AY37" s="322"/>
      <c r="AZ37" s="322"/>
      <c r="BA37" s="322"/>
      <c r="BB37" s="322"/>
      <c r="BC37" s="322"/>
      <c r="BD37" s="322"/>
      <c r="BE37" s="322"/>
      <c r="BF37" s="322"/>
      <c r="BG37" s="322"/>
      <c r="BH37" s="322"/>
    </row>
    <row r="38" spans="1:60" ht="20.5" outlineLevel="2">
      <c r="A38" s="434" t="s">
        <v>68</v>
      </c>
      <c r="B38" s="300"/>
      <c r="C38" s="286" t="s">
        <v>405</v>
      </c>
      <c r="D38" s="38" t="s">
        <v>70</v>
      </c>
      <c r="E38" s="482">
        <v>5</v>
      </c>
      <c r="F38" s="475">
        <f>Termografia!G6</f>
        <v>22357.626600000003</v>
      </c>
      <c r="G38" s="106">
        <f t="shared" ref="G38:G51" si="10">E38*F38</f>
        <v>111788.13300000002</v>
      </c>
      <c r="H38" s="42">
        <f t="shared" ref="H38:H51" si="11">$J$6*F38</f>
        <v>6219.8917201200011</v>
      </c>
      <c r="I38" s="42">
        <f t="shared" ref="I38:I51" si="12">F38+H38</f>
        <v>28577.518320120005</v>
      </c>
      <c r="J38" s="432">
        <f t="shared" ref="J38:J51" si="13">E38*I38</f>
        <v>142887.59160060002</v>
      </c>
      <c r="K38" s="475">
        <f>F38</f>
        <v>22357.626600000003</v>
      </c>
      <c r="L38" s="415">
        <f t="shared" ref="L38:L51" si="14">E38*K38</f>
        <v>111788.13300000002</v>
      </c>
      <c r="M38" s="255">
        <f t="shared" ref="M38:M51" si="15">$O$6*K38</f>
        <v>5415.017162520001</v>
      </c>
      <c r="N38" s="42">
        <f t="shared" ref="N38:N51" si="16">K38+M38</f>
        <v>27772.643762520005</v>
      </c>
      <c r="O38" s="430">
        <f t="shared" ref="O38:O51" si="17">E38*N38</f>
        <v>138863.21881260001</v>
      </c>
      <c r="P38" s="322"/>
      <c r="Q38" s="322"/>
      <c r="R38" s="322"/>
      <c r="S38" s="322"/>
      <c r="T38" s="322"/>
      <c r="U38" s="322"/>
      <c r="V38" s="322"/>
      <c r="W38" s="322"/>
      <c r="X38" s="322"/>
      <c r="Y38" s="322"/>
      <c r="Z38" s="322"/>
      <c r="AA38" s="322"/>
      <c r="AB38" s="322"/>
      <c r="AC38" s="322"/>
      <c r="AD38" s="322"/>
      <c r="AE38" s="322"/>
      <c r="AF38" s="322"/>
      <c r="AG38" s="322"/>
      <c r="AH38" s="322"/>
      <c r="AI38" s="322"/>
      <c r="AJ38" s="322"/>
      <c r="AK38" s="322"/>
      <c r="AL38" s="322"/>
      <c r="AM38" s="322"/>
      <c r="AN38" s="322"/>
      <c r="AO38" s="322"/>
      <c r="AP38" s="322"/>
      <c r="AQ38" s="322"/>
      <c r="AR38" s="322"/>
      <c r="AS38" s="322"/>
      <c r="AT38" s="322"/>
      <c r="AU38" s="322"/>
      <c r="AV38" s="322"/>
      <c r="AW38" s="322"/>
      <c r="AX38" s="322"/>
      <c r="AY38" s="322"/>
      <c r="AZ38" s="322"/>
      <c r="BA38" s="322"/>
      <c r="BB38" s="322"/>
      <c r="BC38" s="322"/>
      <c r="BD38" s="322"/>
      <c r="BE38" s="322"/>
      <c r="BF38" s="322"/>
      <c r="BG38" s="322"/>
      <c r="BH38" s="322"/>
    </row>
    <row r="39" spans="1:60" outlineLevel="2">
      <c r="A39" s="431" t="s">
        <v>367</v>
      </c>
      <c r="B39" s="37"/>
      <c r="C39" s="41" t="s">
        <v>191</v>
      </c>
      <c r="D39" s="38" t="s">
        <v>70</v>
      </c>
      <c r="E39" s="482">
        <f>13*5</f>
        <v>65</v>
      </c>
      <c r="F39" s="460">
        <v>13</v>
      </c>
      <c r="G39" s="106">
        <f t="shared" si="10"/>
        <v>845</v>
      </c>
      <c r="H39" s="42">
        <f t="shared" si="11"/>
        <v>3.6166</v>
      </c>
      <c r="I39" s="42">
        <f t="shared" si="12"/>
        <v>16.616599999999998</v>
      </c>
      <c r="J39" s="432">
        <f t="shared" si="13"/>
        <v>1080.079</v>
      </c>
      <c r="K39" s="475">
        <f t="shared" ref="K39:K51" si="18">F39</f>
        <v>13</v>
      </c>
      <c r="L39" s="415">
        <f t="shared" si="14"/>
        <v>845</v>
      </c>
      <c r="M39" s="255">
        <f t="shared" si="15"/>
        <v>3.1486000000000001</v>
      </c>
      <c r="N39" s="42">
        <f t="shared" si="16"/>
        <v>16.148600000000002</v>
      </c>
      <c r="O39" s="430">
        <f t="shared" si="17"/>
        <v>1049.6590000000001</v>
      </c>
      <c r="P39" s="322"/>
      <c r="Q39" s="322"/>
      <c r="R39" s="322"/>
      <c r="S39" s="322"/>
      <c r="T39" s="322"/>
      <c r="U39" s="322"/>
      <c r="V39" s="322"/>
      <c r="W39" s="322"/>
      <c r="X39" s="322"/>
      <c r="Y39" s="322"/>
      <c r="Z39" s="322"/>
      <c r="AA39" s="322"/>
      <c r="AB39" s="322"/>
      <c r="AC39" s="322"/>
      <c r="AD39" s="322"/>
      <c r="AE39" s="322"/>
      <c r="AF39" s="322"/>
      <c r="AG39" s="322"/>
      <c r="AH39" s="322"/>
      <c r="AI39" s="322"/>
      <c r="AJ39" s="322"/>
      <c r="AK39" s="322"/>
      <c r="AL39" s="322"/>
      <c r="AM39" s="322"/>
      <c r="AN39" s="322"/>
      <c r="AO39" s="322"/>
      <c r="AP39" s="322"/>
      <c r="AQ39" s="322"/>
      <c r="AR39" s="322"/>
      <c r="AS39" s="322"/>
      <c r="AT39" s="322"/>
      <c r="AU39" s="322"/>
      <c r="AV39" s="322"/>
      <c r="AW39" s="322"/>
      <c r="AX39" s="322"/>
      <c r="AY39" s="322"/>
      <c r="AZ39" s="322"/>
      <c r="BA39" s="322"/>
      <c r="BB39" s="322"/>
      <c r="BC39" s="322"/>
      <c r="BD39" s="322"/>
      <c r="BE39" s="322"/>
      <c r="BF39" s="322"/>
      <c r="BG39" s="322"/>
      <c r="BH39" s="322"/>
    </row>
    <row r="40" spans="1:60" ht="20.5" outlineLevel="2">
      <c r="A40" s="431" t="s">
        <v>367</v>
      </c>
      <c r="B40" s="37" t="s">
        <v>69</v>
      </c>
      <c r="C40" s="41" t="s">
        <v>202</v>
      </c>
      <c r="D40" s="38" t="s">
        <v>263</v>
      </c>
      <c r="E40" s="487">
        <f>22*2*5</f>
        <v>220</v>
      </c>
      <c r="F40" s="460">
        <v>280</v>
      </c>
      <c r="G40" s="106">
        <f t="shared" si="10"/>
        <v>61600</v>
      </c>
      <c r="H40" s="42">
        <f t="shared" si="11"/>
        <v>77.896000000000001</v>
      </c>
      <c r="I40" s="42">
        <f t="shared" si="12"/>
        <v>357.89600000000002</v>
      </c>
      <c r="J40" s="432">
        <f t="shared" si="13"/>
        <v>78737.12000000001</v>
      </c>
      <c r="K40" s="475">
        <f t="shared" si="18"/>
        <v>280</v>
      </c>
      <c r="L40" s="415">
        <f t="shared" si="14"/>
        <v>61600</v>
      </c>
      <c r="M40" s="255">
        <f t="shared" si="15"/>
        <v>67.816000000000003</v>
      </c>
      <c r="N40" s="42">
        <f t="shared" si="16"/>
        <v>347.81600000000003</v>
      </c>
      <c r="O40" s="430">
        <f t="shared" si="17"/>
        <v>76519.520000000004</v>
      </c>
      <c r="P40" s="322"/>
      <c r="Q40" s="322"/>
      <c r="R40" s="322"/>
      <c r="S40" s="322"/>
      <c r="T40" s="322"/>
      <c r="U40" s="322"/>
      <c r="V40" s="322"/>
      <c r="W40" s="322"/>
      <c r="X40" s="322"/>
      <c r="Y40" s="322"/>
      <c r="Z40" s="322"/>
      <c r="AA40" s="322"/>
      <c r="AB40" s="322"/>
      <c r="AC40" s="322"/>
      <c r="AD40" s="322"/>
      <c r="AE40" s="322"/>
      <c r="AF40" s="322"/>
      <c r="AG40" s="322"/>
      <c r="AH40" s="322"/>
      <c r="AI40" s="322"/>
      <c r="AJ40" s="322"/>
      <c r="AK40" s="322"/>
      <c r="AL40" s="322"/>
      <c r="AM40" s="322"/>
      <c r="AN40" s="322"/>
      <c r="AO40" s="322"/>
      <c r="AP40" s="322"/>
      <c r="AQ40" s="322"/>
      <c r="AR40" s="322"/>
      <c r="AS40" s="322"/>
      <c r="AT40" s="322"/>
      <c r="AU40" s="322"/>
      <c r="AV40" s="322"/>
      <c r="AW40" s="322"/>
      <c r="AX40" s="322"/>
      <c r="AY40" s="322"/>
      <c r="AZ40" s="322"/>
      <c r="BA40" s="322"/>
      <c r="BB40" s="322"/>
      <c r="BC40" s="322"/>
      <c r="BD40" s="322"/>
      <c r="BE40" s="322"/>
      <c r="BF40" s="322"/>
      <c r="BG40" s="322"/>
      <c r="BH40" s="322"/>
    </row>
    <row r="41" spans="1:60" ht="20.5" outlineLevel="2">
      <c r="A41" s="429" t="s">
        <v>368</v>
      </c>
      <c r="B41" s="37" t="s">
        <v>71</v>
      </c>
      <c r="C41" s="41" t="s">
        <v>192</v>
      </c>
      <c r="D41" s="38" t="s">
        <v>70</v>
      </c>
      <c r="E41" s="487">
        <f>4*5</f>
        <v>20</v>
      </c>
      <c r="F41" s="460">
        <f>195.56</f>
        <v>195.56</v>
      </c>
      <c r="G41" s="106">
        <f t="shared" si="10"/>
        <v>3911.2</v>
      </c>
      <c r="H41" s="42">
        <f t="shared" si="11"/>
        <v>54.404792</v>
      </c>
      <c r="I41" s="42">
        <f t="shared" si="12"/>
        <v>249.96479199999999</v>
      </c>
      <c r="J41" s="432">
        <f t="shared" si="13"/>
        <v>4999.2958399999998</v>
      </c>
      <c r="K41" s="475">
        <f t="shared" si="18"/>
        <v>195.56</v>
      </c>
      <c r="L41" s="415">
        <f t="shared" si="14"/>
        <v>3911.2</v>
      </c>
      <c r="M41" s="255">
        <f t="shared" si="15"/>
        <v>47.364632</v>
      </c>
      <c r="N41" s="42">
        <f t="shared" si="16"/>
        <v>242.924632</v>
      </c>
      <c r="O41" s="430">
        <f t="shared" si="17"/>
        <v>4858.4926400000004</v>
      </c>
      <c r="P41" s="322"/>
      <c r="Q41" s="322"/>
      <c r="R41" s="322"/>
      <c r="S41" s="322"/>
      <c r="T41" s="322"/>
      <c r="U41" s="322"/>
      <c r="V41" s="322"/>
      <c r="W41" s="322"/>
      <c r="X41" s="322"/>
      <c r="Y41" s="322"/>
      <c r="Z41" s="322"/>
      <c r="AA41" s="322"/>
      <c r="AB41" s="322"/>
      <c r="AC41" s="322"/>
      <c r="AD41" s="322"/>
      <c r="AE41" s="322"/>
      <c r="AF41" s="322"/>
      <c r="AG41" s="322"/>
      <c r="AH41" s="322"/>
      <c r="AI41" s="322"/>
      <c r="AJ41" s="322"/>
      <c r="AK41" s="322"/>
      <c r="AL41" s="322"/>
      <c r="AM41" s="322"/>
      <c r="AN41" s="322"/>
      <c r="AO41" s="322"/>
      <c r="AP41" s="322"/>
      <c r="AQ41" s="322"/>
      <c r="AR41" s="322"/>
      <c r="AS41" s="322"/>
      <c r="AT41" s="322"/>
      <c r="AU41" s="322"/>
      <c r="AV41" s="322"/>
      <c r="AW41" s="322"/>
      <c r="AX41" s="322"/>
      <c r="AY41" s="322"/>
      <c r="AZ41" s="322"/>
      <c r="BA41" s="322"/>
      <c r="BB41" s="322"/>
      <c r="BC41" s="322"/>
      <c r="BD41" s="322"/>
      <c r="BE41" s="322"/>
      <c r="BF41" s="322"/>
      <c r="BG41" s="322"/>
      <c r="BH41" s="322"/>
    </row>
    <row r="42" spans="1:60" ht="30.5" outlineLevel="2">
      <c r="A42" s="431" t="s">
        <v>368</v>
      </c>
      <c r="B42" s="37"/>
      <c r="C42" s="41" t="s">
        <v>193</v>
      </c>
      <c r="D42" s="38" t="s">
        <v>70</v>
      </c>
      <c r="E42" s="482">
        <f>7*5</f>
        <v>35</v>
      </c>
      <c r="F42" s="460">
        <v>477.43</v>
      </c>
      <c r="G42" s="106">
        <f t="shared" si="10"/>
        <v>16710.05</v>
      </c>
      <c r="H42" s="42">
        <f t="shared" si="11"/>
        <v>132.82102599999999</v>
      </c>
      <c r="I42" s="42">
        <f t="shared" si="12"/>
        <v>610.25102600000002</v>
      </c>
      <c r="J42" s="432">
        <f t="shared" si="13"/>
        <v>21358.785910000002</v>
      </c>
      <c r="K42" s="475">
        <f t="shared" si="18"/>
        <v>477.43</v>
      </c>
      <c r="L42" s="415">
        <f t="shared" si="14"/>
        <v>16710.05</v>
      </c>
      <c r="M42" s="255">
        <f t="shared" si="15"/>
        <v>115.633546</v>
      </c>
      <c r="N42" s="42">
        <f t="shared" si="16"/>
        <v>593.06354599999997</v>
      </c>
      <c r="O42" s="430">
        <f t="shared" si="17"/>
        <v>20757.224109999999</v>
      </c>
      <c r="P42" s="322"/>
      <c r="Q42" s="322"/>
      <c r="R42" s="322"/>
      <c r="S42" s="322"/>
      <c r="T42" s="322"/>
      <c r="U42" s="322"/>
      <c r="V42" s="322"/>
      <c r="W42" s="322"/>
      <c r="X42" s="322"/>
      <c r="Y42" s="322"/>
      <c r="Z42" s="322"/>
      <c r="AA42" s="322"/>
      <c r="AB42" s="322"/>
      <c r="AC42" s="322"/>
      <c r="AD42" s="322"/>
      <c r="AE42" s="322"/>
      <c r="AF42" s="322"/>
      <c r="AG42" s="322"/>
      <c r="AH42" s="322"/>
      <c r="AI42" s="322"/>
      <c r="AJ42" s="322"/>
      <c r="AK42" s="322"/>
      <c r="AL42" s="322"/>
      <c r="AM42" s="322"/>
      <c r="AN42" s="322"/>
      <c r="AO42" s="322"/>
      <c r="AP42" s="322"/>
      <c r="AQ42" s="322"/>
      <c r="AR42" s="322"/>
      <c r="AS42" s="322"/>
      <c r="AT42" s="322"/>
      <c r="AU42" s="322"/>
      <c r="AV42" s="322"/>
      <c r="AW42" s="322"/>
      <c r="AX42" s="322"/>
      <c r="AY42" s="322"/>
      <c r="AZ42" s="322"/>
      <c r="BA42" s="322"/>
      <c r="BB42" s="322"/>
      <c r="BC42" s="322"/>
      <c r="BD42" s="322"/>
      <c r="BE42" s="322"/>
      <c r="BF42" s="322"/>
      <c r="BG42" s="322"/>
      <c r="BH42" s="322"/>
    </row>
    <row r="43" spans="1:60" outlineLevel="2">
      <c r="A43" s="431" t="s">
        <v>368</v>
      </c>
      <c r="B43" s="37"/>
      <c r="C43" s="41" t="s">
        <v>194</v>
      </c>
      <c r="D43" s="38" t="s">
        <v>70</v>
      </c>
      <c r="E43" s="482">
        <f>6*5</f>
        <v>30</v>
      </c>
      <c r="F43" s="460">
        <v>477.43</v>
      </c>
      <c r="G43" s="106">
        <f t="shared" si="10"/>
        <v>14322.9</v>
      </c>
      <c r="H43" s="42">
        <f t="shared" si="11"/>
        <v>132.82102599999999</v>
      </c>
      <c r="I43" s="42">
        <f t="shared" si="12"/>
        <v>610.25102600000002</v>
      </c>
      <c r="J43" s="432">
        <f t="shared" si="13"/>
        <v>18307.530780000001</v>
      </c>
      <c r="K43" s="475">
        <f t="shared" si="18"/>
        <v>477.43</v>
      </c>
      <c r="L43" s="415">
        <f t="shared" si="14"/>
        <v>14322.9</v>
      </c>
      <c r="M43" s="255">
        <f t="shared" si="15"/>
        <v>115.633546</v>
      </c>
      <c r="N43" s="42">
        <f t="shared" si="16"/>
        <v>593.06354599999997</v>
      </c>
      <c r="O43" s="430">
        <f t="shared" si="17"/>
        <v>17791.90638</v>
      </c>
      <c r="P43" s="322"/>
      <c r="Q43" s="322"/>
      <c r="R43" s="322"/>
      <c r="S43" s="322"/>
      <c r="T43" s="322"/>
      <c r="U43" s="322"/>
      <c r="V43" s="322"/>
      <c r="W43" s="322"/>
      <c r="X43" s="322"/>
      <c r="Y43" s="322"/>
      <c r="Z43" s="322"/>
      <c r="AA43" s="322"/>
      <c r="AB43" s="322"/>
      <c r="AC43" s="322"/>
      <c r="AD43" s="322"/>
      <c r="AE43" s="322"/>
      <c r="AF43" s="322"/>
      <c r="AG43" s="322"/>
      <c r="AH43" s="322"/>
      <c r="AI43" s="322"/>
      <c r="AJ43" s="322"/>
      <c r="AK43" s="322"/>
      <c r="AL43" s="322"/>
      <c r="AM43" s="322"/>
      <c r="AN43" s="322"/>
      <c r="AO43" s="322"/>
      <c r="AP43" s="322"/>
      <c r="AQ43" s="322"/>
      <c r="AR43" s="322"/>
      <c r="AS43" s="322"/>
      <c r="AT43" s="322"/>
      <c r="AU43" s="322"/>
      <c r="AV43" s="322"/>
      <c r="AW43" s="322"/>
      <c r="AX43" s="322"/>
      <c r="AY43" s="322"/>
      <c r="AZ43" s="322"/>
      <c r="BA43" s="322"/>
      <c r="BB43" s="322"/>
      <c r="BC43" s="322"/>
      <c r="BD43" s="322"/>
      <c r="BE43" s="322"/>
      <c r="BF43" s="322"/>
      <c r="BG43" s="322"/>
      <c r="BH43" s="322"/>
    </row>
    <row r="44" spans="1:60" outlineLevel="2">
      <c r="A44" s="431" t="s">
        <v>367</v>
      </c>
      <c r="B44" s="37"/>
      <c r="C44" s="41" t="s">
        <v>199</v>
      </c>
      <c r="D44" s="38" t="s">
        <v>262</v>
      </c>
      <c r="E44" s="482">
        <f>4*5</f>
        <v>20</v>
      </c>
      <c r="F44" s="460">
        <v>265.3</v>
      </c>
      <c r="G44" s="106">
        <f t="shared" si="10"/>
        <v>5306</v>
      </c>
      <c r="H44" s="42">
        <f t="shared" si="11"/>
        <v>73.806460000000001</v>
      </c>
      <c r="I44" s="42">
        <f t="shared" si="12"/>
        <v>339.10646000000003</v>
      </c>
      <c r="J44" s="432">
        <f t="shared" si="13"/>
        <v>6782.1292000000003</v>
      </c>
      <c r="K44" s="475">
        <f t="shared" si="18"/>
        <v>265.3</v>
      </c>
      <c r="L44" s="415">
        <f t="shared" si="14"/>
        <v>5306</v>
      </c>
      <c r="M44" s="255">
        <f t="shared" si="15"/>
        <v>64.255660000000006</v>
      </c>
      <c r="N44" s="42">
        <f t="shared" si="16"/>
        <v>329.55565999999999</v>
      </c>
      <c r="O44" s="430">
        <f t="shared" si="17"/>
        <v>6591.1131999999998</v>
      </c>
      <c r="P44" s="322"/>
      <c r="Q44" s="322"/>
      <c r="R44" s="322"/>
      <c r="S44" s="322"/>
      <c r="T44" s="322"/>
      <c r="U44" s="322"/>
      <c r="V44" s="322"/>
      <c r="W44" s="322"/>
      <c r="X44" s="322"/>
      <c r="Y44" s="322"/>
      <c r="Z44" s="322"/>
      <c r="AA44" s="322"/>
      <c r="AB44" s="322"/>
      <c r="AC44" s="322"/>
      <c r="AD44" s="322"/>
      <c r="AE44" s="322"/>
      <c r="AF44" s="322"/>
      <c r="AG44" s="322"/>
      <c r="AH44" s="322"/>
      <c r="AI44" s="322"/>
      <c r="AJ44" s="322"/>
      <c r="AK44" s="322"/>
      <c r="AL44" s="322"/>
      <c r="AM44" s="322"/>
      <c r="AN44" s="322"/>
      <c r="AO44" s="322"/>
      <c r="AP44" s="322"/>
      <c r="AQ44" s="322"/>
      <c r="AR44" s="322"/>
      <c r="AS44" s="322"/>
      <c r="AT44" s="322"/>
      <c r="AU44" s="322"/>
      <c r="AV44" s="322"/>
      <c r="AW44" s="322"/>
      <c r="AX44" s="322"/>
      <c r="AY44" s="322"/>
      <c r="AZ44" s="322"/>
      <c r="BA44" s="322"/>
      <c r="BB44" s="322"/>
      <c r="BC44" s="322"/>
      <c r="BD44" s="322"/>
      <c r="BE44" s="322"/>
      <c r="BF44" s="322"/>
      <c r="BG44" s="322"/>
      <c r="BH44" s="322"/>
    </row>
    <row r="45" spans="1:60" outlineLevel="2">
      <c r="A45" s="431" t="s">
        <v>367</v>
      </c>
      <c r="B45" s="37"/>
      <c r="C45" s="41" t="s">
        <v>200</v>
      </c>
      <c r="D45" s="38" t="s">
        <v>70</v>
      </c>
      <c r="E45" s="482">
        <f>32*5*2</f>
        <v>320</v>
      </c>
      <c r="F45" s="460">
        <v>193</v>
      </c>
      <c r="G45" s="106">
        <f t="shared" si="10"/>
        <v>61760</v>
      </c>
      <c r="H45" s="42">
        <f t="shared" si="11"/>
        <v>53.692599999999999</v>
      </c>
      <c r="I45" s="42">
        <f t="shared" si="12"/>
        <v>246.6926</v>
      </c>
      <c r="J45" s="432">
        <f t="shared" si="13"/>
        <v>78941.631999999998</v>
      </c>
      <c r="K45" s="475">
        <f t="shared" si="18"/>
        <v>193</v>
      </c>
      <c r="L45" s="415">
        <f t="shared" si="14"/>
        <v>61760</v>
      </c>
      <c r="M45" s="255">
        <f t="shared" si="15"/>
        <v>46.744599999999998</v>
      </c>
      <c r="N45" s="42">
        <f t="shared" si="16"/>
        <v>239.74459999999999</v>
      </c>
      <c r="O45" s="430">
        <f t="shared" si="17"/>
        <v>76718.271999999997</v>
      </c>
      <c r="P45" s="322"/>
      <c r="Q45" s="322"/>
      <c r="R45" s="322"/>
      <c r="S45" s="322"/>
      <c r="T45" s="322"/>
      <c r="U45" s="322"/>
      <c r="V45" s="322"/>
      <c r="W45" s="322"/>
      <c r="X45" s="322"/>
      <c r="Y45" s="322"/>
      <c r="Z45" s="322"/>
      <c r="AA45" s="322"/>
      <c r="AB45" s="322"/>
      <c r="AC45" s="322"/>
      <c r="AD45" s="322"/>
      <c r="AE45" s="322"/>
      <c r="AF45" s="322"/>
      <c r="AG45" s="322"/>
      <c r="AH45" s="322"/>
      <c r="AI45" s="322"/>
      <c r="AJ45" s="322"/>
      <c r="AK45" s="322"/>
      <c r="AL45" s="322"/>
      <c r="AM45" s="322"/>
      <c r="AN45" s="322"/>
      <c r="AO45" s="322"/>
      <c r="AP45" s="322"/>
      <c r="AQ45" s="322"/>
      <c r="AR45" s="322"/>
      <c r="AS45" s="322"/>
      <c r="AT45" s="322"/>
      <c r="AU45" s="322"/>
      <c r="AV45" s="322"/>
      <c r="AW45" s="322"/>
      <c r="AX45" s="322"/>
      <c r="AY45" s="322"/>
      <c r="AZ45" s="322"/>
      <c r="BA45" s="322"/>
      <c r="BB45" s="322"/>
      <c r="BC45" s="322"/>
      <c r="BD45" s="322"/>
      <c r="BE45" s="322"/>
      <c r="BF45" s="322"/>
      <c r="BG45" s="322"/>
      <c r="BH45" s="322"/>
    </row>
    <row r="46" spans="1:60" outlineLevel="2">
      <c r="A46" s="431" t="s">
        <v>367</v>
      </c>
      <c r="B46" s="37"/>
      <c r="C46" s="41" t="s">
        <v>195</v>
      </c>
      <c r="D46" s="38" t="s">
        <v>70</v>
      </c>
      <c r="E46" s="488">
        <f>(147*5)</f>
        <v>735</v>
      </c>
      <c r="F46" s="460">
        <v>56.1</v>
      </c>
      <c r="G46" s="106">
        <f t="shared" si="10"/>
        <v>41233.5</v>
      </c>
      <c r="H46" s="42">
        <f t="shared" si="11"/>
        <v>15.60702</v>
      </c>
      <c r="I46" s="42">
        <f t="shared" si="12"/>
        <v>71.70702</v>
      </c>
      <c r="J46" s="432">
        <f t="shared" si="13"/>
        <v>52704.659699999997</v>
      </c>
      <c r="K46" s="475">
        <f t="shared" si="18"/>
        <v>56.1</v>
      </c>
      <c r="L46" s="415">
        <f t="shared" si="14"/>
        <v>41233.5</v>
      </c>
      <c r="M46" s="255">
        <f t="shared" si="15"/>
        <v>13.58742</v>
      </c>
      <c r="N46" s="42">
        <f t="shared" si="16"/>
        <v>69.687420000000003</v>
      </c>
      <c r="O46" s="430">
        <f t="shared" si="17"/>
        <v>51220.253700000001</v>
      </c>
      <c r="P46" s="322"/>
      <c r="Q46" s="322"/>
      <c r="R46" s="322"/>
      <c r="S46" s="322"/>
      <c r="T46" s="322"/>
      <c r="U46" s="322"/>
      <c r="V46" s="322"/>
      <c r="W46" s="322"/>
      <c r="X46" s="322"/>
      <c r="Y46" s="322"/>
      <c r="Z46" s="322"/>
      <c r="AA46" s="322"/>
      <c r="AB46" s="322"/>
      <c r="AC46" s="322"/>
      <c r="AD46" s="322"/>
      <c r="AE46" s="322"/>
      <c r="AF46" s="322"/>
      <c r="AG46" s="322"/>
      <c r="AH46" s="322"/>
      <c r="AI46" s="322"/>
      <c r="AJ46" s="322"/>
      <c r="AK46" s="322"/>
      <c r="AL46" s="322"/>
      <c r="AM46" s="322"/>
      <c r="AN46" s="322"/>
      <c r="AO46" s="322"/>
      <c r="AP46" s="322"/>
      <c r="AQ46" s="322"/>
      <c r="AR46" s="322"/>
      <c r="AS46" s="322"/>
      <c r="AT46" s="322"/>
      <c r="AU46" s="322"/>
      <c r="AV46" s="322"/>
      <c r="AW46" s="322"/>
      <c r="AX46" s="322"/>
      <c r="AY46" s="322"/>
      <c r="AZ46" s="322"/>
      <c r="BA46" s="322"/>
      <c r="BB46" s="322"/>
      <c r="BC46" s="322"/>
      <c r="BD46" s="322"/>
      <c r="BE46" s="322"/>
      <c r="BF46" s="322"/>
      <c r="BG46" s="322"/>
      <c r="BH46" s="322"/>
    </row>
    <row r="47" spans="1:60" outlineLevel="2">
      <c r="A47" s="429" t="s">
        <v>406</v>
      </c>
      <c r="B47" s="37"/>
      <c r="C47" s="41" t="s">
        <v>196</v>
      </c>
      <c r="D47" s="38" t="s">
        <v>70</v>
      </c>
      <c r="E47" s="482">
        <f>2*5</f>
        <v>10</v>
      </c>
      <c r="F47" s="475">
        <f>(6498+6239.12)/2</f>
        <v>6368.5599999999995</v>
      </c>
      <c r="G47" s="106">
        <f t="shared" si="10"/>
        <v>63685.599999999991</v>
      </c>
      <c r="H47" s="42">
        <f t="shared" si="11"/>
        <v>1771.7333919999999</v>
      </c>
      <c r="I47" s="42">
        <f t="shared" si="12"/>
        <v>8140.2933919999996</v>
      </c>
      <c r="J47" s="432">
        <f t="shared" si="13"/>
        <v>81402.933919999996</v>
      </c>
      <c r="K47" s="475">
        <f t="shared" si="18"/>
        <v>6368.5599999999995</v>
      </c>
      <c r="L47" s="415">
        <f t="shared" si="14"/>
        <v>63685.599999999991</v>
      </c>
      <c r="M47" s="255">
        <f t="shared" si="15"/>
        <v>1542.4652319999998</v>
      </c>
      <c r="N47" s="42">
        <f t="shared" si="16"/>
        <v>7911.0252319999991</v>
      </c>
      <c r="O47" s="430">
        <f t="shared" si="17"/>
        <v>79110.252319999985</v>
      </c>
      <c r="P47" s="322"/>
      <c r="Q47" s="322"/>
      <c r="R47" s="322"/>
      <c r="S47" s="322"/>
      <c r="T47" s="322"/>
      <c r="U47" s="322"/>
      <c r="V47" s="322"/>
      <c r="W47" s="322"/>
      <c r="X47" s="322"/>
      <c r="Y47" s="322"/>
      <c r="Z47" s="322"/>
      <c r="AA47" s="322"/>
      <c r="AB47" s="322"/>
      <c r="AC47" s="322"/>
      <c r="AD47" s="322"/>
      <c r="AE47" s="322"/>
      <c r="AF47" s="322"/>
      <c r="AG47" s="322"/>
      <c r="AH47" s="322"/>
      <c r="AI47" s="322"/>
      <c r="AJ47" s="322"/>
      <c r="AK47" s="322"/>
      <c r="AL47" s="322"/>
      <c r="AM47" s="322"/>
      <c r="AN47" s="322"/>
      <c r="AO47" s="322"/>
      <c r="AP47" s="322"/>
      <c r="AQ47" s="322"/>
      <c r="AR47" s="322"/>
      <c r="AS47" s="322"/>
      <c r="AT47" s="322"/>
      <c r="AU47" s="322"/>
      <c r="AV47" s="322"/>
      <c r="AW47" s="322"/>
      <c r="AX47" s="322"/>
      <c r="AY47" s="322"/>
      <c r="AZ47" s="322"/>
      <c r="BA47" s="322"/>
      <c r="BB47" s="322"/>
      <c r="BC47" s="322"/>
      <c r="BD47" s="322"/>
      <c r="BE47" s="322"/>
      <c r="BF47" s="322"/>
      <c r="BG47" s="322"/>
      <c r="BH47" s="322"/>
    </row>
    <row r="48" spans="1:60" ht="13" outlineLevel="2">
      <c r="A48" s="434" t="s">
        <v>68</v>
      </c>
      <c r="B48" s="300"/>
      <c r="C48" s="41" t="s">
        <v>407</v>
      </c>
      <c r="D48" s="38" t="s">
        <v>70</v>
      </c>
      <c r="E48" s="482">
        <v>1</v>
      </c>
      <c r="F48" s="475">
        <f>'Inspeção Predial'!G3</f>
        <v>18636.896000000001</v>
      </c>
      <c r="G48" s="106">
        <f t="shared" si="10"/>
        <v>18636.896000000001</v>
      </c>
      <c r="H48" s="42">
        <f t="shared" si="11"/>
        <v>5184.7844672000001</v>
      </c>
      <c r="I48" s="42">
        <f t="shared" si="12"/>
        <v>23821.6804672</v>
      </c>
      <c r="J48" s="432">
        <f t="shared" si="13"/>
        <v>23821.6804672</v>
      </c>
      <c r="K48" s="475">
        <f t="shared" si="18"/>
        <v>18636.896000000001</v>
      </c>
      <c r="L48" s="415">
        <f t="shared" si="14"/>
        <v>18636.896000000001</v>
      </c>
      <c r="M48" s="255">
        <f t="shared" si="15"/>
        <v>4513.8562112</v>
      </c>
      <c r="N48" s="42">
        <f t="shared" si="16"/>
        <v>23150.752211200001</v>
      </c>
      <c r="O48" s="430">
        <f t="shared" si="17"/>
        <v>23150.752211200001</v>
      </c>
      <c r="P48" s="322"/>
      <c r="Q48" s="322"/>
      <c r="R48" s="322"/>
      <c r="S48" s="322"/>
      <c r="T48" s="322"/>
      <c r="U48" s="322"/>
      <c r="V48" s="322"/>
      <c r="W48" s="322"/>
      <c r="X48" s="322"/>
      <c r="Y48" s="322"/>
      <c r="Z48" s="322"/>
      <c r="AA48" s="322"/>
      <c r="AB48" s="322"/>
      <c r="AC48" s="322"/>
      <c r="AD48" s="322"/>
      <c r="AE48" s="322"/>
      <c r="AF48" s="322"/>
      <c r="AG48" s="322"/>
      <c r="AH48" s="322"/>
      <c r="AI48" s="322"/>
      <c r="AJ48" s="322"/>
      <c r="AK48" s="322"/>
      <c r="AL48" s="322"/>
      <c r="AM48" s="322"/>
      <c r="AN48" s="322"/>
      <c r="AO48" s="322"/>
      <c r="AP48" s="322"/>
      <c r="AQ48" s="322"/>
      <c r="AR48" s="322"/>
      <c r="AS48" s="322"/>
      <c r="AT48" s="322"/>
      <c r="AU48" s="322"/>
      <c r="AV48" s="322"/>
      <c r="AW48" s="322"/>
      <c r="AX48" s="322"/>
      <c r="AY48" s="322"/>
      <c r="AZ48" s="322"/>
      <c r="BA48" s="322"/>
      <c r="BB48" s="322"/>
      <c r="BC48" s="322"/>
      <c r="BD48" s="322"/>
      <c r="BE48" s="322"/>
      <c r="BF48" s="322"/>
      <c r="BG48" s="322"/>
      <c r="BH48" s="322"/>
    </row>
    <row r="49" spans="1:60" outlineLevel="2">
      <c r="A49" s="431" t="s">
        <v>368</v>
      </c>
      <c r="B49" s="37"/>
      <c r="C49" s="41" t="s">
        <v>197</v>
      </c>
      <c r="D49" s="38" t="s">
        <v>70</v>
      </c>
      <c r="E49" s="487">
        <v>10</v>
      </c>
      <c r="F49" s="489">
        <v>599</v>
      </c>
      <c r="G49" s="106">
        <f t="shared" si="10"/>
        <v>5990</v>
      </c>
      <c r="H49" s="42">
        <f t="shared" si="11"/>
        <v>166.64179999999999</v>
      </c>
      <c r="I49" s="42">
        <f t="shared" si="12"/>
        <v>765.64179999999999</v>
      </c>
      <c r="J49" s="432">
        <f t="shared" si="13"/>
        <v>7656.4179999999997</v>
      </c>
      <c r="K49" s="475">
        <f t="shared" si="18"/>
        <v>599</v>
      </c>
      <c r="L49" s="415">
        <f t="shared" si="14"/>
        <v>5990</v>
      </c>
      <c r="M49" s="255">
        <f t="shared" si="15"/>
        <v>145.0778</v>
      </c>
      <c r="N49" s="42">
        <f t="shared" si="16"/>
        <v>744.07780000000002</v>
      </c>
      <c r="O49" s="430">
        <f t="shared" si="17"/>
        <v>7440.7780000000002</v>
      </c>
      <c r="P49" s="322"/>
      <c r="Q49" s="322"/>
      <c r="R49" s="322"/>
      <c r="S49" s="322"/>
      <c r="T49" s="322"/>
      <c r="U49" s="322"/>
      <c r="V49" s="322"/>
      <c r="W49" s="322"/>
      <c r="X49" s="322"/>
      <c r="Y49" s="322"/>
      <c r="Z49" s="322"/>
      <c r="AA49" s="322"/>
      <c r="AB49" s="322"/>
      <c r="AC49" s="322"/>
      <c r="AD49" s="322"/>
      <c r="AE49" s="322"/>
      <c r="AF49" s="322"/>
      <c r="AG49" s="322"/>
      <c r="AH49" s="322"/>
      <c r="AI49" s="322"/>
      <c r="AJ49" s="322"/>
      <c r="AK49" s="322"/>
      <c r="AL49" s="322"/>
      <c r="AM49" s="322"/>
      <c r="AN49" s="322"/>
      <c r="AO49" s="322"/>
      <c r="AP49" s="322"/>
      <c r="AQ49" s="322"/>
      <c r="AR49" s="322"/>
      <c r="AS49" s="322"/>
      <c r="AT49" s="322"/>
      <c r="AU49" s="322"/>
      <c r="AV49" s="322"/>
      <c r="AW49" s="322"/>
      <c r="AX49" s="322"/>
      <c r="AY49" s="322"/>
      <c r="AZ49" s="322"/>
      <c r="BA49" s="322"/>
      <c r="BB49" s="322"/>
      <c r="BC49" s="322"/>
      <c r="BD49" s="322"/>
      <c r="BE49" s="322"/>
      <c r="BF49" s="322"/>
      <c r="BG49" s="322"/>
      <c r="BH49" s="322"/>
    </row>
    <row r="50" spans="1:60" outlineLevel="2">
      <c r="A50" s="431" t="s">
        <v>368</v>
      </c>
      <c r="B50" s="37"/>
      <c r="C50" s="41" t="s">
        <v>198</v>
      </c>
      <c r="D50" s="38" t="s">
        <v>70</v>
      </c>
      <c r="E50" s="488">
        <f>(34*5*2)</f>
        <v>340</v>
      </c>
      <c r="F50" s="460">
        <v>21.5</v>
      </c>
      <c r="G50" s="106">
        <f t="shared" si="10"/>
        <v>7310</v>
      </c>
      <c r="H50" s="42">
        <f t="shared" si="11"/>
        <v>5.9813000000000001</v>
      </c>
      <c r="I50" s="42">
        <f t="shared" si="12"/>
        <v>27.481300000000001</v>
      </c>
      <c r="J50" s="432">
        <f t="shared" si="13"/>
        <v>9343.6419999999998</v>
      </c>
      <c r="K50" s="475">
        <f t="shared" si="18"/>
        <v>21.5</v>
      </c>
      <c r="L50" s="415">
        <f t="shared" si="14"/>
        <v>7310</v>
      </c>
      <c r="M50" s="255">
        <f t="shared" si="15"/>
        <v>5.2073</v>
      </c>
      <c r="N50" s="42">
        <f t="shared" si="16"/>
        <v>26.7073</v>
      </c>
      <c r="O50" s="430">
        <f t="shared" si="17"/>
        <v>9080.482</v>
      </c>
      <c r="P50" s="322"/>
      <c r="Q50" s="322"/>
      <c r="R50" s="322"/>
      <c r="S50" s="322"/>
      <c r="T50" s="322"/>
      <c r="U50" s="322"/>
      <c r="V50" s="322"/>
      <c r="W50" s="322"/>
      <c r="X50" s="322"/>
      <c r="Y50" s="322"/>
      <c r="Z50" s="322"/>
      <c r="AA50" s="322"/>
      <c r="AB50" s="322"/>
      <c r="AC50" s="322"/>
      <c r="AD50" s="322"/>
      <c r="AE50" s="322"/>
      <c r="AF50" s="322"/>
      <c r="AG50" s="322"/>
      <c r="AH50" s="322"/>
      <c r="AI50" s="322"/>
      <c r="AJ50" s="322"/>
      <c r="AK50" s="322"/>
      <c r="AL50" s="322"/>
      <c r="AM50" s="322"/>
      <c r="AN50" s="322"/>
      <c r="AO50" s="322"/>
      <c r="AP50" s="322"/>
      <c r="AQ50" s="322"/>
      <c r="AR50" s="322"/>
      <c r="AS50" s="322"/>
      <c r="AT50" s="322"/>
      <c r="AU50" s="322"/>
      <c r="AV50" s="322"/>
      <c r="AW50" s="322"/>
      <c r="AX50" s="322"/>
      <c r="AY50" s="322"/>
      <c r="AZ50" s="322"/>
      <c r="BA50" s="322"/>
      <c r="BB50" s="322"/>
      <c r="BC50" s="322"/>
      <c r="BD50" s="322"/>
      <c r="BE50" s="322"/>
      <c r="BF50" s="322"/>
      <c r="BG50" s="322"/>
      <c r="BH50" s="322"/>
    </row>
    <row r="51" spans="1:60" ht="13" outlineLevel="2" thickBot="1">
      <c r="A51" s="431" t="s">
        <v>68</v>
      </c>
      <c r="B51" s="37" t="s">
        <v>72</v>
      </c>
      <c r="C51" s="41" t="s">
        <v>73</v>
      </c>
      <c r="D51" s="38" t="s">
        <v>21</v>
      </c>
      <c r="E51" s="487">
        <v>3</v>
      </c>
      <c r="F51" s="477">
        <v>266</v>
      </c>
      <c r="G51" s="478">
        <f t="shared" si="10"/>
        <v>798</v>
      </c>
      <c r="H51" s="479">
        <f t="shared" si="11"/>
        <v>74.001199999999997</v>
      </c>
      <c r="I51" s="479">
        <f t="shared" si="12"/>
        <v>340.00119999999998</v>
      </c>
      <c r="J51" s="480">
        <f t="shared" si="13"/>
        <v>1020.0036</v>
      </c>
      <c r="K51" s="486">
        <f t="shared" si="18"/>
        <v>266</v>
      </c>
      <c r="L51" s="462">
        <f t="shared" si="14"/>
        <v>798</v>
      </c>
      <c r="M51" s="463">
        <f t="shared" si="15"/>
        <v>64.425200000000004</v>
      </c>
      <c r="N51" s="479">
        <f t="shared" si="16"/>
        <v>330.42520000000002</v>
      </c>
      <c r="O51" s="464">
        <f t="shared" si="17"/>
        <v>991.27560000000005</v>
      </c>
      <c r="P51" s="322"/>
      <c r="Q51" s="322"/>
      <c r="R51" s="322"/>
      <c r="S51" s="322"/>
      <c r="T51" s="322"/>
      <c r="U51" s="322"/>
      <c r="V51" s="322"/>
      <c r="W51" s="322"/>
      <c r="X51" s="322"/>
      <c r="Y51" s="322"/>
      <c r="Z51" s="322"/>
      <c r="AA51" s="322"/>
      <c r="AB51" s="322"/>
      <c r="AC51" s="322"/>
      <c r="AD51" s="322"/>
      <c r="AE51" s="322"/>
      <c r="AF51" s="322"/>
      <c r="AG51" s="322"/>
      <c r="AH51" s="322"/>
      <c r="AI51" s="322"/>
      <c r="AJ51" s="322"/>
      <c r="AK51" s="322"/>
      <c r="AL51" s="322"/>
      <c r="AM51" s="322"/>
      <c r="AN51" s="322"/>
      <c r="AO51" s="322"/>
      <c r="AP51" s="322"/>
      <c r="AQ51" s="322"/>
      <c r="AR51" s="322"/>
      <c r="AS51" s="322"/>
      <c r="AT51" s="322"/>
      <c r="AU51" s="322"/>
      <c r="AV51" s="322"/>
      <c r="AW51" s="322"/>
      <c r="AX51" s="322"/>
      <c r="AY51" s="322"/>
      <c r="AZ51" s="322"/>
      <c r="BA51" s="322"/>
      <c r="BB51" s="322"/>
      <c r="BC51" s="322"/>
      <c r="BD51" s="322"/>
      <c r="BE51" s="322"/>
      <c r="BF51" s="322"/>
      <c r="BG51" s="322"/>
      <c r="BH51" s="322"/>
    </row>
    <row r="52" spans="1:60" ht="13" outlineLevel="1" thickBot="1">
      <c r="A52" s="557" t="s">
        <v>24</v>
      </c>
      <c r="B52" s="558"/>
      <c r="C52" s="558"/>
      <c r="D52" s="558"/>
      <c r="E52" s="558"/>
      <c r="F52" s="553"/>
      <c r="G52" s="553"/>
      <c r="H52" s="553"/>
      <c r="I52" s="554"/>
      <c r="J52" s="471">
        <f>SUM(J38:J51)</f>
        <v>529043.50201780011</v>
      </c>
      <c r="K52" s="553"/>
      <c r="L52" s="553"/>
      <c r="M52" s="553"/>
      <c r="N52" s="554"/>
      <c r="O52" s="481">
        <f>SUM(O38:O51)</f>
        <v>514143.19997380004</v>
      </c>
      <c r="P52" s="322"/>
      <c r="Q52" s="322"/>
      <c r="R52" s="322"/>
      <c r="S52" s="322"/>
      <c r="T52" s="322"/>
      <c r="U52" s="322"/>
      <c r="V52" s="322"/>
      <c r="W52" s="322"/>
      <c r="X52" s="322"/>
      <c r="Y52" s="322"/>
      <c r="Z52" s="322"/>
      <c r="AA52" s="322"/>
      <c r="AB52" s="322"/>
      <c r="AC52" s="322"/>
      <c r="AD52" s="322"/>
      <c r="AE52" s="322"/>
      <c r="AF52" s="322"/>
      <c r="AG52" s="322"/>
      <c r="AH52" s="322"/>
      <c r="AI52" s="322"/>
      <c r="AJ52" s="322"/>
      <c r="AK52" s="322"/>
      <c r="AL52" s="322"/>
      <c r="AM52" s="322"/>
      <c r="AN52" s="322"/>
      <c r="AO52" s="322"/>
      <c r="AP52" s="322"/>
      <c r="AQ52" s="322"/>
      <c r="AR52" s="322"/>
      <c r="AS52" s="322"/>
      <c r="AT52" s="322"/>
      <c r="AU52" s="322"/>
      <c r="AV52" s="322"/>
      <c r="AW52" s="322"/>
      <c r="AX52" s="322"/>
      <c r="AY52" s="322"/>
      <c r="AZ52" s="322"/>
      <c r="BA52" s="322"/>
      <c r="BB52" s="322"/>
      <c r="BC52" s="322"/>
      <c r="BD52" s="322"/>
      <c r="BE52" s="322"/>
      <c r="BF52" s="322"/>
      <c r="BG52" s="322"/>
      <c r="BH52" s="322"/>
    </row>
    <row r="53" spans="1:60" outlineLevel="1">
      <c r="A53" s="433"/>
      <c r="B53" s="162"/>
      <c r="C53" s="162"/>
      <c r="D53" s="162"/>
      <c r="E53" s="162"/>
      <c r="F53" s="483"/>
      <c r="G53" s="484"/>
      <c r="H53" s="484"/>
      <c r="I53" s="484"/>
      <c r="J53" s="485"/>
      <c r="K53" s="483"/>
      <c r="L53" s="484"/>
      <c r="M53" s="484"/>
      <c r="N53" s="484"/>
      <c r="O53" s="485"/>
      <c r="P53" s="322"/>
      <c r="Q53" s="322"/>
      <c r="R53" s="322"/>
      <c r="S53" s="322"/>
      <c r="T53" s="322"/>
      <c r="U53" s="322"/>
      <c r="V53" s="322"/>
      <c r="W53" s="322"/>
      <c r="X53" s="322"/>
      <c r="Y53" s="322"/>
      <c r="Z53" s="322"/>
      <c r="AA53" s="322"/>
      <c r="AB53" s="322"/>
      <c r="AC53" s="322"/>
      <c r="AD53" s="322"/>
      <c r="AE53" s="322"/>
      <c r="AF53" s="322"/>
      <c r="AG53" s="322"/>
      <c r="AH53" s="322"/>
      <c r="AI53" s="322"/>
      <c r="AJ53" s="322"/>
      <c r="AK53" s="322"/>
      <c r="AL53" s="322"/>
      <c r="AM53" s="322"/>
      <c r="AN53" s="322"/>
      <c r="AO53" s="322"/>
      <c r="AP53" s="322"/>
      <c r="AQ53" s="322"/>
      <c r="AR53" s="322"/>
      <c r="AS53" s="322"/>
      <c r="AT53" s="322"/>
      <c r="AU53" s="322"/>
      <c r="AV53" s="322"/>
      <c r="AW53" s="322"/>
      <c r="AX53" s="322"/>
      <c r="AY53" s="322"/>
      <c r="AZ53" s="322"/>
      <c r="BA53" s="322"/>
      <c r="BB53" s="322"/>
      <c r="BC53" s="322"/>
      <c r="BD53" s="322"/>
      <c r="BE53" s="322"/>
      <c r="BF53" s="322"/>
      <c r="BG53" s="322"/>
      <c r="BH53" s="322"/>
    </row>
    <row r="54" spans="1:60">
      <c r="A54" s="435"/>
      <c r="B54" s="34" t="s">
        <v>14</v>
      </c>
      <c r="C54" s="35" t="s">
        <v>80</v>
      </c>
      <c r="D54" s="35"/>
      <c r="E54" s="490"/>
      <c r="F54" s="492"/>
      <c r="G54" s="35"/>
      <c r="H54" s="35"/>
      <c r="I54" s="35"/>
      <c r="J54" s="436">
        <f>J66+J74</f>
        <v>4293390.3305331189</v>
      </c>
      <c r="K54" s="492"/>
      <c r="L54" s="35"/>
      <c r="M54" s="35"/>
      <c r="N54" s="35"/>
      <c r="O54" s="436">
        <f>O66+O74</f>
        <v>4348977.9828132</v>
      </c>
      <c r="P54" s="322"/>
      <c r="Q54" s="322"/>
      <c r="R54" s="322"/>
      <c r="S54" s="322"/>
      <c r="T54" s="322"/>
      <c r="U54" s="322"/>
      <c r="V54" s="322"/>
      <c r="W54" s="322"/>
      <c r="X54" s="322"/>
      <c r="Y54" s="322"/>
      <c r="Z54" s="322"/>
      <c r="AA54" s="322"/>
      <c r="AB54" s="322"/>
      <c r="AC54" s="322"/>
      <c r="AD54" s="322"/>
      <c r="AE54" s="322"/>
      <c r="AF54" s="322"/>
      <c r="AG54" s="322"/>
      <c r="AH54" s="322"/>
      <c r="AI54" s="322"/>
      <c r="AJ54" s="322"/>
      <c r="AK54" s="322"/>
      <c r="AL54" s="322"/>
      <c r="AM54" s="322"/>
      <c r="AN54" s="322"/>
      <c r="AO54" s="322"/>
      <c r="AP54" s="322"/>
      <c r="AQ54" s="322"/>
      <c r="AR54" s="322"/>
      <c r="AS54" s="322"/>
      <c r="AT54" s="322"/>
      <c r="AU54" s="322"/>
      <c r="AV54" s="322"/>
      <c r="AW54" s="322"/>
      <c r="AX54" s="322"/>
      <c r="AY54" s="322"/>
      <c r="AZ54" s="322"/>
      <c r="BA54" s="322"/>
      <c r="BB54" s="322"/>
      <c r="BC54" s="322"/>
      <c r="BD54" s="322"/>
      <c r="BE54" s="322"/>
      <c r="BF54" s="322"/>
      <c r="BG54" s="322"/>
      <c r="BH54" s="322"/>
    </row>
    <row r="55" spans="1:60" outlineLevel="1">
      <c r="A55" s="427"/>
      <c r="B55" s="45" t="s">
        <v>126</v>
      </c>
      <c r="C55" s="46" t="s">
        <v>74</v>
      </c>
      <c r="D55" s="45"/>
      <c r="E55" s="466"/>
      <c r="F55" s="459"/>
      <c r="G55" s="48"/>
      <c r="H55" s="48"/>
      <c r="I55" s="48"/>
      <c r="J55" s="428"/>
      <c r="K55" s="459"/>
      <c r="L55" s="48"/>
      <c r="M55" s="48"/>
      <c r="N55" s="48"/>
      <c r="O55" s="428"/>
      <c r="P55" s="322"/>
      <c r="Q55" s="322"/>
      <c r="R55" s="322"/>
      <c r="S55" s="322"/>
      <c r="T55" s="322"/>
      <c r="U55" s="322"/>
      <c r="V55" s="322"/>
      <c r="W55" s="322"/>
      <c r="X55" s="322"/>
      <c r="Y55" s="322"/>
      <c r="Z55" s="322"/>
      <c r="AA55" s="322"/>
      <c r="AB55" s="322"/>
      <c r="AC55" s="322"/>
      <c r="AD55" s="322"/>
      <c r="AE55" s="322"/>
      <c r="AF55" s="322"/>
      <c r="AG55" s="322"/>
      <c r="AH55" s="322"/>
      <c r="AI55" s="322"/>
      <c r="AJ55" s="322"/>
      <c r="AK55" s="322"/>
      <c r="AL55" s="322"/>
      <c r="AM55" s="322"/>
      <c r="AN55" s="322"/>
      <c r="AO55" s="322"/>
      <c r="AP55" s="322"/>
      <c r="AQ55" s="322"/>
      <c r="AR55" s="322"/>
      <c r="AS55" s="322"/>
      <c r="AT55" s="322"/>
      <c r="AU55" s="322"/>
      <c r="AV55" s="322"/>
      <c r="AW55" s="322"/>
      <c r="AX55" s="322"/>
      <c r="AY55" s="322"/>
      <c r="AZ55" s="322"/>
      <c r="BA55" s="322"/>
      <c r="BB55" s="322"/>
      <c r="BC55" s="322"/>
      <c r="BD55" s="322"/>
      <c r="BE55" s="322"/>
      <c r="BF55" s="322"/>
      <c r="BG55" s="322"/>
      <c r="BH55" s="322"/>
    </row>
    <row r="56" spans="1:60" outlineLevel="2">
      <c r="A56" s="431" t="s">
        <v>25</v>
      </c>
      <c r="B56" s="37">
        <v>90778</v>
      </c>
      <c r="C56" s="41" t="s">
        <v>110</v>
      </c>
      <c r="D56" s="38" t="s">
        <v>26</v>
      </c>
      <c r="E56" s="470">
        <f>'Plano Mnt Hh'!I14</f>
        <v>215.99999999999997</v>
      </c>
      <c r="F56" s="476">
        <f t="shared" ref="F56:F65" si="19">F13</f>
        <v>121.61</v>
      </c>
      <c r="G56" s="106">
        <f t="shared" ref="G56:G65" si="20">E56*F56</f>
        <v>26267.759999999995</v>
      </c>
      <c r="H56" s="42">
        <f t="shared" ref="H56:H65" si="21">$J$6*F56</f>
        <v>33.831901999999999</v>
      </c>
      <c r="I56" s="42">
        <f t="shared" ref="I56:I65" si="22">F56+H56</f>
        <v>155.441902</v>
      </c>
      <c r="J56" s="432">
        <f t="shared" ref="J56:J65" si="23">E56*I56</f>
        <v>33575.450831999995</v>
      </c>
      <c r="K56" s="476">
        <f t="shared" ref="K56:K65" si="24">K13</f>
        <v>135.80000000000001</v>
      </c>
      <c r="L56" s="415">
        <f t="shared" ref="L56:L65" si="25">E56*K56</f>
        <v>29332.799999999999</v>
      </c>
      <c r="M56" s="255">
        <f t="shared" ref="M56:M65" si="26">$O$6*K56</f>
        <v>32.89076</v>
      </c>
      <c r="N56" s="42">
        <f t="shared" ref="N56:N65" si="27">K56+M56</f>
        <v>168.69076000000001</v>
      </c>
      <c r="O56" s="430">
        <f t="shared" ref="O56:O65" si="28">E56*N56</f>
        <v>36437.204160000001</v>
      </c>
      <c r="P56" s="322"/>
      <c r="Q56" s="322"/>
      <c r="R56" s="322"/>
      <c r="S56" s="322"/>
      <c r="T56" s="322"/>
      <c r="U56" s="322"/>
      <c r="V56" s="322"/>
      <c r="W56" s="322"/>
      <c r="X56" s="322"/>
      <c r="Y56" s="322"/>
      <c r="Z56" s="322"/>
      <c r="AA56" s="322"/>
      <c r="AB56" s="322"/>
      <c r="AC56" s="322"/>
      <c r="AD56" s="322"/>
      <c r="AE56" s="322"/>
      <c r="AF56" s="322"/>
      <c r="AG56" s="322"/>
      <c r="AH56" s="322"/>
      <c r="AI56" s="322"/>
      <c r="AJ56" s="322"/>
      <c r="AK56" s="322"/>
      <c r="AL56" s="322"/>
      <c r="AM56" s="322"/>
      <c r="AN56" s="322"/>
      <c r="AO56" s="322"/>
      <c r="AP56" s="322"/>
      <c r="AQ56" s="322"/>
      <c r="AR56" s="322"/>
      <c r="AS56" s="322"/>
      <c r="AT56" s="322"/>
      <c r="AU56" s="322"/>
      <c r="AV56" s="322"/>
      <c r="AW56" s="322"/>
      <c r="AX56" s="322"/>
      <c r="AY56" s="322"/>
      <c r="AZ56" s="322"/>
      <c r="BA56" s="322"/>
      <c r="BB56" s="322"/>
      <c r="BC56" s="322"/>
      <c r="BD56" s="322"/>
      <c r="BE56" s="322"/>
      <c r="BF56" s="322"/>
      <c r="BG56" s="322"/>
      <c r="BH56" s="322"/>
    </row>
    <row r="57" spans="1:60" outlineLevel="2">
      <c r="A57" s="431" t="s">
        <v>25</v>
      </c>
      <c r="B57" s="37">
        <v>100533</v>
      </c>
      <c r="C57" s="41" t="s">
        <v>111</v>
      </c>
      <c r="D57" s="38" t="s">
        <v>26</v>
      </c>
      <c r="E57" s="470">
        <f>'Plano Mnt Hh'!I13</f>
        <v>3960</v>
      </c>
      <c r="F57" s="476">
        <f t="shared" si="19"/>
        <v>30.27</v>
      </c>
      <c r="G57" s="106">
        <f t="shared" si="20"/>
        <v>119869.2</v>
      </c>
      <c r="H57" s="42">
        <f t="shared" si="21"/>
        <v>8.4211139999999993</v>
      </c>
      <c r="I57" s="42">
        <f t="shared" si="22"/>
        <v>38.691113999999999</v>
      </c>
      <c r="J57" s="432">
        <f t="shared" si="23"/>
        <v>153216.81143999999</v>
      </c>
      <c r="K57" s="476">
        <f t="shared" si="24"/>
        <v>33.6</v>
      </c>
      <c r="L57" s="415">
        <f t="shared" si="25"/>
        <v>133056</v>
      </c>
      <c r="M57" s="255">
        <f t="shared" si="26"/>
        <v>8.1379200000000012</v>
      </c>
      <c r="N57" s="42">
        <f t="shared" si="27"/>
        <v>41.737920000000003</v>
      </c>
      <c r="O57" s="430">
        <f t="shared" si="28"/>
        <v>165282.16320000001</v>
      </c>
      <c r="P57" s="322"/>
      <c r="Q57" s="322"/>
      <c r="R57" s="322"/>
      <c r="S57" s="322"/>
      <c r="T57" s="322"/>
      <c r="U57" s="322"/>
      <c r="V57" s="322"/>
      <c r="W57" s="322"/>
      <c r="X57" s="322"/>
      <c r="Y57" s="322"/>
      <c r="Z57" s="322"/>
      <c r="AA57" s="322"/>
      <c r="AB57" s="322"/>
      <c r="AC57" s="322"/>
      <c r="AD57" s="322"/>
      <c r="AE57" s="322"/>
      <c r="AF57" s="322"/>
      <c r="AG57" s="322"/>
      <c r="AH57" s="322"/>
      <c r="AI57" s="322"/>
      <c r="AJ57" s="322"/>
      <c r="AK57" s="322"/>
      <c r="AL57" s="322"/>
      <c r="AM57" s="322"/>
      <c r="AN57" s="322"/>
      <c r="AO57" s="322"/>
      <c r="AP57" s="322"/>
      <c r="AQ57" s="322"/>
      <c r="AR57" s="322"/>
      <c r="AS57" s="322"/>
      <c r="AT57" s="322"/>
      <c r="AU57" s="322"/>
      <c r="AV57" s="322"/>
      <c r="AW57" s="322"/>
      <c r="AX57" s="322"/>
      <c r="AY57" s="322"/>
      <c r="AZ57" s="322"/>
      <c r="BA57" s="322"/>
      <c r="BB57" s="322"/>
      <c r="BC57" s="322"/>
      <c r="BD57" s="322"/>
      <c r="BE57" s="322"/>
      <c r="BF57" s="322"/>
      <c r="BG57" s="322"/>
      <c r="BH57" s="322"/>
    </row>
    <row r="58" spans="1:60" s="418" customFormat="1" ht="20.5" outlineLevel="2">
      <c r="A58" s="429" t="s">
        <v>25</v>
      </c>
      <c r="B58" s="299">
        <v>100308</v>
      </c>
      <c r="C58" s="412" t="s">
        <v>66</v>
      </c>
      <c r="D58" s="413" t="s">
        <v>26</v>
      </c>
      <c r="E58" s="467">
        <f>'Plano Mnt Hh'!I8</f>
        <v>15840</v>
      </c>
      <c r="F58" s="460">
        <f t="shared" si="19"/>
        <v>28.3</v>
      </c>
      <c r="G58" s="415">
        <f t="shared" si="20"/>
        <v>448272</v>
      </c>
      <c r="H58" s="255">
        <f t="shared" si="21"/>
        <v>7.8730600000000006</v>
      </c>
      <c r="I58" s="255">
        <f t="shared" si="22"/>
        <v>36.17306</v>
      </c>
      <c r="J58" s="430">
        <f t="shared" si="23"/>
        <v>572981.27040000004</v>
      </c>
      <c r="K58" s="460">
        <f t="shared" si="24"/>
        <v>30.94</v>
      </c>
      <c r="L58" s="415">
        <f t="shared" si="25"/>
        <v>490089.60000000003</v>
      </c>
      <c r="M58" s="255">
        <f t="shared" si="26"/>
        <v>7.4936680000000004</v>
      </c>
      <c r="N58" s="255">
        <f t="shared" si="27"/>
        <v>38.433668000000004</v>
      </c>
      <c r="O58" s="430">
        <f t="shared" si="28"/>
        <v>608789.30112000008</v>
      </c>
    </row>
    <row r="59" spans="1:60" s="418" customFormat="1" outlineLevel="2">
      <c r="A59" s="429" t="s">
        <v>25</v>
      </c>
      <c r="B59" s="299">
        <v>88266</v>
      </c>
      <c r="C59" s="412" t="s">
        <v>254</v>
      </c>
      <c r="D59" s="413" t="s">
        <v>26</v>
      </c>
      <c r="E59" s="467">
        <f>'Plano Mnt Hh'!I6</f>
        <v>23760</v>
      </c>
      <c r="F59" s="460">
        <f t="shared" si="19"/>
        <v>38.158191567658506</v>
      </c>
      <c r="G59" s="415">
        <f t="shared" si="20"/>
        <v>906638.6316475661</v>
      </c>
      <c r="H59" s="255">
        <f t="shared" si="21"/>
        <v>10.615608894122596</v>
      </c>
      <c r="I59" s="255">
        <f t="shared" si="22"/>
        <v>48.7738004617811</v>
      </c>
      <c r="J59" s="430">
        <f t="shared" si="23"/>
        <v>1158865.4989719188</v>
      </c>
      <c r="K59" s="460">
        <f t="shared" si="24"/>
        <v>36.17</v>
      </c>
      <c r="L59" s="415">
        <f t="shared" si="25"/>
        <v>859399.20000000007</v>
      </c>
      <c r="M59" s="255">
        <f t="shared" si="26"/>
        <v>8.7603740000000005</v>
      </c>
      <c r="N59" s="255">
        <f t="shared" si="27"/>
        <v>44.930374</v>
      </c>
      <c r="O59" s="430">
        <f t="shared" si="28"/>
        <v>1067545.68624</v>
      </c>
    </row>
    <row r="60" spans="1:60" s="418" customFormat="1" outlineLevel="2">
      <c r="A60" s="429" t="s">
        <v>25</v>
      </c>
      <c r="B60" s="299">
        <v>88266</v>
      </c>
      <c r="C60" s="412" t="s">
        <v>119</v>
      </c>
      <c r="D60" s="413" t="s">
        <v>26</v>
      </c>
      <c r="E60" s="467">
        <f>'Plano Mnt Hh'!I7</f>
        <v>6930</v>
      </c>
      <c r="F60" s="460">
        <f t="shared" si="19"/>
        <v>32.96</v>
      </c>
      <c r="G60" s="415">
        <f t="shared" si="20"/>
        <v>228412.80000000002</v>
      </c>
      <c r="H60" s="255">
        <f t="shared" si="21"/>
        <v>9.1694720000000007</v>
      </c>
      <c r="I60" s="255">
        <f t="shared" si="22"/>
        <v>42.129472</v>
      </c>
      <c r="J60" s="430">
        <f t="shared" si="23"/>
        <v>291957.24096000002</v>
      </c>
      <c r="K60" s="460">
        <f t="shared" si="24"/>
        <v>36.17</v>
      </c>
      <c r="L60" s="415">
        <f t="shared" si="25"/>
        <v>250658.1</v>
      </c>
      <c r="M60" s="255">
        <f t="shared" si="26"/>
        <v>8.7603740000000005</v>
      </c>
      <c r="N60" s="255">
        <f t="shared" si="27"/>
        <v>44.930374</v>
      </c>
      <c r="O60" s="430">
        <f t="shared" si="28"/>
        <v>311367.49182</v>
      </c>
    </row>
    <row r="61" spans="1:60" s="418" customFormat="1" outlineLevel="2">
      <c r="A61" s="429" t="s">
        <v>25</v>
      </c>
      <c r="B61" s="299">
        <v>100308</v>
      </c>
      <c r="C61" s="412" t="s">
        <v>120</v>
      </c>
      <c r="D61" s="413" t="s">
        <v>26</v>
      </c>
      <c r="E61" s="467">
        <f>'Plano Mnt Hh'!I9</f>
        <v>4950</v>
      </c>
      <c r="F61" s="460">
        <f t="shared" si="19"/>
        <v>28.3</v>
      </c>
      <c r="G61" s="415">
        <f t="shared" si="20"/>
        <v>140085</v>
      </c>
      <c r="H61" s="255">
        <f t="shared" si="21"/>
        <v>7.8730600000000006</v>
      </c>
      <c r="I61" s="255">
        <f t="shared" si="22"/>
        <v>36.17306</v>
      </c>
      <c r="J61" s="430">
        <f t="shared" si="23"/>
        <v>179056.647</v>
      </c>
      <c r="K61" s="460">
        <f t="shared" si="24"/>
        <v>30.94</v>
      </c>
      <c r="L61" s="415">
        <f t="shared" si="25"/>
        <v>153153</v>
      </c>
      <c r="M61" s="255">
        <f t="shared" si="26"/>
        <v>7.4936680000000004</v>
      </c>
      <c r="N61" s="255">
        <f t="shared" si="27"/>
        <v>38.433668000000004</v>
      </c>
      <c r="O61" s="430">
        <f t="shared" si="28"/>
        <v>190246.65660000002</v>
      </c>
    </row>
    <row r="62" spans="1:60" outlineLevel="2">
      <c r="A62" s="431" t="s">
        <v>25</v>
      </c>
      <c r="B62" s="37">
        <v>88309</v>
      </c>
      <c r="C62" s="41" t="s">
        <v>121</v>
      </c>
      <c r="D62" s="38" t="s">
        <v>26</v>
      </c>
      <c r="E62" s="470">
        <f>'Plano Mnt Hh'!I5</f>
        <v>23760</v>
      </c>
      <c r="F62" s="476">
        <f t="shared" si="19"/>
        <v>25.72</v>
      </c>
      <c r="G62" s="106">
        <f t="shared" si="20"/>
        <v>611107.19999999995</v>
      </c>
      <c r="H62" s="42">
        <f t="shared" si="21"/>
        <v>7.1553040000000001</v>
      </c>
      <c r="I62" s="42">
        <f t="shared" si="22"/>
        <v>32.875304</v>
      </c>
      <c r="J62" s="432">
        <f t="shared" si="23"/>
        <v>781117.22303999995</v>
      </c>
      <c r="K62" s="476">
        <f t="shared" si="24"/>
        <v>28.07</v>
      </c>
      <c r="L62" s="415">
        <f t="shared" si="25"/>
        <v>666943.19999999995</v>
      </c>
      <c r="M62" s="255">
        <f t="shared" si="26"/>
        <v>6.7985540000000002</v>
      </c>
      <c r="N62" s="42">
        <f t="shared" si="27"/>
        <v>34.868554000000003</v>
      </c>
      <c r="O62" s="430">
        <f t="shared" si="28"/>
        <v>828476.84304000007</v>
      </c>
      <c r="P62" s="322"/>
      <c r="Q62" s="322"/>
      <c r="R62" s="322"/>
      <c r="S62" s="322"/>
      <c r="T62" s="322"/>
      <c r="U62" s="322"/>
      <c r="V62" s="322"/>
      <c r="W62" s="322"/>
      <c r="X62" s="322"/>
      <c r="Y62" s="322"/>
      <c r="Z62" s="322"/>
      <c r="AA62" s="322"/>
      <c r="AB62" s="322"/>
      <c r="AC62" s="322"/>
      <c r="AD62" s="322"/>
      <c r="AE62" s="322"/>
      <c r="AF62" s="322"/>
      <c r="AG62" s="322"/>
      <c r="AH62" s="322"/>
      <c r="AI62" s="322"/>
      <c r="AJ62" s="322"/>
      <c r="AK62" s="322"/>
      <c r="AL62" s="322"/>
      <c r="AM62" s="322"/>
      <c r="AN62" s="322"/>
      <c r="AO62" s="322"/>
      <c r="AP62" s="322"/>
      <c r="AQ62" s="322"/>
      <c r="AR62" s="322"/>
      <c r="AS62" s="322"/>
      <c r="AT62" s="322"/>
      <c r="AU62" s="322"/>
      <c r="AV62" s="322"/>
      <c r="AW62" s="322"/>
      <c r="AX62" s="322"/>
      <c r="AY62" s="322"/>
      <c r="AZ62" s="322"/>
      <c r="BA62" s="322"/>
      <c r="BB62" s="322"/>
      <c r="BC62" s="322"/>
      <c r="BD62" s="322"/>
      <c r="BE62" s="322"/>
      <c r="BF62" s="322"/>
      <c r="BG62" s="322"/>
      <c r="BH62" s="322"/>
    </row>
    <row r="63" spans="1:60" outlineLevel="2">
      <c r="A63" s="431" t="s">
        <v>25</v>
      </c>
      <c r="B63" s="37">
        <v>88243</v>
      </c>
      <c r="C63" s="41" t="s">
        <v>190</v>
      </c>
      <c r="D63" s="38" t="s">
        <v>26</v>
      </c>
      <c r="E63" s="470">
        <f>'Plano Mnt Hh'!I10</f>
        <v>11880</v>
      </c>
      <c r="F63" s="476">
        <f t="shared" si="19"/>
        <v>22.35</v>
      </c>
      <c r="G63" s="106">
        <f t="shared" si="20"/>
        <v>265518</v>
      </c>
      <c r="H63" s="42">
        <f t="shared" si="21"/>
        <v>6.2177700000000007</v>
      </c>
      <c r="I63" s="42">
        <f t="shared" si="22"/>
        <v>28.567770000000003</v>
      </c>
      <c r="J63" s="432">
        <f t="shared" si="23"/>
        <v>339385.10760000005</v>
      </c>
      <c r="K63" s="476">
        <f t="shared" si="24"/>
        <v>24.3</v>
      </c>
      <c r="L63" s="415">
        <f t="shared" si="25"/>
        <v>288684</v>
      </c>
      <c r="M63" s="255">
        <f t="shared" si="26"/>
        <v>5.8854600000000001</v>
      </c>
      <c r="N63" s="42">
        <f t="shared" si="27"/>
        <v>30.185459999999999</v>
      </c>
      <c r="O63" s="430">
        <f t="shared" si="28"/>
        <v>358603.2648</v>
      </c>
      <c r="P63" s="322"/>
      <c r="Q63" s="322"/>
      <c r="R63" s="322"/>
      <c r="S63" s="322"/>
      <c r="T63" s="322"/>
      <c r="U63" s="322"/>
      <c r="V63" s="322"/>
      <c r="W63" s="322"/>
      <c r="X63" s="322"/>
      <c r="Y63" s="322"/>
      <c r="Z63" s="322"/>
      <c r="AA63" s="322"/>
      <c r="AB63" s="322"/>
      <c r="AC63" s="322"/>
      <c r="AD63" s="322"/>
      <c r="AE63" s="322"/>
      <c r="AF63" s="322"/>
      <c r="AG63" s="322"/>
      <c r="AH63" s="322"/>
      <c r="AI63" s="322"/>
      <c r="AJ63" s="322"/>
      <c r="AK63" s="322"/>
      <c r="AL63" s="322"/>
      <c r="AM63" s="322"/>
      <c r="AN63" s="322"/>
      <c r="AO63" s="322"/>
      <c r="AP63" s="322"/>
      <c r="AQ63" s="322"/>
      <c r="AR63" s="322"/>
      <c r="AS63" s="322"/>
      <c r="AT63" s="322"/>
      <c r="AU63" s="322"/>
      <c r="AV63" s="322"/>
      <c r="AW63" s="322"/>
      <c r="AX63" s="322"/>
      <c r="AY63" s="322"/>
      <c r="AZ63" s="322"/>
      <c r="BA63" s="322"/>
      <c r="BB63" s="322"/>
      <c r="BC63" s="322"/>
      <c r="BD63" s="322"/>
      <c r="BE63" s="322"/>
      <c r="BF63" s="322"/>
      <c r="BG63" s="322"/>
      <c r="BH63" s="322"/>
    </row>
    <row r="64" spans="1:60" outlineLevel="2">
      <c r="A64" s="431" t="s">
        <v>25</v>
      </c>
      <c r="B64" s="37">
        <v>88310</v>
      </c>
      <c r="C64" s="41" t="s">
        <v>188</v>
      </c>
      <c r="D64" s="38" t="s">
        <v>26</v>
      </c>
      <c r="E64" s="470">
        <f>'Plano Mnt Hh'!I11</f>
        <v>3960</v>
      </c>
      <c r="F64" s="476">
        <f t="shared" si="19"/>
        <v>27.41</v>
      </c>
      <c r="G64" s="106">
        <f t="shared" si="20"/>
        <v>108543.6</v>
      </c>
      <c r="H64" s="42">
        <f t="shared" si="21"/>
        <v>7.6254619999999997</v>
      </c>
      <c r="I64" s="42">
        <f t="shared" si="22"/>
        <v>35.035462000000003</v>
      </c>
      <c r="J64" s="432">
        <f t="shared" si="23"/>
        <v>138740.42952000001</v>
      </c>
      <c r="K64" s="476">
        <f t="shared" si="24"/>
        <v>29.74</v>
      </c>
      <c r="L64" s="415">
        <f t="shared" si="25"/>
        <v>117770.4</v>
      </c>
      <c r="M64" s="255">
        <f t="shared" si="26"/>
        <v>7.2030279999999998</v>
      </c>
      <c r="N64" s="42">
        <f t="shared" si="27"/>
        <v>36.943027999999998</v>
      </c>
      <c r="O64" s="430">
        <f t="shared" si="28"/>
        <v>146294.39087999999</v>
      </c>
      <c r="P64" s="322"/>
      <c r="Q64" s="322"/>
      <c r="R64" s="322"/>
      <c r="S64" s="322"/>
      <c r="T64" s="322"/>
      <c r="U64" s="322"/>
      <c r="V64" s="322"/>
      <c r="W64" s="322"/>
      <c r="X64" s="322"/>
      <c r="Y64" s="322"/>
      <c r="Z64" s="322"/>
      <c r="AA64" s="322"/>
      <c r="AB64" s="322"/>
      <c r="AC64" s="322"/>
      <c r="AD64" s="322"/>
      <c r="AE64" s="322"/>
      <c r="AF64" s="322"/>
      <c r="AG64" s="322"/>
      <c r="AH64" s="322"/>
      <c r="AI64" s="322"/>
      <c r="AJ64" s="322"/>
      <c r="AK64" s="322"/>
      <c r="AL64" s="322"/>
      <c r="AM64" s="322"/>
      <c r="AN64" s="322"/>
      <c r="AO64" s="322"/>
      <c r="AP64" s="322"/>
      <c r="AQ64" s="322"/>
      <c r="AR64" s="322"/>
      <c r="AS64" s="322"/>
      <c r="AT64" s="322"/>
      <c r="AU64" s="322"/>
      <c r="AV64" s="322"/>
      <c r="AW64" s="322"/>
      <c r="AX64" s="322"/>
      <c r="AY64" s="322"/>
      <c r="AZ64" s="322"/>
      <c r="BA64" s="322"/>
      <c r="BB64" s="322"/>
      <c r="BC64" s="322"/>
      <c r="BD64" s="322"/>
      <c r="BE64" s="322"/>
      <c r="BF64" s="322"/>
      <c r="BG64" s="322"/>
      <c r="BH64" s="322"/>
    </row>
    <row r="65" spans="1:60" ht="13" outlineLevel="2" thickBot="1">
      <c r="A65" s="431" t="s">
        <v>25</v>
      </c>
      <c r="B65" s="37">
        <v>100301</v>
      </c>
      <c r="C65" s="41" t="s">
        <v>189</v>
      </c>
      <c r="D65" s="38" t="s">
        <v>26</v>
      </c>
      <c r="E65" s="470">
        <f>'Plano Mnt Hh'!I12</f>
        <v>3960</v>
      </c>
      <c r="F65" s="477">
        <f t="shared" si="19"/>
        <v>24.39</v>
      </c>
      <c r="G65" s="478">
        <f t="shared" si="20"/>
        <v>96584.400000000009</v>
      </c>
      <c r="H65" s="479">
        <f t="shared" si="21"/>
        <v>6.7852980000000001</v>
      </c>
      <c r="I65" s="479">
        <f t="shared" si="22"/>
        <v>31.175298000000002</v>
      </c>
      <c r="J65" s="480">
        <f t="shared" si="23"/>
        <v>123454.18008000001</v>
      </c>
      <c r="K65" s="477">
        <f t="shared" si="24"/>
        <v>26.34</v>
      </c>
      <c r="L65" s="462">
        <f t="shared" si="25"/>
        <v>104306.4</v>
      </c>
      <c r="M65" s="463">
        <f t="shared" si="26"/>
        <v>6.3795479999999998</v>
      </c>
      <c r="N65" s="479">
        <f t="shared" si="27"/>
        <v>32.719548000000003</v>
      </c>
      <c r="O65" s="464">
        <f t="shared" si="28"/>
        <v>129569.41008000002</v>
      </c>
      <c r="P65" s="322"/>
      <c r="Q65" s="322"/>
      <c r="R65" s="322"/>
      <c r="S65" s="322"/>
      <c r="T65" s="322"/>
      <c r="U65" s="322"/>
      <c r="V65" s="322"/>
      <c r="W65" s="322"/>
      <c r="X65" s="322"/>
      <c r="Y65" s="322"/>
      <c r="Z65" s="322"/>
      <c r="AA65" s="322"/>
      <c r="AB65" s="322"/>
      <c r="AC65" s="322"/>
      <c r="AD65" s="322"/>
      <c r="AE65" s="322"/>
      <c r="AF65" s="322"/>
      <c r="AG65" s="322"/>
      <c r="AH65" s="322"/>
      <c r="AI65" s="322"/>
      <c r="AJ65" s="322"/>
      <c r="AK65" s="322"/>
      <c r="AL65" s="322"/>
      <c r="AM65" s="322"/>
      <c r="AN65" s="322"/>
      <c r="AO65" s="322"/>
      <c r="AP65" s="322"/>
      <c r="AQ65" s="322"/>
      <c r="AR65" s="322"/>
      <c r="AS65" s="322"/>
      <c r="AT65" s="322"/>
      <c r="AU65" s="322"/>
      <c r="AV65" s="322"/>
      <c r="AW65" s="322"/>
      <c r="AX65" s="322"/>
      <c r="AY65" s="322"/>
      <c r="AZ65" s="322"/>
      <c r="BA65" s="322"/>
      <c r="BB65" s="322"/>
      <c r="BC65" s="322"/>
      <c r="BD65" s="322"/>
      <c r="BE65" s="322"/>
      <c r="BF65" s="322"/>
      <c r="BG65" s="322"/>
      <c r="BH65" s="322"/>
    </row>
    <row r="66" spans="1:60" ht="13" outlineLevel="2" thickBot="1">
      <c r="A66" s="555" t="s">
        <v>27</v>
      </c>
      <c r="B66" s="556"/>
      <c r="C66" s="556"/>
      <c r="D66" s="556"/>
      <c r="E66" s="556"/>
      <c r="F66" s="553"/>
      <c r="G66" s="553"/>
      <c r="H66" s="553"/>
      <c r="I66" s="554"/>
      <c r="J66" s="491">
        <f>SUM(J56:J65)</f>
        <v>3772349.8598439186</v>
      </c>
      <c r="K66" s="553"/>
      <c r="L66" s="553"/>
      <c r="M66" s="553"/>
      <c r="N66" s="554"/>
      <c r="O66" s="493">
        <f>SUM(O56:O65)</f>
        <v>3842612.41194</v>
      </c>
      <c r="P66" s="322"/>
      <c r="Q66" s="322"/>
      <c r="R66" s="322"/>
      <c r="S66" s="322"/>
      <c r="T66" s="322"/>
      <c r="U66" s="322"/>
      <c r="V66" s="322"/>
      <c r="W66" s="322"/>
      <c r="X66" s="322"/>
      <c r="Y66" s="322"/>
      <c r="Z66" s="322"/>
      <c r="AA66" s="322"/>
      <c r="AB66" s="322"/>
      <c r="AC66" s="322"/>
      <c r="AD66" s="322"/>
      <c r="AE66" s="322"/>
      <c r="AF66" s="322"/>
      <c r="AG66" s="322"/>
      <c r="AH66" s="322"/>
      <c r="AI66" s="322"/>
      <c r="AJ66" s="322"/>
      <c r="AK66" s="322"/>
      <c r="AL66" s="322"/>
      <c r="AM66" s="322"/>
      <c r="AN66" s="322"/>
      <c r="AO66" s="322"/>
      <c r="AP66" s="322"/>
      <c r="AQ66" s="322"/>
      <c r="AR66" s="322"/>
      <c r="AS66" s="322"/>
      <c r="AT66" s="322"/>
      <c r="AU66" s="322"/>
      <c r="AV66" s="322"/>
      <c r="AW66" s="322"/>
      <c r="AX66" s="322"/>
      <c r="AY66" s="322"/>
      <c r="AZ66" s="322"/>
      <c r="BA66" s="322"/>
      <c r="BB66" s="322"/>
      <c r="BC66" s="322"/>
      <c r="BD66" s="322"/>
      <c r="BE66" s="322"/>
      <c r="BF66" s="322"/>
      <c r="BG66" s="322"/>
      <c r="BH66" s="322"/>
    </row>
    <row r="67" spans="1:60" outlineLevel="2">
      <c r="A67" s="433"/>
      <c r="B67" s="162"/>
      <c r="C67" s="162"/>
      <c r="D67" s="162"/>
      <c r="E67" s="162"/>
      <c r="F67" s="483"/>
      <c r="G67" s="484"/>
      <c r="H67" s="484"/>
      <c r="I67" s="484"/>
      <c r="J67" s="485"/>
      <c r="K67" s="483"/>
      <c r="L67" s="484"/>
      <c r="M67" s="484"/>
      <c r="N67" s="484"/>
      <c r="O67" s="485"/>
      <c r="P67" s="322"/>
      <c r="Q67" s="322"/>
      <c r="R67" s="322"/>
      <c r="S67" s="322"/>
      <c r="T67" s="322"/>
      <c r="U67" s="322"/>
      <c r="V67" s="322"/>
      <c r="W67" s="322"/>
      <c r="X67" s="322"/>
      <c r="Y67" s="322"/>
      <c r="Z67" s="322"/>
      <c r="AA67" s="322"/>
      <c r="AB67" s="322"/>
      <c r="AC67" s="322"/>
      <c r="AD67" s="322"/>
      <c r="AE67" s="322"/>
      <c r="AF67" s="322"/>
      <c r="AG67" s="322"/>
      <c r="AH67" s="322"/>
      <c r="AI67" s="322"/>
      <c r="AJ67" s="322"/>
      <c r="AK67" s="322"/>
      <c r="AL67" s="322"/>
      <c r="AM67" s="322"/>
      <c r="AN67" s="322"/>
      <c r="AO67" s="322"/>
      <c r="AP67" s="322"/>
      <c r="AQ67" s="322"/>
      <c r="AR67" s="322"/>
      <c r="AS67" s="322"/>
      <c r="AT67" s="322"/>
      <c r="AU67" s="322"/>
      <c r="AV67" s="322"/>
      <c r="AW67" s="322"/>
      <c r="AX67" s="322"/>
      <c r="AY67" s="322"/>
      <c r="AZ67" s="322"/>
      <c r="BA67" s="322"/>
      <c r="BB67" s="322"/>
      <c r="BC67" s="322"/>
      <c r="BD67" s="322"/>
      <c r="BE67" s="322"/>
      <c r="BF67" s="322"/>
      <c r="BG67" s="322"/>
      <c r="BH67" s="322"/>
    </row>
    <row r="68" spans="1:60" outlineLevel="1">
      <c r="A68" s="438"/>
      <c r="B68" s="314" t="s">
        <v>127</v>
      </c>
      <c r="C68" s="315" t="s">
        <v>122</v>
      </c>
      <c r="D68" s="314"/>
      <c r="E68" s="494"/>
      <c r="F68" s="495"/>
      <c r="G68" s="317"/>
      <c r="H68" s="317"/>
      <c r="I68" s="317"/>
      <c r="J68" s="439"/>
      <c r="K68" s="495"/>
      <c r="L68" s="317"/>
      <c r="M68" s="317"/>
      <c r="N68" s="317"/>
      <c r="O68" s="439"/>
      <c r="P68" s="322"/>
      <c r="Q68" s="322"/>
      <c r="R68" s="322"/>
      <c r="S68" s="322"/>
      <c r="T68" s="322"/>
      <c r="U68" s="322"/>
      <c r="V68" s="322"/>
      <c r="W68" s="322"/>
      <c r="X68" s="322"/>
      <c r="Y68" s="322"/>
      <c r="Z68" s="322"/>
      <c r="AA68" s="322"/>
      <c r="AB68" s="322"/>
      <c r="AC68" s="322"/>
      <c r="AD68" s="322"/>
      <c r="AE68" s="322"/>
      <c r="AF68" s="322"/>
      <c r="AG68" s="322"/>
      <c r="AH68" s="322"/>
      <c r="AI68" s="322"/>
      <c r="AJ68" s="322"/>
      <c r="AK68" s="322"/>
      <c r="AL68" s="322"/>
      <c r="AM68" s="322"/>
      <c r="AN68" s="322"/>
      <c r="AO68" s="322"/>
      <c r="AP68" s="322"/>
      <c r="AQ68" s="322"/>
      <c r="AR68" s="322"/>
      <c r="AS68" s="322"/>
      <c r="AT68" s="322"/>
      <c r="AU68" s="322"/>
      <c r="AV68" s="322"/>
      <c r="AW68" s="322"/>
      <c r="AX68" s="322"/>
      <c r="AY68" s="322"/>
      <c r="AZ68" s="322"/>
      <c r="BA68" s="322"/>
      <c r="BB68" s="322"/>
      <c r="BC68" s="322"/>
      <c r="BD68" s="322"/>
      <c r="BE68" s="322"/>
      <c r="BF68" s="322"/>
      <c r="BG68" s="322"/>
      <c r="BH68" s="322"/>
    </row>
    <row r="69" spans="1:60" outlineLevel="2">
      <c r="A69" s="431" t="s">
        <v>68</v>
      </c>
      <c r="B69" s="37"/>
      <c r="C69" s="41" t="s">
        <v>261</v>
      </c>
      <c r="D69" s="38" t="s">
        <v>21</v>
      </c>
      <c r="E69" s="470">
        <f>Diárias!O27*60</f>
        <v>2040</v>
      </c>
      <c r="F69" s="460">
        <f>40+40</f>
        <v>80</v>
      </c>
      <c r="G69" s="106">
        <f>E69*F69</f>
        <v>163200</v>
      </c>
      <c r="H69" s="42">
        <f>$J$6*F69</f>
        <v>22.256</v>
      </c>
      <c r="I69" s="42">
        <f>F69+H69</f>
        <v>102.256</v>
      </c>
      <c r="J69" s="432">
        <f>E69*I69</f>
        <v>208602.23999999999</v>
      </c>
      <c r="K69" s="460">
        <f>F69</f>
        <v>80</v>
      </c>
      <c r="L69" s="415">
        <f>E69*K69</f>
        <v>163200</v>
      </c>
      <c r="M69" s="255">
        <f>$O$6*K69</f>
        <v>19.376000000000001</v>
      </c>
      <c r="N69" s="42">
        <f>K69+M69</f>
        <v>99.376000000000005</v>
      </c>
      <c r="O69" s="430">
        <f>E69*N69</f>
        <v>202727.04000000001</v>
      </c>
      <c r="P69" s="322"/>
      <c r="Q69" s="322"/>
      <c r="R69" s="322"/>
      <c r="S69" s="322"/>
      <c r="T69" s="322"/>
      <c r="U69" s="322"/>
      <c r="V69" s="322"/>
      <c r="W69" s="322"/>
      <c r="X69" s="322"/>
      <c r="Y69" s="322"/>
      <c r="Z69" s="322"/>
      <c r="AA69" s="322"/>
      <c r="AB69" s="322"/>
      <c r="AC69" s="322"/>
      <c r="AD69" s="322"/>
      <c r="AE69" s="322"/>
      <c r="AF69" s="322"/>
      <c r="AG69" s="322"/>
      <c r="AH69" s="322"/>
      <c r="AI69" s="322"/>
      <c r="AJ69" s="322"/>
      <c r="AK69" s="322"/>
      <c r="AL69" s="322"/>
      <c r="AM69" s="322"/>
      <c r="AN69" s="322"/>
      <c r="AO69" s="322"/>
      <c r="AP69" s="322"/>
      <c r="AQ69" s="322"/>
      <c r="AR69" s="322"/>
      <c r="AS69" s="322"/>
      <c r="AT69" s="322"/>
      <c r="AU69" s="322"/>
      <c r="AV69" s="322"/>
      <c r="AW69" s="322"/>
      <c r="AX69" s="322"/>
      <c r="AY69" s="322"/>
      <c r="AZ69" s="322"/>
      <c r="BA69" s="322"/>
      <c r="BB69" s="322"/>
      <c r="BC69" s="322"/>
      <c r="BD69" s="322"/>
      <c r="BE69" s="322"/>
      <c r="BF69" s="322"/>
      <c r="BG69" s="322"/>
      <c r="BH69" s="322"/>
    </row>
    <row r="70" spans="1:60" outlineLevel="2">
      <c r="A70" s="431" t="s">
        <v>68</v>
      </c>
      <c r="B70" s="37"/>
      <c r="C70" s="41" t="s">
        <v>260</v>
      </c>
      <c r="D70" s="38" t="s">
        <v>21</v>
      </c>
      <c r="E70" s="470">
        <f>Diárias!O40</f>
        <v>13</v>
      </c>
      <c r="F70" s="460">
        <v>260</v>
      </c>
      <c r="G70" s="106">
        <f>E70*F70</f>
        <v>3380</v>
      </c>
      <c r="H70" s="42">
        <f>$J$6*F70</f>
        <v>72.331999999999994</v>
      </c>
      <c r="I70" s="42">
        <f>F70+H70</f>
        <v>332.33199999999999</v>
      </c>
      <c r="J70" s="432">
        <f>E70*I70</f>
        <v>4320.3159999999998</v>
      </c>
      <c r="K70" s="460">
        <f t="shared" ref="K70:K73" si="29">F70</f>
        <v>260</v>
      </c>
      <c r="L70" s="415">
        <f>E70*K70</f>
        <v>3380</v>
      </c>
      <c r="M70" s="255">
        <f t="shared" ref="M70:M73" si="30">$O$6*K70</f>
        <v>62.972000000000001</v>
      </c>
      <c r="N70" s="42">
        <f>K70+M70</f>
        <v>322.97199999999998</v>
      </c>
      <c r="O70" s="430">
        <f>E70*N70</f>
        <v>4198.6359999999995</v>
      </c>
      <c r="P70" s="322"/>
      <c r="Q70" s="322"/>
      <c r="R70" s="322"/>
      <c r="S70" s="322"/>
      <c r="T70" s="322"/>
      <c r="U70" s="322"/>
      <c r="V70" s="322"/>
      <c r="W70" s="322"/>
      <c r="X70" s="322"/>
      <c r="Y70" s="322"/>
      <c r="Z70" s="322"/>
      <c r="AA70" s="322"/>
      <c r="AB70" s="322"/>
      <c r="AC70" s="322"/>
      <c r="AD70" s="322"/>
      <c r="AE70" s="322"/>
      <c r="AF70" s="322"/>
      <c r="AG70" s="322"/>
      <c r="AH70" s="322"/>
      <c r="AI70" s="322"/>
      <c r="AJ70" s="322"/>
      <c r="AK70" s="322"/>
      <c r="AL70" s="322"/>
      <c r="AM70" s="322"/>
      <c r="AN70" s="322"/>
      <c r="AO70" s="322"/>
      <c r="AP70" s="322"/>
      <c r="AQ70" s="322"/>
      <c r="AR70" s="322"/>
      <c r="AS70" s="322"/>
      <c r="AT70" s="322"/>
      <c r="AU70" s="322"/>
      <c r="AV70" s="322"/>
      <c r="AW70" s="322"/>
      <c r="AX70" s="322"/>
      <c r="AY70" s="322"/>
      <c r="AZ70" s="322"/>
      <c r="BA70" s="322"/>
      <c r="BB70" s="322"/>
      <c r="BC70" s="322"/>
      <c r="BD70" s="322"/>
      <c r="BE70" s="322"/>
      <c r="BF70" s="322"/>
      <c r="BG70" s="322"/>
      <c r="BH70" s="322"/>
    </row>
    <row r="71" spans="1:60" outlineLevel="2">
      <c r="A71" s="431" t="s">
        <v>68</v>
      </c>
      <c r="B71" s="37"/>
      <c r="C71" s="41" t="s">
        <v>252</v>
      </c>
      <c r="D71" s="38" t="s">
        <v>13</v>
      </c>
      <c r="E71" s="470">
        <f>12*5/30*9</f>
        <v>18</v>
      </c>
      <c r="F71" s="475">
        <v>12920</v>
      </c>
      <c r="G71" s="106">
        <f>E71*F71</f>
        <v>232560</v>
      </c>
      <c r="H71" s="42">
        <f>$J$6*F71</f>
        <v>3594.3440000000001</v>
      </c>
      <c r="I71" s="42">
        <f>F71+H71</f>
        <v>16514.344000000001</v>
      </c>
      <c r="J71" s="432">
        <f>E71*I71</f>
        <v>297258.19200000004</v>
      </c>
      <c r="K71" s="460">
        <f t="shared" si="29"/>
        <v>12920</v>
      </c>
      <c r="L71" s="415">
        <f>E71*K71</f>
        <v>232560</v>
      </c>
      <c r="M71" s="255">
        <f t="shared" si="30"/>
        <v>3129.2240000000002</v>
      </c>
      <c r="N71" s="42">
        <f>K71+M71</f>
        <v>16049.224</v>
      </c>
      <c r="O71" s="430">
        <f>E71*N71</f>
        <v>288886.03200000001</v>
      </c>
      <c r="P71" s="322"/>
      <c r="Q71" s="322"/>
      <c r="R71" s="322"/>
      <c r="S71" s="322"/>
      <c r="T71" s="322"/>
      <c r="U71" s="322"/>
      <c r="V71" s="322"/>
      <c r="W71" s="322"/>
      <c r="X71" s="322"/>
      <c r="Y71" s="322"/>
      <c r="Z71" s="322"/>
      <c r="AA71" s="322"/>
      <c r="AB71" s="322"/>
      <c r="AC71" s="322"/>
      <c r="AD71" s="322"/>
      <c r="AE71" s="322"/>
      <c r="AF71" s="322"/>
      <c r="AG71" s="322"/>
      <c r="AH71" s="322"/>
      <c r="AI71" s="322"/>
      <c r="AJ71" s="322"/>
      <c r="AK71" s="322"/>
      <c r="AL71" s="322"/>
      <c r="AM71" s="322"/>
      <c r="AN71" s="322"/>
      <c r="AO71" s="322"/>
      <c r="AP71" s="322"/>
      <c r="AQ71" s="322"/>
      <c r="AR71" s="322"/>
      <c r="AS71" s="322"/>
      <c r="AT71" s="322"/>
      <c r="AU71" s="322"/>
      <c r="AV71" s="322"/>
      <c r="AW71" s="322"/>
      <c r="AX71" s="322"/>
      <c r="AY71" s="322"/>
      <c r="AZ71" s="322"/>
      <c r="BA71" s="322"/>
      <c r="BB71" s="322"/>
      <c r="BC71" s="322"/>
      <c r="BD71" s="322"/>
      <c r="BE71" s="322"/>
      <c r="BF71" s="322"/>
      <c r="BG71" s="322"/>
      <c r="BH71" s="322"/>
    </row>
    <row r="72" spans="1:60" outlineLevel="2">
      <c r="A72" s="431" t="s">
        <v>68</v>
      </c>
      <c r="B72" s="37"/>
      <c r="C72" s="41" t="s">
        <v>123</v>
      </c>
      <c r="D72" s="38" t="s">
        <v>45</v>
      </c>
      <c r="E72" s="470">
        <f>(Deslocamentos!D18+Deslocamentos!D39+Deslocamentos!D60)/10</f>
        <v>218</v>
      </c>
      <c r="F72" s="475">
        <f>((6.47*(Deslocamentos!D60+Deslocamentos!D39))+(7.28*Deslocamentos!D18))/(Deslocamentos!D18+Deslocamentos!D39+Deslocamentos!D60)</f>
        <v>6.6059908256880728</v>
      </c>
      <c r="G72" s="106">
        <f>E72*F72</f>
        <v>1440.1059999999998</v>
      </c>
      <c r="H72" s="42">
        <f>$J$6*F72</f>
        <v>1.837786647706422</v>
      </c>
      <c r="I72" s="42">
        <f>F72+H72</f>
        <v>8.4437774733944941</v>
      </c>
      <c r="J72" s="432">
        <f>E72*I72</f>
        <v>1840.7434891999997</v>
      </c>
      <c r="K72" s="460">
        <f t="shared" si="29"/>
        <v>6.6059908256880728</v>
      </c>
      <c r="L72" s="415">
        <f>E72*K72</f>
        <v>1440.1059999999998</v>
      </c>
      <c r="M72" s="255">
        <f t="shared" si="30"/>
        <v>1.5999709779816513</v>
      </c>
      <c r="N72" s="42">
        <f>K72+M72</f>
        <v>8.2059618036697248</v>
      </c>
      <c r="O72" s="430">
        <f>E72*N72</f>
        <v>1788.8996732000001</v>
      </c>
      <c r="P72" s="322"/>
      <c r="Q72" s="322"/>
      <c r="R72" s="322"/>
      <c r="S72" s="322"/>
      <c r="T72" s="322"/>
      <c r="U72" s="322"/>
      <c r="V72" s="322"/>
      <c r="W72" s="322"/>
      <c r="X72" s="322"/>
      <c r="Y72" s="322"/>
      <c r="Z72" s="322"/>
      <c r="AA72" s="322"/>
      <c r="AB72" s="322"/>
      <c r="AC72" s="322"/>
      <c r="AD72" s="322"/>
      <c r="AE72" s="322"/>
      <c r="AF72" s="322"/>
      <c r="AG72" s="322"/>
      <c r="AH72" s="322"/>
      <c r="AI72" s="322"/>
      <c r="AJ72" s="322"/>
      <c r="AK72" s="322"/>
      <c r="AL72" s="322"/>
      <c r="AM72" s="322"/>
      <c r="AN72" s="322"/>
      <c r="AO72" s="322"/>
      <c r="AP72" s="322"/>
      <c r="AQ72" s="322"/>
      <c r="AR72" s="322"/>
      <c r="AS72" s="322"/>
      <c r="AT72" s="322"/>
      <c r="AU72" s="322"/>
      <c r="AV72" s="322"/>
      <c r="AW72" s="322"/>
      <c r="AX72" s="322"/>
      <c r="AY72" s="322"/>
      <c r="AZ72" s="322"/>
      <c r="BA72" s="322"/>
      <c r="BB72" s="322"/>
      <c r="BC72" s="322"/>
      <c r="BD72" s="322"/>
      <c r="BE72" s="322"/>
      <c r="BF72" s="322"/>
      <c r="BG72" s="322"/>
      <c r="BH72" s="322"/>
    </row>
    <row r="73" spans="1:60" ht="13" outlineLevel="2" thickBot="1">
      <c r="A73" s="431" t="s">
        <v>68</v>
      </c>
      <c r="B73" s="37"/>
      <c r="C73" s="41" t="s">
        <v>253</v>
      </c>
      <c r="D73" s="38" t="s">
        <v>21</v>
      </c>
      <c r="E73" s="470">
        <f>2*Deslocamentos!D38*60</f>
        <v>360</v>
      </c>
      <c r="F73" s="477">
        <f>F30</f>
        <v>19.600000000000001</v>
      </c>
      <c r="G73" s="478">
        <f>E73*F73</f>
        <v>7056.0000000000009</v>
      </c>
      <c r="H73" s="479">
        <f>$J$6*F73</f>
        <v>5.4527200000000002</v>
      </c>
      <c r="I73" s="479">
        <f>F73+H73</f>
        <v>25.052720000000001</v>
      </c>
      <c r="J73" s="480">
        <f>E73*I73</f>
        <v>9018.9791999999998</v>
      </c>
      <c r="K73" s="461">
        <f t="shared" si="29"/>
        <v>19.600000000000001</v>
      </c>
      <c r="L73" s="462">
        <f>E73*K73</f>
        <v>7056.0000000000009</v>
      </c>
      <c r="M73" s="463">
        <f t="shared" si="30"/>
        <v>4.7471200000000007</v>
      </c>
      <c r="N73" s="479">
        <f>K73+M73</f>
        <v>24.347120000000004</v>
      </c>
      <c r="O73" s="464">
        <f>E73*N73</f>
        <v>8764.963200000002</v>
      </c>
      <c r="P73" s="322"/>
      <c r="Q73" s="322"/>
      <c r="R73" s="322"/>
      <c r="S73" s="322"/>
      <c r="T73" s="322"/>
      <c r="U73" s="322"/>
      <c r="V73" s="322"/>
      <c r="W73" s="322"/>
      <c r="X73" s="322"/>
      <c r="Y73" s="322"/>
      <c r="Z73" s="322"/>
      <c r="AA73" s="322"/>
      <c r="AB73" s="322"/>
      <c r="AC73" s="322"/>
      <c r="AD73" s="322"/>
      <c r="AE73" s="322"/>
      <c r="AF73" s="322"/>
      <c r="AG73" s="322"/>
      <c r="AH73" s="322"/>
      <c r="AI73" s="322"/>
      <c r="AJ73" s="322"/>
      <c r="AK73" s="322"/>
      <c r="AL73" s="322"/>
      <c r="AM73" s="322"/>
      <c r="AN73" s="322"/>
      <c r="AO73" s="322"/>
      <c r="AP73" s="322"/>
      <c r="AQ73" s="322"/>
      <c r="AR73" s="322"/>
      <c r="AS73" s="322"/>
      <c r="AT73" s="322"/>
      <c r="AU73" s="322"/>
      <c r="AV73" s="322"/>
      <c r="AW73" s="322"/>
      <c r="AX73" s="322"/>
      <c r="AY73" s="322"/>
      <c r="AZ73" s="322"/>
      <c r="BA73" s="322"/>
      <c r="BB73" s="322"/>
      <c r="BC73" s="322"/>
      <c r="BD73" s="322"/>
      <c r="BE73" s="322"/>
      <c r="BF73" s="322"/>
      <c r="BG73" s="322"/>
      <c r="BH73" s="322"/>
    </row>
    <row r="74" spans="1:60" outlineLevel="2">
      <c r="A74" s="557" t="s">
        <v>24</v>
      </c>
      <c r="B74" s="558"/>
      <c r="C74" s="558"/>
      <c r="D74" s="558"/>
      <c r="E74" s="558"/>
      <c r="F74" s="559"/>
      <c r="G74" s="559"/>
      <c r="H74" s="559"/>
      <c r="I74" s="560"/>
      <c r="J74" s="468">
        <f>SUM(J69:J73)</f>
        <v>521040.47068920004</v>
      </c>
      <c r="K74" s="559"/>
      <c r="L74" s="559"/>
      <c r="M74" s="559"/>
      <c r="N74" s="560"/>
      <c r="O74" s="455">
        <f>SUM(O69:O73)</f>
        <v>506365.57087319996</v>
      </c>
      <c r="P74" s="322"/>
      <c r="Q74" s="322"/>
      <c r="R74" s="322"/>
      <c r="S74" s="322"/>
      <c r="T74" s="322"/>
      <c r="U74" s="322"/>
      <c r="V74" s="322"/>
      <c r="W74" s="322"/>
      <c r="X74" s="322"/>
      <c r="Y74" s="322"/>
      <c r="Z74" s="322"/>
      <c r="AA74" s="322"/>
      <c r="AB74" s="322"/>
      <c r="AC74" s="322"/>
      <c r="AD74" s="322"/>
      <c r="AE74" s="322"/>
      <c r="AF74" s="322"/>
      <c r="AG74" s="322"/>
      <c r="AH74" s="322"/>
      <c r="AI74" s="322"/>
      <c r="AJ74" s="322"/>
      <c r="AK74" s="322"/>
      <c r="AL74" s="322"/>
      <c r="AM74" s="322"/>
      <c r="AN74" s="322"/>
      <c r="AO74" s="322"/>
      <c r="AP74" s="322"/>
      <c r="AQ74" s="322"/>
      <c r="AR74" s="322"/>
      <c r="AS74" s="322"/>
      <c r="AT74" s="322"/>
      <c r="AU74" s="322"/>
      <c r="AV74" s="322"/>
      <c r="AW74" s="322"/>
      <c r="AX74" s="322"/>
      <c r="AY74" s="322"/>
      <c r="AZ74" s="322"/>
      <c r="BA74" s="322"/>
      <c r="BB74" s="322"/>
      <c r="BC74" s="322"/>
      <c r="BD74" s="322"/>
      <c r="BE74" s="322"/>
      <c r="BF74" s="322"/>
      <c r="BG74" s="322"/>
      <c r="BH74" s="322"/>
    </row>
    <row r="75" spans="1:60" outlineLevel="1">
      <c r="A75" s="561"/>
      <c r="B75" s="562"/>
      <c r="C75" s="562"/>
      <c r="D75" s="562"/>
      <c r="E75" s="562"/>
      <c r="F75" s="562"/>
      <c r="G75" s="562"/>
      <c r="H75" s="562"/>
      <c r="I75" s="562"/>
      <c r="J75" s="563"/>
      <c r="K75" s="562"/>
      <c r="L75" s="562"/>
      <c r="M75" s="562"/>
      <c r="N75" s="562"/>
      <c r="O75" s="572"/>
      <c r="P75" s="322"/>
      <c r="Q75" s="322"/>
      <c r="R75" s="322"/>
      <c r="S75" s="322"/>
      <c r="T75" s="322"/>
      <c r="U75" s="322"/>
      <c r="V75" s="322"/>
      <c r="W75" s="322"/>
      <c r="X75" s="322"/>
      <c r="Y75" s="322"/>
      <c r="Z75" s="322"/>
      <c r="AA75" s="322"/>
      <c r="AB75" s="322"/>
      <c r="AC75" s="322"/>
      <c r="AD75" s="322"/>
      <c r="AE75" s="322"/>
      <c r="AF75" s="322"/>
      <c r="AG75" s="322"/>
      <c r="AH75" s="322"/>
      <c r="AI75" s="322"/>
      <c r="AJ75" s="322"/>
      <c r="AK75" s="322"/>
      <c r="AL75" s="322"/>
      <c r="AM75" s="322"/>
      <c r="AN75" s="322"/>
      <c r="AO75" s="322"/>
      <c r="AP75" s="322"/>
      <c r="AQ75" s="322"/>
      <c r="AR75" s="322"/>
      <c r="AS75" s="322"/>
      <c r="AT75" s="322"/>
      <c r="AU75" s="322"/>
      <c r="AV75" s="322"/>
      <c r="AW75" s="322"/>
      <c r="AX75" s="322"/>
      <c r="AY75" s="322"/>
      <c r="AZ75" s="322"/>
      <c r="BA75" s="322"/>
      <c r="BB75" s="322"/>
      <c r="BC75" s="322"/>
      <c r="BD75" s="322"/>
      <c r="BE75" s="322"/>
      <c r="BF75" s="322"/>
      <c r="BG75" s="322"/>
      <c r="BH75" s="322"/>
    </row>
    <row r="76" spans="1:60" ht="12.65" customHeight="1">
      <c r="A76" s="564" t="s">
        <v>411</v>
      </c>
      <c r="B76" s="565"/>
      <c r="C76" s="565"/>
      <c r="D76" s="565"/>
      <c r="E76" s="565"/>
      <c r="F76" s="565"/>
      <c r="G76" s="565"/>
      <c r="H76" s="565"/>
      <c r="I76" s="565"/>
      <c r="J76" s="566"/>
      <c r="K76" s="565"/>
      <c r="L76" s="565"/>
      <c r="M76" s="565"/>
      <c r="N76" s="565"/>
      <c r="O76" s="573"/>
      <c r="P76" s="322"/>
      <c r="Q76" s="322"/>
      <c r="R76" s="322"/>
      <c r="S76" s="322"/>
      <c r="T76" s="322"/>
      <c r="U76" s="322"/>
      <c r="V76" s="322"/>
      <c r="W76" s="322"/>
      <c r="X76" s="322"/>
      <c r="Y76" s="322"/>
      <c r="Z76" s="322"/>
      <c r="AA76" s="322"/>
      <c r="AB76" s="322"/>
      <c r="AC76" s="322"/>
      <c r="AD76" s="322"/>
      <c r="AE76" s="322"/>
      <c r="AF76" s="322"/>
      <c r="AG76" s="322"/>
      <c r="AH76" s="322"/>
      <c r="AI76" s="322"/>
      <c r="AJ76" s="322"/>
      <c r="AK76" s="322"/>
      <c r="AL76" s="322"/>
      <c r="AM76" s="322"/>
      <c r="AN76" s="322"/>
      <c r="AO76" s="322"/>
      <c r="AP76" s="322"/>
      <c r="AQ76" s="322"/>
      <c r="AR76" s="322"/>
      <c r="AS76" s="322"/>
      <c r="AT76" s="322"/>
      <c r="AU76" s="322"/>
      <c r="AV76" s="322"/>
      <c r="AW76" s="322"/>
      <c r="AX76" s="322"/>
      <c r="AY76" s="322"/>
      <c r="AZ76" s="322"/>
      <c r="BA76" s="322"/>
      <c r="BB76" s="322"/>
      <c r="BC76" s="322"/>
      <c r="BD76" s="322"/>
      <c r="BE76" s="322"/>
      <c r="BF76" s="322"/>
      <c r="BG76" s="322"/>
      <c r="BH76" s="322"/>
    </row>
    <row r="77" spans="1:60" ht="35.25" customHeight="1">
      <c r="A77" s="435"/>
      <c r="B77" s="34" t="s">
        <v>15</v>
      </c>
      <c r="C77" s="35" t="s">
        <v>239</v>
      </c>
      <c r="D77" s="35"/>
      <c r="E77" s="35"/>
      <c r="F77" s="35"/>
      <c r="G77" s="35"/>
      <c r="H77" s="35"/>
      <c r="I77" s="35"/>
      <c r="J77" s="436">
        <f>J79</f>
        <v>4624181.9013257204</v>
      </c>
      <c r="K77" s="35"/>
      <c r="L77" s="35"/>
      <c r="M77" s="35"/>
      <c r="N77" s="35"/>
      <c r="O77" s="36">
        <f>O79</f>
        <v>4624181.9013257204</v>
      </c>
    </row>
    <row r="78" spans="1:60" ht="36.75" customHeight="1" outlineLevel="1">
      <c r="A78" s="440" t="s">
        <v>28</v>
      </c>
      <c r="B78" s="37" t="s">
        <v>16</v>
      </c>
      <c r="C78" s="41" t="s">
        <v>419</v>
      </c>
      <c r="D78" s="38" t="s">
        <v>424</v>
      </c>
      <c r="E78" s="104">
        <v>5</v>
      </c>
      <c r="F78" s="302">
        <f>(J11+J54)*30%/5</f>
        <v>924836.38026514405</v>
      </c>
      <c r="G78" s="106" t="s">
        <v>408</v>
      </c>
      <c r="H78" s="106" t="s">
        <v>408</v>
      </c>
      <c r="I78" s="106" t="s">
        <v>408</v>
      </c>
      <c r="J78" s="432">
        <f>E78*F78</f>
        <v>4624181.9013257204</v>
      </c>
      <c r="K78" s="302">
        <f>F78</f>
        <v>924836.38026514405</v>
      </c>
      <c r="L78" s="106" t="s">
        <v>408</v>
      </c>
      <c r="M78" s="106" t="s">
        <v>408</v>
      </c>
      <c r="N78" s="106" t="s">
        <v>408</v>
      </c>
      <c r="O78" s="43">
        <f>E78*K78</f>
        <v>4624181.9013257204</v>
      </c>
    </row>
    <row r="79" spans="1:60" outlineLevel="1">
      <c r="A79" s="555" t="s">
        <v>409</v>
      </c>
      <c r="B79" s="556"/>
      <c r="C79" s="556"/>
      <c r="D79" s="556"/>
      <c r="E79" s="556"/>
      <c r="F79" s="556"/>
      <c r="G79" s="556"/>
      <c r="H79" s="556"/>
      <c r="I79" s="567"/>
      <c r="J79" s="437">
        <f>SUM(J78:J78)</f>
        <v>4624181.9013257204</v>
      </c>
      <c r="K79" s="556"/>
      <c r="L79" s="556"/>
      <c r="M79" s="556"/>
      <c r="N79" s="567"/>
      <c r="O79" s="312">
        <f>SUM(O78:O78)</f>
        <v>4624181.9013257204</v>
      </c>
    </row>
    <row r="80" spans="1:60" ht="13" outlineLevel="1" thickBot="1">
      <c r="A80" s="561"/>
      <c r="B80" s="562"/>
      <c r="C80" s="562"/>
      <c r="D80" s="562"/>
      <c r="E80" s="562"/>
      <c r="F80" s="562"/>
      <c r="G80" s="562"/>
      <c r="H80" s="562"/>
      <c r="I80" s="562"/>
      <c r="J80" s="568"/>
      <c r="K80" s="562"/>
      <c r="L80" s="562"/>
      <c r="M80" s="562"/>
      <c r="N80" s="562"/>
      <c r="O80" s="570"/>
    </row>
    <row r="81" spans="1:15" ht="12.65" customHeight="1" thickBot="1">
      <c r="A81" s="441"/>
      <c r="B81" s="442" t="s">
        <v>251</v>
      </c>
      <c r="C81" s="542" t="s">
        <v>250</v>
      </c>
      <c r="D81" s="543"/>
      <c r="E81" s="543"/>
      <c r="F81" s="543"/>
      <c r="G81" s="543"/>
      <c r="H81" s="543"/>
      <c r="I81" s="543"/>
      <c r="J81" s="445">
        <f>J11+J54+J77</f>
        <v>20038121.572411455</v>
      </c>
      <c r="K81" s="571"/>
      <c r="L81" s="571"/>
      <c r="M81" s="571"/>
      <c r="N81" s="571"/>
      <c r="O81" s="445">
        <f>O11+O54+O77</f>
        <v>20195671.781170387</v>
      </c>
    </row>
    <row r="82" spans="1:15">
      <c r="A82" s="50"/>
      <c r="B82" s="51"/>
      <c r="C82" s="50"/>
      <c r="D82" s="50"/>
      <c r="E82" s="50"/>
      <c r="F82" s="50"/>
      <c r="G82" s="50"/>
      <c r="H82" s="50"/>
      <c r="I82" s="50"/>
      <c r="J82" s="52"/>
    </row>
    <row r="83" spans="1:15">
      <c r="A83" s="50"/>
      <c r="B83" s="51"/>
      <c r="C83" s="50"/>
      <c r="D83" s="50"/>
      <c r="E83" s="50"/>
      <c r="F83" s="50"/>
      <c r="G83" s="50"/>
      <c r="H83" s="50"/>
      <c r="I83" s="50"/>
      <c r="J83" s="52"/>
    </row>
    <row r="84" spans="1:15">
      <c r="A84" s="50"/>
      <c r="B84" s="51"/>
      <c r="C84" s="50"/>
      <c r="D84" s="50"/>
      <c r="E84" s="50"/>
      <c r="F84" s="50"/>
      <c r="G84" s="50"/>
      <c r="H84" s="50"/>
      <c r="I84" s="50"/>
      <c r="J84" s="52"/>
    </row>
    <row r="85" spans="1:15">
      <c r="A85" s="50"/>
      <c r="B85" s="51"/>
      <c r="C85" s="50"/>
      <c r="D85" s="50"/>
      <c r="E85" s="50"/>
      <c r="F85" s="50"/>
      <c r="G85" s="50"/>
      <c r="H85" s="50"/>
      <c r="I85" s="50"/>
      <c r="J85" s="52"/>
    </row>
    <row r="86" spans="1:15">
      <c r="A86" s="50"/>
      <c r="B86" s="51"/>
      <c r="C86" s="50"/>
      <c r="D86" s="50"/>
      <c r="E86" s="50"/>
      <c r="F86" s="50"/>
      <c r="G86" s="50"/>
      <c r="H86" s="50"/>
      <c r="I86" s="50"/>
      <c r="J86" s="52"/>
    </row>
    <row r="87" spans="1:15">
      <c r="A87" s="50"/>
      <c r="B87" s="51"/>
      <c r="C87" s="50"/>
      <c r="D87" s="50"/>
      <c r="E87" s="50"/>
      <c r="F87" s="50"/>
      <c r="G87" s="50"/>
      <c r="H87" s="50"/>
      <c r="I87" s="50"/>
      <c r="J87" s="220"/>
    </row>
    <row r="88" spans="1:15">
      <c r="A88" s="50"/>
      <c r="B88" s="51"/>
      <c r="C88" s="50"/>
      <c r="D88" s="50"/>
      <c r="E88" s="50"/>
      <c r="F88" s="50"/>
      <c r="G88" s="50"/>
      <c r="H88" s="50"/>
      <c r="I88" s="50"/>
      <c r="J88" s="52"/>
    </row>
    <row r="89" spans="1:15">
      <c r="A89" s="50"/>
      <c r="B89" s="51"/>
      <c r="C89" s="50"/>
      <c r="D89" s="50"/>
      <c r="E89" s="50"/>
      <c r="F89" s="50"/>
      <c r="G89" s="50"/>
      <c r="H89" s="50"/>
      <c r="I89" s="50"/>
      <c r="J89" s="220"/>
    </row>
    <row r="90" spans="1:15">
      <c r="A90" s="50"/>
      <c r="B90" s="51"/>
      <c r="C90" s="50"/>
      <c r="D90" s="50"/>
      <c r="E90" s="50"/>
      <c r="F90" s="50"/>
      <c r="G90" s="50"/>
      <c r="H90" s="50"/>
      <c r="I90" s="50"/>
      <c r="J90" s="52"/>
    </row>
    <row r="91" spans="1:15">
      <c r="A91" s="50"/>
      <c r="B91" s="51"/>
      <c r="C91" s="50"/>
      <c r="D91" s="50"/>
      <c r="E91" s="50"/>
      <c r="F91" s="50"/>
      <c r="G91" s="50"/>
      <c r="H91" s="50"/>
      <c r="I91" s="50"/>
      <c r="J91" s="52"/>
    </row>
    <row r="92" spans="1:15">
      <c r="A92" s="50"/>
      <c r="B92" s="51"/>
      <c r="C92" s="50"/>
      <c r="D92" s="50"/>
      <c r="E92" s="50"/>
      <c r="F92" s="50"/>
      <c r="G92" s="50"/>
      <c r="H92" s="50"/>
      <c r="I92" s="50"/>
      <c r="J92" s="52"/>
    </row>
    <row r="93" spans="1:15">
      <c r="A93" s="50"/>
      <c r="B93" s="51"/>
      <c r="C93" s="50"/>
      <c r="D93" s="50"/>
      <c r="E93" s="50"/>
      <c r="F93" s="50"/>
      <c r="G93" s="50"/>
      <c r="H93" s="50"/>
      <c r="I93" s="50"/>
      <c r="J93" s="52"/>
    </row>
    <row r="94" spans="1:15">
      <c r="A94" s="50"/>
      <c r="B94" s="51"/>
      <c r="C94" s="50"/>
      <c r="D94" s="50"/>
      <c r="E94" s="50"/>
      <c r="F94" s="50"/>
      <c r="G94" s="50"/>
      <c r="H94" s="50"/>
      <c r="I94" s="50"/>
      <c r="J94" s="52"/>
    </row>
    <row r="95" spans="1:15">
      <c r="A95" s="50"/>
      <c r="B95" s="51"/>
      <c r="C95" s="50"/>
      <c r="D95" s="50"/>
      <c r="E95" s="50"/>
      <c r="F95" s="50"/>
      <c r="G95" s="50"/>
      <c r="H95" s="50"/>
      <c r="I95" s="50"/>
      <c r="J95" s="52"/>
    </row>
    <row r="96" spans="1:15">
      <c r="A96" s="50"/>
      <c r="B96" s="51"/>
      <c r="C96" s="50"/>
      <c r="D96" s="50"/>
      <c r="E96" s="50"/>
      <c r="F96" s="50"/>
      <c r="G96" s="50"/>
      <c r="H96" s="50"/>
      <c r="I96" s="50"/>
      <c r="J96" s="52"/>
    </row>
    <row r="97" spans="1:10">
      <c r="A97" s="50"/>
      <c r="B97" s="51"/>
      <c r="C97" s="50"/>
      <c r="D97" s="50"/>
      <c r="E97" s="50"/>
      <c r="F97" s="50"/>
      <c r="G97" s="50"/>
      <c r="H97" s="50"/>
      <c r="I97" s="50"/>
      <c r="J97" s="108"/>
    </row>
    <row r="98" spans="1:10">
      <c r="A98" s="50"/>
      <c r="B98" s="51"/>
      <c r="C98" s="50"/>
      <c r="D98" s="50"/>
      <c r="E98" s="50"/>
      <c r="F98" s="50"/>
      <c r="G98" s="50"/>
      <c r="H98" s="50"/>
      <c r="I98" s="50"/>
      <c r="J98" s="52"/>
    </row>
    <row r="99" spans="1:10">
      <c r="A99" s="50"/>
      <c r="B99" s="51"/>
      <c r="C99" s="50"/>
      <c r="D99" s="50"/>
      <c r="E99" s="50"/>
      <c r="F99" s="50"/>
      <c r="G99" s="50"/>
      <c r="H99" s="50"/>
      <c r="I99" s="50"/>
      <c r="J99" s="52"/>
    </row>
    <row r="100" spans="1:10">
      <c r="A100" s="50"/>
      <c r="B100" s="51"/>
      <c r="C100" s="50"/>
      <c r="D100" s="50"/>
      <c r="E100" s="50"/>
      <c r="F100" s="50"/>
      <c r="G100" s="50"/>
      <c r="H100" s="50"/>
      <c r="I100" s="50"/>
    </row>
    <row r="101" spans="1:10">
      <c r="A101" s="50"/>
      <c r="B101" s="51"/>
      <c r="C101" s="50"/>
      <c r="D101" s="50"/>
      <c r="E101" s="50"/>
      <c r="F101" s="50"/>
      <c r="G101" s="50"/>
      <c r="H101" s="50"/>
      <c r="I101" s="50"/>
      <c r="J101" s="52"/>
    </row>
    <row r="102" spans="1:10">
      <c r="A102" s="50"/>
      <c r="B102" s="51"/>
      <c r="C102" s="50"/>
      <c r="D102" s="50"/>
      <c r="E102" s="50"/>
      <c r="F102" s="50"/>
      <c r="G102" s="50"/>
      <c r="H102" s="50"/>
      <c r="I102" s="50"/>
      <c r="J102" s="52"/>
    </row>
    <row r="103" spans="1:10">
      <c r="B103" s="51"/>
      <c r="C103" s="50"/>
      <c r="D103" s="50"/>
      <c r="E103" s="50"/>
      <c r="F103" s="50"/>
      <c r="G103" s="50"/>
      <c r="H103" s="50"/>
      <c r="I103" s="50"/>
      <c r="J103" s="52"/>
    </row>
    <row r="104" spans="1:10">
      <c r="B104" s="51"/>
      <c r="C104" s="50"/>
      <c r="D104" s="50"/>
      <c r="E104" s="50"/>
      <c r="F104" s="50"/>
      <c r="G104" s="50"/>
      <c r="H104" s="50"/>
      <c r="I104" s="50"/>
      <c r="J104" s="52"/>
    </row>
    <row r="105" spans="1:10">
      <c r="B105" s="51"/>
      <c r="C105" s="50"/>
      <c r="D105" s="50"/>
      <c r="E105" s="50"/>
      <c r="F105" s="50"/>
      <c r="G105" s="50"/>
      <c r="H105" s="50"/>
      <c r="I105" s="50"/>
      <c r="J105" s="52"/>
    </row>
    <row r="106" spans="1:10">
      <c r="B106" s="51"/>
      <c r="C106" s="50"/>
      <c r="D106" s="50"/>
      <c r="E106" s="50"/>
      <c r="F106" s="50"/>
      <c r="G106" s="50"/>
      <c r="H106" s="50"/>
      <c r="I106" s="50"/>
      <c r="J106" s="52"/>
    </row>
    <row r="107" spans="1:10">
      <c r="B107" s="51"/>
      <c r="C107" s="50"/>
      <c r="D107" s="50"/>
      <c r="E107" s="50"/>
      <c r="F107" s="50"/>
      <c r="G107" s="50"/>
      <c r="H107" s="50"/>
      <c r="I107" s="50"/>
      <c r="J107" s="52"/>
    </row>
    <row r="108" spans="1:10">
      <c r="B108" s="51"/>
      <c r="C108" s="50"/>
      <c r="D108" s="50"/>
      <c r="E108" s="50"/>
      <c r="F108" s="50"/>
      <c r="G108" s="50"/>
      <c r="H108" s="50"/>
      <c r="I108" s="50"/>
      <c r="J108" s="52"/>
    </row>
    <row r="109" spans="1:10">
      <c r="B109" s="51"/>
      <c r="C109" s="50"/>
      <c r="D109" s="50"/>
      <c r="E109" s="50"/>
      <c r="F109" s="50"/>
      <c r="G109" s="50"/>
      <c r="H109" s="50"/>
      <c r="I109" s="50"/>
      <c r="J109" s="52"/>
    </row>
    <row r="110" spans="1:10">
      <c r="B110" s="51"/>
      <c r="C110" s="50"/>
      <c r="D110" s="50"/>
      <c r="E110" s="50"/>
      <c r="F110" s="50"/>
      <c r="G110" s="50"/>
      <c r="H110" s="50"/>
      <c r="I110" s="50"/>
      <c r="J110" s="52"/>
    </row>
    <row r="111" spans="1:10">
      <c r="B111" s="51"/>
      <c r="C111" s="50"/>
      <c r="D111" s="50"/>
      <c r="E111" s="50"/>
      <c r="F111" s="50"/>
      <c r="G111" s="50"/>
      <c r="H111" s="50"/>
      <c r="I111" s="50"/>
      <c r="J111" s="52"/>
    </row>
    <row r="112" spans="1:10">
      <c r="B112" s="51"/>
      <c r="C112" s="50"/>
      <c r="D112" s="50"/>
      <c r="E112" s="50"/>
      <c r="F112" s="50"/>
      <c r="G112" s="50"/>
      <c r="H112" s="50"/>
      <c r="I112" s="50"/>
      <c r="J112" s="52"/>
    </row>
    <row r="113" spans="2:10">
      <c r="B113" s="51"/>
      <c r="C113" s="50"/>
      <c r="D113" s="50"/>
      <c r="E113" s="50"/>
      <c r="F113" s="50"/>
      <c r="G113" s="50"/>
      <c r="H113" s="50"/>
      <c r="I113" s="50"/>
      <c r="J113" s="52"/>
    </row>
    <row r="114" spans="2:10">
      <c r="B114" s="51"/>
      <c r="C114" s="50"/>
      <c r="D114" s="50"/>
      <c r="E114" s="50"/>
      <c r="F114" s="50"/>
      <c r="G114" s="50"/>
      <c r="H114" s="50"/>
      <c r="I114" s="50"/>
      <c r="J114" s="52"/>
    </row>
    <row r="115" spans="2:10">
      <c r="B115" s="51"/>
      <c r="C115" s="50"/>
      <c r="D115" s="50"/>
      <c r="E115" s="50"/>
      <c r="F115" s="50"/>
      <c r="G115" s="50"/>
      <c r="H115" s="50"/>
      <c r="I115" s="50"/>
      <c r="J115" s="52"/>
    </row>
    <row r="116" spans="2:10">
      <c r="B116" s="51"/>
      <c r="C116" s="50"/>
      <c r="D116" s="50"/>
      <c r="E116" s="50"/>
      <c r="F116" s="50"/>
      <c r="G116" s="50"/>
      <c r="H116" s="50"/>
      <c r="I116" s="50"/>
      <c r="J116" s="52"/>
    </row>
    <row r="117" spans="2:10">
      <c r="B117" s="51"/>
      <c r="C117" s="50"/>
      <c r="D117" s="50"/>
      <c r="E117" s="50"/>
      <c r="F117" s="50"/>
      <c r="G117" s="50"/>
      <c r="H117" s="50"/>
      <c r="I117" s="50"/>
      <c r="J117" s="52"/>
    </row>
    <row r="118" spans="2:10">
      <c r="B118" s="51"/>
      <c r="C118" s="50"/>
      <c r="D118" s="50"/>
      <c r="E118" s="50"/>
      <c r="F118" s="50"/>
      <c r="G118" s="50"/>
      <c r="H118" s="50"/>
      <c r="I118" s="50"/>
      <c r="J118" s="52"/>
    </row>
    <row r="119" spans="2:10">
      <c r="B119" s="51"/>
      <c r="C119" s="50"/>
      <c r="D119" s="50"/>
      <c r="E119" s="50"/>
      <c r="F119" s="50"/>
      <c r="G119" s="50"/>
      <c r="H119" s="50"/>
      <c r="I119" s="50"/>
      <c r="J119" s="52"/>
    </row>
    <row r="120" spans="2:10">
      <c r="B120" s="51"/>
      <c r="C120" s="50"/>
      <c r="D120" s="50"/>
      <c r="E120" s="50"/>
      <c r="F120" s="50"/>
      <c r="G120" s="50"/>
      <c r="H120" s="50"/>
      <c r="I120" s="50"/>
      <c r="J120" s="52"/>
    </row>
    <row r="121" spans="2:10">
      <c r="B121" s="51"/>
      <c r="C121" s="50"/>
      <c r="D121" s="50"/>
      <c r="E121" s="50"/>
      <c r="F121" s="50"/>
      <c r="G121" s="50"/>
      <c r="H121" s="50"/>
      <c r="I121" s="50"/>
      <c r="J121" s="52"/>
    </row>
    <row r="122" spans="2:10">
      <c r="B122" s="51"/>
      <c r="C122" s="50"/>
      <c r="D122" s="50"/>
      <c r="E122" s="50"/>
      <c r="F122" s="50"/>
      <c r="G122" s="50"/>
      <c r="H122" s="50"/>
      <c r="I122" s="50"/>
      <c r="J122" s="52"/>
    </row>
    <row r="123" spans="2:10">
      <c r="B123" s="51"/>
      <c r="C123" s="50"/>
      <c r="D123" s="50"/>
      <c r="E123" s="50"/>
      <c r="F123" s="50"/>
      <c r="G123" s="50"/>
      <c r="H123" s="50"/>
      <c r="I123" s="50"/>
      <c r="J123" s="52"/>
    </row>
    <row r="124" spans="2:10">
      <c r="B124" s="51"/>
      <c r="C124" s="50"/>
      <c r="D124" s="50"/>
      <c r="E124" s="50"/>
      <c r="F124" s="50"/>
      <c r="G124" s="50"/>
      <c r="H124" s="50"/>
      <c r="I124" s="50"/>
      <c r="J124" s="52"/>
    </row>
    <row r="125" spans="2:10">
      <c r="B125" s="51"/>
      <c r="C125" s="50"/>
      <c r="D125" s="50"/>
      <c r="E125" s="50"/>
      <c r="F125" s="50"/>
      <c r="G125" s="50"/>
      <c r="H125" s="50"/>
      <c r="I125" s="50"/>
      <c r="J125" s="52"/>
    </row>
    <row r="126" spans="2:10">
      <c r="B126" s="51"/>
      <c r="C126" s="50"/>
      <c r="D126" s="50"/>
      <c r="E126" s="50"/>
      <c r="F126" s="50"/>
      <c r="G126" s="50"/>
      <c r="H126" s="50"/>
      <c r="I126" s="50"/>
      <c r="J126" s="52"/>
    </row>
    <row r="127" spans="2:10">
      <c r="B127" s="51"/>
      <c r="C127" s="50"/>
      <c r="D127" s="50"/>
      <c r="E127" s="50"/>
      <c r="F127" s="50"/>
      <c r="G127" s="50"/>
      <c r="H127" s="50"/>
      <c r="I127" s="50"/>
      <c r="J127" s="52"/>
    </row>
    <row r="128" spans="2:10">
      <c r="B128" s="51"/>
      <c r="C128" s="50"/>
      <c r="D128" s="50"/>
      <c r="E128" s="50"/>
      <c r="F128" s="50"/>
      <c r="G128" s="50"/>
      <c r="H128" s="50"/>
      <c r="I128" s="50"/>
      <c r="J128" s="52"/>
    </row>
    <row r="129" spans="2:10">
      <c r="B129" s="51"/>
      <c r="C129" s="50"/>
      <c r="D129" s="50"/>
      <c r="E129" s="50"/>
      <c r="F129" s="50"/>
      <c r="G129" s="50"/>
      <c r="H129" s="50"/>
      <c r="I129" s="50"/>
      <c r="J129" s="52"/>
    </row>
    <row r="130" spans="2:10">
      <c r="B130" s="51"/>
      <c r="C130" s="50"/>
      <c r="D130" s="50"/>
      <c r="E130" s="50"/>
      <c r="F130" s="50"/>
      <c r="G130" s="50"/>
      <c r="H130" s="50"/>
      <c r="I130" s="50"/>
      <c r="J130" s="52"/>
    </row>
    <row r="131" spans="2:10">
      <c r="B131" s="51"/>
      <c r="C131" s="50"/>
      <c r="D131" s="50"/>
      <c r="E131" s="50"/>
      <c r="F131" s="50"/>
      <c r="G131" s="50"/>
      <c r="H131" s="50"/>
      <c r="I131" s="50"/>
      <c r="J131" s="52"/>
    </row>
    <row r="132" spans="2:10">
      <c r="B132" s="51"/>
      <c r="C132" s="50"/>
      <c r="D132" s="50"/>
      <c r="E132" s="50"/>
      <c r="F132" s="50"/>
      <c r="G132" s="50"/>
      <c r="H132" s="50"/>
      <c r="I132" s="50"/>
      <c r="J132" s="52"/>
    </row>
    <row r="133" spans="2:10">
      <c r="B133" s="51"/>
      <c r="C133" s="50"/>
      <c r="D133" s="50"/>
      <c r="E133" s="50"/>
      <c r="F133" s="50"/>
      <c r="G133" s="50"/>
      <c r="H133" s="50"/>
      <c r="I133" s="50"/>
      <c r="J133" s="52"/>
    </row>
    <row r="134" spans="2:10">
      <c r="B134" s="51"/>
      <c r="C134" s="50"/>
      <c r="D134" s="50"/>
      <c r="E134" s="50"/>
      <c r="F134" s="50"/>
      <c r="G134" s="50"/>
      <c r="H134" s="50"/>
      <c r="I134" s="50"/>
      <c r="J134" s="52"/>
    </row>
    <row r="135" spans="2:10">
      <c r="B135" s="51"/>
      <c r="C135" s="50"/>
      <c r="D135" s="50"/>
      <c r="E135" s="50"/>
      <c r="F135" s="50"/>
      <c r="G135" s="50"/>
      <c r="H135" s="50"/>
      <c r="I135" s="50"/>
      <c r="J135" s="52"/>
    </row>
    <row r="136" spans="2:10">
      <c r="B136" s="51"/>
      <c r="C136" s="50"/>
      <c r="D136" s="50"/>
      <c r="E136" s="50"/>
      <c r="F136" s="50"/>
      <c r="G136" s="50"/>
      <c r="H136" s="50"/>
      <c r="I136" s="50"/>
      <c r="J136" s="52"/>
    </row>
    <row r="137" spans="2:10">
      <c r="B137" s="51"/>
      <c r="C137" s="50"/>
      <c r="D137" s="50"/>
      <c r="E137" s="50"/>
      <c r="F137" s="50"/>
      <c r="G137" s="50"/>
      <c r="H137" s="50"/>
      <c r="I137" s="50"/>
      <c r="J137" s="52"/>
    </row>
    <row r="138" spans="2:10">
      <c r="B138" s="51"/>
      <c r="C138" s="50"/>
      <c r="D138" s="50"/>
      <c r="E138" s="50"/>
      <c r="F138" s="50"/>
      <c r="G138" s="50"/>
      <c r="H138" s="50"/>
      <c r="I138" s="50"/>
      <c r="J138" s="52"/>
    </row>
    <row r="139" spans="2:10">
      <c r="B139" s="51"/>
      <c r="C139" s="50"/>
      <c r="D139" s="50"/>
      <c r="E139" s="50"/>
      <c r="F139" s="50"/>
      <c r="G139" s="50"/>
      <c r="H139" s="50"/>
      <c r="I139" s="50"/>
      <c r="J139" s="52"/>
    </row>
    <row r="140" spans="2:10">
      <c r="B140" s="51"/>
      <c r="C140" s="50"/>
      <c r="D140" s="50"/>
      <c r="E140" s="50"/>
      <c r="F140" s="50"/>
      <c r="G140" s="50"/>
      <c r="H140" s="50"/>
      <c r="I140" s="50"/>
      <c r="J140" s="52"/>
    </row>
    <row r="141" spans="2:10">
      <c r="B141" s="51"/>
      <c r="C141" s="50"/>
      <c r="D141" s="50"/>
      <c r="E141" s="50"/>
      <c r="F141" s="50"/>
      <c r="G141" s="50"/>
      <c r="H141" s="50"/>
      <c r="I141" s="50"/>
      <c r="J141" s="52"/>
    </row>
    <row r="142" spans="2:10">
      <c r="B142" s="51"/>
      <c r="C142" s="50"/>
      <c r="D142" s="50"/>
      <c r="E142" s="50"/>
      <c r="F142" s="50"/>
      <c r="G142" s="50"/>
      <c r="H142" s="50"/>
      <c r="I142" s="50"/>
      <c r="J142" s="52"/>
    </row>
    <row r="143" spans="2:10">
      <c r="B143" s="51"/>
      <c r="C143" s="50"/>
      <c r="D143" s="50"/>
      <c r="E143" s="50"/>
      <c r="F143" s="50"/>
      <c r="G143" s="50"/>
      <c r="H143" s="50"/>
      <c r="I143" s="50"/>
      <c r="J143" s="52"/>
    </row>
    <row r="144" spans="2:10">
      <c r="B144" s="51"/>
      <c r="C144" s="50"/>
      <c r="D144" s="50"/>
      <c r="E144" s="50"/>
      <c r="F144" s="50"/>
      <c r="G144" s="50"/>
      <c r="H144" s="50"/>
      <c r="I144" s="50"/>
      <c r="J144" s="52"/>
    </row>
    <row r="145" spans="2:10">
      <c r="B145" s="51"/>
      <c r="C145" s="50"/>
      <c r="D145" s="50"/>
      <c r="E145" s="50"/>
      <c r="F145" s="50"/>
      <c r="G145" s="50"/>
      <c r="H145" s="50"/>
      <c r="I145" s="50"/>
      <c r="J145" s="52"/>
    </row>
    <row r="146" spans="2:10">
      <c r="B146" s="51"/>
      <c r="C146" s="50"/>
      <c r="D146" s="50"/>
      <c r="E146" s="50"/>
      <c r="F146" s="50"/>
      <c r="G146" s="50"/>
      <c r="H146" s="50"/>
      <c r="I146" s="50"/>
      <c r="J146" s="52"/>
    </row>
    <row r="147" spans="2:10">
      <c r="B147" s="51"/>
      <c r="C147" s="50"/>
      <c r="D147" s="50"/>
      <c r="E147" s="50"/>
      <c r="F147" s="50"/>
      <c r="G147" s="50"/>
      <c r="H147" s="50"/>
      <c r="I147" s="50"/>
      <c r="J147" s="52"/>
    </row>
    <row r="148" spans="2:10">
      <c r="B148" s="51"/>
      <c r="C148" s="50"/>
      <c r="D148" s="50"/>
      <c r="E148" s="50"/>
      <c r="F148" s="50"/>
      <c r="G148" s="50"/>
      <c r="H148" s="50"/>
      <c r="I148" s="50"/>
      <c r="J148" s="52"/>
    </row>
    <row r="149" spans="2:10">
      <c r="B149" s="51"/>
      <c r="C149" s="50"/>
      <c r="D149" s="50"/>
      <c r="E149" s="50"/>
      <c r="F149" s="50"/>
      <c r="G149" s="50"/>
      <c r="H149" s="50"/>
      <c r="I149" s="50"/>
      <c r="J149" s="52"/>
    </row>
    <row r="150" spans="2:10">
      <c r="B150" s="51"/>
      <c r="C150" s="50"/>
      <c r="D150" s="50"/>
      <c r="E150" s="50"/>
      <c r="F150" s="50"/>
      <c r="G150" s="50"/>
      <c r="H150" s="50"/>
      <c r="I150" s="50"/>
      <c r="J150" s="52"/>
    </row>
    <row r="151" spans="2:10">
      <c r="B151" s="51"/>
      <c r="C151" s="50"/>
      <c r="D151" s="50"/>
      <c r="E151" s="50"/>
      <c r="F151" s="50"/>
      <c r="G151" s="50"/>
      <c r="H151" s="50"/>
      <c r="I151" s="50"/>
      <c r="J151" s="52"/>
    </row>
    <row r="152" spans="2:10">
      <c r="B152" s="51"/>
      <c r="C152" s="50"/>
      <c r="D152" s="50"/>
      <c r="E152" s="50"/>
      <c r="F152" s="50"/>
      <c r="G152" s="50"/>
      <c r="H152" s="50"/>
      <c r="I152" s="50"/>
      <c r="J152" s="52"/>
    </row>
    <row r="153" spans="2:10">
      <c r="B153" s="51"/>
      <c r="C153" s="50"/>
      <c r="D153" s="50"/>
      <c r="E153" s="50"/>
      <c r="F153" s="50"/>
      <c r="G153" s="50"/>
      <c r="H153" s="50"/>
      <c r="I153" s="50"/>
      <c r="J153" s="52"/>
    </row>
    <row r="154" spans="2:10">
      <c r="B154" s="51"/>
      <c r="C154" s="50"/>
      <c r="D154" s="50"/>
      <c r="E154" s="50"/>
      <c r="F154" s="50"/>
      <c r="G154" s="50"/>
      <c r="H154" s="50"/>
      <c r="I154" s="50"/>
      <c r="J154" s="52"/>
    </row>
    <row r="155" spans="2:10">
      <c r="B155" s="51"/>
      <c r="C155" s="50"/>
      <c r="D155" s="50"/>
      <c r="E155" s="50"/>
      <c r="F155" s="50"/>
      <c r="G155" s="50"/>
      <c r="H155" s="50"/>
      <c r="I155" s="50"/>
      <c r="J155" s="52"/>
    </row>
    <row r="156" spans="2:10">
      <c r="B156" s="51"/>
      <c r="C156" s="50"/>
      <c r="D156" s="50"/>
      <c r="E156" s="50"/>
      <c r="F156" s="50"/>
      <c r="G156" s="50"/>
      <c r="H156" s="50"/>
      <c r="I156" s="50"/>
      <c r="J156" s="52"/>
    </row>
    <row r="157" spans="2:10">
      <c r="B157" s="51"/>
      <c r="C157" s="50"/>
      <c r="D157" s="50"/>
      <c r="E157" s="50"/>
      <c r="F157" s="50"/>
      <c r="G157" s="50"/>
      <c r="H157" s="50"/>
      <c r="I157" s="50"/>
      <c r="J157" s="52"/>
    </row>
    <row r="158" spans="2:10">
      <c r="B158" s="51"/>
      <c r="C158" s="50"/>
      <c r="D158" s="50"/>
      <c r="E158" s="50"/>
      <c r="F158" s="50"/>
      <c r="G158" s="50"/>
      <c r="H158" s="50"/>
      <c r="I158" s="50"/>
      <c r="J158" s="52"/>
    </row>
    <row r="159" spans="2:10">
      <c r="B159" s="51"/>
      <c r="C159" s="50"/>
      <c r="D159" s="50"/>
      <c r="E159" s="50"/>
      <c r="F159" s="50"/>
      <c r="G159" s="50"/>
      <c r="H159" s="50"/>
      <c r="I159" s="50"/>
      <c r="J159" s="52"/>
    </row>
    <row r="160" spans="2:10">
      <c r="B160" s="51"/>
      <c r="C160" s="50"/>
      <c r="D160" s="50"/>
      <c r="E160" s="50"/>
      <c r="F160" s="50"/>
      <c r="G160" s="50"/>
      <c r="H160" s="50"/>
      <c r="I160" s="50"/>
      <c r="J160" s="52"/>
    </row>
    <row r="161" spans="2:10">
      <c r="B161" s="51"/>
      <c r="C161" s="50"/>
      <c r="D161" s="50"/>
      <c r="E161" s="50"/>
      <c r="F161" s="50"/>
      <c r="G161" s="50"/>
      <c r="H161" s="50"/>
      <c r="I161" s="50"/>
      <c r="J161" s="52"/>
    </row>
    <row r="162" spans="2:10">
      <c r="B162" s="51"/>
      <c r="C162" s="50"/>
      <c r="D162" s="50"/>
      <c r="E162" s="50"/>
      <c r="F162" s="50"/>
      <c r="G162" s="50"/>
      <c r="H162" s="50"/>
      <c r="I162" s="50"/>
      <c r="J162" s="52"/>
    </row>
    <row r="163" spans="2:10">
      <c r="B163" s="51"/>
      <c r="C163" s="50"/>
      <c r="D163" s="50"/>
      <c r="E163" s="50"/>
      <c r="F163" s="50"/>
      <c r="G163" s="50"/>
      <c r="H163" s="50"/>
      <c r="I163" s="50"/>
      <c r="J163" s="52"/>
    </row>
    <row r="164" spans="2:10">
      <c r="B164" s="51"/>
      <c r="C164" s="50"/>
      <c r="D164" s="50"/>
      <c r="E164" s="50"/>
      <c r="F164" s="50"/>
      <c r="G164" s="50"/>
      <c r="H164" s="50"/>
      <c r="I164" s="50"/>
      <c r="J164" s="52"/>
    </row>
    <row r="165" spans="2:10">
      <c r="B165" s="51"/>
      <c r="C165" s="50"/>
      <c r="D165" s="50"/>
      <c r="E165" s="50"/>
      <c r="F165" s="50"/>
      <c r="G165" s="50"/>
      <c r="H165" s="50"/>
      <c r="I165" s="50"/>
      <c r="J165" s="52"/>
    </row>
    <row r="166" spans="2:10">
      <c r="B166" s="51"/>
      <c r="C166" s="50"/>
      <c r="D166" s="50"/>
      <c r="E166" s="50"/>
      <c r="F166" s="50"/>
      <c r="G166" s="50"/>
      <c r="H166" s="50"/>
      <c r="I166" s="50"/>
      <c r="J166" s="52"/>
    </row>
    <row r="167" spans="2:10">
      <c r="B167" s="51"/>
      <c r="C167" s="50"/>
      <c r="D167" s="50"/>
      <c r="E167" s="50"/>
      <c r="F167" s="50"/>
      <c r="G167" s="50"/>
      <c r="H167" s="50"/>
      <c r="I167" s="50"/>
      <c r="J167" s="52"/>
    </row>
    <row r="168" spans="2:10">
      <c r="B168" s="51"/>
      <c r="C168" s="50"/>
      <c r="D168" s="50"/>
      <c r="E168" s="50"/>
      <c r="F168" s="50"/>
      <c r="G168" s="50"/>
      <c r="H168" s="50"/>
      <c r="I168" s="50"/>
      <c r="J168" s="52"/>
    </row>
    <row r="169" spans="2:10">
      <c r="B169" s="51"/>
      <c r="C169" s="50"/>
      <c r="D169" s="50"/>
      <c r="E169" s="50"/>
      <c r="F169" s="50"/>
      <c r="G169" s="50"/>
      <c r="H169" s="50"/>
      <c r="I169" s="50"/>
      <c r="J169" s="52"/>
    </row>
    <row r="170" spans="2:10">
      <c r="B170" s="51"/>
      <c r="C170" s="50"/>
      <c r="D170" s="50"/>
      <c r="E170" s="50"/>
      <c r="F170" s="50"/>
      <c r="G170" s="50"/>
      <c r="H170" s="50"/>
      <c r="I170" s="50"/>
      <c r="J170" s="52"/>
    </row>
    <row r="171" spans="2:10">
      <c r="B171" s="51"/>
      <c r="C171" s="50"/>
      <c r="D171" s="50"/>
      <c r="E171" s="50"/>
      <c r="F171" s="50"/>
      <c r="G171" s="50"/>
      <c r="H171" s="50"/>
      <c r="I171" s="50"/>
      <c r="J171" s="52"/>
    </row>
    <row r="172" spans="2:10">
      <c r="B172" s="51"/>
      <c r="C172" s="50"/>
      <c r="D172" s="50"/>
      <c r="E172" s="50"/>
      <c r="F172" s="50"/>
      <c r="G172" s="50"/>
      <c r="H172" s="50"/>
      <c r="I172" s="50"/>
      <c r="J172" s="52"/>
    </row>
    <row r="173" spans="2:10">
      <c r="B173" s="51"/>
      <c r="C173" s="50"/>
      <c r="D173" s="50"/>
      <c r="E173" s="50"/>
      <c r="F173" s="50"/>
      <c r="G173" s="50"/>
      <c r="H173" s="50"/>
      <c r="I173" s="50"/>
      <c r="J173" s="52"/>
    </row>
    <row r="174" spans="2:10">
      <c r="B174" s="51"/>
      <c r="C174" s="50"/>
      <c r="D174" s="50"/>
      <c r="E174" s="50"/>
      <c r="F174" s="50"/>
      <c r="G174" s="50"/>
      <c r="H174" s="50"/>
      <c r="I174" s="50"/>
      <c r="J174" s="52"/>
    </row>
    <row r="175" spans="2:10">
      <c r="B175" s="51"/>
      <c r="C175" s="50"/>
      <c r="D175" s="50"/>
      <c r="E175" s="50"/>
      <c r="F175" s="50"/>
      <c r="G175" s="50"/>
      <c r="H175" s="50"/>
      <c r="I175" s="50"/>
      <c r="J175" s="52"/>
    </row>
    <row r="176" spans="2:10">
      <c r="B176" s="51"/>
      <c r="C176" s="50"/>
      <c r="D176" s="50"/>
      <c r="E176" s="50"/>
      <c r="F176" s="50"/>
      <c r="G176" s="50"/>
      <c r="H176" s="50"/>
      <c r="I176" s="50"/>
      <c r="J176" s="52"/>
    </row>
    <row r="177" spans="2:10">
      <c r="B177" s="51"/>
      <c r="C177" s="50"/>
      <c r="D177" s="50"/>
      <c r="E177" s="50"/>
      <c r="F177" s="50"/>
      <c r="G177" s="50"/>
      <c r="H177" s="50"/>
      <c r="I177" s="50"/>
      <c r="J177" s="52"/>
    </row>
    <row r="178" spans="2:10">
      <c r="B178" s="51"/>
      <c r="C178" s="50"/>
      <c r="D178" s="50"/>
      <c r="E178" s="50"/>
      <c r="F178" s="50"/>
      <c r="G178" s="50"/>
      <c r="H178" s="50"/>
      <c r="I178" s="50"/>
      <c r="J178" s="52"/>
    </row>
    <row r="179" spans="2:10">
      <c r="B179" s="51"/>
      <c r="C179" s="50"/>
      <c r="D179" s="50"/>
      <c r="E179" s="50"/>
      <c r="F179" s="50"/>
      <c r="G179" s="50"/>
      <c r="H179" s="50"/>
      <c r="I179" s="50"/>
      <c r="J179" s="52"/>
    </row>
    <row r="180" spans="2:10">
      <c r="B180" s="51"/>
      <c r="C180" s="50"/>
      <c r="D180" s="50"/>
      <c r="E180" s="50"/>
      <c r="F180" s="50"/>
      <c r="G180" s="50"/>
      <c r="H180" s="50"/>
      <c r="I180" s="50"/>
      <c r="J180" s="52"/>
    </row>
    <row r="181" spans="2:10">
      <c r="B181" s="51"/>
      <c r="C181" s="50"/>
      <c r="D181" s="50"/>
      <c r="E181" s="50"/>
      <c r="F181" s="50"/>
      <c r="G181" s="50"/>
      <c r="H181" s="50"/>
      <c r="I181" s="50"/>
      <c r="J181" s="52"/>
    </row>
    <row r="182" spans="2:10">
      <c r="B182" s="51"/>
      <c r="C182" s="50"/>
      <c r="D182" s="50"/>
      <c r="E182" s="50"/>
      <c r="F182" s="50"/>
      <c r="G182" s="50"/>
      <c r="H182" s="50"/>
      <c r="I182" s="50"/>
      <c r="J182" s="52"/>
    </row>
    <row r="183" spans="2:10">
      <c r="B183" s="92"/>
      <c r="C183" s="92"/>
      <c r="D183" s="92"/>
      <c r="E183" s="92"/>
      <c r="F183" s="92"/>
      <c r="G183" s="92"/>
      <c r="H183" s="92"/>
      <c r="I183" s="92"/>
      <c r="J183" s="92"/>
    </row>
  </sheetData>
  <mergeCells count="40">
    <mergeCell ref="A23:I23"/>
    <mergeCell ref="A31:I31"/>
    <mergeCell ref="A35:I35"/>
    <mergeCell ref="A52:I52"/>
    <mergeCell ref="A8:E8"/>
    <mergeCell ref="K79:N79"/>
    <mergeCell ref="K80:O80"/>
    <mergeCell ref="K81:N81"/>
    <mergeCell ref="K31:N31"/>
    <mergeCell ref="K35:N35"/>
    <mergeCell ref="K52:N52"/>
    <mergeCell ref="K66:N66"/>
    <mergeCell ref="K74:N74"/>
    <mergeCell ref="K75:O75"/>
    <mergeCell ref="K76:O76"/>
    <mergeCell ref="C81:I81"/>
    <mergeCell ref="K1:O1"/>
    <mergeCell ref="K4:O4"/>
    <mergeCell ref="K5:N5"/>
    <mergeCell ref="K6:N6"/>
    <mergeCell ref="K7:N7"/>
    <mergeCell ref="K8:N8"/>
    <mergeCell ref="K10:O10"/>
    <mergeCell ref="K23:N23"/>
    <mergeCell ref="A66:I66"/>
    <mergeCell ref="A74:I74"/>
    <mergeCell ref="A75:J75"/>
    <mergeCell ref="A76:J76"/>
    <mergeCell ref="A79:I79"/>
    <mergeCell ref="A80:J80"/>
    <mergeCell ref="A10:J10"/>
    <mergeCell ref="A1:J1"/>
    <mergeCell ref="A5:E5"/>
    <mergeCell ref="A6:E6"/>
    <mergeCell ref="A7:E7"/>
    <mergeCell ref="F4:J4"/>
    <mergeCell ref="A2:O2"/>
    <mergeCell ref="K3:O3"/>
    <mergeCell ref="F3:J3"/>
    <mergeCell ref="A4:E4"/>
  </mergeCells>
  <conditionalFormatting sqref="D13:D22 D24 D34">
    <cfRule type="expression" dxfId="75" priority="35" stopIfTrue="1">
      <formula>AND(#REF!&lt;&gt;"COMPOSICAO",#REF!&lt;&gt;"INSUMO",#REF!&lt;&gt;"")</formula>
    </cfRule>
    <cfRule type="expression" dxfId="74" priority="36" stopIfTrue="1">
      <formula>AND(OR(#REF!="COMPOSICAO",#REF!="INSUMO",#REF!&lt;&gt;""),#REF!&lt;&gt;"")</formula>
    </cfRule>
  </conditionalFormatting>
  <conditionalFormatting sqref="D26:D30 D38:D51">
    <cfRule type="expression" dxfId="73" priority="29" stopIfTrue="1">
      <formula>AND(#REF!&lt;&gt;"COMPOSICAO",#REF!&lt;&gt;"INSUMO",#REF!&lt;&gt;"")</formula>
    </cfRule>
    <cfRule type="expression" dxfId="72" priority="30" stopIfTrue="1">
      <formula>AND(OR(#REF!="COMPOSICAO",#REF!="INSUMO",#REF!&lt;&gt;""),#REF!&lt;&gt;"")</formula>
    </cfRule>
  </conditionalFormatting>
  <conditionalFormatting sqref="D56:D65">
    <cfRule type="expression" dxfId="71" priority="31" stopIfTrue="1">
      <formula>AND(#REF!&lt;&gt;"COMPOSICAO",#REF!&lt;&gt;"INSUMO",#REF!&lt;&gt;"")</formula>
    </cfRule>
    <cfRule type="expression" dxfId="70" priority="32" stopIfTrue="1">
      <formula>AND(OR(#REF!="COMPOSICAO",#REF!="INSUMO",#REF!&lt;&gt;""),#REF!&lt;&gt;"")</formula>
    </cfRule>
  </conditionalFormatting>
  <conditionalFormatting sqref="D69:D73">
    <cfRule type="expression" dxfId="69" priority="21" stopIfTrue="1">
      <formula>AND(#REF!&lt;&gt;"COMPOSICAO",#REF!&lt;&gt;"INSUMO",#REF!&lt;&gt;"")</formula>
    </cfRule>
    <cfRule type="expression" dxfId="68" priority="22" stopIfTrue="1">
      <formula>AND(OR(#REF!="COMPOSICAO",#REF!="INSUMO",#REF!&lt;&gt;""),#REF!&lt;&gt;"")</formula>
    </cfRule>
  </conditionalFormatting>
  <conditionalFormatting sqref="J23">
    <cfRule type="expression" dxfId="67" priority="33" stopIfTrue="1">
      <formula>AND(#REF!&lt;&gt;"COMPOSICAO",#REF!&lt;&gt;"INSUMO",#REF!&lt;&gt;"")</formula>
    </cfRule>
    <cfRule type="expression" dxfId="66" priority="34" stopIfTrue="1">
      <formula>AND(OR(#REF!="COMPOSICAO",#REF!="INSUMO",#REF!&lt;&gt;""),#REF!&lt;&gt;"")</formula>
    </cfRule>
  </conditionalFormatting>
  <conditionalFormatting sqref="J31">
    <cfRule type="expression" dxfId="65" priority="27" stopIfTrue="1">
      <formula>AND(#REF!&lt;&gt;"COMPOSICAO",#REF!&lt;&gt;"INSUMO",#REF!&lt;&gt;"")</formula>
    </cfRule>
    <cfRule type="expression" dxfId="64" priority="28" stopIfTrue="1">
      <formula>AND(OR(#REF!="COMPOSICAO",#REF!="INSUMO",#REF!&lt;&gt;""),#REF!&lt;&gt;"")</formula>
    </cfRule>
  </conditionalFormatting>
  <conditionalFormatting sqref="J35">
    <cfRule type="expression" dxfId="63" priority="39" stopIfTrue="1">
      <formula>AND(#REF!&lt;&gt;"COMPOSICAO",#REF!&lt;&gt;"INSUMO",#REF!&lt;&gt;"")</formula>
    </cfRule>
    <cfRule type="expression" dxfId="62" priority="40" stopIfTrue="1">
      <formula>AND(OR(#REF!="COMPOSICAO",#REF!="INSUMO",#REF!&lt;&gt;""),#REF!&lt;&gt;"")</formula>
    </cfRule>
  </conditionalFormatting>
  <conditionalFormatting sqref="J52">
    <cfRule type="expression" dxfId="61" priority="25" stopIfTrue="1">
      <formula>AND(#REF!&lt;&gt;"COMPOSICAO",#REF!&lt;&gt;"INSUMO",#REF!&lt;&gt;"")</formula>
    </cfRule>
    <cfRule type="expression" dxfId="60" priority="26" stopIfTrue="1">
      <formula>AND(OR(#REF!="COMPOSICAO",#REF!="INSUMO",#REF!&lt;&gt;""),#REF!&lt;&gt;"")</formula>
    </cfRule>
  </conditionalFormatting>
  <conditionalFormatting sqref="J66 D78 J79 J82:J99 D82:D182 J101:J182">
    <cfRule type="expression" dxfId="59" priority="37" stopIfTrue="1">
      <formula>AND(#REF!&lt;&gt;"COMPOSICAO",#REF!&lt;&gt;"INSUMO",#REF!&lt;&gt;"")</formula>
    </cfRule>
    <cfRule type="expression" dxfId="58" priority="38" stopIfTrue="1">
      <formula>AND(OR(#REF!="COMPOSICAO",#REF!="INSUMO",#REF!&lt;&gt;""),#REF!&lt;&gt;"")</formula>
    </cfRule>
  </conditionalFormatting>
  <conditionalFormatting sqref="J74">
    <cfRule type="expression" dxfId="57" priority="23" stopIfTrue="1">
      <formula>AND(#REF!&lt;&gt;"COMPOSICAO",#REF!&lt;&gt;"INSUMO",#REF!&lt;&gt;"")</formula>
    </cfRule>
    <cfRule type="expression" dxfId="56" priority="24" stopIfTrue="1">
      <formula>AND(OR(#REF!="COMPOSICAO",#REF!="INSUMO",#REF!&lt;&gt;""),#REF!&lt;&gt;"")</formula>
    </cfRule>
  </conditionalFormatting>
  <conditionalFormatting sqref="O23">
    <cfRule type="expression" dxfId="55" priority="13" stopIfTrue="1">
      <formula>AND(#REF!&lt;&gt;"COMPOSICAO",#REF!&lt;&gt;"INSUMO",#REF!&lt;&gt;"")</formula>
    </cfRule>
    <cfRule type="expression" dxfId="54" priority="14" stopIfTrue="1">
      <formula>AND(OR(#REF!="COMPOSICAO",#REF!="INSUMO",#REF!&lt;&gt;""),#REF!&lt;&gt;"")</formula>
    </cfRule>
  </conditionalFormatting>
  <conditionalFormatting sqref="O31">
    <cfRule type="expression" dxfId="53" priority="7" stopIfTrue="1">
      <formula>AND(#REF!&lt;&gt;"COMPOSICAO",#REF!&lt;&gt;"INSUMO",#REF!&lt;&gt;"")</formula>
    </cfRule>
    <cfRule type="expression" dxfId="52" priority="8" stopIfTrue="1">
      <formula>AND(OR(#REF!="COMPOSICAO",#REF!="INSUMO",#REF!&lt;&gt;""),#REF!&lt;&gt;"")</formula>
    </cfRule>
  </conditionalFormatting>
  <conditionalFormatting sqref="O35">
    <cfRule type="expression" dxfId="51" priority="19" stopIfTrue="1">
      <formula>AND(#REF!&lt;&gt;"COMPOSICAO",#REF!&lt;&gt;"INSUMO",#REF!&lt;&gt;"")</formula>
    </cfRule>
    <cfRule type="expression" dxfId="50" priority="20" stopIfTrue="1">
      <formula>AND(OR(#REF!="COMPOSICAO",#REF!="INSUMO",#REF!&lt;&gt;""),#REF!&lt;&gt;"")</formula>
    </cfRule>
  </conditionalFormatting>
  <conditionalFormatting sqref="O52">
    <cfRule type="expression" dxfId="49" priority="5" stopIfTrue="1">
      <formula>AND(#REF!&lt;&gt;"COMPOSICAO",#REF!&lt;&gt;"INSUMO",#REF!&lt;&gt;"")</formula>
    </cfRule>
    <cfRule type="expression" dxfId="48" priority="6" stopIfTrue="1">
      <formula>AND(OR(#REF!="COMPOSICAO",#REF!="INSUMO",#REF!&lt;&gt;""),#REF!&lt;&gt;"")</formula>
    </cfRule>
  </conditionalFormatting>
  <conditionalFormatting sqref="O66 O79">
    <cfRule type="expression" dxfId="47" priority="17" stopIfTrue="1">
      <formula>AND(#REF!&lt;&gt;"COMPOSICAO",#REF!&lt;&gt;"INSUMO",#REF!&lt;&gt;"")</formula>
    </cfRule>
    <cfRule type="expression" dxfId="46" priority="18" stopIfTrue="1">
      <formula>AND(OR(#REF!="COMPOSICAO",#REF!="INSUMO",#REF!&lt;&gt;""),#REF!&lt;&gt;"")</formula>
    </cfRule>
  </conditionalFormatting>
  <conditionalFormatting sqref="O74">
    <cfRule type="expression" dxfId="45" priority="3" stopIfTrue="1">
      <formula>AND(#REF!&lt;&gt;"COMPOSICAO",#REF!&lt;&gt;"INSUMO",#REF!&lt;&gt;"")</formula>
    </cfRule>
    <cfRule type="expression" dxfId="44" priority="4" stopIfTrue="1">
      <formula>AND(OR(#REF!="COMPOSICAO",#REF!="INSUMO",#REF!&lt;&gt;""),#REF!&lt;&gt;"")</formula>
    </cfRule>
  </conditionalFormatting>
  <hyperlinks>
    <hyperlink ref="A38" location="Termografia!A1" display="Própria" xr:uid="{7C447E37-C62B-4954-8B12-A71AE9F0C4A0}"/>
    <hyperlink ref="A34" location="Consumíveis!A1" display="Diversos" xr:uid="{2FC9AA06-146A-456C-96DB-D5341B81ED90}"/>
    <hyperlink ref="A48" location="'Inspeção Predial'!A1" display="Própria" xr:uid="{C6696B0B-FA75-4ADC-8A22-BF8858B4F672}"/>
  </hyperlinks>
  <printOptions horizontalCentered="1"/>
  <pageMargins left="0" right="0" top="0.39370078740157483" bottom="0.39370078740157483" header="0" footer="0"/>
  <pageSetup paperSize="9" scale="71" fitToWidth="0" fitToHeight="0" pageOrder="overThenDown" orientation="portrait" useFirstPageNumber="1" r:id="rId1"/>
  <headerFooter>
    <oddHeader>&amp;C&amp;A</oddHeader>
    <oddFooter>&amp;CPage &amp;P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16814-6421-4A98-BEFC-4DAE99AC6F5F}">
  <sheetPr>
    <tabColor rgb="FFFFC000"/>
  </sheetPr>
  <dimension ref="A1:CA58"/>
  <sheetViews>
    <sheetView zoomScale="90" zoomScaleNormal="90" workbookViewId="0">
      <selection activeCell="H43" sqref="H43"/>
    </sheetView>
  </sheetViews>
  <sheetFormatPr defaultRowHeight="12.5"/>
  <cols>
    <col min="1" max="1" width="18.54296875" customWidth="1"/>
    <col min="2" max="2" width="50.54296875" customWidth="1"/>
    <col min="3" max="18" width="18.54296875" customWidth="1"/>
    <col min="19" max="20" width="18.54296875" style="322" customWidth="1"/>
    <col min="21" max="25" width="18.54296875" customWidth="1"/>
    <col min="26" max="27" width="18.54296875" style="322" customWidth="1"/>
    <col min="28" max="32" width="18.54296875" customWidth="1"/>
    <col min="33" max="34" width="18.54296875" style="322" customWidth="1"/>
    <col min="35" max="39" width="18.54296875" customWidth="1"/>
    <col min="40" max="41" width="18.54296875" style="322" customWidth="1"/>
    <col min="42" max="46" width="18.54296875" customWidth="1"/>
    <col min="47" max="48" width="18.54296875" style="322" customWidth="1"/>
    <col min="49" max="53" width="18.54296875" customWidth="1"/>
    <col min="54" max="55" width="18.54296875" style="322" customWidth="1"/>
    <col min="56" max="60" width="18.54296875" customWidth="1"/>
    <col min="61" max="62" width="18.54296875" style="322" customWidth="1"/>
    <col min="63" max="67" width="18.54296875" customWidth="1"/>
    <col min="68" max="69" width="18.54296875" style="322" customWidth="1"/>
    <col min="70" max="74" width="18.54296875" customWidth="1"/>
    <col min="75" max="76" width="18.54296875" style="322" customWidth="1"/>
  </cols>
  <sheetData>
    <row r="1" spans="1:79" ht="14.5">
      <c r="A1" s="336" t="s">
        <v>429</v>
      </c>
      <c r="B1" s="337" t="s">
        <v>430</v>
      </c>
      <c r="C1" s="585" t="s">
        <v>431</v>
      </c>
      <c r="D1" s="585"/>
      <c r="E1" s="585"/>
      <c r="F1" s="338" t="s">
        <v>432</v>
      </c>
      <c r="G1" s="322"/>
      <c r="H1" s="339" t="s">
        <v>433</v>
      </c>
      <c r="I1" s="340" t="s">
        <v>25</v>
      </c>
      <c r="J1" s="577" t="s">
        <v>434</v>
      </c>
      <c r="K1" s="578"/>
      <c r="L1" s="366"/>
      <c r="M1" s="367"/>
      <c r="N1" s="322"/>
      <c r="O1" s="339" t="s">
        <v>433</v>
      </c>
      <c r="P1" s="340" t="s">
        <v>25</v>
      </c>
      <c r="Q1" s="577" t="s">
        <v>434</v>
      </c>
      <c r="R1" s="578"/>
      <c r="S1" s="366"/>
      <c r="T1" s="367"/>
      <c r="U1" s="322"/>
      <c r="V1" s="339" t="s">
        <v>433</v>
      </c>
      <c r="W1" s="340" t="s">
        <v>25</v>
      </c>
      <c r="X1" s="577" t="s">
        <v>434</v>
      </c>
      <c r="Y1" s="578"/>
      <c r="Z1" s="366"/>
      <c r="AA1" s="367"/>
      <c r="AB1" s="322"/>
      <c r="AC1" s="339" t="s">
        <v>433</v>
      </c>
      <c r="AD1" s="340" t="s">
        <v>25</v>
      </c>
      <c r="AE1" s="577" t="s">
        <v>434</v>
      </c>
      <c r="AF1" s="578"/>
      <c r="AG1" s="366"/>
      <c r="AH1" s="367"/>
      <c r="AI1" s="322"/>
      <c r="AJ1" s="339" t="s">
        <v>433</v>
      </c>
      <c r="AK1" s="340" t="s">
        <v>25</v>
      </c>
      <c r="AL1" s="577" t="s">
        <v>434</v>
      </c>
      <c r="AM1" s="578"/>
      <c r="AN1" s="366"/>
      <c r="AO1" s="367"/>
      <c r="AP1" s="322"/>
      <c r="AQ1" s="339" t="s">
        <v>433</v>
      </c>
      <c r="AR1" s="340" t="s">
        <v>25</v>
      </c>
      <c r="AS1" s="577" t="s">
        <v>434</v>
      </c>
      <c r="AT1" s="578"/>
      <c r="AU1" s="366"/>
      <c r="AV1" s="367"/>
      <c r="AW1" s="322"/>
      <c r="AX1" s="339" t="s">
        <v>433</v>
      </c>
      <c r="AY1" s="340" t="s">
        <v>25</v>
      </c>
      <c r="AZ1" s="577" t="s">
        <v>434</v>
      </c>
      <c r="BA1" s="578"/>
      <c r="BB1" s="366"/>
      <c r="BC1" s="367"/>
      <c r="BD1" s="322"/>
      <c r="BE1" s="339" t="s">
        <v>433</v>
      </c>
      <c r="BF1" s="340" t="s">
        <v>25</v>
      </c>
      <c r="BG1" s="577" t="s">
        <v>434</v>
      </c>
      <c r="BH1" s="578"/>
      <c r="BI1" s="366"/>
      <c r="BJ1" s="367"/>
      <c r="BK1" s="322"/>
      <c r="BL1" s="339" t="s">
        <v>433</v>
      </c>
      <c r="BM1" s="340" t="s">
        <v>25</v>
      </c>
      <c r="BN1" s="577" t="s">
        <v>434</v>
      </c>
      <c r="BO1" s="578"/>
      <c r="BP1" s="366"/>
      <c r="BQ1" s="367"/>
      <c r="BR1" s="322"/>
      <c r="BS1" s="339" t="s">
        <v>433</v>
      </c>
      <c r="BT1" s="340" t="s">
        <v>25</v>
      </c>
      <c r="BU1" s="577" t="s">
        <v>434</v>
      </c>
      <c r="BV1" s="578"/>
      <c r="BW1" s="366"/>
      <c r="BX1" s="367"/>
      <c r="BY1" s="322"/>
      <c r="BZ1" s="322"/>
      <c r="CA1" s="322"/>
    </row>
    <row r="2" spans="1:79" ht="14.5">
      <c r="A2" s="342" t="s">
        <v>435</v>
      </c>
      <c r="B2" s="343" t="s">
        <v>436</v>
      </c>
      <c r="C2" s="303"/>
      <c r="D2" s="303"/>
      <c r="E2" s="303"/>
      <c r="F2" s="344"/>
      <c r="G2" s="322"/>
      <c r="H2" s="345" t="s">
        <v>437</v>
      </c>
      <c r="I2" s="377">
        <v>90778</v>
      </c>
      <c r="J2" s="579"/>
      <c r="K2" s="580"/>
      <c r="L2" s="345"/>
      <c r="M2" s="368"/>
      <c r="N2" s="322"/>
      <c r="O2" s="345" t="s">
        <v>437</v>
      </c>
      <c r="P2" s="341">
        <v>100308</v>
      </c>
      <c r="Q2" s="581"/>
      <c r="R2" s="580"/>
      <c r="S2" s="345"/>
      <c r="T2" s="368"/>
      <c r="U2" s="322"/>
      <c r="V2" s="345" t="s">
        <v>437</v>
      </c>
      <c r="W2" s="341">
        <v>88243</v>
      </c>
      <c r="X2" s="581"/>
      <c r="Y2" s="580"/>
      <c r="Z2" s="345"/>
      <c r="AA2" s="368"/>
      <c r="AB2" s="322"/>
      <c r="AC2" s="345" t="s">
        <v>437</v>
      </c>
      <c r="AD2" s="341">
        <v>88266</v>
      </c>
      <c r="AE2" s="581"/>
      <c r="AF2" s="580"/>
      <c r="AG2" s="345"/>
      <c r="AH2" s="368"/>
      <c r="AI2" s="322"/>
      <c r="AJ2" s="345" t="s">
        <v>437</v>
      </c>
      <c r="AK2" s="341">
        <v>100533</v>
      </c>
      <c r="AL2" s="581"/>
      <c r="AM2" s="580"/>
      <c r="AN2" s="345"/>
      <c r="AO2" s="368"/>
      <c r="AP2" s="322"/>
      <c r="AQ2" s="345" t="s">
        <v>437</v>
      </c>
      <c r="AR2" s="341">
        <v>88309</v>
      </c>
      <c r="AS2" s="581"/>
      <c r="AT2" s="580"/>
      <c r="AU2" s="345"/>
      <c r="AV2" s="368"/>
      <c r="AW2" s="322"/>
      <c r="AX2" s="345" t="s">
        <v>437</v>
      </c>
      <c r="AY2" s="341">
        <v>88310</v>
      </c>
      <c r="AZ2" s="581"/>
      <c r="BA2" s="580"/>
      <c r="BB2" s="345"/>
      <c r="BC2" s="368"/>
      <c r="BD2" s="322"/>
      <c r="BE2" s="345" t="s">
        <v>437</v>
      </c>
      <c r="BF2" s="341">
        <v>100301</v>
      </c>
      <c r="BG2" s="581"/>
      <c r="BH2" s="580"/>
      <c r="BI2" s="345"/>
      <c r="BJ2" s="368"/>
      <c r="BK2" s="322"/>
      <c r="BL2" s="345" t="s">
        <v>437</v>
      </c>
      <c r="BM2" s="341">
        <v>88266</v>
      </c>
      <c r="BN2" s="581"/>
      <c r="BO2" s="580"/>
      <c r="BP2" s="345"/>
      <c r="BQ2" s="368"/>
      <c r="BR2" s="322"/>
      <c r="BS2" s="345" t="s">
        <v>437</v>
      </c>
      <c r="BT2" s="341">
        <v>100308</v>
      </c>
      <c r="BU2" s="581"/>
      <c r="BV2" s="580"/>
      <c r="BW2" s="345"/>
      <c r="BX2" s="368"/>
      <c r="BY2" s="322"/>
      <c r="BZ2" s="322"/>
      <c r="CA2" s="322"/>
    </row>
    <row r="3" spans="1:79" ht="15" thickBot="1">
      <c r="A3" s="342"/>
      <c r="B3" s="343"/>
      <c r="C3" s="303"/>
      <c r="D3" s="303"/>
      <c r="E3" s="303"/>
      <c r="F3" s="344"/>
      <c r="G3" s="322"/>
      <c r="H3" s="346" t="s">
        <v>97</v>
      </c>
      <c r="I3" s="347">
        <v>121.61</v>
      </c>
      <c r="J3" s="348" t="s">
        <v>438</v>
      </c>
      <c r="K3" s="349">
        <v>135.80000000000001</v>
      </c>
      <c r="L3" s="378"/>
      <c r="M3" s="349"/>
      <c r="N3" s="322"/>
      <c r="O3" s="346" t="s">
        <v>97</v>
      </c>
      <c r="P3" s="347">
        <v>28.3</v>
      </c>
      <c r="Q3" s="348" t="s">
        <v>438</v>
      </c>
      <c r="R3" s="349">
        <v>30.94</v>
      </c>
      <c r="S3" s="378"/>
      <c r="T3" s="349"/>
      <c r="U3" s="322"/>
      <c r="V3" s="346" t="s">
        <v>97</v>
      </c>
      <c r="W3" s="347">
        <v>22.35</v>
      </c>
      <c r="X3" s="348" t="s">
        <v>438</v>
      </c>
      <c r="Y3" s="349">
        <v>24.3</v>
      </c>
      <c r="Z3" s="378"/>
      <c r="AA3" s="349"/>
      <c r="AB3" s="322"/>
      <c r="AC3" s="346" t="s">
        <v>97</v>
      </c>
      <c r="AD3" s="347">
        <v>32.96</v>
      </c>
      <c r="AE3" s="348" t="s">
        <v>438</v>
      </c>
      <c r="AF3" s="349">
        <v>36.17</v>
      </c>
      <c r="AG3" s="378"/>
      <c r="AH3" s="349"/>
      <c r="AI3" s="322"/>
      <c r="AJ3" s="346" t="s">
        <v>97</v>
      </c>
      <c r="AK3" s="347">
        <v>30.27</v>
      </c>
      <c r="AL3" s="348" t="s">
        <v>438</v>
      </c>
      <c r="AM3" s="349">
        <v>33.6</v>
      </c>
      <c r="AN3" s="378"/>
      <c r="AO3" s="349"/>
      <c r="AP3" s="322"/>
      <c r="AQ3" s="346" t="s">
        <v>97</v>
      </c>
      <c r="AR3" s="347">
        <v>25.72</v>
      </c>
      <c r="AS3" s="348" t="s">
        <v>438</v>
      </c>
      <c r="AT3" s="349">
        <v>28.07</v>
      </c>
      <c r="AU3" s="378"/>
      <c r="AV3" s="349"/>
      <c r="AW3" s="322"/>
      <c r="AX3" s="346" t="s">
        <v>97</v>
      </c>
      <c r="AY3" s="347">
        <v>27.41</v>
      </c>
      <c r="AZ3" s="348" t="s">
        <v>438</v>
      </c>
      <c r="BA3" s="349">
        <v>29.74</v>
      </c>
      <c r="BB3" s="378"/>
      <c r="BC3" s="349"/>
      <c r="BD3" s="322"/>
      <c r="BE3" s="346" t="s">
        <v>97</v>
      </c>
      <c r="BF3" s="347">
        <v>24.39</v>
      </c>
      <c r="BG3" s="348" t="s">
        <v>438</v>
      </c>
      <c r="BH3" s="349">
        <v>26.34</v>
      </c>
      <c r="BI3" s="378"/>
      <c r="BJ3" s="349"/>
      <c r="BK3" s="322"/>
      <c r="BL3" s="346" t="s">
        <v>97</v>
      </c>
      <c r="BM3" s="347">
        <f>(AD3/(1+C40))*0.3+AD3</f>
        <v>38.158191567658506</v>
      </c>
      <c r="BN3" s="348" t="s">
        <v>438</v>
      </c>
      <c r="BO3" s="349">
        <f>(AF3/(1+E40))*0.3+AF3</f>
        <v>41.268195827851912</v>
      </c>
      <c r="BP3" s="378"/>
      <c r="BQ3" s="349"/>
      <c r="BR3" s="322"/>
      <c r="BS3" s="346" t="s">
        <v>97</v>
      </c>
      <c r="BT3" s="347">
        <v>28.3</v>
      </c>
      <c r="BU3" s="348" t="s">
        <v>438</v>
      </c>
      <c r="BV3" s="349">
        <v>30.94</v>
      </c>
      <c r="BW3" s="378"/>
      <c r="BX3" s="349"/>
      <c r="BY3" s="322"/>
      <c r="BZ3" s="322"/>
      <c r="CA3" s="322"/>
    </row>
    <row r="4" spans="1:79" ht="15" thickBot="1">
      <c r="A4" s="582" t="s">
        <v>439</v>
      </c>
      <c r="B4" s="583"/>
      <c r="C4" s="583"/>
      <c r="D4" s="583"/>
      <c r="E4" s="583"/>
      <c r="F4" s="584"/>
      <c r="G4" s="322"/>
      <c r="H4" s="604" t="s">
        <v>110</v>
      </c>
      <c r="I4" s="605"/>
      <c r="J4" s="605"/>
      <c r="K4" s="605"/>
      <c r="L4" s="605"/>
      <c r="M4" s="606"/>
      <c r="N4" s="322"/>
      <c r="O4" s="604" t="s">
        <v>66</v>
      </c>
      <c r="P4" s="605"/>
      <c r="Q4" s="605"/>
      <c r="R4" s="605"/>
      <c r="S4" s="605"/>
      <c r="T4" s="605"/>
      <c r="U4" s="322"/>
      <c r="V4" s="592" t="s">
        <v>67</v>
      </c>
      <c r="W4" s="593"/>
      <c r="X4" s="593"/>
      <c r="Y4" s="593"/>
      <c r="Z4" s="593"/>
      <c r="AA4" s="593"/>
      <c r="AB4" s="322"/>
      <c r="AC4" s="592" t="s">
        <v>100</v>
      </c>
      <c r="AD4" s="593"/>
      <c r="AE4" s="593"/>
      <c r="AF4" s="593"/>
      <c r="AG4" s="593"/>
      <c r="AH4" s="593"/>
      <c r="AI4" s="322"/>
      <c r="AJ4" s="589" t="s">
        <v>105</v>
      </c>
      <c r="AK4" s="590"/>
      <c r="AL4" s="590"/>
      <c r="AM4" s="591"/>
      <c r="AN4" s="382"/>
      <c r="AO4" s="382"/>
      <c r="AP4" s="322"/>
      <c r="AQ4" s="589" t="s">
        <v>112</v>
      </c>
      <c r="AR4" s="590"/>
      <c r="AS4" s="590"/>
      <c r="AT4" s="591"/>
      <c r="AU4" s="382"/>
      <c r="AV4" s="382"/>
      <c r="AW4" s="322"/>
      <c r="AX4" s="592" t="s">
        <v>117</v>
      </c>
      <c r="AY4" s="593"/>
      <c r="AZ4" s="593"/>
      <c r="BA4" s="593"/>
      <c r="BB4" s="593"/>
      <c r="BC4" s="593"/>
      <c r="BD4" s="322"/>
      <c r="BE4" s="379" t="s">
        <v>116</v>
      </c>
      <c r="BF4" s="380"/>
      <c r="BG4" s="380"/>
      <c r="BH4" s="381"/>
      <c r="BI4" s="382"/>
      <c r="BJ4" s="382"/>
      <c r="BK4" s="322"/>
      <c r="BL4" s="592" t="s">
        <v>440</v>
      </c>
      <c r="BM4" s="593"/>
      <c r="BN4" s="593"/>
      <c r="BO4" s="593"/>
      <c r="BP4" s="593"/>
      <c r="BQ4" s="593"/>
      <c r="BR4" s="322"/>
      <c r="BS4" s="589" t="s">
        <v>120</v>
      </c>
      <c r="BT4" s="590"/>
      <c r="BU4" s="590"/>
      <c r="BV4" s="591"/>
      <c r="BW4" s="382"/>
      <c r="BX4" s="382"/>
      <c r="BY4" s="322"/>
      <c r="BZ4" s="322"/>
      <c r="CA4" s="322"/>
    </row>
    <row r="5" spans="1:79" ht="58" customHeight="1">
      <c r="A5" s="351" t="s">
        <v>93</v>
      </c>
      <c r="B5" s="350" t="s">
        <v>441</v>
      </c>
      <c r="C5" s="350" t="s">
        <v>442</v>
      </c>
      <c r="D5" s="350" t="s">
        <v>443</v>
      </c>
      <c r="E5" s="350" t="s">
        <v>444</v>
      </c>
      <c r="F5" s="352" t="s">
        <v>445</v>
      </c>
      <c r="G5" s="322"/>
      <c r="H5" s="351" t="s">
        <v>442</v>
      </c>
      <c r="I5" s="350" t="s">
        <v>443</v>
      </c>
      <c r="J5" s="350" t="s">
        <v>444</v>
      </c>
      <c r="K5" s="352" t="s">
        <v>445</v>
      </c>
      <c r="L5" s="369" t="s">
        <v>509</v>
      </c>
      <c r="M5" s="370" t="s">
        <v>511</v>
      </c>
      <c r="N5" s="322"/>
      <c r="O5" s="351" t="s">
        <v>442</v>
      </c>
      <c r="P5" s="350" t="s">
        <v>443</v>
      </c>
      <c r="Q5" s="350" t="s">
        <v>444</v>
      </c>
      <c r="R5" s="352" t="s">
        <v>445</v>
      </c>
      <c r="S5" s="369" t="s">
        <v>509</v>
      </c>
      <c r="T5" s="370" t="s">
        <v>511</v>
      </c>
      <c r="U5" s="322"/>
      <c r="V5" s="351" t="s">
        <v>442</v>
      </c>
      <c r="W5" s="350" t="s">
        <v>443</v>
      </c>
      <c r="X5" s="350" t="s">
        <v>444</v>
      </c>
      <c r="Y5" s="352" t="s">
        <v>445</v>
      </c>
      <c r="Z5" s="393" t="s">
        <v>509</v>
      </c>
      <c r="AA5" s="394" t="s">
        <v>511</v>
      </c>
      <c r="AB5" s="322"/>
      <c r="AC5" s="351" t="s">
        <v>442</v>
      </c>
      <c r="AD5" s="350" t="s">
        <v>443</v>
      </c>
      <c r="AE5" s="350" t="s">
        <v>444</v>
      </c>
      <c r="AF5" s="352" t="s">
        <v>445</v>
      </c>
      <c r="AG5" s="393" t="s">
        <v>509</v>
      </c>
      <c r="AH5" s="394" t="s">
        <v>511</v>
      </c>
      <c r="AI5" s="322"/>
      <c r="AJ5" s="351" t="s">
        <v>442</v>
      </c>
      <c r="AK5" s="350" t="s">
        <v>443</v>
      </c>
      <c r="AL5" s="350" t="s">
        <v>444</v>
      </c>
      <c r="AM5" s="352" t="s">
        <v>445</v>
      </c>
      <c r="AN5" s="399" t="s">
        <v>513</v>
      </c>
      <c r="AO5" s="400" t="s">
        <v>514</v>
      </c>
      <c r="AP5" s="322"/>
      <c r="AQ5" s="351" t="s">
        <v>442</v>
      </c>
      <c r="AR5" s="350" t="s">
        <v>443</v>
      </c>
      <c r="AS5" s="350" t="s">
        <v>444</v>
      </c>
      <c r="AT5" s="352" t="s">
        <v>445</v>
      </c>
      <c r="AU5" s="393" t="s">
        <v>509</v>
      </c>
      <c r="AV5" s="394" t="s">
        <v>511</v>
      </c>
      <c r="AW5" s="322"/>
      <c r="AX5" s="351" t="s">
        <v>442</v>
      </c>
      <c r="AY5" s="350" t="s">
        <v>443</v>
      </c>
      <c r="AZ5" s="350" t="s">
        <v>444</v>
      </c>
      <c r="BA5" s="352" t="s">
        <v>445</v>
      </c>
      <c r="BB5" s="393" t="s">
        <v>509</v>
      </c>
      <c r="BC5" s="394" t="s">
        <v>511</v>
      </c>
      <c r="BD5" s="322"/>
      <c r="BE5" s="351" t="s">
        <v>442</v>
      </c>
      <c r="BF5" s="350" t="s">
        <v>443</v>
      </c>
      <c r="BG5" s="350" t="s">
        <v>444</v>
      </c>
      <c r="BH5" s="352" t="s">
        <v>445</v>
      </c>
      <c r="BI5" s="393" t="s">
        <v>509</v>
      </c>
      <c r="BJ5" s="394" t="s">
        <v>511</v>
      </c>
      <c r="BK5" s="322"/>
      <c r="BL5" s="351" t="s">
        <v>442</v>
      </c>
      <c r="BM5" s="350" t="s">
        <v>443</v>
      </c>
      <c r="BN5" s="350" t="s">
        <v>444</v>
      </c>
      <c r="BO5" s="352" t="s">
        <v>445</v>
      </c>
      <c r="BP5" s="393" t="s">
        <v>509</v>
      </c>
      <c r="BQ5" s="394" t="s">
        <v>511</v>
      </c>
      <c r="BR5" s="322"/>
      <c r="BS5" s="351" t="s">
        <v>442</v>
      </c>
      <c r="BT5" s="350" t="s">
        <v>443</v>
      </c>
      <c r="BU5" s="350" t="s">
        <v>444</v>
      </c>
      <c r="BV5" s="352" t="s">
        <v>445</v>
      </c>
      <c r="BW5" s="393" t="s">
        <v>509</v>
      </c>
      <c r="BX5" s="394" t="s">
        <v>511</v>
      </c>
      <c r="BY5" s="322"/>
      <c r="BZ5" s="322"/>
      <c r="CA5" s="322"/>
    </row>
    <row r="6" spans="1:79" ht="14.5">
      <c r="A6" s="586" t="s">
        <v>446</v>
      </c>
      <c r="B6" s="587"/>
      <c r="C6" s="587"/>
      <c r="D6" s="587"/>
      <c r="E6" s="587"/>
      <c r="F6" s="588"/>
      <c r="G6" s="322"/>
      <c r="H6" s="586"/>
      <c r="I6" s="587"/>
      <c r="J6" s="587"/>
      <c r="K6" s="588"/>
      <c r="L6" s="371"/>
      <c r="M6" s="372"/>
      <c r="N6" s="322"/>
      <c r="O6" s="586"/>
      <c r="P6" s="587"/>
      <c r="Q6" s="587"/>
      <c r="R6" s="588"/>
      <c r="S6" s="371"/>
      <c r="T6" s="372"/>
      <c r="U6" s="322"/>
      <c r="V6" s="586"/>
      <c r="W6" s="587"/>
      <c r="X6" s="587"/>
      <c r="Y6" s="588"/>
      <c r="Z6" s="371"/>
      <c r="AA6" s="372"/>
      <c r="AB6" s="322"/>
      <c r="AC6" s="586"/>
      <c r="AD6" s="587"/>
      <c r="AE6" s="587"/>
      <c r="AF6" s="588"/>
      <c r="AG6" s="371"/>
      <c r="AH6" s="372"/>
      <c r="AI6" s="322"/>
      <c r="AJ6" s="586"/>
      <c r="AK6" s="587"/>
      <c r="AL6" s="587"/>
      <c r="AM6" s="588"/>
      <c r="AN6" s="371"/>
      <c r="AO6" s="372"/>
      <c r="AP6" s="322"/>
      <c r="AQ6" s="586"/>
      <c r="AR6" s="587"/>
      <c r="AS6" s="587"/>
      <c r="AT6" s="588"/>
      <c r="AU6" s="371"/>
      <c r="AV6" s="372"/>
      <c r="AW6" s="322"/>
      <c r="AX6" s="586"/>
      <c r="AY6" s="587"/>
      <c r="AZ6" s="587"/>
      <c r="BA6" s="588"/>
      <c r="BB6" s="371"/>
      <c r="BC6" s="372"/>
      <c r="BD6" s="322"/>
      <c r="BE6" s="586"/>
      <c r="BF6" s="587"/>
      <c r="BG6" s="587"/>
      <c r="BH6" s="588"/>
      <c r="BI6" s="371"/>
      <c r="BJ6" s="372"/>
      <c r="BK6" s="322"/>
      <c r="BL6" s="586"/>
      <c r="BM6" s="587"/>
      <c r="BN6" s="587"/>
      <c r="BO6" s="588"/>
      <c r="BP6" s="371"/>
      <c r="BQ6" s="372"/>
      <c r="BR6" s="322"/>
      <c r="BS6" s="586"/>
      <c r="BT6" s="587"/>
      <c r="BU6" s="587"/>
      <c r="BV6" s="588"/>
      <c r="BW6" s="371"/>
      <c r="BX6" s="372"/>
      <c r="BY6" s="322"/>
      <c r="BZ6" s="322"/>
      <c r="CA6" s="322"/>
    </row>
    <row r="7" spans="1:79">
      <c r="A7" s="342" t="s">
        <v>447</v>
      </c>
      <c r="B7" s="303" t="s">
        <v>448</v>
      </c>
      <c r="C7" s="401">
        <v>0.05</v>
      </c>
      <c r="D7" s="401">
        <v>0.05</v>
      </c>
      <c r="E7" s="401">
        <v>0.2</v>
      </c>
      <c r="F7" s="402">
        <v>0.2</v>
      </c>
      <c r="G7" s="322"/>
      <c r="H7" s="353">
        <f>H$42*C7</f>
        <v>3.1965618757228476</v>
      </c>
      <c r="I7" s="354"/>
      <c r="J7" s="355">
        <f>J$42*E7</f>
        <v>12.760759255778991</v>
      </c>
      <c r="K7" s="356"/>
      <c r="L7" s="353">
        <f>$C$48*$H7</f>
        <v>2301.5245505204498</v>
      </c>
      <c r="M7" s="357">
        <f>$C$48*$J7</f>
        <v>9187.7466641608717</v>
      </c>
      <c r="N7" s="322"/>
      <c r="O7" s="353">
        <f>O$42*$C7</f>
        <v>0.74387551256439921</v>
      </c>
      <c r="P7" s="354"/>
      <c r="Q7" s="355">
        <f>Q$42*$E7</f>
        <v>2.9073482428115018</v>
      </c>
      <c r="R7" s="356"/>
      <c r="S7" s="353">
        <f>$C$50*$O7</f>
        <v>39276.627063400279</v>
      </c>
      <c r="T7" s="357">
        <f>$C$50*$Q7</f>
        <v>153507.98722044731</v>
      </c>
      <c r="U7" s="322"/>
      <c r="V7" s="353">
        <f>V$42*$C7</f>
        <v>0.58747765744926939</v>
      </c>
      <c r="W7" s="354"/>
      <c r="X7" s="355">
        <f>X$42*$E7</f>
        <v>2.2834053749295244</v>
      </c>
      <c r="Y7" s="356"/>
      <c r="Z7" s="353">
        <f>$C$55*$V7</f>
        <v>23264.115234991066</v>
      </c>
      <c r="AA7" s="357">
        <f>$C$55*$X7</f>
        <v>90422.852847209171</v>
      </c>
      <c r="AB7" s="322"/>
      <c r="AC7" s="353">
        <f>AC$42*$C7</f>
        <v>0.866365261276417</v>
      </c>
      <c r="AD7" s="354"/>
      <c r="AE7" s="355">
        <f>AE$42*$E7</f>
        <v>3.3987972185679385</v>
      </c>
      <c r="AF7" s="356"/>
      <c r="AG7" s="353">
        <f>$C$51*$AC7</f>
        <v>68616.128693092222</v>
      </c>
      <c r="AH7" s="357">
        <f>$C$51*$AE7</f>
        <v>269184.73971058073</v>
      </c>
      <c r="AI7" s="322"/>
      <c r="AJ7" s="353"/>
      <c r="AK7" s="355">
        <f>AJ$42*$D7</f>
        <v>0.99664164361912277</v>
      </c>
      <c r="AL7" s="355"/>
      <c r="AM7" s="357">
        <f>AL$42*$F7</f>
        <v>3.9541041482789057</v>
      </c>
      <c r="AN7" s="353">
        <f>$C$49*$AK7</f>
        <v>13155.66969577242</v>
      </c>
      <c r="AO7" s="357">
        <f>$C$49*$AM7</f>
        <v>52194.174757281551</v>
      </c>
      <c r="AP7" s="322"/>
      <c r="AQ7" s="353">
        <f>AQ$42*$C7</f>
        <v>0.6760592997581748</v>
      </c>
      <c r="AR7" s="354"/>
      <c r="AS7" s="355">
        <f>AS$42*$E7</f>
        <v>2.6376620935914303</v>
      </c>
      <c r="AT7" s="356"/>
      <c r="AU7" s="353">
        <f>$C$54*$AQ7</f>
        <v>53543.896540847447</v>
      </c>
      <c r="AV7" s="357">
        <f>$C$54*$AS7</f>
        <v>208902.83781244128</v>
      </c>
      <c r="AW7" s="322"/>
      <c r="AX7" s="353">
        <f>AX$42*$C7</f>
        <v>0.72048154768163186</v>
      </c>
      <c r="AY7" s="354"/>
      <c r="AZ7" s="355">
        <f>AZ$42*$E7</f>
        <v>2.7945874835557225</v>
      </c>
      <c r="BA7" s="356"/>
      <c r="BB7" s="353">
        <f>$C$56*$AX7</f>
        <v>9510.3564293975414</v>
      </c>
      <c r="BC7" s="357">
        <f>$C$56*$AZ7</f>
        <v>36888.554782935535</v>
      </c>
      <c r="BD7" s="322"/>
      <c r="BE7" s="353">
        <f>BE$42*$C7</f>
        <v>0.64109977920302819</v>
      </c>
      <c r="BF7" s="354"/>
      <c r="BG7" s="355">
        <f>BG$42*$E7</f>
        <v>2.475098665664349</v>
      </c>
      <c r="BH7" s="356"/>
      <c r="BI7" s="353">
        <f>$C$57*$BE7</f>
        <v>8462.5170854799726</v>
      </c>
      <c r="BJ7" s="357">
        <f>$C$57*$BG7</f>
        <v>32671.302386769406</v>
      </c>
      <c r="BK7" s="322"/>
      <c r="BL7" s="353">
        <f>BL$42*$C7</f>
        <v>1.0030015657569791</v>
      </c>
      <c r="BM7" s="354"/>
      <c r="BN7" s="355">
        <f>BN$42*$E7</f>
        <v>3.8778609122206271</v>
      </c>
      <c r="BO7" s="356"/>
      <c r="BP7" s="353">
        <f>$C$51*$BL7</f>
        <v>79437.72400795274</v>
      </c>
      <c r="BQ7" s="357">
        <f>$C$51*$BN7</f>
        <v>307126.58424787369</v>
      </c>
      <c r="BR7" s="322"/>
      <c r="BS7" s="353">
        <f>BS$42*$C7</f>
        <v>0.74387551256439921</v>
      </c>
      <c r="BT7" s="354"/>
      <c r="BU7" s="355">
        <f>BU$42*$E7</f>
        <v>2.9073482428115018</v>
      </c>
      <c r="BV7" s="356"/>
      <c r="BW7" s="353">
        <f>$C$53*$BS7</f>
        <v>12273.945957312588</v>
      </c>
      <c r="BX7" s="357">
        <f>$C$53*$BU7</f>
        <v>47971.246006389782</v>
      </c>
      <c r="BY7" s="322"/>
      <c r="BZ7" s="322"/>
      <c r="CA7" s="322"/>
    </row>
    <row r="8" spans="1:79">
      <c r="A8" s="342" t="s">
        <v>449</v>
      </c>
      <c r="B8" s="303" t="s">
        <v>450</v>
      </c>
      <c r="C8" s="403">
        <v>1.4999999999999999E-2</v>
      </c>
      <c r="D8" s="403">
        <v>1.4999999999999999E-2</v>
      </c>
      <c r="E8" s="403">
        <v>1.4999999999999999E-2</v>
      </c>
      <c r="F8" s="404">
        <v>1.4999999999999999E-2</v>
      </c>
      <c r="G8" s="322"/>
      <c r="H8" s="353">
        <f t="shared" ref="H8:J15" si="0">H$42*C8</f>
        <v>0.95896856271685416</v>
      </c>
      <c r="I8" s="354"/>
      <c r="J8" s="355">
        <f t="shared" si="0"/>
        <v>0.95705694418342424</v>
      </c>
      <c r="K8" s="356"/>
      <c r="L8" s="353">
        <f t="shared" ref="L8:L15" si="1">$C$48*$H8</f>
        <v>690.45736515613487</v>
      </c>
      <c r="M8" s="357">
        <f t="shared" ref="M8:M15" si="2">$C$48*$J8</f>
        <v>689.08099981206533</v>
      </c>
      <c r="N8" s="322"/>
      <c r="O8" s="353">
        <f t="shared" ref="O8:O15" si="3">O$42*$C8</f>
        <v>0.22316265376931974</v>
      </c>
      <c r="P8" s="354"/>
      <c r="Q8" s="355">
        <f t="shared" ref="Q8:Q15" si="4">Q$42*$E8</f>
        <v>0.21805111821086262</v>
      </c>
      <c r="R8" s="356"/>
      <c r="S8" s="353">
        <f t="shared" ref="S8:S15" si="5">$C$50*$O8</f>
        <v>11782.988119020081</v>
      </c>
      <c r="T8" s="357">
        <f t="shared" ref="T8:T15" si="6">$C$50*$Q8</f>
        <v>11513.099041533547</v>
      </c>
      <c r="U8" s="322"/>
      <c r="V8" s="353">
        <f t="shared" ref="V8:V15" si="7">V$42*$C8</f>
        <v>0.1762432972347808</v>
      </c>
      <c r="W8" s="354"/>
      <c r="X8" s="355">
        <f t="shared" ref="X8:X15" si="8">X$42*$E8</f>
        <v>0.17125540311971432</v>
      </c>
      <c r="Y8" s="356"/>
      <c r="Z8" s="353">
        <f t="shared" ref="Z8:Z15" si="9">$C$55*$V8</f>
        <v>6979.2345704973195</v>
      </c>
      <c r="AA8" s="357">
        <f t="shared" ref="AA8:AA15" si="10">$C$55*$X8</f>
        <v>6781.7139635406875</v>
      </c>
      <c r="AB8" s="322"/>
      <c r="AC8" s="353">
        <f t="shared" ref="AC8:AC15" si="11">AC$42*$C8</f>
        <v>0.25990957838292505</v>
      </c>
      <c r="AD8" s="354"/>
      <c r="AE8" s="355">
        <f t="shared" ref="AE8:AE15" si="12">AE$42*$E8</f>
        <v>0.25490979139259534</v>
      </c>
      <c r="AF8" s="356"/>
      <c r="AG8" s="353">
        <f t="shared" ref="AG8:AG15" si="13">$C$51*$AC8</f>
        <v>20584.838607927664</v>
      </c>
      <c r="AH8" s="357">
        <f t="shared" ref="AH8:AH15" si="14">$C$51*$AE8</f>
        <v>20188.85547829355</v>
      </c>
      <c r="AI8" s="322"/>
      <c r="AJ8" s="353"/>
      <c r="AK8" s="355">
        <f t="shared" ref="AK8:AK15" si="15">AJ$42*$D8</f>
        <v>0.29899249308573683</v>
      </c>
      <c r="AL8" s="355"/>
      <c r="AM8" s="357">
        <f t="shared" ref="AM8:AM15" si="16">AL$42*$F8</f>
        <v>0.29655781112091789</v>
      </c>
      <c r="AN8" s="353">
        <f t="shared" ref="AN8:AN15" si="17">$C$49*$AK8</f>
        <v>3946.700908731726</v>
      </c>
      <c r="AO8" s="357">
        <f t="shared" ref="AO8:AO15" si="18">$C$49*$AM8</f>
        <v>3914.5631067961162</v>
      </c>
      <c r="AP8" s="322"/>
      <c r="AQ8" s="353">
        <f t="shared" ref="AQ8:AQ15" si="19">AQ$42*$C8</f>
        <v>0.20281778992745242</v>
      </c>
      <c r="AR8" s="354"/>
      <c r="AS8" s="355">
        <f t="shared" ref="AS8:AS15" si="20">AS$42*$E8</f>
        <v>0.19782465701935725</v>
      </c>
      <c r="AT8" s="356"/>
      <c r="AU8" s="353">
        <f t="shared" ref="AU8:AU15" si="21">$C$54*$AQ8</f>
        <v>16063.168962254231</v>
      </c>
      <c r="AV8" s="357">
        <f t="shared" ref="AV8:AV15" si="22">$C$54*$AS8</f>
        <v>15667.712835933095</v>
      </c>
      <c r="AW8" s="322"/>
      <c r="AX8" s="353">
        <f t="shared" ref="AX8:AX15" si="23">AX$42*$C8</f>
        <v>0.21614446430448953</v>
      </c>
      <c r="AY8" s="354"/>
      <c r="AZ8" s="355">
        <f t="shared" ref="AZ8:AZ15" si="24">AZ$42*$E8</f>
        <v>0.20959406126667918</v>
      </c>
      <c r="BA8" s="356"/>
      <c r="BB8" s="353">
        <f t="shared" ref="BB8:BB15" si="25">$C$56*$AX8</f>
        <v>2853.1069288192616</v>
      </c>
      <c r="BC8" s="357">
        <f t="shared" ref="BC8:BC15" si="26">$C$56*$AZ8</f>
        <v>2766.6416087201651</v>
      </c>
      <c r="BD8" s="322"/>
      <c r="BE8" s="353">
        <f t="shared" ref="BE8:BE15" si="27">BE$42*$C8</f>
        <v>0.19232993376090843</v>
      </c>
      <c r="BF8" s="354"/>
      <c r="BG8" s="355">
        <f t="shared" ref="BG8:BG15" si="28">BG$42*$E8</f>
        <v>0.18563239992482614</v>
      </c>
      <c r="BH8" s="356"/>
      <c r="BI8" s="353">
        <f t="shared" ref="BI8:BI15" si="29">$C$57*$BE8</f>
        <v>2538.7551256439911</v>
      </c>
      <c r="BJ8" s="357">
        <f t="shared" ref="BJ8:BJ15" si="30">$C$57*$BG8</f>
        <v>2450.3476790077052</v>
      </c>
      <c r="BK8" s="322"/>
      <c r="BL8" s="353">
        <f t="shared" ref="BL8:BL15" si="31">BL$42*$C8</f>
        <v>0.30090046972709367</v>
      </c>
      <c r="BM8" s="354"/>
      <c r="BN8" s="355">
        <f t="shared" ref="BN8:BN15" si="32">BN$42*$E8</f>
        <v>0.29083956841654701</v>
      </c>
      <c r="BO8" s="356"/>
      <c r="BP8" s="353">
        <f t="shared" ref="BP8:BP15" si="33">$C$51*$BL8</f>
        <v>23831.317202385817</v>
      </c>
      <c r="BQ8" s="357">
        <f t="shared" ref="BQ8:BQ15" si="34">$C$51*$BN8</f>
        <v>23034.493818590523</v>
      </c>
      <c r="BR8" s="322"/>
      <c r="BS8" s="353">
        <f t="shared" ref="BS8:BS15" si="35">BS$42*$C8</f>
        <v>0.22316265376931974</v>
      </c>
      <c r="BT8" s="354"/>
      <c r="BU8" s="355">
        <f t="shared" ref="BU8:BU15" si="36">BU$42*$E8</f>
        <v>0.21805111821086262</v>
      </c>
      <c r="BV8" s="356"/>
      <c r="BW8" s="353">
        <f t="shared" ref="BW8:BW15" si="37">$C$53*$BS8</f>
        <v>3682.1837871937755</v>
      </c>
      <c r="BX8" s="357">
        <f t="shared" ref="BX8:BX15" si="38">$C$53*$BU8</f>
        <v>3597.8434504792331</v>
      </c>
      <c r="BY8" s="322"/>
      <c r="BZ8" s="322"/>
      <c r="CA8" s="322"/>
    </row>
    <row r="9" spans="1:79">
      <c r="A9" s="342" t="s">
        <v>397</v>
      </c>
      <c r="B9" s="303" t="s">
        <v>451</v>
      </c>
      <c r="C9" s="401">
        <v>0.01</v>
      </c>
      <c r="D9" s="401">
        <v>0.01</v>
      </c>
      <c r="E9" s="401">
        <v>0.01</v>
      </c>
      <c r="F9" s="402">
        <v>0.01</v>
      </c>
      <c r="G9" s="322"/>
      <c r="H9" s="353">
        <f t="shared" si="0"/>
        <v>0.63931237514456951</v>
      </c>
      <c r="I9" s="354"/>
      <c r="J9" s="355">
        <f t="shared" si="0"/>
        <v>0.63803796278894953</v>
      </c>
      <c r="K9" s="356"/>
      <c r="L9" s="353">
        <f t="shared" si="1"/>
        <v>460.30491010408997</v>
      </c>
      <c r="M9" s="357">
        <f t="shared" si="2"/>
        <v>459.38733320804357</v>
      </c>
      <c r="N9" s="322"/>
      <c r="O9" s="353">
        <f t="shared" si="3"/>
        <v>0.14877510251287984</v>
      </c>
      <c r="P9" s="354"/>
      <c r="Q9" s="355">
        <f t="shared" si="4"/>
        <v>0.14536741214057508</v>
      </c>
      <c r="R9" s="356"/>
      <c r="S9" s="353">
        <f t="shared" si="5"/>
        <v>7855.3254126800557</v>
      </c>
      <c r="T9" s="357">
        <f t="shared" si="6"/>
        <v>7675.3993610223642</v>
      </c>
      <c r="U9" s="322"/>
      <c r="V9" s="353">
        <f t="shared" si="7"/>
        <v>0.11749553148985387</v>
      </c>
      <c r="W9" s="354"/>
      <c r="X9" s="355">
        <f t="shared" si="8"/>
        <v>0.11417026874647622</v>
      </c>
      <c r="Y9" s="356"/>
      <c r="Z9" s="353">
        <f t="shared" si="9"/>
        <v>4652.8230469982127</v>
      </c>
      <c r="AA9" s="357">
        <f t="shared" si="10"/>
        <v>4521.142642360458</v>
      </c>
      <c r="AB9" s="322"/>
      <c r="AC9" s="353">
        <f t="shared" si="11"/>
        <v>0.17327305225528339</v>
      </c>
      <c r="AD9" s="354"/>
      <c r="AE9" s="355">
        <f t="shared" si="12"/>
        <v>0.16993986092839691</v>
      </c>
      <c r="AF9" s="356"/>
      <c r="AG9" s="353">
        <f t="shared" si="13"/>
        <v>13723.225738618445</v>
      </c>
      <c r="AH9" s="357">
        <f t="shared" si="14"/>
        <v>13459.236985529036</v>
      </c>
      <c r="AI9" s="322"/>
      <c r="AJ9" s="353"/>
      <c r="AK9" s="355">
        <f t="shared" si="15"/>
        <v>0.19932832872382455</v>
      </c>
      <c r="AL9" s="355"/>
      <c r="AM9" s="357">
        <f t="shared" si="16"/>
        <v>0.19770520741394529</v>
      </c>
      <c r="AN9" s="353">
        <f t="shared" si="17"/>
        <v>2631.1339391544843</v>
      </c>
      <c r="AO9" s="357">
        <f t="shared" si="18"/>
        <v>2609.7087378640776</v>
      </c>
      <c r="AP9" s="322"/>
      <c r="AQ9" s="353">
        <f t="shared" si="19"/>
        <v>0.13521185995163496</v>
      </c>
      <c r="AR9" s="354"/>
      <c r="AS9" s="355">
        <f t="shared" si="20"/>
        <v>0.13188310467957151</v>
      </c>
      <c r="AT9" s="356"/>
      <c r="AU9" s="353">
        <f t="shared" si="21"/>
        <v>10708.779308169489</v>
      </c>
      <c r="AV9" s="357">
        <f t="shared" si="22"/>
        <v>10445.141890622064</v>
      </c>
      <c r="AW9" s="322"/>
      <c r="AX9" s="353">
        <f t="shared" si="23"/>
        <v>0.14409630953632635</v>
      </c>
      <c r="AY9" s="354"/>
      <c r="AZ9" s="355">
        <f t="shared" si="24"/>
        <v>0.13972937417778611</v>
      </c>
      <c r="BA9" s="356"/>
      <c r="BB9" s="353">
        <f t="shared" si="25"/>
        <v>1902.0712858795077</v>
      </c>
      <c r="BC9" s="357">
        <f t="shared" si="26"/>
        <v>1844.4277391467767</v>
      </c>
      <c r="BD9" s="322"/>
      <c r="BE9" s="353">
        <f t="shared" si="27"/>
        <v>0.12821995584060564</v>
      </c>
      <c r="BF9" s="354"/>
      <c r="BG9" s="355">
        <f t="shared" si="28"/>
        <v>0.12375493328321743</v>
      </c>
      <c r="BH9" s="356"/>
      <c r="BI9" s="353">
        <f t="shared" si="29"/>
        <v>1692.5034170959943</v>
      </c>
      <c r="BJ9" s="357">
        <f t="shared" si="30"/>
        <v>1633.5651193384701</v>
      </c>
      <c r="BK9" s="322"/>
      <c r="BL9" s="353">
        <f t="shared" si="31"/>
        <v>0.20060031315139579</v>
      </c>
      <c r="BM9" s="354"/>
      <c r="BN9" s="355">
        <f t="shared" si="32"/>
        <v>0.19389304561103135</v>
      </c>
      <c r="BO9" s="356"/>
      <c r="BP9" s="353">
        <f t="shared" si="33"/>
        <v>15887.544801590546</v>
      </c>
      <c r="BQ9" s="357">
        <f t="shared" si="34"/>
        <v>15356.329212393683</v>
      </c>
      <c r="BR9" s="322"/>
      <c r="BS9" s="353">
        <f t="shared" si="35"/>
        <v>0.14877510251287984</v>
      </c>
      <c r="BT9" s="354"/>
      <c r="BU9" s="355">
        <f t="shared" si="36"/>
        <v>0.14536741214057508</v>
      </c>
      <c r="BV9" s="356"/>
      <c r="BW9" s="353">
        <f t="shared" si="37"/>
        <v>2454.7891914625175</v>
      </c>
      <c r="BX9" s="357">
        <f t="shared" si="38"/>
        <v>2398.5623003194887</v>
      </c>
      <c r="BY9" s="322"/>
      <c r="BZ9" s="322"/>
      <c r="CA9" s="322"/>
    </row>
    <row r="10" spans="1:79">
      <c r="A10" s="342" t="s">
        <v>452</v>
      </c>
      <c r="B10" s="303" t="s">
        <v>453</v>
      </c>
      <c r="C10" s="403">
        <v>2E-3</v>
      </c>
      <c r="D10" s="403">
        <v>2E-3</v>
      </c>
      <c r="E10" s="403">
        <v>2E-3</v>
      </c>
      <c r="F10" s="404">
        <v>2E-3</v>
      </c>
      <c r="G10" s="322"/>
      <c r="H10" s="353">
        <f t="shared" si="0"/>
        <v>0.1278624750289139</v>
      </c>
      <c r="I10" s="354"/>
      <c r="J10" s="355">
        <f t="shared" si="0"/>
        <v>0.12760759255778989</v>
      </c>
      <c r="K10" s="356"/>
      <c r="L10" s="353">
        <f t="shared" si="1"/>
        <v>92.060982020817988</v>
      </c>
      <c r="M10" s="357">
        <f t="shared" si="2"/>
        <v>91.877466641608706</v>
      </c>
      <c r="N10" s="322"/>
      <c r="O10" s="353">
        <f t="shared" si="3"/>
        <v>2.9755020502575967E-2</v>
      </c>
      <c r="P10" s="354"/>
      <c r="Q10" s="355">
        <f t="shared" si="4"/>
        <v>2.9073482428115017E-2</v>
      </c>
      <c r="R10" s="356"/>
      <c r="S10" s="353">
        <f t="shared" si="5"/>
        <v>1571.065082536011</v>
      </c>
      <c r="T10" s="357">
        <f t="shared" si="6"/>
        <v>1535.0798722044728</v>
      </c>
      <c r="U10" s="322"/>
      <c r="V10" s="353">
        <f t="shared" si="7"/>
        <v>2.3499106297970772E-2</v>
      </c>
      <c r="W10" s="354"/>
      <c r="X10" s="355">
        <f t="shared" si="8"/>
        <v>2.2834053749295244E-2</v>
      </c>
      <c r="Y10" s="356"/>
      <c r="Z10" s="353">
        <f t="shared" si="9"/>
        <v>930.56460939964256</v>
      </c>
      <c r="AA10" s="357">
        <f t="shared" si="10"/>
        <v>904.22852847209163</v>
      </c>
      <c r="AB10" s="322"/>
      <c r="AC10" s="353">
        <f t="shared" si="11"/>
        <v>3.465461045105668E-2</v>
      </c>
      <c r="AD10" s="354"/>
      <c r="AE10" s="355">
        <f t="shared" si="12"/>
        <v>3.398797218567938E-2</v>
      </c>
      <c r="AF10" s="356"/>
      <c r="AG10" s="353">
        <f t="shared" si="13"/>
        <v>2744.6451477236892</v>
      </c>
      <c r="AH10" s="357">
        <f t="shared" si="14"/>
        <v>2691.847397105807</v>
      </c>
      <c r="AI10" s="322"/>
      <c r="AJ10" s="353"/>
      <c r="AK10" s="355">
        <f t="shared" si="15"/>
        <v>3.9865665744764911E-2</v>
      </c>
      <c r="AL10" s="355"/>
      <c r="AM10" s="357">
        <f t="shared" si="16"/>
        <v>3.9541041482789058E-2</v>
      </c>
      <c r="AN10" s="353">
        <f t="shared" si="17"/>
        <v>526.2267878308968</v>
      </c>
      <c r="AO10" s="357">
        <f t="shared" si="18"/>
        <v>521.94174757281553</v>
      </c>
      <c r="AP10" s="322"/>
      <c r="AQ10" s="353">
        <f t="shared" si="19"/>
        <v>2.7042371990326993E-2</v>
      </c>
      <c r="AR10" s="354"/>
      <c r="AS10" s="355">
        <f t="shared" si="20"/>
        <v>2.6376620935914301E-2</v>
      </c>
      <c r="AT10" s="356"/>
      <c r="AU10" s="353">
        <f t="shared" si="21"/>
        <v>2141.7558616338979</v>
      </c>
      <c r="AV10" s="357">
        <f t="shared" si="22"/>
        <v>2089.0283781244125</v>
      </c>
      <c r="AW10" s="322"/>
      <c r="AX10" s="353">
        <f t="shared" si="23"/>
        <v>2.8819261907265272E-2</v>
      </c>
      <c r="AY10" s="354"/>
      <c r="AZ10" s="355">
        <f t="shared" si="24"/>
        <v>2.7945874835557223E-2</v>
      </c>
      <c r="BA10" s="356"/>
      <c r="BB10" s="353">
        <f t="shared" si="25"/>
        <v>380.41425717590158</v>
      </c>
      <c r="BC10" s="357">
        <f t="shared" si="26"/>
        <v>368.88554782935535</v>
      </c>
      <c r="BD10" s="322"/>
      <c r="BE10" s="353">
        <f t="shared" si="27"/>
        <v>2.5643991168121126E-2</v>
      </c>
      <c r="BF10" s="354"/>
      <c r="BG10" s="355">
        <f t="shared" si="28"/>
        <v>2.4750986656643489E-2</v>
      </c>
      <c r="BH10" s="356"/>
      <c r="BI10" s="353">
        <f t="shared" si="29"/>
        <v>338.50068341919888</v>
      </c>
      <c r="BJ10" s="357">
        <f t="shared" si="30"/>
        <v>326.71302386769406</v>
      </c>
      <c r="BK10" s="322"/>
      <c r="BL10" s="353">
        <f t="shared" si="31"/>
        <v>4.012006263027916E-2</v>
      </c>
      <c r="BM10" s="354"/>
      <c r="BN10" s="355">
        <f t="shared" si="32"/>
        <v>3.8778609122206271E-2</v>
      </c>
      <c r="BO10" s="356"/>
      <c r="BP10" s="353">
        <f t="shared" si="33"/>
        <v>3177.5089603181095</v>
      </c>
      <c r="BQ10" s="357">
        <f t="shared" si="34"/>
        <v>3071.2658424787369</v>
      </c>
      <c r="BR10" s="322"/>
      <c r="BS10" s="353">
        <f t="shared" si="35"/>
        <v>2.9755020502575967E-2</v>
      </c>
      <c r="BT10" s="354"/>
      <c r="BU10" s="355">
        <f t="shared" si="36"/>
        <v>2.9073482428115017E-2</v>
      </c>
      <c r="BV10" s="356"/>
      <c r="BW10" s="353">
        <f t="shared" si="37"/>
        <v>490.95783829250348</v>
      </c>
      <c r="BX10" s="357">
        <f t="shared" si="38"/>
        <v>479.71246006389777</v>
      </c>
      <c r="BY10" s="322"/>
      <c r="BZ10" s="322"/>
      <c r="CA10" s="322"/>
    </row>
    <row r="11" spans="1:79">
      <c r="A11" s="342" t="s">
        <v>454</v>
      </c>
      <c r="B11" s="303" t="s">
        <v>455</v>
      </c>
      <c r="C11" s="403">
        <v>6.0000000000000001E-3</v>
      </c>
      <c r="D11" s="403">
        <v>6.0000000000000001E-3</v>
      </c>
      <c r="E11" s="403">
        <v>6.0000000000000001E-3</v>
      </c>
      <c r="F11" s="404">
        <v>6.0000000000000001E-3</v>
      </c>
      <c r="G11" s="322"/>
      <c r="H11" s="353">
        <f t="shared" si="0"/>
        <v>0.38358742508674171</v>
      </c>
      <c r="I11" s="354"/>
      <c r="J11" s="355">
        <f t="shared" si="0"/>
        <v>0.3828227776733697</v>
      </c>
      <c r="K11" s="356"/>
      <c r="L11" s="353">
        <f t="shared" si="1"/>
        <v>276.18294606245399</v>
      </c>
      <c r="M11" s="357">
        <f t="shared" si="2"/>
        <v>275.63239992482613</v>
      </c>
      <c r="N11" s="322"/>
      <c r="O11" s="353">
        <f t="shared" si="3"/>
        <v>8.9265061507727908E-2</v>
      </c>
      <c r="P11" s="354"/>
      <c r="Q11" s="355">
        <f t="shared" si="4"/>
        <v>8.7220447284345054E-2</v>
      </c>
      <c r="R11" s="356"/>
      <c r="S11" s="353">
        <f t="shared" si="5"/>
        <v>4713.1952476080332</v>
      </c>
      <c r="T11" s="357">
        <f t="shared" si="6"/>
        <v>4605.2396166134185</v>
      </c>
      <c r="U11" s="322"/>
      <c r="V11" s="353">
        <f t="shared" si="7"/>
        <v>7.0497318893912322E-2</v>
      </c>
      <c r="W11" s="354"/>
      <c r="X11" s="355">
        <f t="shared" si="8"/>
        <v>6.8502161247885732E-2</v>
      </c>
      <c r="Y11" s="356"/>
      <c r="Z11" s="353">
        <f t="shared" si="9"/>
        <v>2791.6938281989278</v>
      </c>
      <c r="AA11" s="357">
        <f t="shared" si="10"/>
        <v>2712.685585416275</v>
      </c>
      <c r="AB11" s="322"/>
      <c r="AC11" s="353">
        <f t="shared" si="11"/>
        <v>0.10396383135317003</v>
      </c>
      <c r="AD11" s="354"/>
      <c r="AE11" s="355">
        <f t="shared" si="12"/>
        <v>0.10196391655703815</v>
      </c>
      <c r="AF11" s="356"/>
      <c r="AG11" s="353">
        <f t="shared" si="13"/>
        <v>8233.9354431710653</v>
      </c>
      <c r="AH11" s="357">
        <f t="shared" si="14"/>
        <v>8075.5421913174214</v>
      </c>
      <c r="AI11" s="322"/>
      <c r="AJ11" s="353"/>
      <c r="AK11" s="355">
        <f t="shared" si="15"/>
        <v>0.11959699723429473</v>
      </c>
      <c r="AL11" s="355"/>
      <c r="AM11" s="357">
        <f t="shared" si="16"/>
        <v>0.11862312444836717</v>
      </c>
      <c r="AN11" s="353">
        <f t="shared" si="17"/>
        <v>1578.6803634926905</v>
      </c>
      <c r="AO11" s="357">
        <f t="shared" si="18"/>
        <v>1565.8252427184466</v>
      </c>
      <c r="AP11" s="322"/>
      <c r="AQ11" s="353">
        <f t="shared" si="19"/>
        <v>8.1127115970980976E-2</v>
      </c>
      <c r="AR11" s="354"/>
      <c r="AS11" s="355">
        <f t="shared" si="20"/>
        <v>7.9129862807742896E-2</v>
      </c>
      <c r="AT11" s="356"/>
      <c r="AU11" s="353">
        <f t="shared" si="21"/>
        <v>6425.2675849016932</v>
      </c>
      <c r="AV11" s="357">
        <f t="shared" si="22"/>
        <v>6267.0851343732375</v>
      </c>
      <c r="AW11" s="322"/>
      <c r="AX11" s="353">
        <f t="shared" si="23"/>
        <v>8.6457785721795813E-2</v>
      </c>
      <c r="AY11" s="354"/>
      <c r="AZ11" s="355">
        <f t="shared" si="24"/>
        <v>8.3837624506671676E-2</v>
      </c>
      <c r="BA11" s="356"/>
      <c r="BB11" s="353">
        <f t="shared" si="25"/>
        <v>1141.2427715277047</v>
      </c>
      <c r="BC11" s="357">
        <f t="shared" si="26"/>
        <v>1106.656643488066</v>
      </c>
      <c r="BD11" s="322"/>
      <c r="BE11" s="353">
        <f t="shared" si="27"/>
        <v>7.6931973504363385E-2</v>
      </c>
      <c r="BF11" s="354"/>
      <c r="BG11" s="355">
        <f t="shared" si="28"/>
        <v>7.4252959969930463E-2</v>
      </c>
      <c r="BH11" s="356"/>
      <c r="BI11" s="353">
        <f t="shared" si="29"/>
        <v>1015.5020502575967</v>
      </c>
      <c r="BJ11" s="357">
        <f t="shared" si="30"/>
        <v>980.13907160308213</v>
      </c>
      <c r="BK11" s="322"/>
      <c r="BL11" s="353">
        <f t="shared" si="31"/>
        <v>0.12036018789083748</v>
      </c>
      <c r="BM11" s="354"/>
      <c r="BN11" s="355">
        <f t="shared" si="32"/>
        <v>0.11633582736661881</v>
      </c>
      <c r="BO11" s="356"/>
      <c r="BP11" s="353">
        <f t="shared" si="33"/>
        <v>9532.5268809543286</v>
      </c>
      <c r="BQ11" s="357">
        <f t="shared" si="34"/>
        <v>9213.7975274362088</v>
      </c>
      <c r="BR11" s="322"/>
      <c r="BS11" s="353">
        <f t="shared" si="35"/>
        <v>8.9265061507727908E-2</v>
      </c>
      <c r="BT11" s="354"/>
      <c r="BU11" s="355">
        <f t="shared" si="36"/>
        <v>8.7220447284345054E-2</v>
      </c>
      <c r="BV11" s="356"/>
      <c r="BW11" s="353">
        <f t="shared" si="37"/>
        <v>1472.8735148775104</v>
      </c>
      <c r="BX11" s="357">
        <f t="shared" si="38"/>
        <v>1439.1373801916934</v>
      </c>
      <c r="BY11" s="322"/>
      <c r="BZ11" s="322"/>
      <c r="CA11" s="322"/>
    </row>
    <row r="12" spans="1:79">
      <c r="A12" s="342" t="s">
        <v>456</v>
      </c>
      <c r="B12" s="303" t="s">
        <v>457</v>
      </c>
      <c r="C12" s="403">
        <v>2.5000000000000001E-2</v>
      </c>
      <c r="D12" s="403">
        <v>2.5000000000000001E-2</v>
      </c>
      <c r="E12" s="403">
        <v>2.5000000000000001E-2</v>
      </c>
      <c r="F12" s="404">
        <v>2.5000000000000001E-2</v>
      </c>
      <c r="G12" s="322"/>
      <c r="H12" s="353">
        <f t="shared" si="0"/>
        <v>1.5982809378614238</v>
      </c>
      <c r="I12" s="354"/>
      <c r="J12" s="355">
        <f t="shared" si="0"/>
        <v>1.5950949069723739</v>
      </c>
      <c r="K12" s="356"/>
      <c r="L12" s="353">
        <f t="shared" si="1"/>
        <v>1150.7622752602249</v>
      </c>
      <c r="M12" s="357">
        <f t="shared" si="2"/>
        <v>1148.468333020109</v>
      </c>
      <c r="N12" s="322"/>
      <c r="O12" s="353">
        <f t="shared" si="3"/>
        <v>0.37193775628219961</v>
      </c>
      <c r="P12" s="354"/>
      <c r="Q12" s="355">
        <f t="shared" si="4"/>
        <v>0.36341853035143773</v>
      </c>
      <c r="R12" s="356"/>
      <c r="S12" s="353">
        <f t="shared" si="5"/>
        <v>19638.31353170014</v>
      </c>
      <c r="T12" s="357">
        <f t="shared" si="6"/>
        <v>19188.498402555913</v>
      </c>
      <c r="U12" s="322"/>
      <c r="V12" s="353">
        <f t="shared" si="7"/>
        <v>0.29373882872463469</v>
      </c>
      <c r="W12" s="354"/>
      <c r="X12" s="355">
        <f t="shared" si="8"/>
        <v>0.28542567186619056</v>
      </c>
      <c r="Y12" s="356"/>
      <c r="Z12" s="353">
        <f t="shared" si="9"/>
        <v>11632.057617495533</v>
      </c>
      <c r="AA12" s="357">
        <f t="shared" si="10"/>
        <v>11302.856605901146</v>
      </c>
      <c r="AB12" s="322"/>
      <c r="AC12" s="353">
        <f t="shared" si="11"/>
        <v>0.4331826306382085</v>
      </c>
      <c r="AD12" s="354"/>
      <c r="AE12" s="355">
        <f t="shared" si="12"/>
        <v>0.42484965232099231</v>
      </c>
      <c r="AF12" s="356"/>
      <c r="AG12" s="353">
        <f t="shared" si="13"/>
        <v>34308.064346546111</v>
      </c>
      <c r="AH12" s="357">
        <f t="shared" si="14"/>
        <v>33648.092463822592</v>
      </c>
      <c r="AI12" s="322"/>
      <c r="AJ12" s="353"/>
      <c r="AK12" s="355">
        <f t="shared" si="15"/>
        <v>0.49832082180956139</v>
      </c>
      <c r="AL12" s="355"/>
      <c r="AM12" s="357">
        <f t="shared" si="16"/>
        <v>0.49426301853486321</v>
      </c>
      <c r="AN12" s="353">
        <f t="shared" si="17"/>
        <v>6577.8348478862099</v>
      </c>
      <c r="AO12" s="357">
        <f t="shared" si="18"/>
        <v>6524.2718446601939</v>
      </c>
      <c r="AP12" s="322"/>
      <c r="AQ12" s="353">
        <f t="shared" si="19"/>
        <v>0.3380296498790874</v>
      </c>
      <c r="AR12" s="354"/>
      <c r="AS12" s="355">
        <f t="shared" si="20"/>
        <v>0.32970776169892879</v>
      </c>
      <c r="AT12" s="356"/>
      <c r="AU12" s="353">
        <f t="shared" si="21"/>
        <v>26771.948270423723</v>
      </c>
      <c r="AV12" s="357">
        <f t="shared" si="22"/>
        <v>26112.854726555161</v>
      </c>
      <c r="AW12" s="322"/>
      <c r="AX12" s="353">
        <f t="shared" si="23"/>
        <v>0.36024077384081593</v>
      </c>
      <c r="AY12" s="354"/>
      <c r="AZ12" s="355">
        <f t="shared" si="24"/>
        <v>0.34932343544446531</v>
      </c>
      <c r="BA12" s="356"/>
      <c r="BB12" s="353">
        <f t="shared" si="25"/>
        <v>4755.1782146987707</v>
      </c>
      <c r="BC12" s="357">
        <f t="shared" si="26"/>
        <v>4611.0693478669418</v>
      </c>
      <c r="BD12" s="322"/>
      <c r="BE12" s="353">
        <f t="shared" si="27"/>
        <v>0.32054988960151409</v>
      </c>
      <c r="BF12" s="354"/>
      <c r="BG12" s="355">
        <f t="shared" si="28"/>
        <v>0.30938733320804362</v>
      </c>
      <c r="BH12" s="356"/>
      <c r="BI12" s="353">
        <f t="shared" si="29"/>
        <v>4231.2585427399863</v>
      </c>
      <c r="BJ12" s="357">
        <f t="shared" si="30"/>
        <v>4083.9127983461758</v>
      </c>
      <c r="BK12" s="322"/>
      <c r="BL12" s="353">
        <f t="shared" si="31"/>
        <v>0.50150078287848954</v>
      </c>
      <c r="BM12" s="354"/>
      <c r="BN12" s="355">
        <f t="shared" si="32"/>
        <v>0.48473261402757839</v>
      </c>
      <c r="BO12" s="356"/>
      <c r="BP12" s="353">
        <f t="shared" si="33"/>
        <v>39718.86200397637</v>
      </c>
      <c r="BQ12" s="357">
        <f t="shared" si="34"/>
        <v>38390.823030984211</v>
      </c>
      <c r="BR12" s="322"/>
      <c r="BS12" s="353">
        <f t="shared" si="35"/>
        <v>0.37193775628219961</v>
      </c>
      <c r="BT12" s="354"/>
      <c r="BU12" s="355">
        <f t="shared" si="36"/>
        <v>0.36341853035143773</v>
      </c>
      <c r="BV12" s="356"/>
      <c r="BW12" s="353">
        <f t="shared" si="37"/>
        <v>6136.9729786562939</v>
      </c>
      <c r="BX12" s="357">
        <f t="shared" si="38"/>
        <v>5996.4057507987227</v>
      </c>
      <c r="BY12" s="322"/>
      <c r="BZ12" s="322"/>
      <c r="CA12" s="322"/>
    </row>
    <row r="13" spans="1:79">
      <c r="A13" s="342" t="s">
        <v>458</v>
      </c>
      <c r="B13" s="303" t="s">
        <v>459</v>
      </c>
      <c r="C13" s="401">
        <v>0.03</v>
      </c>
      <c r="D13" s="401">
        <v>0.03</v>
      </c>
      <c r="E13" s="401">
        <v>0.03</v>
      </c>
      <c r="F13" s="402">
        <v>0.03</v>
      </c>
      <c r="G13" s="322"/>
      <c r="H13" s="353">
        <f t="shared" si="0"/>
        <v>1.9179371254337083</v>
      </c>
      <c r="I13" s="354"/>
      <c r="J13" s="355">
        <f t="shared" si="0"/>
        <v>1.9141138883668485</v>
      </c>
      <c r="K13" s="356"/>
      <c r="L13" s="353">
        <f t="shared" si="1"/>
        <v>1380.9147303122697</v>
      </c>
      <c r="M13" s="357">
        <f t="shared" si="2"/>
        <v>1378.1619996241307</v>
      </c>
      <c r="N13" s="322"/>
      <c r="O13" s="353">
        <f t="shared" si="3"/>
        <v>0.44632530753863947</v>
      </c>
      <c r="P13" s="354"/>
      <c r="Q13" s="355">
        <f t="shared" si="4"/>
        <v>0.43610223642172524</v>
      </c>
      <c r="R13" s="356"/>
      <c r="S13" s="353">
        <f t="shared" si="5"/>
        <v>23565.976238040163</v>
      </c>
      <c r="T13" s="357">
        <f t="shared" si="6"/>
        <v>23026.198083067095</v>
      </c>
      <c r="U13" s="322"/>
      <c r="V13" s="353">
        <f t="shared" si="7"/>
        <v>0.3524865944695616</v>
      </c>
      <c r="W13" s="354"/>
      <c r="X13" s="355">
        <f t="shared" si="8"/>
        <v>0.34251080623942864</v>
      </c>
      <c r="Y13" s="356"/>
      <c r="Z13" s="353">
        <f t="shared" si="9"/>
        <v>13958.469140994639</v>
      </c>
      <c r="AA13" s="357">
        <f t="shared" si="10"/>
        <v>13563.427927081375</v>
      </c>
      <c r="AB13" s="322"/>
      <c r="AC13" s="353">
        <f t="shared" si="11"/>
        <v>0.51981915676585011</v>
      </c>
      <c r="AD13" s="354"/>
      <c r="AE13" s="355">
        <f t="shared" si="12"/>
        <v>0.50981958278519068</v>
      </c>
      <c r="AF13" s="356"/>
      <c r="AG13" s="353">
        <f t="shared" si="13"/>
        <v>41169.677215855329</v>
      </c>
      <c r="AH13" s="357">
        <f t="shared" si="14"/>
        <v>40377.7109565871</v>
      </c>
      <c r="AI13" s="322"/>
      <c r="AJ13" s="353"/>
      <c r="AK13" s="355">
        <f t="shared" si="15"/>
        <v>0.59798498617147366</v>
      </c>
      <c r="AL13" s="355"/>
      <c r="AM13" s="357">
        <f t="shared" si="16"/>
        <v>0.59311562224183578</v>
      </c>
      <c r="AN13" s="353">
        <f t="shared" si="17"/>
        <v>7893.4018174634521</v>
      </c>
      <c r="AO13" s="357">
        <f t="shared" si="18"/>
        <v>7829.1262135922325</v>
      </c>
      <c r="AP13" s="322"/>
      <c r="AQ13" s="353">
        <f t="shared" si="19"/>
        <v>0.40563557985490484</v>
      </c>
      <c r="AR13" s="354"/>
      <c r="AS13" s="355">
        <f t="shared" si="20"/>
        <v>0.39564931403871451</v>
      </c>
      <c r="AT13" s="356"/>
      <c r="AU13" s="353">
        <f t="shared" si="21"/>
        <v>32126.337924508462</v>
      </c>
      <c r="AV13" s="357">
        <f t="shared" si="22"/>
        <v>31335.425671866189</v>
      </c>
      <c r="AW13" s="322"/>
      <c r="AX13" s="353">
        <f t="shared" si="23"/>
        <v>0.43228892860897905</v>
      </c>
      <c r="AY13" s="354"/>
      <c r="AZ13" s="355">
        <f t="shared" si="24"/>
        <v>0.41918812253335835</v>
      </c>
      <c r="BA13" s="356"/>
      <c r="BB13" s="353">
        <f t="shared" si="25"/>
        <v>5706.2138576385232</v>
      </c>
      <c r="BC13" s="357">
        <f t="shared" si="26"/>
        <v>5533.2832174403302</v>
      </c>
      <c r="BD13" s="322"/>
      <c r="BE13" s="353">
        <f t="shared" si="27"/>
        <v>0.38465986752181686</v>
      </c>
      <c r="BF13" s="354"/>
      <c r="BG13" s="355">
        <f t="shared" si="28"/>
        <v>0.37126479984965227</v>
      </c>
      <c r="BH13" s="356"/>
      <c r="BI13" s="353">
        <f t="shared" si="29"/>
        <v>5077.5102512879821</v>
      </c>
      <c r="BJ13" s="357">
        <f t="shared" si="30"/>
        <v>4900.6953580154104</v>
      </c>
      <c r="BK13" s="322"/>
      <c r="BL13" s="353">
        <f t="shared" si="31"/>
        <v>0.60180093945418733</v>
      </c>
      <c r="BM13" s="354"/>
      <c r="BN13" s="355">
        <f t="shared" si="32"/>
        <v>0.58167913683309402</v>
      </c>
      <c r="BO13" s="356"/>
      <c r="BP13" s="353">
        <f t="shared" si="33"/>
        <v>47662.634404771634</v>
      </c>
      <c r="BQ13" s="357">
        <f t="shared" si="34"/>
        <v>46068.987637181046</v>
      </c>
      <c r="BR13" s="322"/>
      <c r="BS13" s="353">
        <f t="shared" si="35"/>
        <v>0.44632530753863947</v>
      </c>
      <c r="BT13" s="354"/>
      <c r="BU13" s="355">
        <f t="shared" si="36"/>
        <v>0.43610223642172524</v>
      </c>
      <c r="BV13" s="356"/>
      <c r="BW13" s="353">
        <f t="shared" si="37"/>
        <v>7364.367574387551</v>
      </c>
      <c r="BX13" s="357">
        <f t="shared" si="38"/>
        <v>7195.6869009584661</v>
      </c>
      <c r="BY13" s="322"/>
      <c r="BZ13" s="322"/>
      <c r="CA13" s="322"/>
    </row>
    <row r="14" spans="1:79">
      <c r="A14" s="342" t="s">
        <v>460</v>
      </c>
      <c r="B14" s="303" t="s">
        <v>461</v>
      </c>
      <c r="C14" s="401">
        <v>0.08</v>
      </c>
      <c r="D14" s="401">
        <v>0.08</v>
      </c>
      <c r="E14" s="401">
        <v>0.08</v>
      </c>
      <c r="F14" s="402">
        <v>0.08</v>
      </c>
      <c r="G14" s="322"/>
      <c r="H14" s="353">
        <f t="shared" si="0"/>
        <v>5.1144990011565561</v>
      </c>
      <c r="I14" s="354"/>
      <c r="J14" s="355">
        <f t="shared" si="0"/>
        <v>5.1043037023115962</v>
      </c>
      <c r="K14" s="356"/>
      <c r="L14" s="353">
        <f t="shared" si="1"/>
        <v>3682.4392808327198</v>
      </c>
      <c r="M14" s="357">
        <f t="shared" si="2"/>
        <v>3675.0986656643486</v>
      </c>
      <c r="N14" s="322"/>
      <c r="O14" s="353">
        <f t="shared" si="3"/>
        <v>1.1902008201030387</v>
      </c>
      <c r="P14" s="354"/>
      <c r="Q14" s="355">
        <f t="shared" si="4"/>
        <v>1.1629392971246006</v>
      </c>
      <c r="R14" s="356"/>
      <c r="S14" s="353">
        <f t="shared" si="5"/>
        <v>62842.603301440446</v>
      </c>
      <c r="T14" s="357">
        <f t="shared" si="6"/>
        <v>61403.194888178914</v>
      </c>
      <c r="U14" s="322"/>
      <c r="V14" s="353">
        <f t="shared" si="7"/>
        <v>0.93996425191883093</v>
      </c>
      <c r="W14" s="354"/>
      <c r="X14" s="355">
        <f t="shared" si="8"/>
        <v>0.91336214997180976</v>
      </c>
      <c r="Y14" s="356"/>
      <c r="Z14" s="353">
        <f t="shared" si="9"/>
        <v>37222.584375985702</v>
      </c>
      <c r="AA14" s="357">
        <f t="shared" si="10"/>
        <v>36169.141138883664</v>
      </c>
      <c r="AB14" s="322"/>
      <c r="AC14" s="353">
        <f t="shared" si="11"/>
        <v>1.3861844180422671</v>
      </c>
      <c r="AD14" s="354"/>
      <c r="AE14" s="355">
        <f t="shared" si="12"/>
        <v>1.3595188874271753</v>
      </c>
      <c r="AF14" s="356"/>
      <c r="AG14" s="353">
        <f t="shared" si="13"/>
        <v>109785.80590894756</v>
      </c>
      <c r="AH14" s="357">
        <f t="shared" si="14"/>
        <v>107673.89588423229</v>
      </c>
      <c r="AI14" s="322"/>
      <c r="AJ14" s="353"/>
      <c r="AK14" s="355">
        <f t="shared" si="15"/>
        <v>1.5946266297905964</v>
      </c>
      <c r="AL14" s="355"/>
      <c r="AM14" s="357">
        <f t="shared" si="16"/>
        <v>1.5816416593115623</v>
      </c>
      <c r="AN14" s="353">
        <f t="shared" si="17"/>
        <v>21049.071513235875</v>
      </c>
      <c r="AO14" s="357">
        <f t="shared" si="18"/>
        <v>20877.669902912621</v>
      </c>
      <c r="AP14" s="322"/>
      <c r="AQ14" s="353">
        <f t="shared" si="19"/>
        <v>1.0816948796130796</v>
      </c>
      <c r="AR14" s="354"/>
      <c r="AS14" s="355">
        <f t="shared" si="20"/>
        <v>1.0550648374365721</v>
      </c>
      <c r="AT14" s="356"/>
      <c r="AU14" s="353">
        <f t="shared" si="21"/>
        <v>85670.234465355912</v>
      </c>
      <c r="AV14" s="357">
        <f t="shared" si="22"/>
        <v>83561.135124976514</v>
      </c>
      <c r="AW14" s="322"/>
      <c r="AX14" s="353">
        <f t="shared" si="23"/>
        <v>1.1527704762906108</v>
      </c>
      <c r="AY14" s="354"/>
      <c r="AZ14" s="355">
        <f t="shared" si="24"/>
        <v>1.1178349934222889</v>
      </c>
      <c r="BA14" s="356"/>
      <c r="BB14" s="353">
        <f t="shared" si="25"/>
        <v>15216.570287036062</v>
      </c>
      <c r="BC14" s="357">
        <f t="shared" si="26"/>
        <v>14755.421913174214</v>
      </c>
      <c r="BD14" s="322"/>
      <c r="BE14" s="353">
        <f t="shared" si="27"/>
        <v>1.0257596467248451</v>
      </c>
      <c r="BF14" s="354"/>
      <c r="BG14" s="355">
        <f t="shared" si="28"/>
        <v>0.99003946626573947</v>
      </c>
      <c r="BH14" s="356"/>
      <c r="BI14" s="353">
        <f t="shared" si="29"/>
        <v>13540.027336767955</v>
      </c>
      <c r="BJ14" s="357">
        <f t="shared" si="30"/>
        <v>13068.520954707761</v>
      </c>
      <c r="BK14" s="322"/>
      <c r="BL14" s="353">
        <f t="shared" si="31"/>
        <v>1.6048025052111663</v>
      </c>
      <c r="BM14" s="354"/>
      <c r="BN14" s="355">
        <f t="shared" si="32"/>
        <v>1.5511443648882508</v>
      </c>
      <c r="BO14" s="356"/>
      <c r="BP14" s="353">
        <f t="shared" si="33"/>
        <v>127100.35841272437</v>
      </c>
      <c r="BQ14" s="357">
        <f t="shared" si="34"/>
        <v>122850.63369914946</v>
      </c>
      <c r="BR14" s="322"/>
      <c r="BS14" s="353">
        <f t="shared" si="35"/>
        <v>1.1902008201030387</v>
      </c>
      <c r="BT14" s="354"/>
      <c r="BU14" s="355">
        <f t="shared" si="36"/>
        <v>1.1629392971246006</v>
      </c>
      <c r="BV14" s="356"/>
      <c r="BW14" s="353">
        <f t="shared" si="37"/>
        <v>19638.31353170014</v>
      </c>
      <c r="BX14" s="357">
        <f t="shared" si="38"/>
        <v>19188.49840255591</v>
      </c>
      <c r="BY14" s="322"/>
      <c r="BZ14" s="322"/>
      <c r="CA14" s="322"/>
    </row>
    <row r="15" spans="1:79">
      <c r="A15" s="342" t="s">
        <v>462</v>
      </c>
      <c r="B15" s="303" t="s">
        <v>463</v>
      </c>
      <c r="C15" s="401">
        <v>0</v>
      </c>
      <c r="D15" s="401">
        <v>0</v>
      </c>
      <c r="E15" s="401">
        <v>0</v>
      </c>
      <c r="F15" s="402">
        <v>0</v>
      </c>
      <c r="G15" s="322"/>
      <c r="H15" s="353">
        <f t="shared" si="0"/>
        <v>0</v>
      </c>
      <c r="I15" s="354"/>
      <c r="J15" s="355">
        <f t="shared" si="0"/>
        <v>0</v>
      </c>
      <c r="K15" s="356"/>
      <c r="L15" s="353">
        <f t="shared" si="1"/>
        <v>0</v>
      </c>
      <c r="M15" s="357">
        <f t="shared" si="2"/>
        <v>0</v>
      </c>
      <c r="N15" s="322"/>
      <c r="O15" s="353">
        <f t="shared" si="3"/>
        <v>0</v>
      </c>
      <c r="P15" s="354"/>
      <c r="Q15" s="355">
        <f t="shared" si="4"/>
        <v>0</v>
      </c>
      <c r="R15" s="356"/>
      <c r="S15" s="353">
        <f t="shared" si="5"/>
        <v>0</v>
      </c>
      <c r="T15" s="357">
        <f t="shared" si="6"/>
        <v>0</v>
      </c>
      <c r="U15" s="322"/>
      <c r="V15" s="353">
        <f t="shared" si="7"/>
        <v>0</v>
      </c>
      <c r="W15" s="354"/>
      <c r="X15" s="355">
        <f t="shared" si="8"/>
        <v>0</v>
      </c>
      <c r="Y15" s="356"/>
      <c r="Z15" s="353">
        <f t="shared" si="9"/>
        <v>0</v>
      </c>
      <c r="AA15" s="357">
        <f t="shared" si="10"/>
        <v>0</v>
      </c>
      <c r="AB15" s="322"/>
      <c r="AC15" s="353">
        <f t="shared" si="11"/>
        <v>0</v>
      </c>
      <c r="AD15" s="354"/>
      <c r="AE15" s="355">
        <f t="shared" si="12"/>
        <v>0</v>
      </c>
      <c r="AF15" s="356"/>
      <c r="AG15" s="353">
        <f t="shared" si="13"/>
        <v>0</v>
      </c>
      <c r="AH15" s="357">
        <f t="shared" si="14"/>
        <v>0</v>
      </c>
      <c r="AI15" s="322"/>
      <c r="AJ15" s="353"/>
      <c r="AK15" s="355">
        <f t="shared" si="15"/>
        <v>0</v>
      </c>
      <c r="AL15" s="355"/>
      <c r="AM15" s="357">
        <f t="shared" si="16"/>
        <v>0</v>
      </c>
      <c r="AN15" s="353">
        <f t="shared" si="17"/>
        <v>0</v>
      </c>
      <c r="AO15" s="357">
        <f t="shared" si="18"/>
        <v>0</v>
      </c>
      <c r="AP15" s="322"/>
      <c r="AQ15" s="353">
        <f t="shared" si="19"/>
        <v>0</v>
      </c>
      <c r="AR15" s="354"/>
      <c r="AS15" s="355">
        <f t="shared" si="20"/>
        <v>0</v>
      </c>
      <c r="AT15" s="356"/>
      <c r="AU15" s="353">
        <f t="shared" si="21"/>
        <v>0</v>
      </c>
      <c r="AV15" s="357">
        <f t="shared" si="22"/>
        <v>0</v>
      </c>
      <c r="AW15" s="322"/>
      <c r="AX15" s="353">
        <f t="shared" si="23"/>
        <v>0</v>
      </c>
      <c r="AY15" s="354"/>
      <c r="AZ15" s="355">
        <f t="shared" si="24"/>
        <v>0</v>
      </c>
      <c r="BA15" s="356"/>
      <c r="BB15" s="353">
        <f t="shared" si="25"/>
        <v>0</v>
      </c>
      <c r="BC15" s="357">
        <f t="shared" si="26"/>
        <v>0</v>
      </c>
      <c r="BD15" s="322"/>
      <c r="BE15" s="353">
        <f t="shared" si="27"/>
        <v>0</v>
      </c>
      <c r="BF15" s="354"/>
      <c r="BG15" s="355">
        <f t="shared" si="28"/>
        <v>0</v>
      </c>
      <c r="BH15" s="356"/>
      <c r="BI15" s="353">
        <f t="shared" si="29"/>
        <v>0</v>
      </c>
      <c r="BJ15" s="357">
        <f t="shared" si="30"/>
        <v>0</v>
      </c>
      <c r="BK15" s="322"/>
      <c r="BL15" s="353">
        <f t="shared" si="31"/>
        <v>0</v>
      </c>
      <c r="BM15" s="354"/>
      <c r="BN15" s="355">
        <f t="shared" si="32"/>
        <v>0</v>
      </c>
      <c r="BO15" s="356"/>
      <c r="BP15" s="353">
        <f t="shared" si="33"/>
        <v>0</v>
      </c>
      <c r="BQ15" s="357">
        <f t="shared" si="34"/>
        <v>0</v>
      </c>
      <c r="BR15" s="322"/>
      <c r="BS15" s="353">
        <f t="shared" si="35"/>
        <v>0</v>
      </c>
      <c r="BT15" s="354"/>
      <c r="BU15" s="355">
        <f t="shared" si="36"/>
        <v>0</v>
      </c>
      <c r="BV15" s="356"/>
      <c r="BW15" s="353">
        <f t="shared" si="37"/>
        <v>0</v>
      </c>
      <c r="BX15" s="357">
        <f t="shared" si="38"/>
        <v>0</v>
      </c>
      <c r="BY15" s="322"/>
      <c r="BZ15" s="322"/>
      <c r="CA15" s="322"/>
    </row>
    <row r="16" spans="1:79" ht="14.5">
      <c r="A16" s="405" t="s">
        <v>11</v>
      </c>
      <c r="B16" s="406" t="s">
        <v>77</v>
      </c>
      <c r="C16" s="407">
        <f>SUM(C7:C15)</f>
        <v>0.21800000000000003</v>
      </c>
      <c r="D16" s="407">
        <f t="shared" ref="D16:F16" si="39">SUM(D7:D15)</f>
        <v>0.21800000000000003</v>
      </c>
      <c r="E16" s="407">
        <f t="shared" si="39"/>
        <v>0.36800000000000005</v>
      </c>
      <c r="F16" s="408">
        <f t="shared" si="39"/>
        <v>0.36800000000000005</v>
      </c>
      <c r="G16" s="322"/>
      <c r="H16" s="358">
        <f>SUM(H7:H15)</f>
        <v>13.937009778151616</v>
      </c>
      <c r="I16" s="359">
        <f t="shared" ref="I16:M16" si="40">SUM(I7:I15)</f>
        <v>0</v>
      </c>
      <c r="J16" s="359">
        <f t="shared" si="40"/>
        <v>23.479797030633346</v>
      </c>
      <c r="K16" s="360">
        <f t="shared" si="40"/>
        <v>0</v>
      </c>
      <c r="L16" s="358">
        <f>SUM(L7:L15)</f>
        <v>10034.647040269161</v>
      </c>
      <c r="M16" s="360">
        <f t="shared" si="40"/>
        <v>16905.453862056002</v>
      </c>
      <c r="N16" s="322"/>
      <c r="O16" s="358">
        <f>SUM(O7:O15)</f>
        <v>3.2432972347807807</v>
      </c>
      <c r="P16" s="359">
        <f t="shared" ref="P16:R16" si="41">SUM(P7:P15)</f>
        <v>0</v>
      </c>
      <c r="Q16" s="359">
        <f t="shared" si="41"/>
        <v>5.3495207667731624</v>
      </c>
      <c r="R16" s="360">
        <f t="shared" si="41"/>
        <v>0</v>
      </c>
      <c r="S16" s="358">
        <f>SUM(S7:S15)</f>
        <v>171246.09399642522</v>
      </c>
      <c r="T16" s="360">
        <f t="shared" ref="T16" si="42">SUM(T7:T15)</f>
        <v>282454.69648562302</v>
      </c>
      <c r="U16" s="322"/>
      <c r="V16" s="358">
        <f>SUM(V7:V15)</f>
        <v>2.5614025864788141</v>
      </c>
      <c r="W16" s="359">
        <f t="shared" ref="W16:Y16" si="43">SUM(W7:W15)</f>
        <v>0</v>
      </c>
      <c r="X16" s="359">
        <f t="shared" si="43"/>
        <v>4.2014658898703248</v>
      </c>
      <c r="Y16" s="360">
        <f t="shared" si="43"/>
        <v>0</v>
      </c>
      <c r="Z16" s="358">
        <f>SUM(Z7:Z15)</f>
        <v>101431.54242456105</v>
      </c>
      <c r="AA16" s="360">
        <f t="shared" ref="AA16" si="44">SUM(AA7:AA15)</f>
        <v>166378.04923886486</v>
      </c>
      <c r="AB16" s="322"/>
      <c r="AC16" s="358">
        <f>SUM(AC7:AC15)</f>
        <v>3.7773525391651783</v>
      </c>
      <c r="AD16" s="359">
        <f t="shared" ref="AD16:AF16" si="45">SUM(AD7:AD15)</f>
        <v>0</v>
      </c>
      <c r="AE16" s="359">
        <f t="shared" si="45"/>
        <v>6.2537868821650076</v>
      </c>
      <c r="AF16" s="360">
        <f t="shared" si="45"/>
        <v>0</v>
      </c>
      <c r="AG16" s="358">
        <f>SUM(AG7:AG15)</f>
        <v>299166.32110188209</v>
      </c>
      <c r="AH16" s="360">
        <f t="shared" ref="AH16" si="46">SUM(AH7:AH15)</f>
        <v>495299.92106746853</v>
      </c>
      <c r="AI16" s="322"/>
      <c r="AJ16" s="358">
        <f>SUM(AJ7:AJ15)</f>
        <v>0</v>
      </c>
      <c r="AK16" s="359">
        <f>SUM(AK7:AK15)</f>
        <v>4.3453575661793753</v>
      </c>
      <c r="AL16" s="359">
        <f t="shared" ref="AL16:AM16" si="47">SUM(AL7:AL15)</f>
        <v>0</v>
      </c>
      <c r="AM16" s="360">
        <f t="shared" si="47"/>
        <v>7.2755516328331877</v>
      </c>
      <c r="AN16" s="358">
        <f>SUM(AN7:AN15)</f>
        <v>57358.719873567752</v>
      </c>
      <c r="AO16" s="360">
        <f t="shared" ref="AO16" si="48">SUM(AO7:AO15)</f>
        <v>96037.281553398061</v>
      </c>
      <c r="AP16" s="322"/>
      <c r="AQ16" s="358">
        <f>SUM(AQ7:AQ15)</f>
        <v>2.947618546945642</v>
      </c>
      <c r="AR16" s="359">
        <f t="shared" ref="AR16:AT16" si="49">SUM(AR7:AR15)</f>
        <v>0</v>
      </c>
      <c r="AS16" s="359">
        <f t="shared" si="49"/>
        <v>4.8532982522082317</v>
      </c>
      <c r="AT16" s="360">
        <f t="shared" si="49"/>
        <v>0</v>
      </c>
      <c r="AU16" s="358">
        <f>SUM(AU7:AU15)</f>
        <v>233451.38891809486</v>
      </c>
      <c r="AV16" s="360">
        <f t="shared" ref="AV16" si="50">SUM(AV7:AV15)</f>
        <v>384381.22157489194</v>
      </c>
      <c r="AW16" s="322"/>
      <c r="AX16" s="358">
        <f>SUM(AX7:AX15)</f>
        <v>3.141299547891915</v>
      </c>
      <c r="AY16" s="359">
        <f t="shared" ref="AY16:BA16" si="51">SUM(AY7:AY15)</f>
        <v>0</v>
      </c>
      <c r="AZ16" s="359">
        <f t="shared" si="51"/>
        <v>5.1420409697425296</v>
      </c>
      <c r="BA16" s="360">
        <f t="shared" si="51"/>
        <v>0</v>
      </c>
      <c r="BB16" s="358">
        <f>SUM(BB7:BB15)</f>
        <v>41465.154032173275</v>
      </c>
      <c r="BC16" s="360">
        <f t="shared" ref="BC16" si="52">SUM(BC7:BC15)</f>
        <v>67874.940800601384</v>
      </c>
      <c r="BD16" s="322"/>
      <c r="BE16" s="358">
        <f>SUM(BE7:BE15)</f>
        <v>2.795195037325203</v>
      </c>
      <c r="BF16" s="359">
        <f t="shared" ref="BF16:BH16" si="53">SUM(BF7:BF15)</f>
        <v>0</v>
      </c>
      <c r="BG16" s="359">
        <f t="shared" si="53"/>
        <v>4.5541815448224021</v>
      </c>
      <c r="BH16" s="360">
        <f t="shared" si="53"/>
        <v>0</v>
      </c>
      <c r="BI16" s="358">
        <f>SUM(BI7:BI15)</f>
        <v>36896.574492692678</v>
      </c>
      <c r="BJ16" s="360">
        <f t="shared" ref="BJ16" si="54">SUM(BJ7:BJ15)</f>
        <v>60115.196391655692</v>
      </c>
      <c r="BK16" s="322"/>
      <c r="BL16" s="358">
        <f>SUM(BL7:BL15)</f>
        <v>4.3730868267004279</v>
      </c>
      <c r="BM16" s="359">
        <f t="shared" ref="BM16:BO16" si="55">SUM(BM7:BM15)</f>
        <v>0</v>
      </c>
      <c r="BN16" s="359">
        <f t="shared" si="55"/>
        <v>7.135264078485954</v>
      </c>
      <c r="BO16" s="360">
        <f t="shared" si="55"/>
        <v>0</v>
      </c>
      <c r="BP16" s="358">
        <f>SUM(BP7:BP15)</f>
        <v>346348.4766746739</v>
      </c>
      <c r="BQ16" s="360">
        <f t="shared" ref="BQ16" si="56">SUM(BQ7:BQ15)</f>
        <v>565112.91501608759</v>
      </c>
      <c r="BR16" s="322"/>
      <c r="BS16" s="358">
        <f>SUM(BS7:BS15)</f>
        <v>3.2432972347807807</v>
      </c>
      <c r="BT16" s="359">
        <f t="shared" ref="BT16:BV16" si="57">SUM(BT7:BT15)</f>
        <v>0</v>
      </c>
      <c r="BU16" s="359">
        <f t="shared" si="57"/>
        <v>5.3495207667731624</v>
      </c>
      <c r="BV16" s="360">
        <f t="shared" si="57"/>
        <v>0</v>
      </c>
      <c r="BW16" s="358">
        <f>SUM(BW7:BW15)</f>
        <v>53514.404373882877</v>
      </c>
      <c r="BX16" s="360">
        <f t="shared" ref="BX16" si="58">SUM(BX7:BX15)</f>
        <v>88267.092651757193</v>
      </c>
      <c r="BY16" s="322"/>
      <c r="BZ16" s="322"/>
      <c r="CA16" s="322"/>
    </row>
    <row r="17" spans="1:79" ht="14.5">
      <c r="A17" s="594" t="s">
        <v>464</v>
      </c>
      <c r="B17" s="595"/>
      <c r="C17" s="595"/>
      <c r="D17" s="595"/>
      <c r="E17" s="595"/>
      <c r="F17" s="596"/>
      <c r="G17" s="322"/>
      <c r="H17" s="594"/>
      <c r="I17" s="595"/>
      <c r="J17" s="595"/>
      <c r="K17" s="596"/>
      <c r="L17" s="373"/>
      <c r="M17" s="374"/>
      <c r="N17" s="322"/>
      <c r="O17" s="594"/>
      <c r="P17" s="595"/>
      <c r="Q17" s="595"/>
      <c r="R17" s="596"/>
      <c r="S17" s="373"/>
      <c r="T17" s="374"/>
      <c r="U17" s="322"/>
      <c r="V17" s="594"/>
      <c r="W17" s="595"/>
      <c r="X17" s="595"/>
      <c r="Y17" s="596"/>
      <c r="Z17" s="373"/>
      <c r="AA17" s="374"/>
      <c r="AB17" s="322"/>
      <c r="AC17" s="594"/>
      <c r="AD17" s="595"/>
      <c r="AE17" s="595"/>
      <c r="AF17" s="596"/>
      <c r="AG17" s="373"/>
      <c r="AH17" s="374"/>
      <c r="AI17" s="322"/>
      <c r="AJ17" s="594"/>
      <c r="AK17" s="595"/>
      <c r="AL17" s="595"/>
      <c r="AM17" s="596"/>
      <c r="AN17" s="373"/>
      <c r="AO17" s="374"/>
      <c r="AP17" s="322"/>
      <c r="AQ17" s="594"/>
      <c r="AR17" s="595"/>
      <c r="AS17" s="595"/>
      <c r="AT17" s="596"/>
      <c r="AU17" s="373"/>
      <c r="AV17" s="374"/>
      <c r="AW17" s="322"/>
      <c r="AX17" s="594"/>
      <c r="AY17" s="595"/>
      <c r="AZ17" s="595"/>
      <c r="BA17" s="596"/>
      <c r="BB17" s="373"/>
      <c r="BC17" s="374"/>
      <c r="BD17" s="322"/>
      <c r="BE17" s="594"/>
      <c r="BF17" s="595"/>
      <c r="BG17" s="595"/>
      <c r="BH17" s="596"/>
      <c r="BI17" s="373"/>
      <c r="BJ17" s="374"/>
      <c r="BK17" s="322"/>
      <c r="BL17" s="594"/>
      <c r="BM17" s="595"/>
      <c r="BN17" s="595"/>
      <c r="BO17" s="596"/>
      <c r="BP17" s="373"/>
      <c r="BQ17" s="374"/>
      <c r="BR17" s="322"/>
      <c r="BS17" s="594"/>
      <c r="BT17" s="595"/>
      <c r="BU17" s="595"/>
      <c r="BV17" s="596"/>
      <c r="BW17" s="373"/>
      <c r="BX17" s="374"/>
      <c r="BY17" s="322"/>
      <c r="BZ17" s="322"/>
      <c r="CA17" s="322"/>
    </row>
    <row r="18" spans="1:79">
      <c r="A18" s="342" t="s">
        <v>465</v>
      </c>
      <c r="B18" s="303" t="s">
        <v>466</v>
      </c>
      <c r="C18" s="403">
        <v>0.17929999999999999</v>
      </c>
      <c r="D18" s="401" t="s">
        <v>467</v>
      </c>
      <c r="E18" s="403">
        <v>0.17929999999999999</v>
      </c>
      <c r="F18" s="402" t="s">
        <v>467</v>
      </c>
      <c r="G18" s="322"/>
      <c r="H18" s="353">
        <f t="shared" ref="H18:H27" si="59">H$42*C18</f>
        <v>11.462870886342129</v>
      </c>
      <c r="I18" s="354"/>
      <c r="J18" s="355">
        <f t="shared" ref="J18:J27" si="60">J$42*E18</f>
        <v>11.440020672805863</v>
      </c>
      <c r="K18" s="356"/>
      <c r="L18" s="353">
        <f t="shared" ref="L18:L27" si="61">$C$48*H18</f>
        <v>8253.267038166332</v>
      </c>
      <c r="M18" s="357">
        <f t="shared" ref="M18:M27" si="62">$C$48*J18</f>
        <v>8236.8148844202206</v>
      </c>
      <c r="N18" s="322"/>
      <c r="O18" s="353">
        <f>O$42*$C18</f>
        <v>2.6675375880559353</v>
      </c>
      <c r="P18" s="354"/>
      <c r="Q18" s="355">
        <f>Q$42*$E18</f>
        <v>2.606437699680511</v>
      </c>
      <c r="R18" s="356"/>
      <c r="S18" s="353">
        <f>$C$50*$O18</f>
        <v>140845.9846493534</v>
      </c>
      <c r="T18" s="357">
        <f>$C$50*$Q18</f>
        <v>137619.91054313097</v>
      </c>
      <c r="U18" s="322"/>
      <c r="V18" s="353">
        <f>V$42*$C18</f>
        <v>2.1066948796130798</v>
      </c>
      <c r="W18" s="354"/>
      <c r="X18" s="355">
        <f>X$42*$E18</f>
        <v>2.0470729186243184</v>
      </c>
      <c r="Y18" s="356"/>
      <c r="Z18" s="353">
        <f>$C$55*$V18</f>
        <v>83425.117232677963</v>
      </c>
      <c r="AA18" s="357">
        <f t="shared" ref="AA18:AA27" si="63">$C$55*$X18</f>
        <v>81064.087577523009</v>
      </c>
      <c r="AB18" s="322"/>
      <c r="AC18" s="353">
        <f>AC$42*$C18</f>
        <v>3.1067858269372306</v>
      </c>
      <c r="AD18" s="354"/>
      <c r="AE18" s="355">
        <f>AE$42*$E18</f>
        <v>3.0470217064461562</v>
      </c>
      <c r="AF18" s="356"/>
      <c r="AG18" s="353">
        <f>$C$51*$AC18</f>
        <v>246057.43749342868</v>
      </c>
      <c r="AH18" s="357">
        <f t="shared" ref="AH18:AH27" si="64">$C$51*$AE18</f>
        <v>241324.11915053558</v>
      </c>
      <c r="AI18" s="322"/>
      <c r="AJ18" s="353"/>
      <c r="AK18" s="355"/>
      <c r="AL18" s="355"/>
      <c r="AM18" s="357"/>
      <c r="AN18" s="353">
        <f t="shared" ref="AN18:AN27" si="65">$C$49*$AK18</f>
        <v>0</v>
      </c>
      <c r="AO18" s="357">
        <f t="shared" ref="AO18:AO27" si="66">$C$49*$AM18</f>
        <v>0</v>
      </c>
      <c r="AP18" s="322"/>
      <c r="AQ18" s="353">
        <f>AQ$42*$C18</f>
        <v>2.4243486489328148</v>
      </c>
      <c r="AR18" s="354"/>
      <c r="AS18" s="355">
        <f>AS$42*$E18</f>
        <v>2.3646640669047168</v>
      </c>
      <c r="AT18" s="356"/>
      <c r="AU18" s="353">
        <f t="shared" ref="AU18:AU27" si="67">$C$54*$AQ18</f>
        <v>192008.41299547892</v>
      </c>
      <c r="AV18" s="357">
        <f t="shared" ref="AV18:AV27" si="68">$C$54*$AS18</f>
        <v>187281.39409885358</v>
      </c>
      <c r="AW18" s="322"/>
      <c r="AX18" s="353">
        <f>AX$42*$C18</f>
        <v>2.5836468299863316</v>
      </c>
      <c r="AY18" s="354"/>
      <c r="AZ18" s="355">
        <f>AZ$42*$E18</f>
        <v>2.5053476790077047</v>
      </c>
      <c r="BA18" s="356"/>
      <c r="BB18" s="353">
        <f t="shared" ref="BB18:BB27" si="69">$C$56*$AX18</f>
        <v>34104.138155819579</v>
      </c>
      <c r="BC18" s="357">
        <f t="shared" ref="BC18:BC27" si="70">$C$56*$AZ18</f>
        <v>33070.589362901701</v>
      </c>
      <c r="BD18" s="322"/>
      <c r="BE18" s="353">
        <f>BE$42*$C18</f>
        <v>2.2989838082220588</v>
      </c>
      <c r="BF18" s="354"/>
      <c r="BG18" s="355">
        <f>BG$42*$E18</f>
        <v>2.2189259537680885</v>
      </c>
      <c r="BH18" s="356"/>
      <c r="BI18" s="353">
        <f>$C$57*$BE18</f>
        <v>30346.586268531177</v>
      </c>
      <c r="BJ18" s="357">
        <f>$C$57*$BG18</f>
        <v>29289.822589738767</v>
      </c>
      <c r="BK18" s="322"/>
      <c r="BL18" s="353">
        <f>BL$42*$C18</f>
        <v>3.5967636148045261</v>
      </c>
      <c r="BM18" s="354"/>
      <c r="BN18" s="355">
        <f>BN$42*$E18</f>
        <v>3.4765023078057919</v>
      </c>
      <c r="BO18" s="356"/>
      <c r="BP18" s="353">
        <f t="shared" ref="BP18:BP27" si="71">$C$51*$BL18</f>
        <v>284863.67829251848</v>
      </c>
      <c r="BQ18" s="357">
        <f t="shared" ref="BQ18:BQ27" si="72">$C$51*$BN18</f>
        <v>275338.98277821875</v>
      </c>
      <c r="BR18" s="322"/>
      <c r="BS18" s="353">
        <f>BS$42*$C18</f>
        <v>2.6675375880559353</v>
      </c>
      <c r="BT18" s="354"/>
      <c r="BU18" s="355">
        <f>BU$42*$E18</f>
        <v>2.606437699680511</v>
      </c>
      <c r="BV18" s="356"/>
      <c r="BW18" s="353">
        <f t="shared" ref="BW18:BW27" si="73">$C$53*$BS18</f>
        <v>44014.370202922932</v>
      </c>
      <c r="BX18" s="357">
        <f t="shared" ref="BX18:BX27" si="74">$C$53*$BU18</f>
        <v>43006.222044728434</v>
      </c>
      <c r="BY18" s="322"/>
      <c r="BZ18" s="322"/>
      <c r="CA18" s="322"/>
    </row>
    <row r="19" spans="1:79">
      <c r="A19" s="342" t="s">
        <v>468</v>
      </c>
      <c r="B19" s="303" t="s">
        <v>469</v>
      </c>
      <c r="C19" s="403">
        <v>4.24E-2</v>
      </c>
      <c r="D19" s="401" t="s">
        <v>467</v>
      </c>
      <c r="E19" s="403">
        <v>4.24E-2</v>
      </c>
      <c r="F19" s="402" t="s">
        <v>467</v>
      </c>
      <c r="G19" s="322"/>
      <c r="H19" s="353">
        <f t="shared" si="59"/>
        <v>2.7106844706129745</v>
      </c>
      <c r="I19" s="354"/>
      <c r="J19" s="355">
        <f t="shared" si="60"/>
        <v>2.7052809622251459</v>
      </c>
      <c r="K19" s="356"/>
      <c r="L19" s="353">
        <f t="shared" si="61"/>
        <v>1951.6928188413412</v>
      </c>
      <c r="M19" s="357">
        <f t="shared" si="62"/>
        <v>1947.8022928021048</v>
      </c>
      <c r="N19" s="322"/>
      <c r="O19" s="353">
        <f t="shared" ref="O19:O27" si="75">O$42*$C19</f>
        <v>0.6308064346546105</v>
      </c>
      <c r="P19" s="354"/>
      <c r="Q19" s="355">
        <f t="shared" ref="Q19:Q27" si="76">Q$42*$E19</f>
        <v>0.6163578274760384</v>
      </c>
      <c r="R19" s="356"/>
      <c r="S19" s="353">
        <f t="shared" ref="S19:S26" si="77">$C$50*$O19</f>
        <v>33306.579749763434</v>
      </c>
      <c r="T19" s="357">
        <f t="shared" ref="T19:T26" si="78">$C$50*$Q19</f>
        <v>32543.693290734827</v>
      </c>
      <c r="U19" s="322"/>
      <c r="V19" s="353">
        <f t="shared" ref="V19:V27" si="79">V$42*$C19</f>
        <v>0.49818105351698039</v>
      </c>
      <c r="W19" s="354"/>
      <c r="X19" s="355">
        <f t="shared" ref="X19:X27" si="80">X$42*$E19</f>
        <v>0.48408193948505918</v>
      </c>
      <c r="Y19" s="356"/>
      <c r="Z19" s="353">
        <f t="shared" ref="Z19:Z27" si="81">$C$55*$V19</f>
        <v>19727.969719272423</v>
      </c>
      <c r="AA19" s="357">
        <f t="shared" si="63"/>
        <v>19169.644803608342</v>
      </c>
      <c r="AB19" s="322"/>
      <c r="AC19" s="353">
        <f t="shared" ref="AC19:AC27" si="82">AC$42*$C19</f>
        <v>0.73467774156240151</v>
      </c>
      <c r="AD19" s="354"/>
      <c r="AE19" s="355">
        <f t="shared" ref="AE19:AE27" si="83">AE$42*$E19</f>
        <v>0.72054501033640295</v>
      </c>
      <c r="AF19" s="356"/>
      <c r="AG19" s="353">
        <f t="shared" ref="AG19:AG27" si="84">$C$51*$AC19</f>
        <v>58186.477131742198</v>
      </c>
      <c r="AH19" s="357">
        <f t="shared" si="64"/>
        <v>57067.164818643112</v>
      </c>
      <c r="AI19" s="322"/>
      <c r="AJ19" s="353"/>
      <c r="AK19" s="355"/>
      <c r="AL19" s="355"/>
      <c r="AM19" s="357"/>
      <c r="AN19" s="353">
        <f t="shared" si="65"/>
        <v>0</v>
      </c>
      <c r="AO19" s="357">
        <f t="shared" si="66"/>
        <v>0</v>
      </c>
      <c r="AP19" s="322"/>
      <c r="AQ19" s="353">
        <f t="shared" ref="AQ19:AQ27" si="85">AQ$42*$C19</f>
        <v>0.57329828619493217</v>
      </c>
      <c r="AR19" s="354"/>
      <c r="AS19" s="355">
        <f t="shared" ref="AS19:AS27" si="86">AS$42*$E19</f>
        <v>0.55918436384138315</v>
      </c>
      <c r="AT19" s="356"/>
      <c r="AU19" s="353">
        <f t="shared" si="67"/>
        <v>45405.22426663863</v>
      </c>
      <c r="AV19" s="357">
        <f t="shared" si="68"/>
        <v>44287.401616237548</v>
      </c>
      <c r="AW19" s="322"/>
      <c r="AX19" s="353">
        <f t="shared" ref="AX19:AX27" si="87">AX$42*$C19</f>
        <v>0.61096835243402381</v>
      </c>
      <c r="AY19" s="354"/>
      <c r="AZ19" s="355">
        <f t="shared" ref="AZ19:AZ27" si="88">AZ$42*$E19</f>
        <v>0.59245254651381318</v>
      </c>
      <c r="BA19" s="356"/>
      <c r="BB19" s="353">
        <f t="shared" si="69"/>
        <v>8064.7822521291146</v>
      </c>
      <c r="BC19" s="357">
        <f t="shared" si="70"/>
        <v>7820.3736139823341</v>
      </c>
      <c r="BD19" s="322"/>
      <c r="BE19" s="353">
        <f t="shared" ref="BE19:BE27" si="89">BE$42*$C19</f>
        <v>0.54365261276416788</v>
      </c>
      <c r="BF19" s="354"/>
      <c r="BG19" s="355">
        <f t="shared" ref="BG19:BG27" si="90">BG$42*$E19</f>
        <v>0.5247209171208419</v>
      </c>
      <c r="BH19" s="356"/>
      <c r="BI19" s="353">
        <f t="shared" ref="BI19:BI27" si="91">$C$57*$BE19</f>
        <v>7176.2144884870158</v>
      </c>
      <c r="BJ19" s="357">
        <f t="shared" ref="BJ19:BJ27" si="92">$C$57*$BG19</f>
        <v>6926.3161059951135</v>
      </c>
      <c r="BK19" s="322"/>
      <c r="BL19" s="353">
        <f t="shared" ref="BL19:BL27" si="93">BL$42*$C19</f>
        <v>0.85054532776191816</v>
      </c>
      <c r="BM19" s="354"/>
      <c r="BN19" s="355">
        <f t="shared" ref="BN19:BN27" si="94">BN$42*$E19</f>
        <v>0.8221065133907729</v>
      </c>
      <c r="BO19" s="356"/>
      <c r="BP19" s="353">
        <f t="shared" si="71"/>
        <v>67363.189958743911</v>
      </c>
      <c r="BQ19" s="357">
        <f t="shared" si="72"/>
        <v>65110.83586054921</v>
      </c>
      <c r="BR19" s="322"/>
      <c r="BS19" s="353">
        <f t="shared" ref="BS19:BS27" si="95">BS$42*$C19</f>
        <v>0.6308064346546105</v>
      </c>
      <c r="BT19" s="354"/>
      <c r="BU19" s="355">
        <f t="shared" ref="BU19:BU27" si="96">BU$42*$E19</f>
        <v>0.6163578274760384</v>
      </c>
      <c r="BV19" s="356"/>
      <c r="BW19" s="353">
        <f t="shared" si="73"/>
        <v>10408.306171801074</v>
      </c>
      <c r="BX19" s="357">
        <f t="shared" si="74"/>
        <v>10169.904153354633</v>
      </c>
      <c r="BY19" s="322"/>
      <c r="BZ19" s="322"/>
      <c r="CA19" s="322"/>
    </row>
    <row r="20" spans="1:79">
      <c r="A20" s="342" t="s">
        <v>470</v>
      </c>
      <c r="B20" s="303" t="s">
        <v>471</v>
      </c>
      <c r="C20" s="403">
        <v>8.5000000000000006E-3</v>
      </c>
      <c r="D20" s="403">
        <v>6.4999999999999997E-3</v>
      </c>
      <c r="E20" s="403">
        <v>8.5000000000000006E-3</v>
      </c>
      <c r="F20" s="404">
        <v>6.4999999999999997E-3</v>
      </c>
      <c r="G20" s="322"/>
      <c r="H20" s="353">
        <f t="shared" si="59"/>
        <v>0.54341551887288408</v>
      </c>
      <c r="I20" s="354"/>
      <c r="J20" s="355">
        <f t="shared" si="60"/>
        <v>0.54233226837060711</v>
      </c>
      <c r="K20" s="356"/>
      <c r="L20" s="353">
        <f t="shared" si="61"/>
        <v>391.25917358847647</v>
      </c>
      <c r="M20" s="357">
        <f t="shared" si="62"/>
        <v>390.47923322683704</v>
      </c>
      <c r="N20" s="322"/>
      <c r="O20" s="353">
        <f t="shared" si="75"/>
        <v>0.12645883713594785</v>
      </c>
      <c r="P20" s="354"/>
      <c r="Q20" s="355">
        <f t="shared" si="76"/>
        <v>0.12356230031948884</v>
      </c>
      <c r="R20" s="356"/>
      <c r="S20" s="353">
        <f t="shared" si="77"/>
        <v>6677.0266007780465</v>
      </c>
      <c r="T20" s="357">
        <f t="shared" si="78"/>
        <v>6524.089456869011</v>
      </c>
      <c r="U20" s="322"/>
      <c r="V20" s="353">
        <f t="shared" si="79"/>
        <v>9.9871201766375789E-2</v>
      </c>
      <c r="W20" s="354"/>
      <c r="X20" s="355">
        <f t="shared" si="80"/>
        <v>9.704472843450479E-2</v>
      </c>
      <c r="Y20" s="356"/>
      <c r="Z20" s="353">
        <f t="shared" si="81"/>
        <v>3954.8995899484812</v>
      </c>
      <c r="AA20" s="357">
        <f t="shared" si="63"/>
        <v>3842.9712460063897</v>
      </c>
      <c r="AB20" s="322"/>
      <c r="AC20" s="353">
        <f t="shared" si="82"/>
        <v>0.14728209441699089</v>
      </c>
      <c r="AD20" s="354"/>
      <c r="AE20" s="355">
        <f t="shared" si="83"/>
        <v>0.1444488817891374</v>
      </c>
      <c r="AF20" s="356"/>
      <c r="AG20" s="353">
        <f t="shared" si="84"/>
        <v>11664.741877825678</v>
      </c>
      <c r="AH20" s="357">
        <f t="shared" si="64"/>
        <v>11440.351437699681</v>
      </c>
      <c r="AI20" s="322"/>
      <c r="AJ20" s="353"/>
      <c r="AK20" s="355">
        <f t="shared" ref="AK20:AM27" si="97">AJ$42*$D20</f>
        <v>0.12956341367048596</v>
      </c>
      <c r="AL20" s="355"/>
      <c r="AM20" s="357">
        <f t="shared" si="97"/>
        <v>0.12850838481906443</v>
      </c>
      <c r="AN20" s="353">
        <f t="shared" si="65"/>
        <v>1710.2370604504147</v>
      </c>
      <c r="AO20" s="357">
        <f t="shared" si="66"/>
        <v>1696.3106796116506</v>
      </c>
      <c r="AP20" s="322"/>
      <c r="AQ20" s="353">
        <f t="shared" si="85"/>
        <v>0.11493008095888972</v>
      </c>
      <c r="AR20" s="354"/>
      <c r="AS20" s="355">
        <f t="shared" si="86"/>
        <v>0.11210063897763578</v>
      </c>
      <c r="AT20" s="356"/>
      <c r="AU20" s="353">
        <f t="shared" si="67"/>
        <v>9102.4624119440668</v>
      </c>
      <c r="AV20" s="357">
        <f t="shared" si="68"/>
        <v>8878.3706070287535</v>
      </c>
      <c r="AW20" s="322"/>
      <c r="AX20" s="353">
        <f t="shared" si="87"/>
        <v>0.12248186310587741</v>
      </c>
      <c r="AY20" s="354"/>
      <c r="AZ20" s="355">
        <f t="shared" si="88"/>
        <v>0.11876996805111821</v>
      </c>
      <c r="BA20" s="356"/>
      <c r="BB20" s="353">
        <f t="shared" si="69"/>
        <v>1616.7605929975819</v>
      </c>
      <c r="BC20" s="357">
        <f t="shared" si="70"/>
        <v>1567.7635782747604</v>
      </c>
      <c r="BD20" s="322"/>
      <c r="BE20" s="353">
        <f t="shared" si="89"/>
        <v>0.10898696246451479</v>
      </c>
      <c r="BF20" s="354"/>
      <c r="BG20" s="355">
        <f t="shared" si="90"/>
        <v>0.10519169329073483</v>
      </c>
      <c r="BH20" s="356"/>
      <c r="BI20" s="353">
        <f t="shared" si="91"/>
        <v>1438.6279045315953</v>
      </c>
      <c r="BJ20" s="357">
        <f t="shared" si="92"/>
        <v>1388.5303514376997</v>
      </c>
      <c r="BK20" s="322"/>
      <c r="BL20" s="353">
        <f t="shared" si="93"/>
        <v>0.17051026617868642</v>
      </c>
      <c r="BM20" s="354"/>
      <c r="BN20" s="355">
        <f t="shared" si="94"/>
        <v>0.16480908876937667</v>
      </c>
      <c r="BO20" s="356"/>
      <c r="BP20" s="353">
        <f t="shared" si="71"/>
        <v>13504.413081351964</v>
      </c>
      <c r="BQ20" s="357">
        <f t="shared" si="72"/>
        <v>13052.879830534632</v>
      </c>
      <c r="BR20" s="322"/>
      <c r="BS20" s="353">
        <f t="shared" si="95"/>
        <v>0.12645883713594785</v>
      </c>
      <c r="BT20" s="354"/>
      <c r="BU20" s="355">
        <f t="shared" si="96"/>
        <v>0.12356230031948884</v>
      </c>
      <c r="BV20" s="356"/>
      <c r="BW20" s="353">
        <f t="shared" si="73"/>
        <v>2086.5708127431394</v>
      </c>
      <c r="BX20" s="357">
        <f t="shared" si="74"/>
        <v>2038.7779552715658</v>
      </c>
      <c r="BY20" s="322"/>
      <c r="BZ20" s="322"/>
      <c r="CA20" s="322"/>
    </row>
    <row r="21" spans="1:79">
      <c r="A21" s="342" t="s">
        <v>472</v>
      </c>
      <c r="B21" s="303" t="s">
        <v>473</v>
      </c>
      <c r="C21" s="403">
        <v>0.1096</v>
      </c>
      <c r="D21" s="403">
        <v>8.3299999999999999E-2</v>
      </c>
      <c r="E21" s="403">
        <v>0.1096</v>
      </c>
      <c r="F21" s="404">
        <v>8.3299999999999999E-2</v>
      </c>
      <c r="G21" s="322"/>
      <c r="H21" s="353">
        <f t="shared" si="59"/>
        <v>7.0068636315844817</v>
      </c>
      <c r="I21" s="354"/>
      <c r="J21" s="355">
        <f t="shared" si="60"/>
        <v>6.9928960721668867</v>
      </c>
      <c r="K21" s="356"/>
      <c r="L21" s="353">
        <f t="shared" si="61"/>
        <v>5044.941814740826</v>
      </c>
      <c r="M21" s="357">
        <f t="shared" si="62"/>
        <v>5034.885171960158</v>
      </c>
      <c r="N21" s="322"/>
      <c r="O21" s="353">
        <f t="shared" si="75"/>
        <v>1.630575123541163</v>
      </c>
      <c r="P21" s="354"/>
      <c r="Q21" s="355">
        <f t="shared" si="76"/>
        <v>1.593226837060703</v>
      </c>
      <c r="R21" s="356"/>
      <c r="S21" s="353">
        <f t="shared" si="77"/>
        <v>86094.366522973403</v>
      </c>
      <c r="T21" s="357">
        <f t="shared" si="78"/>
        <v>84122.37699680512</v>
      </c>
      <c r="U21" s="322"/>
      <c r="V21" s="353">
        <f t="shared" si="79"/>
        <v>1.2877510251287985</v>
      </c>
      <c r="W21" s="354"/>
      <c r="X21" s="355">
        <f t="shared" si="80"/>
        <v>1.2513061454613794</v>
      </c>
      <c r="Y21" s="356"/>
      <c r="Z21" s="353">
        <f t="shared" si="81"/>
        <v>50994.940595100423</v>
      </c>
      <c r="AA21" s="357">
        <f t="shared" si="63"/>
        <v>49551.723360270626</v>
      </c>
      <c r="AB21" s="322"/>
      <c r="AC21" s="353">
        <f t="shared" si="82"/>
        <v>1.8990726527179058</v>
      </c>
      <c r="AD21" s="354"/>
      <c r="AE21" s="355">
        <f t="shared" si="83"/>
        <v>1.8625408757752302</v>
      </c>
      <c r="AF21" s="356"/>
      <c r="AG21" s="353">
        <f t="shared" si="84"/>
        <v>150406.55409525815</v>
      </c>
      <c r="AH21" s="357">
        <f t="shared" si="64"/>
        <v>147513.23736139823</v>
      </c>
      <c r="AI21" s="322"/>
      <c r="AJ21" s="353"/>
      <c r="AK21" s="355">
        <f t="shared" si="97"/>
        <v>1.6604049782694585</v>
      </c>
      <c r="AL21" s="355"/>
      <c r="AM21" s="357">
        <f t="shared" si="97"/>
        <v>1.6468843777581641</v>
      </c>
      <c r="AN21" s="353">
        <f t="shared" si="65"/>
        <v>21917.345713156854</v>
      </c>
      <c r="AO21" s="357">
        <f t="shared" si="66"/>
        <v>21738.873786407767</v>
      </c>
      <c r="AP21" s="322"/>
      <c r="AQ21" s="353">
        <f t="shared" si="85"/>
        <v>1.4819219850699192</v>
      </c>
      <c r="AR21" s="354"/>
      <c r="AS21" s="355">
        <f t="shared" si="86"/>
        <v>1.4454388272881036</v>
      </c>
      <c r="AT21" s="356"/>
      <c r="AU21" s="353">
        <f t="shared" si="67"/>
        <v>117368.2212175376</v>
      </c>
      <c r="AV21" s="357">
        <f t="shared" si="68"/>
        <v>114478.75512121781</v>
      </c>
      <c r="AW21" s="322"/>
      <c r="AX21" s="353">
        <f t="shared" si="87"/>
        <v>1.5792955525181369</v>
      </c>
      <c r="AY21" s="354"/>
      <c r="AZ21" s="355">
        <f t="shared" si="88"/>
        <v>1.5314339409885358</v>
      </c>
      <c r="BA21" s="356"/>
      <c r="BB21" s="353">
        <f t="shared" si="69"/>
        <v>20846.701293239406</v>
      </c>
      <c r="BC21" s="357">
        <f t="shared" si="70"/>
        <v>20214.928021048672</v>
      </c>
      <c r="BD21" s="322"/>
      <c r="BE21" s="353">
        <f t="shared" si="89"/>
        <v>1.4052907160130377</v>
      </c>
      <c r="BF21" s="354"/>
      <c r="BG21" s="355">
        <f t="shared" si="90"/>
        <v>1.3563540687840632</v>
      </c>
      <c r="BH21" s="356"/>
      <c r="BI21" s="353">
        <f t="shared" si="91"/>
        <v>18549.837451372096</v>
      </c>
      <c r="BJ21" s="357">
        <f t="shared" si="92"/>
        <v>17903.873707949635</v>
      </c>
      <c r="BK21" s="322"/>
      <c r="BL21" s="353">
        <f t="shared" si="93"/>
        <v>2.1985794321392977</v>
      </c>
      <c r="BM21" s="354"/>
      <c r="BN21" s="355">
        <f t="shared" si="94"/>
        <v>2.1250677798969035</v>
      </c>
      <c r="BO21" s="356"/>
      <c r="BP21" s="353">
        <f t="shared" si="71"/>
        <v>174127.49102543239</v>
      </c>
      <c r="BQ21" s="357">
        <f t="shared" si="72"/>
        <v>168305.36816783476</v>
      </c>
      <c r="BR21" s="322"/>
      <c r="BS21" s="353">
        <f t="shared" si="95"/>
        <v>1.630575123541163</v>
      </c>
      <c r="BT21" s="354"/>
      <c r="BU21" s="355">
        <f t="shared" si="96"/>
        <v>1.593226837060703</v>
      </c>
      <c r="BV21" s="356"/>
      <c r="BW21" s="353">
        <f t="shared" si="73"/>
        <v>26904.489538429189</v>
      </c>
      <c r="BX21" s="357">
        <f t="shared" si="74"/>
        <v>26288.242811501601</v>
      </c>
      <c r="BY21" s="322"/>
      <c r="BZ21" s="322"/>
      <c r="CA21" s="322"/>
    </row>
    <row r="22" spans="1:79">
      <c r="A22" s="342" t="s">
        <v>474</v>
      </c>
      <c r="B22" s="303" t="s">
        <v>475</v>
      </c>
      <c r="C22" s="403">
        <v>6.9999999999999999E-4</v>
      </c>
      <c r="D22" s="403">
        <v>5.0000000000000001E-4</v>
      </c>
      <c r="E22" s="403">
        <v>6.9999999999999999E-4</v>
      </c>
      <c r="F22" s="404">
        <v>5.0000000000000001E-4</v>
      </c>
      <c r="G22" s="322"/>
      <c r="H22" s="353">
        <f t="shared" si="59"/>
        <v>4.4751866260119864E-2</v>
      </c>
      <c r="I22" s="354"/>
      <c r="J22" s="355">
        <f t="shared" si="60"/>
        <v>4.4662657395226464E-2</v>
      </c>
      <c r="K22" s="356"/>
      <c r="L22" s="353">
        <f t="shared" si="61"/>
        <v>32.221343707286294</v>
      </c>
      <c r="M22" s="357">
        <f t="shared" si="62"/>
        <v>32.157113324563049</v>
      </c>
      <c r="N22" s="322"/>
      <c r="O22" s="353">
        <f t="shared" si="75"/>
        <v>1.0414257175901588E-2</v>
      </c>
      <c r="P22" s="354"/>
      <c r="Q22" s="355">
        <f t="shared" si="76"/>
        <v>1.0175718849840256E-2</v>
      </c>
      <c r="R22" s="356"/>
      <c r="S22" s="353">
        <f t="shared" si="77"/>
        <v>549.87277888760389</v>
      </c>
      <c r="T22" s="357">
        <f t="shared" si="78"/>
        <v>537.27795527156547</v>
      </c>
      <c r="U22" s="322"/>
      <c r="V22" s="353">
        <f t="shared" si="79"/>
        <v>8.2246872042897705E-3</v>
      </c>
      <c r="W22" s="354"/>
      <c r="X22" s="355">
        <f t="shared" si="80"/>
        <v>7.9919188122533347E-3</v>
      </c>
      <c r="Y22" s="356"/>
      <c r="Z22" s="353">
        <f t="shared" si="81"/>
        <v>325.69761328987494</v>
      </c>
      <c r="AA22" s="357">
        <f t="shared" si="63"/>
        <v>316.47998496523206</v>
      </c>
      <c r="AB22" s="322"/>
      <c r="AC22" s="353">
        <f t="shared" si="82"/>
        <v>1.2129113657869837E-2</v>
      </c>
      <c r="AD22" s="354"/>
      <c r="AE22" s="355">
        <f t="shared" si="83"/>
        <v>1.1895790264987783E-2</v>
      </c>
      <c r="AF22" s="356"/>
      <c r="AG22" s="353">
        <f t="shared" si="84"/>
        <v>960.62580170329113</v>
      </c>
      <c r="AH22" s="357">
        <f t="shared" si="64"/>
        <v>942.14658898703249</v>
      </c>
      <c r="AI22" s="322"/>
      <c r="AJ22" s="353"/>
      <c r="AK22" s="355">
        <f t="shared" si="97"/>
        <v>9.9664164361912277E-3</v>
      </c>
      <c r="AL22" s="355"/>
      <c r="AM22" s="357">
        <f t="shared" si="97"/>
        <v>9.8852603706972644E-3</v>
      </c>
      <c r="AN22" s="353">
        <f t="shared" si="65"/>
        <v>131.5566969577242</v>
      </c>
      <c r="AO22" s="357">
        <f t="shared" si="66"/>
        <v>130.48543689320388</v>
      </c>
      <c r="AP22" s="322"/>
      <c r="AQ22" s="353">
        <f t="shared" si="85"/>
        <v>9.4648301966144474E-3</v>
      </c>
      <c r="AR22" s="354"/>
      <c r="AS22" s="355">
        <f t="shared" si="86"/>
        <v>9.2318173275700056E-3</v>
      </c>
      <c r="AT22" s="356"/>
      <c r="AU22" s="353">
        <f t="shared" si="67"/>
        <v>749.61455157186424</v>
      </c>
      <c r="AV22" s="357">
        <f t="shared" si="68"/>
        <v>731.15993234354448</v>
      </c>
      <c r="AW22" s="322"/>
      <c r="AX22" s="353">
        <f t="shared" si="87"/>
        <v>1.0086741667542845E-2</v>
      </c>
      <c r="AY22" s="354"/>
      <c r="AZ22" s="355">
        <f t="shared" si="88"/>
        <v>9.7810561924450284E-3</v>
      </c>
      <c r="BA22" s="356"/>
      <c r="BB22" s="353">
        <f t="shared" si="69"/>
        <v>133.14499001156557</v>
      </c>
      <c r="BC22" s="357">
        <f t="shared" si="70"/>
        <v>129.10994174027437</v>
      </c>
      <c r="BD22" s="322"/>
      <c r="BE22" s="353">
        <f t="shared" si="89"/>
        <v>8.9753969088423938E-3</v>
      </c>
      <c r="BF22" s="354"/>
      <c r="BG22" s="355">
        <f t="shared" si="90"/>
        <v>8.6628453298252198E-3</v>
      </c>
      <c r="BH22" s="356"/>
      <c r="BI22" s="353">
        <f t="shared" si="91"/>
        <v>118.4752391967196</v>
      </c>
      <c r="BJ22" s="357">
        <f t="shared" si="92"/>
        <v>114.3495583536929</v>
      </c>
      <c r="BK22" s="322"/>
      <c r="BL22" s="353">
        <f t="shared" si="93"/>
        <v>1.4042021920597706E-2</v>
      </c>
      <c r="BM22" s="354"/>
      <c r="BN22" s="355">
        <f t="shared" si="94"/>
        <v>1.3572513192772194E-2</v>
      </c>
      <c r="BO22" s="356"/>
      <c r="BP22" s="353">
        <f t="shared" si="71"/>
        <v>1112.1281361113383</v>
      </c>
      <c r="BQ22" s="357">
        <f t="shared" si="72"/>
        <v>1074.9430448675578</v>
      </c>
      <c r="BR22" s="322"/>
      <c r="BS22" s="353">
        <f t="shared" si="95"/>
        <v>1.0414257175901588E-2</v>
      </c>
      <c r="BT22" s="354"/>
      <c r="BU22" s="355">
        <f t="shared" si="96"/>
        <v>1.0175718849840256E-2</v>
      </c>
      <c r="BV22" s="356"/>
      <c r="BW22" s="353">
        <f t="shared" si="73"/>
        <v>171.83524340237619</v>
      </c>
      <c r="BX22" s="357">
        <f t="shared" si="74"/>
        <v>167.89936102236422</v>
      </c>
      <c r="BY22" s="322"/>
      <c r="BZ22" s="322"/>
      <c r="CA22" s="322"/>
    </row>
    <row r="23" spans="1:79">
      <c r="A23" s="342" t="s">
        <v>476</v>
      </c>
      <c r="B23" s="303" t="s">
        <v>477</v>
      </c>
      <c r="C23" s="403">
        <v>7.3000000000000001E-3</v>
      </c>
      <c r="D23" s="403">
        <v>5.5999999999999999E-3</v>
      </c>
      <c r="E23" s="403">
        <v>7.3000000000000001E-3</v>
      </c>
      <c r="F23" s="404">
        <v>5.5999999999999999E-3</v>
      </c>
      <c r="G23" s="322"/>
      <c r="H23" s="353">
        <f t="shared" si="59"/>
        <v>0.46669803385553571</v>
      </c>
      <c r="I23" s="354"/>
      <c r="J23" s="355">
        <f t="shared" si="60"/>
        <v>0.46576771283593316</v>
      </c>
      <c r="K23" s="356"/>
      <c r="L23" s="353">
        <f t="shared" si="61"/>
        <v>336.02258437598567</v>
      </c>
      <c r="M23" s="357">
        <f t="shared" si="62"/>
        <v>335.35275324187182</v>
      </c>
      <c r="N23" s="322"/>
      <c r="O23" s="353">
        <f t="shared" si="75"/>
        <v>0.10860582483440227</v>
      </c>
      <c r="P23" s="354"/>
      <c r="Q23" s="355">
        <f t="shared" si="76"/>
        <v>0.10611821086261981</v>
      </c>
      <c r="R23" s="356"/>
      <c r="S23" s="353">
        <f t="shared" si="77"/>
        <v>5734.38755125644</v>
      </c>
      <c r="T23" s="357">
        <f t="shared" si="78"/>
        <v>5603.0415335463258</v>
      </c>
      <c r="U23" s="322"/>
      <c r="V23" s="353">
        <f t="shared" si="79"/>
        <v>8.5771737987593327E-2</v>
      </c>
      <c r="W23" s="354"/>
      <c r="X23" s="355">
        <f t="shared" si="80"/>
        <v>8.3344296184927641E-2</v>
      </c>
      <c r="Y23" s="356"/>
      <c r="Z23" s="353">
        <f t="shared" si="81"/>
        <v>3396.5608243086958</v>
      </c>
      <c r="AA23" s="357">
        <f t="shared" si="63"/>
        <v>3300.4341289231347</v>
      </c>
      <c r="AB23" s="322"/>
      <c r="AC23" s="353">
        <f t="shared" si="82"/>
        <v>0.12648932814635688</v>
      </c>
      <c r="AD23" s="354"/>
      <c r="AE23" s="355">
        <f t="shared" si="83"/>
        <v>0.12405609847772975</v>
      </c>
      <c r="AF23" s="356"/>
      <c r="AG23" s="353">
        <f t="shared" si="84"/>
        <v>10017.954789191464</v>
      </c>
      <c r="AH23" s="357">
        <f t="shared" si="64"/>
        <v>9825.2429994361955</v>
      </c>
      <c r="AI23" s="322"/>
      <c r="AJ23" s="353"/>
      <c r="AK23" s="355">
        <f t="shared" si="97"/>
        <v>0.11162386408534175</v>
      </c>
      <c r="AL23" s="355"/>
      <c r="AM23" s="357">
        <f t="shared" si="97"/>
        <v>0.11071491615180935</v>
      </c>
      <c r="AN23" s="353">
        <f t="shared" si="65"/>
        <v>1473.4350059265112</v>
      </c>
      <c r="AO23" s="357">
        <f t="shared" si="66"/>
        <v>1461.4368932038835</v>
      </c>
      <c r="AP23" s="322"/>
      <c r="AQ23" s="353">
        <f t="shared" si="85"/>
        <v>9.8704657764693518E-2</v>
      </c>
      <c r="AR23" s="354"/>
      <c r="AS23" s="355">
        <f t="shared" si="86"/>
        <v>9.6274666416087201E-2</v>
      </c>
      <c r="AT23" s="356"/>
      <c r="AU23" s="353">
        <f t="shared" si="67"/>
        <v>7817.4088949637262</v>
      </c>
      <c r="AV23" s="357">
        <f t="shared" si="68"/>
        <v>7624.953580154106</v>
      </c>
      <c r="AW23" s="322"/>
      <c r="AX23" s="353">
        <f t="shared" si="87"/>
        <v>0.10519030596151824</v>
      </c>
      <c r="AY23" s="354"/>
      <c r="AZ23" s="355">
        <f t="shared" si="88"/>
        <v>0.10200244314978386</v>
      </c>
      <c r="BA23" s="356"/>
      <c r="BB23" s="353">
        <f t="shared" si="69"/>
        <v>1388.5120386920407</v>
      </c>
      <c r="BC23" s="357">
        <f t="shared" si="70"/>
        <v>1346.4322495771471</v>
      </c>
      <c r="BD23" s="322"/>
      <c r="BE23" s="353">
        <f t="shared" si="89"/>
        <v>9.3600567763642104E-2</v>
      </c>
      <c r="BF23" s="354"/>
      <c r="BG23" s="355">
        <f t="shared" si="90"/>
        <v>9.034110129674873E-2</v>
      </c>
      <c r="BH23" s="356"/>
      <c r="BI23" s="353">
        <f>$C$57*$BE23</f>
        <v>1235.5274944800758</v>
      </c>
      <c r="BJ23" s="357">
        <f>$C$57*$BG23</f>
        <v>1192.5025371170832</v>
      </c>
      <c r="BK23" s="322"/>
      <c r="BL23" s="353">
        <f t="shared" si="93"/>
        <v>0.14643822860051892</v>
      </c>
      <c r="BM23" s="354"/>
      <c r="BN23" s="355">
        <f t="shared" si="94"/>
        <v>0.14154192329605289</v>
      </c>
      <c r="BO23" s="356"/>
      <c r="BP23" s="353">
        <f t="shared" si="71"/>
        <v>11597.907705161098</v>
      </c>
      <c r="BQ23" s="357">
        <f t="shared" si="72"/>
        <v>11210.120325047388</v>
      </c>
      <c r="BR23" s="322"/>
      <c r="BS23" s="353">
        <f t="shared" si="95"/>
        <v>0.10860582483440227</v>
      </c>
      <c r="BT23" s="354"/>
      <c r="BU23" s="355">
        <f t="shared" si="96"/>
        <v>0.10611821086261981</v>
      </c>
      <c r="BV23" s="356"/>
      <c r="BW23" s="353">
        <f t="shared" si="73"/>
        <v>1791.9961097676376</v>
      </c>
      <c r="BX23" s="357">
        <f t="shared" si="74"/>
        <v>1750.9504792332268</v>
      </c>
      <c r="BY23" s="322"/>
      <c r="BZ23" s="322"/>
      <c r="CA23" s="322"/>
    </row>
    <row r="24" spans="1:79">
      <c r="A24" s="342" t="s">
        <v>478</v>
      </c>
      <c r="B24" s="303" t="s">
        <v>479</v>
      </c>
      <c r="C24" s="403">
        <v>1.5299999999999999E-2</v>
      </c>
      <c r="D24" s="401" t="s">
        <v>467</v>
      </c>
      <c r="E24" s="403">
        <v>1.5299999999999999E-2</v>
      </c>
      <c r="F24" s="402" t="s">
        <v>467</v>
      </c>
      <c r="G24" s="322"/>
      <c r="H24" s="353">
        <f t="shared" si="59"/>
        <v>0.97814793397119126</v>
      </c>
      <c r="I24" s="354"/>
      <c r="J24" s="355">
        <f t="shared" si="60"/>
        <v>0.97619808306709266</v>
      </c>
      <c r="K24" s="356"/>
      <c r="L24" s="353">
        <f t="shared" si="61"/>
        <v>704.26651245925757</v>
      </c>
      <c r="M24" s="357">
        <f t="shared" si="62"/>
        <v>702.86261980830659</v>
      </c>
      <c r="N24" s="322"/>
      <c r="O24" s="353">
        <f t="shared" si="75"/>
        <v>0.22762590684470613</v>
      </c>
      <c r="P24" s="354"/>
      <c r="Q24" s="355">
        <f t="shared" si="76"/>
        <v>0.22241214057507988</v>
      </c>
      <c r="R24" s="356"/>
      <c r="S24" s="353">
        <f t="shared" si="77"/>
        <v>12018.647881400484</v>
      </c>
      <c r="T24" s="357">
        <f t="shared" si="78"/>
        <v>11743.361022364217</v>
      </c>
      <c r="U24" s="322"/>
      <c r="V24" s="353">
        <f t="shared" si="79"/>
        <v>0.17976816317947641</v>
      </c>
      <c r="W24" s="354"/>
      <c r="X24" s="355">
        <f t="shared" si="80"/>
        <v>0.17468051118210862</v>
      </c>
      <c r="Y24" s="356"/>
      <c r="Z24" s="353">
        <f t="shared" si="81"/>
        <v>7118.8192619072661</v>
      </c>
      <c r="AA24" s="357">
        <f t="shared" si="63"/>
        <v>6917.3482428115012</v>
      </c>
      <c r="AB24" s="322"/>
      <c r="AC24" s="353">
        <f t="shared" si="82"/>
        <v>0.26510776995058355</v>
      </c>
      <c r="AD24" s="354"/>
      <c r="AE24" s="355">
        <f t="shared" si="83"/>
        <v>0.26000798722044727</v>
      </c>
      <c r="AF24" s="356"/>
      <c r="AG24" s="353">
        <f t="shared" si="84"/>
        <v>20996.535380086218</v>
      </c>
      <c r="AH24" s="357">
        <f t="shared" si="64"/>
        <v>20592.632587859425</v>
      </c>
      <c r="AI24" s="322"/>
      <c r="AJ24" s="353"/>
      <c r="AK24" s="355"/>
      <c r="AL24" s="355"/>
      <c r="AM24" s="357"/>
      <c r="AN24" s="353">
        <f t="shared" si="65"/>
        <v>0</v>
      </c>
      <c r="AO24" s="357">
        <f t="shared" si="66"/>
        <v>0</v>
      </c>
      <c r="AP24" s="322"/>
      <c r="AQ24" s="353">
        <f t="shared" si="85"/>
        <v>0.20687414572600146</v>
      </c>
      <c r="AR24" s="354"/>
      <c r="AS24" s="355">
        <f t="shared" si="86"/>
        <v>0.20178115015974438</v>
      </c>
      <c r="AT24" s="356"/>
      <c r="AU24" s="353">
        <f t="shared" si="67"/>
        <v>16384.432341499316</v>
      </c>
      <c r="AV24" s="357">
        <f t="shared" si="68"/>
        <v>15981.067092651754</v>
      </c>
      <c r="AW24" s="322"/>
      <c r="AX24" s="353">
        <f t="shared" si="87"/>
        <v>0.22046735359057931</v>
      </c>
      <c r="AY24" s="354"/>
      <c r="AZ24" s="355">
        <f t="shared" si="88"/>
        <v>0.21378594249201274</v>
      </c>
      <c r="BA24" s="356"/>
      <c r="BB24" s="353">
        <f t="shared" si="69"/>
        <v>2910.1690673956468</v>
      </c>
      <c r="BC24" s="357">
        <f t="shared" si="70"/>
        <v>2821.974440894568</v>
      </c>
      <c r="BD24" s="322"/>
      <c r="BE24" s="353">
        <f t="shared" si="89"/>
        <v>0.19617653243612659</v>
      </c>
      <c r="BF24" s="354"/>
      <c r="BG24" s="355">
        <f t="shared" si="90"/>
        <v>0.18934504792332266</v>
      </c>
      <c r="BH24" s="356"/>
      <c r="BI24" s="353">
        <f t="shared" si="91"/>
        <v>2589.5302281568711</v>
      </c>
      <c r="BJ24" s="357">
        <f t="shared" si="92"/>
        <v>2499.3546325878592</v>
      </c>
      <c r="BK24" s="322"/>
      <c r="BL24" s="353">
        <f t="shared" si="93"/>
        <v>0.30691847912163556</v>
      </c>
      <c r="BM24" s="354"/>
      <c r="BN24" s="355">
        <f t="shared" si="94"/>
        <v>0.29665635978487798</v>
      </c>
      <c r="BO24" s="356"/>
      <c r="BP24" s="353">
        <f t="shared" si="71"/>
        <v>24307.943546433537</v>
      </c>
      <c r="BQ24" s="357">
        <f t="shared" si="72"/>
        <v>23495.183694962336</v>
      </c>
      <c r="BR24" s="322"/>
      <c r="BS24" s="353">
        <f t="shared" si="95"/>
        <v>0.22762590684470613</v>
      </c>
      <c r="BT24" s="354"/>
      <c r="BU24" s="355">
        <f t="shared" si="96"/>
        <v>0.22241214057507988</v>
      </c>
      <c r="BV24" s="356"/>
      <c r="BW24" s="353">
        <f t="shared" si="73"/>
        <v>3755.827462937651</v>
      </c>
      <c r="BX24" s="357">
        <f t="shared" si="74"/>
        <v>3669.8003194888179</v>
      </c>
      <c r="BY24" s="322"/>
      <c r="BZ24" s="322"/>
      <c r="CA24" s="322"/>
    </row>
    <row r="25" spans="1:79">
      <c r="A25" s="342" t="s">
        <v>480</v>
      </c>
      <c r="B25" s="303" t="s">
        <v>481</v>
      </c>
      <c r="C25" s="403">
        <v>1E-3</v>
      </c>
      <c r="D25" s="403">
        <v>6.9999999999999999E-4</v>
      </c>
      <c r="E25" s="403">
        <v>1E-3</v>
      </c>
      <c r="F25" s="404">
        <v>6.9999999999999999E-4</v>
      </c>
      <c r="G25" s="322"/>
      <c r="H25" s="353">
        <f t="shared" si="59"/>
        <v>6.3931237514456951E-2</v>
      </c>
      <c r="I25" s="354"/>
      <c r="J25" s="355">
        <f t="shared" si="60"/>
        <v>6.3803796278894945E-2</v>
      </c>
      <c r="K25" s="356"/>
      <c r="L25" s="353">
        <f t="shared" si="61"/>
        <v>46.030491010408994</v>
      </c>
      <c r="M25" s="357">
        <f t="shared" si="62"/>
        <v>45.938733320804353</v>
      </c>
      <c r="N25" s="322"/>
      <c r="O25" s="353">
        <f t="shared" si="75"/>
        <v>1.4877510251287984E-2</v>
      </c>
      <c r="P25" s="354"/>
      <c r="Q25" s="355">
        <f t="shared" si="76"/>
        <v>1.4536741214057508E-2</v>
      </c>
      <c r="R25" s="356"/>
      <c r="S25" s="353">
        <f t="shared" si="77"/>
        <v>785.5325412680055</v>
      </c>
      <c r="T25" s="357">
        <f t="shared" si="78"/>
        <v>767.53993610223642</v>
      </c>
      <c r="U25" s="322"/>
      <c r="V25" s="353">
        <f t="shared" si="79"/>
        <v>1.1749553148985386E-2</v>
      </c>
      <c r="W25" s="354"/>
      <c r="X25" s="355">
        <f t="shared" si="80"/>
        <v>1.1417026874647622E-2</v>
      </c>
      <c r="Y25" s="356"/>
      <c r="Z25" s="353">
        <f t="shared" si="81"/>
        <v>465.28230469982128</v>
      </c>
      <c r="AA25" s="357">
        <f t="shared" si="63"/>
        <v>452.11426423604581</v>
      </c>
      <c r="AB25" s="322"/>
      <c r="AC25" s="353">
        <f t="shared" si="82"/>
        <v>1.732730522552834E-2</v>
      </c>
      <c r="AD25" s="354"/>
      <c r="AE25" s="355">
        <f t="shared" si="83"/>
        <v>1.699398609283969E-2</v>
      </c>
      <c r="AF25" s="356"/>
      <c r="AG25" s="353">
        <f t="shared" si="84"/>
        <v>1372.3225738618446</v>
      </c>
      <c r="AH25" s="357">
        <f t="shared" si="64"/>
        <v>1345.9236985529035</v>
      </c>
      <c r="AI25" s="322"/>
      <c r="AJ25" s="353"/>
      <c r="AK25" s="355">
        <f t="shared" si="97"/>
        <v>1.3952983010667719E-2</v>
      </c>
      <c r="AL25" s="355"/>
      <c r="AM25" s="357">
        <f t="shared" si="97"/>
        <v>1.3839364518976169E-2</v>
      </c>
      <c r="AN25" s="353">
        <f t="shared" si="65"/>
        <v>184.1793757408139</v>
      </c>
      <c r="AO25" s="357">
        <f t="shared" si="66"/>
        <v>182.67961165048544</v>
      </c>
      <c r="AP25" s="322"/>
      <c r="AQ25" s="353">
        <f t="shared" si="85"/>
        <v>1.3521185995163497E-2</v>
      </c>
      <c r="AR25" s="354"/>
      <c r="AS25" s="355">
        <f t="shared" si="86"/>
        <v>1.318831046795715E-2</v>
      </c>
      <c r="AT25" s="356"/>
      <c r="AU25" s="353">
        <f t="shared" si="67"/>
        <v>1070.8779308169489</v>
      </c>
      <c r="AV25" s="357">
        <f t="shared" si="68"/>
        <v>1044.5141890622062</v>
      </c>
      <c r="AW25" s="322"/>
      <c r="AX25" s="353">
        <f t="shared" si="87"/>
        <v>1.4409630953632636E-2</v>
      </c>
      <c r="AY25" s="354"/>
      <c r="AZ25" s="355">
        <f t="shared" si="88"/>
        <v>1.3972937417778612E-2</v>
      </c>
      <c r="BA25" s="356"/>
      <c r="BB25" s="353">
        <f t="shared" si="69"/>
        <v>190.20712858795079</v>
      </c>
      <c r="BC25" s="357">
        <f t="shared" si="70"/>
        <v>184.44277391467767</v>
      </c>
      <c r="BD25" s="322"/>
      <c r="BE25" s="353">
        <f t="shared" si="89"/>
        <v>1.2821995584060563E-2</v>
      </c>
      <c r="BF25" s="354"/>
      <c r="BG25" s="355">
        <f t="shared" si="90"/>
        <v>1.2375493328321744E-2</v>
      </c>
      <c r="BH25" s="356"/>
      <c r="BI25" s="353">
        <f t="shared" si="91"/>
        <v>169.25034170959944</v>
      </c>
      <c r="BJ25" s="357">
        <f t="shared" si="92"/>
        <v>163.35651193384703</v>
      </c>
      <c r="BK25" s="322"/>
      <c r="BL25" s="353">
        <f t="shared" si="93"/>
        <v>2.006003131513958E-2</v>
      </c>
      <c r="BM25" s="354"/>
      <c r="BN25" s="355">
        <f t="shared" si="94"/>
        <v>1.9389304561103136E-2</v>
      </c>
      <c r="BO25" s="356"/>
      <c r="BP25" s="353">
        <f t="shared" si="71"/>
        <v>1588.7544801590548</v>
      </c>
      <c r="BQ25" s="357">
        <f t="shared" si="72"/>
        <v>1535.6329212393684</v>
      </c>
      <c r="BR25" s="322"/>
      <c r="BS25" s="353">
        <f t="shared" si="95"/>
        <v>1.4877510251287984E-2</v>
      </c>
      <c r="BT25" s="354"/>
      <c r="BU25" s="355">
        <f t="shared" si="96"/>
        <v>1.4536741214057508E-2</v>
      </c>
      <c r="BV25" s="356"/>
      <c r="BW25" s="353">
        <f t="shared" si="73"/>
        <v>245.47891914625174</v>
      </c>
      <c r="BX25" s="357">
        <f t="shared" si="74"/>
        <v>239.85623003194888</v>
      </c>
      <c r="BY25" s="322"/>
      <c r="BZ25" s="322"/>
      <c r="CA25" s="322"/>
    </row>
    <row r="26" spans="1:79">
      <c r="A26" s="342" t="s">
        <v>482</v>
      </c>
      <c r="B26" s="303" t="s">
        <v>483</v>
      </c>
      <c r="C26" s="403">
        <v>0.1061</v>
      </c>
      <c r="D26" s="403">
        <v>8.0600000000000005E-2</v>
      </c>
      <c r="E26" s="403">
        <v>0.1061</v>
      </c>
      <c r="F26" s="404">
        <v>8.0600000000000005E-2</v>
      </c>
      <c r="G26" s="322"/>
      <c r="H26" s="353">
        <f t="shared" si="59"/>
        <v>6.783104300283882</v>
      </c>
      <c r="I26" s="354"/>
      <c r="J26" s="355">
        <f t="shared" si="60"/>
        <v>6.769582785190754</v>
      </c>
      <c r="K26" s="356"/>
      <c r="L26" s="353">
        <f t="shared" si="61"/>
        <v>4883.8350962043942</v>
      </c>
      <c r="M26" s="357">
        <f t="shared" si="62"/>
        <v>4874.0996053373419</v>
      </c>
      <c r="N26" s="322"/>
      <c r="O26" s="353">
        <f t="shared" si="75"/>
        <v>1.5785038376616549</v>
      </c>
      <c r="P26" s="354"/>
      <c r="Q26" s="355">
        <f t="shared" si="76"/>
        <v>1.5423482428115016</v>
      </c>
      <c r="R26" s="356"/>
      <c r="S26" s="353">
        <f t="shared" si="77"/>
        <v>83345.002628535382</v>
      </c>
      <c r="T26" s="357">
        <f t="shared" si="78"/>
        <v>81435.987220447292</v>
      </c>
      <c r="U26" s="322"/>
      <c r="V26" s="353">
        <f t="shared" si="79"/>
        <v>1.2466275891073495</v>
      </c>
      <c r="W26" s="354"/>
      <c r="X26" s="355">
        <f t="shared" si="80"/>
        <v>1.2113465514001127</v>
      </c>
      <c r="Y26" s="356"/>
      <c r="Z26" s="353">
        <f t="shared" si="81"/>
        <v>49366.45252865104</v>
      </c>
      <c r="AA26" s="357">
        <f t="shared" si="63"/>
        <v>47969.323435444465</v>
      </c>
      <c r="AB26" s="322"/>
      <c r="AC26" s="353">
        <f t="shared" si="82"/>
        <v>1.8384270844285566</v>
      </c>
      <c r="AD26" s="354"/>
      <c r="AE26" s="355">
        <f t="shared" si="83"/>
        <v>1.8030619244502912</v>
      </c>
      <c r="AF26" s="356"/>
      <c r="AG26" s="353">
        <f t="shared" si="84"/>
        <v>145603.42508674168</v>
      </c>
      <c r="AH26" s="357">
        <f t="shared" si="64"/>
        <v>142802.50441646305</v>
      </c>
      <c r="AI26" s="322"/>
      <c r="AJ26" s="353"/>
      <c r="AK26" s="355">
        <f t="shared" si="97"/>
        <v>1.6065863295140259</v>
      </c>
      <c r="AL26" s="355"/>
      <c r="AM26" s="357">
        <f t="shared" si="97"/>
        <v>1.593503971756399</v>
      </c>
      <c r="AN26" s="353">
        <f t="shared" si="65"/>
        <v>21206.939549585142</v>
      </c>
      <c r="AO26" s="357">
        <f t="shared" si="66"/>
        <v>21034.252427184467</v>
      </c>
      <c r="AP26" s="322"/>
      <c r="AQ26" s="353">
        <f t="shared" si="85"/>
        <v>1.4345978340868468</v>
      </c>
      <c r="AR26" s="354"/>
      <c r="AS26" s="355">
        <f t="shared" si="86"/>
        <v>1.3992797406502535</v>
      </c>
      <c r="AT26" s="356"/>
      <c r="AU26" s="353">
        <f t="shared" si="67"/>
        <v>113620.14845967827</v>
      </c>
      <c r="AV26" s="357">
        <f t="shared" si="68"/>
        <v>110822.95545950008</v>
      </c>
      <c r="AW26" s="322"/>
      <c r="AX26" s="353">
        <f t="shared" si="87"/>
        <v>1.5288618441804227</v>
      </c>
      <c r="AY26" s="354"/>
      <c r="AZ26" s="355">
        <f t="shared" si="88"/>
        <v>1.4825286600263108</v>
      </c>
      <c r="BA26" s="356"/>
      <c r="BB26" s="353">
        <f t="shared" si="69"/>
        <v>20180.976343181581</v>
      </c>
      <c r="BC26" s="357">
        <f t="shared" si="70"/>
        <v>19569.378312347304</v>
      </c>
      <c r="BD26" s="322"/>
      <c r="BE26" s="353">
        <f t="shared" si="89"/>
        <v>1.3604137314688256</v>
      </c>
      <c r="BF26" s="354"/>
      <c r="BG26" s="355">
        <f t="shared" si="90"/>
        <v>1.313039842134937</v>
      </c>
      <c r="BH26" s="356"/>
      <c r="BI26" s="353">
        <f t="shared" si="91"/>
        <v>17957.461255388498</v>
      </c>
      <c r="BJ26" s="357">
        <f t="shared" si="92"/>
        <v>17332.125916181169</v>
      </c>
      <c r="BK26" s="322"/>
      <c r="BL26" s="353">
        <f t="shared" si="93"/>
        <v>2.1283693225363094</v>
      </c>
      <c r="BM26" s="354"/>
      <c r="BN26" s="355">
        <f t="shared" si="94"/>
        <v>2.0572052139330426</v>
      </c>
      <c r="BO26" s="356"/>
      <c r="BP26" s="353">
        <f t="shared" si="71"/>
        <v>168566.85034487571</v>
      </c>
      <c r="BQ26" s="357">
        <f t="shared" si="72"/>
        <v>162930.65294349697</v>
      </c>
      <c r="BR26" s="322"/>
      <c r="BS26" s="353">
        <f t="shared" si="95"/>
        <v>1.5785038376616549</v>
      </c>
      <c r="BT26" s="354"/>
      <c r="BU26" s="355">
        <f t="shared" si="96"/>
        <v>1.5423482428115016</v>
      </c>
      <c r="BV26" s="356"/>
      <c r="BW26" s="353">
        <f t="shared" si="73"/>
        <v>26045.313321417307</v>
      </c>
      <c r="BX26" s="357">
        <f t="shared" si="74"/>
        <v>25448.746006389778</v>
      </c>
      <c r="BY26" s="322"/>
      <c r="BZ26" s="322"/>
      <c r="CA26" s="322"/>
    </row>
    <row r="27" spans="1:79">
      <c r="A27" s="342" t="s">
        <v>484</v>
      </c>
      <c r="B27" s="303" t="s">
        <v>485</v>
      </c>
      <c r="C27" s="403">
        <v>2.9999999999999997E-4</v>
      </c>
      <c r="D27" s="403">
        <v>2.9999999999999997E-4</v>
      </c>
      <c r="E27" s="403">
        <v>2.9999999999999997E-4</v>
      </c>
      <c r="F27" s="404">
        <v>2.9999999999999997E-4</v>
      </c>
      <c r="G27" s="322"/>
      <c r="H27" s="353">
        <f t="shared" si="59"/>
        <v>1.9179371254337083E-2</v>
      </c>
      <c r="I27" s="354"/>
      <c r="J27" s="355">
        <f t="shared" si="60"/>
        <v>1.9141138883668484E-2</v>
      </c>
      <c r="K27" s="356"/>
      <c r="L27" s="353">
        <f t="shared" si="61"/>
        <v>13.809147303122698</v>
      </c>
      <c r="M27" s="357">
        <f t="shared" si="62"/>
        <v>13.781619996241306</v>
      </c>
      <c r="N27" s="322"/>
      <c r="O27" s="353">
        <f t="shared" si="75"/>
        <v>4.4632530753863945E-3</v>
      </c>
      <c r="P27" s="354"/>
      <c r="Q27" s="355">
        <f t="shared" si="76"/>
        <v>4.3610223642172518E-3</v>
      </c>
      <c r="R27" s="356"/>
      <c r="S27" s="353">
        <f>$C$50*$O27</f>
        <v>235.65976238040165</v>
      </c>
      <c r="T27" s="357">
        <f>$C$50*$Q27</f>
        <v>230.26198083067089</v>
      </c>
      <c r="U27" s="322"/>
      <c r="V27" s="353">
        <f t="shared" si="79"/>
        <v>3.5248659446956154E-3</v>
      </c>
      <c r="W27" s="354"/>
      <c r="X27" s="355">
        <f t="shared" si="80"/>
        <v>3.4251080623942864E-3</v>
      </c>
      <c r="Y27" s="356"/>
      <c r="Z27" s="353">
        <f t="shared" si="81"/>
        <v>139.58469140994637</v>
      </c>
      <c r="AA27" s="357">
        <f t="shared" si="63"/>
        <v>135.63427927081375</v>
      </c>
      <c r="AB27" s="322"/>
      <c r="AC27" s="353">
        <f t="shared" si="82"/>
        <v>5.1981915676585014E-3</v>
      </c>
      <c r="AD27" s="354"/>
      <c r="AE27" s="355">
        <f t="shared" si="83"/>
        <v>5.0981958278519066E-3</v>
      </c>
      <c r="AF27" s="356"/>
      <c r="AG27" s="353">
        <f t="shared" si="84"/>
        <v>411.6967721585533</v>
      </c>
      <c r="AH27" s="357">
        <f t="shared" si="64"/>
        <v>403.777109565871</v>
      </c>
      <c r="AI27" s="322"/>
      <c r="AJ27" s="353"/>
      <c r="AK27" s="355">
        <f t="shared" si="97"/>
        <v>5.9798498617147358E-3</v>
      </c>
      <c r="AL27" s="355"/>
      <c r="AM27" s="357">
        <f t="shared" si="97"/>
        <v>5.931156222418358E-3</v>
      </c>
      <c r="AN27" s="353">
        <f t="shared" si="65"/>
        <v>78.934018174634517</v>
      </c>
      <c r="AO27" s="357">
        <f t="shared" si="66"/>
        <v>78.291262135922324</v>
      </c>
      <c r="AP27" s="322"/>
      <c r="AQ27" s="353">
        <f t="shared" si="85"/>
        <v>4.0563557985490483E-3</v>
      </c>
      <c r="AR27" s="354"/>
      <c r="AS27" s="355">
        <f t="shared" si="86"/>
        <v>3.9564931403871448E-3</v>
      </c>
      <c r="AT27" s="356"/>
      <c r="AU27" s="353">
        <f t="shared" si="67"/>
        <v>321.26337924508465</v>
      </c>
      <c r="AV27" s="357">
        <f t="shared" si="68"/>
        <v>313.35425671866187</v>
      </c>
      <c r="AW27" s="322"/>
      <c r="AX27" s="353">
        <f t="shared" si="87"/>
        <v>4.3228892860897906E-3</v>
      </c>
      <c r="AY27" s="354"/>
      <c r="AZ27" s="355">
        <f t="shared" si="88"/>
        <v>4.1918812253335831E-3</v>
      </c>
      <c r="BA27" s="356"/>
      <c r="BB27" s="353">
        <f t="shared" si="69"/>
        <v>57.062138576385237</v>
      </c>
      <c r="BC27" s="357">
        <f t="shared" si="70"/>
        <v>55.3328321744033</v>
      </c>
      <c r="BD27" s="322"/>
      <c r="BE27" s="353">
        <f t="shared" si="89"/>
        <v>3.8465986752181684E-3</v>
      </c>
      <c r="BF27" s="354"/>
      <c r="BG27" s="355">
        <f t="shared" si="90"/>
        <v>3.7126479984965228E-3</v>
      </c>
      <c r="BH27" s="356"/>
      <c r="BI27" s="353">
        <f t="shared" si="91"/>
        <v>50.775102512879826</v>
      </c>
      <c r="BJ27" s="357">
        <f t="shared" si="92"/>
        <v>49.006953580154104</v>
      </c>
      <c r="BK27" s="322"/>
      <c r="BL27" s="353">
        <f t="shared" si="93"/>
        <v>6.0180093945418735E-3</v>
      </c>
      <c r="BM27" s="354"/>
      <c r="BN27" s="355">
        <f t="shared" si="94"/>
        <v>5.8167913683309395E-3</v>
      </c>
      <c r="BO27" s="356"/>
      <c r="BP27" s="353">
        <f t="shared" si="71"/>
        <v>476.62634404771637</v>
      </c>
      <c r="BQ27" s="357">
        <f t="shared" si="72"/>
        <v>460.68987637181039</v>
      </c>
      <c r="BR27" s="322"/>
      <c r="BS27" s="353">
        <f t="shared" si="95"/>
        <v>4.4632530753863945E-3</v>
      </c>
      <c r="BT27" s="354"/>
      <c r="BU27" s="355">
        <f t="shared" si="96"/>
        <v>4.3610223642172518E-3</v>
      </c>
      <c r="BV27" s="356"/>
      <c r="BW27" s="353">
        <f t="shared" si="73"/>
        <v>73.643675743875505</v>
      </c>
      <c r="BX27" s="357">
        <f t="shared" si="74"/>
        <v>71.956869009584651</v>
      </c>
      <c r="BY27" s="322"/>
      <c r="BZ27" s="322"/>
      <c r="CA27" s="322"/>
    </row>
    <row r="28" spans="1:79" ht="14.5">
      <c r="A28" s="405" t="s">
        <v>14</v>
      </c>
      <c r="B28" s="406" t="s">
        <v>77</v>
      </c>
      <c r="C28" s="407">
        <f>SUM(C18:C27)</f>
        <v>0.47049999999999997</v>
      </c>
      <c r="D28" s="407">
        <f t="shared" ref="D28:F28" si="98">SUM(D18:D27)</f>
        <v>0.17750000000000002</v>
      </c>
      <c r="E28" s="407">
        <f t="shared" si="98"/>
        <v>0.47049999999999997</v>
      </c>
      <c r="F28" s="408">
        <f t="shared" si="98"/>
        <v>0.17750000000000002</v>
      </c>
      <c r="G28" s="322"/>
      <c r="H28" s="358">
        <f>SUM(H18:H27)</f>
        <v>30.079647250551993</v>
      </c>
      <c r="I28" s="359">
        <f t="shared" ref="I28:M28" si="99">SUM(I18:I27)</f>
        <v>0</v>
      </c>
      <c r="J28" s="359">
        <f t="shared" si="99"/>
        <v>30.019686149220071</v>
      </c>
      <c r="K28" s="360">
        <f t="shared" si="99"/>
        <v>0</v>
      </c>
      <c r="L28" s="358">
        <f>SUM(L18:L27)</f>
        <v>21657.346020397435</v>
      </c>
      <c r="M28" s="360">
        <f t="shared" si="99"/>
        <v>21614.174027438447</v>
      </c>
      <c r="N28" s="322"/>
      <c r="O28" s="358">
        <f>SUM(O18:O27)</f>
        <v>6.9998685732309953</v>
      </c>
      <c r="P28" s="359">
        <f t="shared" ref="P28:R28" si="100">SUM(P18:P27)</f>
        <v>0</v>
      </c>
      <c r="Q28" s="359">
        <f t="shared" si="100"/>
        <v>6.8395367412140589</v>
      </c>
      <c r="R28" s="360">
        <f t="shared" si="100"/>
        <v>0</v>
      </c>
      <c r="S28" s="358">
        <f>SUM(S18:S27)</f>
        <v>369593.06066659663</v>
      </c>
      <c r="T28" s="360">
        <f t="shared" ref="T28" si="101">SUM(T18:T27)</f>
        <v>361127.53993610223</v>
      </c>
      <c r="U28" s="322"/>
      <c r="V28" s="358">
        <f>SUM(V18:V27)</f>
        <v>5.5281647565976249</v>
      </c>
      <c r="W28" s="359">
        <f t="shared" ref="W28:Y28" si="102">SUM(W18:W27)</f>
        <v>0</v>
      </c>
      <c r="X28" s="359">
        <f t="shared" si="102"/>
        <v>5.3717111445217061</v>
      </c>
      <c r="Y28" s="360">
        <f t="shared" si="102"/>
        <v>0</v>
      </c>
      <c r="Z28" s="358">
        <f>SUM(Z18:Z27)</f>
        <v>218915.32436126596</v>
      </c>
      <c r="AA28" s="360">
        <f t="shared" ref="AA28" si="103">SUM(AA18:AA27)</f>
        <v>212719.76132305956</v>
      </c>
      <c r="AB28" s="322"/>
      <c r="AC28" s="358">
        <f>SUM(AC18:AC27)</f>
        <v>8.1524971086110813</v>
      </c>
      <c r="AD28" s="359">
        <f t="shared" ref="AD28:AF28" si="104">SUM(AD18:AD27)</f>
        <v>0</v>
      </c>
      <c r="AE28" s="359">
        <f t="shared" si="104"/>
        <v>7.9956704566810739</v>
      </c>
      <c r="AF28" s="360">
        <f t="shared" si="104"/>
        <v>0</v>
      </c>
      <c r="AG28" s="358">
        <f>SUM(AG18:AG27)</f>
        <v>645677.77100199775</v>
      </c>
      <c r="AH28" s="360">
        <f t="shared" ref="AH28" si="105">SUM(AH18:AH27)</f>
        <v>633257.10016914108</v>
      </c>
      <c r="AI28" s="322"/>
      <c r="AJ28" s="358">
        <f>SUM(AJ18:AJ27)</f>
        <v>0</v>
      </c>
      <c r="AK28" s="359">
        <f t="shared" ref="AK28:AM28" si="106">SUM(AK18:AK27)</f>
        <v>3.5380778348478858</v>
      </c>
      <c r="AL28" s="359">
        <f t="shared" si="106"/>
        <v>0</v>
      </c>
      <c r="AM28" s="360">
        <f t="shared" si="106"/>
        <v>3.5092674315975287</v>
      </c>
      <c r="AN28" s="358">
        <f>SUM(AN18:AN27)</f>
        <v>46702.627419992095</v>
      </c>
      <c r="AO28" s="360">
        <f t="shared" ref="AO28" si="107">SUM(AO18:AO27)</f>
        <v>46322.330097087375</v>
      </c>
      <c r="AP28" s="322"/>
      <c r="AQ28" s="358">
        <f>SUM(AQ18:AQ27)</f>
        <v>6.3617180107244238</v>
      </c>
      <c r="AR28" s="359">
        <f t="shared" ref="AR28:AT28" si="108">SUM(AR18:AR27)</f>
        <v>0</v>
      </c>
      <c r="AS28" s="359">
        <f t="shared" si="108"/>
        <v>6.2051000751738377</v>
      </c>
      <c r="AT28" s="360">
        <f t="shared" si="108"/>
        <v>0</v>
      </c>
      <c r="AU28" s="358">
        <f>SUM(AU18:AU27)</f>
        <v>503848.06644937443</v>
      </c>
      <c r="AV28" s="360">
        <f t="shared" ref="AV28" si="109">SUM(AV18:AV27)</f>
        <v>491443.92595376802</v>
      </c>
      <c r="AW28" s="322"/>
      <c r="AX28" s="358">
        <f>SUM(AX18:AX27)</f>
        <v>6.7797313636841547</v>
      </c>
      <c r="AY28" s="359">
        <f t="shared" ref="AY28:BA28" si="110">SUM(AY18:AY27)</f>
        <v>0</v>
      </c>
      <c r="AZ28" s="359">
        <f t="shared" si="110"/>
        <v>6.574267055064837</v>
      </c>
      <c r="BA28" s="360">
        <f t="shared" si="110"/>
        <v>0</v>
      </c>
      <c r="BB28" s="358">
        <f>SUM(BB18:BB27)</f>
        <v>89492.454000630853</v>
      </c>
      <c r="BC28" s="360">
        <f t="shared" ref="BC28" si="111">SUM(BC18:BC27)</f>
        <v>86780.325126855838</v>
      </c>
      <c r="BD28" s="322"/>
      <c r="BE28" s="358">
        <f>SUM(BE18:BE27)</f>
        <v>6.0327489223004935</v>
      </c>
      <c r="BF28" s="359">
        <f t="shared" ref="BF28:BH28" si="112">SUM(BF18:BF27)</f>
        <v>0</v>
      </c>
      <c r="BG28" s="359">
        <f t="shared" si="112"/>
        <v>5.8226696109753791</v>
      </c>
      <c r="BH28" s="360">
        <f t="shared" si="112"/>
        <v>0</v>
      </c>
      <c r="BI28" s="358">
        <f>SUM(BI18:BI27)</f>
        <v>79632.285774366537</v>
      </c>
      <c r="BJ28" s="360">
        <f t="shared" ref="BJ28" si="113">SUM(BJ18:BJ27)</f>
        <v>76859.23886487502</v>
      </c>
      <c r="BK28" s="322"/>
      <c r="BL28" s="358">
        <f>SUM(BL18:BL27)</f>
        <v>9.4382447337731694</v>
      </c>
      <c r="BM28" s="359">
        <f t="shared" ref="BM28:BO28" si="114">SUM(BM18:BM27)</f>
        <v>0</v>
      </c>
      <c r="BN28" s="359">
        <f t="shared" si="114"/>
        <v>9.122667795999023</v>
      </c>
      <c r="BO28" s="360">
        <f t="shared" si="114"/>
        <v>0</v>
      </c>
      <c r="BP28" s="358">
        <f>SUM(BP18:BP27)</f>
        <v>747508.98291483521</v>
      </c>
      <c r="BQ28" s="360">
        <f t="shared" ref="BQ28" si="115">SUM(BQ18:BQ27)</f>
        <v>722515.28944312257</v>
      </c>
      <c r="BR28" s="322"/>
      <c r="BS28" s="358">
        <f>SUM(BS18:BS27)</f>
        <v>6.9998685732309953</v>
      </c>
      <c r="BT28" s="359">
        <f t="shared" ref="BT28:BV28" si="116">SUM(BT18:BT27)</f>
        <v>0</v>
      </c>
      <c r="BU28" s="359">
        <f t="shared" si="116"/>
        <v>6.8395367412140589</v>
      </c>
      <c r="BV28" s="360">
        <f t="shared" si="116"/>
        <v>0</v>
      </c>
      <c r="BW28" s="358">
        <f>SUM(BW18:BW27)</f>
        <v>115497.83145831143</v>
      </c>
      <c r="BX28" s="360">
        <f t="shared" ref="BX28" si="117">SUM(BX18:BX27)</f>
        <v>112852.35623003196</v>
      </c>
      <c r="BY28" s="322"/>
      <c r="BZ28" s="322"/>
      <c r="CA28" s="322"/>
    </row>
    <row r="29" spans="1:79" ht="14.5">
      <c r="A29" s="597" t="s">
        <v>486</v>
      </c>
      <c r="B29" s="600"/>
      <c r="C29" s="600"/>
      <c r="D29" s="600"/>
      <c r="E29" s="600"/>
      <c r="F29" s="599"/>
      <c r="G29" s="322"/>
      <c r="H29" s="597"/>
      <c r="I29" s="598"/>
      <c r="J29" s="598"/>
      <c r="K29" s="599"/>
      <c r="L29" s="375"/>
      <c r="M29" s="376"/>
      <c r="N29" s="322"/>
      <c r="O29" s="597"/>
      <c r="P29" s="598"/>
      <c r="Q29" s="598"/>
      <c r="R29" s="599"/>
      <c r="S29" s="375"/>
      <c r="T29" s="376"/>
      <c r="U29" s="322"/>
      <c r="V29" s="597"/>
      <c r="W29" s="598"/>
      <c r="X29" s="598"/>
      <c r="Y29" s="599"/>
      <c r="Z29" s="375"/>
      <c r="AA29" s="376"/>
      <c r="AB29" s="322"/>
      <c r="AC29" s="597"/>
      <c r="AD29" s="598"/>
      <c r="AE29" s="598"/>
      <c r="AF29" s="599"/>
      <c r="AG29" s="375"/>
      <c r="AH29" s="376"/>
      <c r="AI29" s="322"/>
      <c r="AJ29" s="597"/>
      <c r="AK29" s="598"/>
      <c r="AL29" s="598"/>
      <c r="AM29" s="599"/>
      <c r="AN29" s="375"/>
      <c r="AO29" s="376"/>
      <c r="AP29" s="322"/>
      <c r="AQ29" s="597"/>
      <c r="AR29" s="598"/>
      <c r="AS29" s="598"/>
      <c r="AT29" s="599"/>
      <c r="AU29" s="375"/>
      <c r="AV29" s="376"/>
      <c r="AW29" s="322"/>
      <c r="AX29" s="597"/>
      <c r="AY29" s="598"/>
      <c r="AZ29" s="598"/>
      <c r="BA29" s="599"/>
      <c r="BB29" s="375"/>
      <c r="BC29" s="376"/>
      <c r="BD29" s="322"/>
      <c r="BE29" s="597"/>
      <c r="BF29" s="598"/>
      <c r="BG29" s="598"/>
      <c r="BH29" s="599"/>
      <c r="BI29" s="375"/>
      <c r="BJ29" s="376"/>
      <c r="BK29" s="322"/>
      <c r="BL29" s="597"/>
      <c r="BM29" s="598"/>
      <c r="BN29" s="598"/>
      <c r="BO29" s="599"/>
      <c r="BP29" s="375"/>
      <c r="BQ29" s="376"/>
      <c r="BR29" s="322"/>
      <c r="BS29" s="597"/>
      <c r="BT29" s="598"/>
      <c r="BU29" s="598"/>
      <c r="BV29" s="599"/>
      <c r="BW29" s="375"/>
      <c r="BX29" s="376"/>
      <c r="BY29" s="322"/>
      <c r="BZ29" s="322"/>
      <c r="CA29" s="322"/>
    </row>
    <row r="30" spans="1:79">
      <c r="A30" s="342" t="s">
        <v>487</v>
      </c>
      <c r="B30" s="303" t="s">
        <v>488</v>
      </c>
      <c r="C30" s="403">
        <v>4.5699999999999998E-2</v>
      </c>
      <c r="D30" s="403">
        <v>3.4700000000000002E-2</v>
      </c>
      <c r="E30" s="403">
        <v>4.5699999999999998E-2</v>
      </c>
      <c r="F30" s="404">
        <v>3.4700000000000002E-2</v>
      </c>
      <c r="G30" s="322"/>
      <c r="H30" s="353">
        <f t="shared" ref="H30:H34" si="118">H$42*C30</f>
        <v>2.9216575544106824</v>
      </c>
      <c r="I30" s="354"/>
      <c r="J30" s="355">
        <f t="shared" ref="J30:J34" si="119">J$42*E30</f>
        <v>2.915833489945499</v>
      </c>
      <c r="K30" s="356"/>
      <c r="L30" s="353">
        <f t="shared" ref="L30:L34" si="120">$C$48*H30</f>
        <v>2103.5934391756909</v>
      </c>
      <c r="M30" s="357">
        <f t="shared" ref="M30:M34" si="121">$C$48*J30</f>
        <v>2099.4001127607589</v>
      </c>
      <c r="N30" s="322"/>
      <c r="O30" s="353">
        <f t="shared" ref="O30:O34" si="122">O$42*$C30</f>
        <v>0.67990221848386079</v>
      </c>
      <c r="P30" s="354"/>
      <c r="Q30" s="355">
        <f t="shared" ref="Q30:Q34" si="123">Q$42*$E30</f>
        <v>0.66432907348242809</v>
      </c>
      <c r="R30" s="356"/>
      <c r="S30" s="353">
        <f t="shared" ref="S30:S34" si="124">$C$50*$O30</f>
        <v>35898.837135947848</v>
      </c>
      <c r="T30" s="357">
        <f t="shared" ref="T30:T34" si="125">$C$50*$Q30</f>
        <v>35076.5750798722</v>
      </c>
      <c r="U30" s="322"/>
      <c r="V30" s="353">
        <f t="shared" ref="V30:V34" si="126">V$42*$C30</f>
        <v>0.53695457890863207</v>
      </c>
      <c r="W30" s="354"/>
      <c r="X30" s="355">
        <f t="shared" ref="X30:X34" si="127">X$42*$E30</f>
        <v>0.52175812817139633</v>
      </c>
      <c r="Y30" s="356"/>
      <c r="Z30" s="353">
        <f t="shared" ref="Z30:AA34" si="128">$C$55*$V30</f>
        <v>21263.401324781829</v>
      </c>
      <c r="AA30" s="395">
        <f t="shared" si="128"/>
        <v>21263.401324781829</v>
      </c>
      <c r="AB30" s="322"/>
      <c r="AC30" s="353">
        <f t="shared" ref="AC30:AC34" si="129">AC$42*$C30</f>
        <v>0.791857848806645</v>
      </c>
      <c r="AD30" s="354"/>
      <c r="AE30" s="355">
        <f t="shared" ref="AE30:AE34" si="130">AE$42*$E30</f>
        <v>0.77662516444277385</v>
      </c>
      <c r="AF30" s="356"/>
      <c r="AG30" s="353">
        <f t="shared" ref="AG30:AG34" si="131">$C$51*$AC30</f>
        <v>62715.141625486285</v>
      </c>
      <c r="AH30" s="357">
        <f t="shared" ref="AH30:AH34" si="132">$C$51*$AE30</f>
        <v>61508.713023867691</v>
      </c>
      <c r="AI30" s="322"/>
      <c r="AJ30" s="353"/>
      <c r="AK30" s="355">
        <f t="shared" ref="AK30:AK34" si="133">AJ$42*$D30</f>
        <v>0.69166930067167121</v>
      </c>
      <c r="AL30" s="355"/>
      <c r="AM30" s="357">
        <f t="shared" ref="AM30:AM34" si="134">AL$42*$F30</f>
        <v>0.68603706972639011</v>
      </c>
      <c r="AN30" s="353">
        <f t="shared" ref="AN30:AN34" si="135">$C$49*$AK30</f>
        <v>9130.0347688660604</v>
      </c>
      <c r="AO30" s="357">
        <f t="shared" ref="AO30:AO34" si="136">$C$49*$AM30</f>
        <v>9055.6893203883501</v>
      </c>
      <c r="AP30" s="322"/>
      <c r="AQ30" s="353">
        <f t="shared" ref="AQ30:AQ34" si="137">AQ$42*$C30</f>
        <v>0.61791819997897168</v>
      </c>
      <c r="AR30" s="354"/>
      <c r="AS30" s="355">
        <f t="shared" ref="AS30:AS34" si="138">AS$42*$E30</f>
        <v>0.60270578838564171</v>
      </c>
      <c r="AT30" s="356"/>
      <c r="AU30" s="353">
        <f t="shared" ref="AU30:AU34" si="139">$C$54*$AQ30</f>
        <v>48939.121438334558</v>
      </c>
      <c r="AV30" s="357">
        <f t="shared" ref="AV30:AV34" si="140">$C$54*$AS30</f>
        <v>47734.298440142826</v>
      </c>
      <c r="AW30" s="322"/>
      <c r="AX30" s="353">
        <f t="shared" ref="AX30:AX34" si="141">AX$42*$C30</f>
        <v>0.65852013458101144</v>
      </c>
      <c r="AY30" s="354"/>
      <c r="AZ30" s="355">
        <f t="shared" ref="AZ30:AZ34" si="142">AZ$42*$E30</f>
        <v>0.63856323999248255</v>
      </c>
      <c r="BA30" s="356"/>
      <c r="BB30" s="353">
        <f t="shared" ref="BB30:BB34" si="143">$C$56*$AX30</f>
        <v>8692.4657764693511</v>
      </c>
      <c r="BC30" s="357">
        <f t="shared" ref="BC30:BC34" si="144">$C$56*$AZ30</f>
        <v>8429.03476790077</v>
      </c>
      <c r="BD30" s="322"/>
      <c r="BE30" s="353">
        <f t="shared" ref="BE30:BE34" si="145">BE$42*$C30</f>
        <v>0.58596519819156767</v>
      </c>
      <c r="BF30" s="354"/>
      <c r="BG30" s="355">
        <f t="shared" ref="BG30:BG34" si="146">BG$42*$E30</f>
        <v>0.56556004510430369</v>
      </c>
      <c r="BH30" s="356"/>
      <c r="BI30" s="353">
        <f t="shared" ref="BI30:BI34" si="147">$C$57*$BE30</f>
        <v>7734.7406161286935</v>
      </c>
      <c r="BJ30" s="357">
        <f t="shared" ref="BJ30:BJ34" si="148">$C$57*$BG30</f>
        <v>7465.3925953768085</v>
      </c>
      <c r="BK30" s="322"/>
      <c r="BL30" s="353">
        <f t="shared" ref="BL30:BL34" si="149">BL$42*$C30</f>
        <v>0.91674343110187873</v>
      </c>
      <c r="BM30" s="354"/>
      <c r="BN30" s="355">
        <f t="shared" ref="BN30:BN34" si="150">BN$42*$E30</f>
        <v>0.88609121844241323</v>
      </c>
      <c r="BO30" s="356"/>
      <c r="BP30" s="353">
        <f t="shared" ref="BP30:BP34" si="151">$C$51*$BL30</f>
        <v>72606.079743268798</v>
      </c>
      <c r="BQ30" s="357">
        <f t="shared" ref="BQ30:BQ34" si="152">$C$51*$BN30</f>
        <v>70178.424500639128</v>
      </c>
      <c r="BR30" s="322"/>
      <c r="BS30" s="353">
        <f t="shared" ref="BS30:BS34" si="153">BS$42*$C30</f>
        <v>0.67990221848386079</v>
      </c>
      <c r="BT30" s="354"/>
      <c r="BU30" s="355">
        <f t="shared" ref="BU30:BU34" si="154">BU$42*$E30</f>
        <v>0.66432907348242809</v>
      </c>
      <c r="BV30" s="356"/>
      <c r="BW30" s="353">
        <f t="shared" ref="BW30:BW34" si="155">$C$53*$BS30</f>
        <v>11218.386604983703</v>
      </c>
      <c r="BX30" s="357">
        <f t="shared" ref="BX30:BX34" si="156">$C$53*$BU30</f>
        <v>10961.429712460063</v>
      </c>
      <c r="BY30" s="322"/>
      <c r="BZ30" s="322"/>
      <c r="CA30" s="322"/>
    </row>
    <row r="31" spans="1:79">
      <c r="A31" s="342" t="s">
        <v>489</v>
      </c>
      <c r="B31" s="303" t="s">
        <v>490</v>
      </c>
      <c r="C31" s="403">
        <v>1.1000000000000001E-3</v>
      </c>
      <c r="D31" s="403">
        <v>8.0000000000000004E-4</v>
      </c>
      <c r="E31" s="403">
        <v>1.1000000000000001E-3</v>
      </c>
      <c r="F31" s="404">
        <v>8.0000000000000004E-4</v>
      </c>
      <c r="G31" s="322"/>
      <c r="H31" s="353">
        <f t="shared" si="118"/>
        <v>7.0324361265902649E-2</v>
      </c>
      <c r="I31" s="354"/>
      <c r="J31" s="355">
        <f t="shared" si="119"/>
        <v>7.0184175906784455E-2</v>
      </c>
      <c r="K31" s="356"/>
      <c r="L31" s="353">
        <f t="shared" si="120"/>
        <v>50.633540111449896</v>
      </c>
      <c r="M31" s="357">
        <f t="shared" si="121"/>
        <v>50.532606652884802</v>
      </c>
      <c r="N31" s="322"/>
      <c r="O31" s="353">
        <f t="shared" si="122"/>
        <v>1.6365261276416784E-2</v>
      </c>
      <c r="P31" s="354"/>
      <c r="Q31" s="355">
        <f t="shared" si="123"/>
        <v>1.5990415335463262E-2</v>
      </c>
      <c r="R31" s="356"/>
      <c r="S31" s="353">
        <f t="shared" si="124"/>
        <v>864.08579539480615</v>
      </c>
      <c r="T31" s="357">
        <f t="shared" si="125"/>
        <v>844.29392971246023</v>
      </c>
      <c r="U31" s="322"/>
      <c r="V31" s="353">
        <f t="shared" si="126"/>
        <v>1.2924508463883926E-2</v>
      </c>
      <c r="W31" s="354"/>
      <c r="X31" s="355">
        <f t="shared" si="127"/>
        <v>1.2558729562112386E-2</v>
      </c>
      <c r="Y31" s="356"/>
      <c r="Z31" s="353">
        <f t="shared" si="128"/>
        <v>511.81053516980347</v>
      </c>
      <c r="AA31" s="395">
        <f t="shared" si="128"/>
        <v>511.81053516980347</v>
      </c>
      <c r="AB31" s="322"/>
      <c r="AC31" s="353">
        <f t="shared" si="129"/>
        <v>1.9060035748081173E-2</v>
      </c>
      <c r="AD31" s="354"/>
      <c r="AE31" s="355">
        <f t="shared" si="130"/>
        <v>1.8693384702123662E-2</v>
      </c>
      <c r="AF31" s="356"/>
      <c r="AG31" s="353">
        <f t="shared" si="131"/>
        <v>1509.5548312480289</v>
      </c>
      <c r="AH31" s="357">
        <f t="shared" si="132"/>
        <v>1480.5160684081941</v>
      </c>
      <c r="AI31" s="322"/>
      <c r="AJ31" s="353"/>
      <c r="AK31" s="355">
        <f t="shared" si="133"/>
        <v>1.5946266297905964E-2</v>
      </c>
      <c r="AL31" s="355"/>
      <c r="AM31" s="357">
        <f t="shared" si="134"/>
        <v>1.5816416593115622E-2</v>
      </c>
      <c r="AN31" s="353">
        <f t="shared" si="135"/>
        <v>210.49071513235873</v>
      </c>
      <c r="AO31" s="357">
        <f t="shared" si="136"/>
        <v>208.77669902912621</v>
      </c>
      <c r="AP31" s="322"/>
      <c r="AQ31" s="353">
        <f t="shared" si="137"/>
        <v>1.4873304594679846E-2</v>
      </c>
      <c r="AR31" s="354"/>
      <c r="AS31" s="355">
        <f t="shared" si="138"/>
        <v>1.4507141514752867E-2</v>
      </c>
      <c r="AT31" s="356"/>
      <c r="AU31" s="353">
        <f t="shared" si="139"/>
        <v>1177.9657238986438</v>
      </c>
      <c r="AV31" s="357">
        <f t="shared" si="140"/>
        <v>1148.9656079684271</v>
      </c>
      <c r="AW31" s="322"/>
      <c r="AX31" s="353">
        <f t="shared" si="141"/>
        <v>1.58505940489959E-2</v>
      </c>
      <c r="AY31" s="354"/>
      <c r="AZ31" s="355">
        <f t="shared" si="142"/>
        <v>1.5370231159556474E-2</v>
      </c>
      <c r="BA31" s="356"/>
      <c r="BB31" s="353">
        <f t="shared" si="143"/>
        <v>209.22784144674588</v>
      </c>
      <c r="BC31" s="357">
        <f t="shared" si="144"/>
        <v>202.88705130614545</v>
      </c>
      <c r="BD31" s="322"/>
      <c r="BE31" s="353">
        <f t="shared" si="145"/>
        <v>1.410419514246662E-2</v>
      </c>
      <c r="BF31" s="354"/>
      <c r="BG31" s="355">
        <f t="shared" si="146"/>
        <v>1.3613042661153919E-2</v>
      </c>
      <c r="BH31" s="356"/>
      <c r="BI31" s="353">
        <f t="shared" si="147"/>
        <v>186.17537588055939</v>
      </c>
      <c r="BJ31" s="357">
        <f t="shared" si="148"/>
        <v>179.69216312723174</v>
      </c>
      <c r="BK31" s="322"/>
      <c r="BL31" s="353">
        <f t="shared" si="149"/>
        <v>2.2066034446653539E-2</v>
      </c>
      <c r="BM31" s="354"/>
      <c r="BN31" s="355">
        <f t="shared" si="150"/>
        <v>2.132823501721345E-2</v>
      </c>
      <c r="BO31" s="356"/>
      <c r="BP31" s="353">
        <f t="shared" si="151"/>
        <v>1747.6299281749602</v>
      </c>
      <c r="BQ31" s="357">
        <f t="shared" si="152"/>
        <v>1689.1962133633053</v>
      </c>
      <c r="BR31" s="322"/>
      <c r="BS31" s="353">
        <f t="shared" si="153"/>
        <v>1.6365261276416784E-2</v>
      </c>
      <c r="BT31" s="354"/>
      <c r="BU31" s="355">
        <f t="shared" si="154"/>
        <v>1.5990415335463262E-2</v>
      </c>
      <c r="BV31" s="356"/>
      <c r="BW31" s="353">
        <f t="shared" si="155"/>
        <v>270.02681106087692</v>
      </c>
      <c r="BX31" s="357">
        <f t="shared" si="156"/>
        <v>263.8418530351438</v>
      </c>
      <c r="BY31" s="322"/>
      <c r="BZ31" s="322"/>
      <c r="CA31" s="322"/>
    </row>
    <row r="32" spans="1:79">
      <c r="A32" s="342" t="s">
        <v>491</v>
      </c>
      <c r="B32" s="303" t="s">
        <v>492</v>
      </c>
      <c r="C32" s="403">
        <v>3.4599999999999999E-2</v>
      </c>
      <c r="D32" s="403">
        <v>2.63E-2</v>
      </c>
      <c r="E32" s="403">
        <v>3.4599999999999999E-2</v>
      </c>
      <c r="F32" s="404">
        <v>2.63E-2</v>
      </c>
      <c r="G32" s="322"/>
      <c r="H32" s="353">
        <f t="shared" si="118"/>
        <v>2.2120208180002101</v>
      </c>
      <c r="I32" s="354"/>
      <c r="J32" s="355">
        <f t="shared" si="119"/>
        <v>2.2076113512497653</v>
      </c>
      <c r="K32" s="356"/>
      <c r="L32" s="353">
        <f t="shared" si="120"/>
        <v>1592.6549889601511</v>
      </c>
      <c r="M32" s="357">
        <f t="shared" si="121"/>
        <v>1589.4801728998307</v>
      </c>
      <c r="N32" s="322"/>
      <c r="O32" s="353">
        <f t="shared" si="122"/>
        <v>0.51476185469456426</v>
      </c>
      <c r="P32" s="354"/>
      <c r="Q32" s="355">
        <f t="shared" si="123"/>
        <v>0.50297124600638976</v>
      </c>
      <c r="R32" s="356"/>
      <c r="S32" s="353">
        <f>$C$50*$O32</f>
        <v>27179.425927872991</v>
      </c>
      <c r="T32" s="357">
        <f>$C$50*$Q32</f>
        <v>26556.88178913738</v>
      </c>
      <c r="U32" s="322"/>
      <c r="V32" s="353">
        <f t="shared" si="126"/>
        <v>0.40653453895489433</v>
      </c>
      <c r="W32" s="354"/>
      <c r="X32" s="355">
        <f t="shared" si="127"/>
        <v>0.39502912986280769</v>
      </c>
      <c r="Y32" s="356"/>
      <c r="Z32" s="353">
        <f t="shared" si="128"/>
        <v>16098.767742613816</v>
      </c>
      <c r="AA32" s="395">
        <f t="shared" si="128"/>
        <v>16098.767742613816</v>
      </c>
      <c r="AB32" s="322"/>
      <c r="AC32" s="353">
        <f t="shared" si="129"/>
        <v>0.59952476080328043</v>
      </c>
      <c r="AD32" s="354"/>
      <c r="AE32" s="355">
        <f t="shared" si="130"/>
        <v>0.58799191881225332</v>
      </c>
      <c r="AF32" s="356"/>
      <c r="AG32" s="353">
        <f t="shared" si="131"/>
        <v>47482.361055619811</v>
      </c>
      <c r="AH32" s="357">
        <f t="shared" si="132"/>
        <v>46568.95996993046</v>
      </c>
      <c r="AI32" s="322"/>
      <c r="AJ32" s="353"/>
      <c r="AK32" s="355">
        <f t="shared" si="133"/>
        <v>0.52423350454365858</v>
      </c>
      <c r="AL32" s="355"/>
      <c r="AM32" s="357">
        <f t="shared" si="134"/>
        <v>0.51996469549867608</v>
      </c>
      <c r="AN32" s="353">
        <f t="shared" si="135"/>
        <v>6919.8822599762934</v>
      </c>
      <c r="AO32" s="357">
        <f t="shared" si="136"/>
        <v>6863.5339805825242</v>
      </c>
      <c r="AP32" s="322"/>
      <c r="AQ32" s="353">
        <f t="shared" si="137"/>
        <v>0.46783303543265692</v>
      </c>
      <c r="AR32" s="354"/>
      <c r="AS32" s="355">
        <f t="shared" si="138"/>
        <v>0.45631554219131737</v>
      </c>
      <c r="AT32" s="356"/>
      <c r="AU32" s="353">
        <f t="shared" si="139"/>
        <v>37052.376406266427</v>
      </c>
      <c r="AV32" s="357">
        <f t="shared" si="140"/>
        <v>36140.190941552333</v>
      </c>
      <c r="AW32" s="322"/>
      <c r="AX32" s="353">
        <f t="shared" si="141"/>
        <v>0.49857323099568918</v>
      </c>
      <c r="AY32" s="354"/>
      <c r="AZ32" s="355">
        <f t="shared" si="142"/>
        <v>0.48346363465513997</v>
      </c>
      <c r="BA32" s="356"/>
      <c r="BB32" s="353">
        <f t="shared" si="143"/>
        <v>6581.1666491430969</v>
      </c>
      <c r="BC32" s="357">
        <f t="shared" si="144"/>
        <v>6381.7199774478477</v>
      </c>
      <c r="BD32" s="322"/>
      <c r="BE32" s="353">
        <f t="shared" si="145"/>
        <v>0.44364104720849545</v>
      </c>
      <c r="BF32" s="354"/>
      <c r="BG32" s="355">
        <f t="shared" si="146"/>
        <v>0.4281920691599323</v>
      </c>
      <c r="BH32" s="356"/>
      <c r="BI32" s="353">
        <f t="shared" si="147"/>
        <v>5856.0618231521403</v>
      </c>
      <c r="BJ32" s="357">
        <f t="shared" si="148"/>
        <v>5652.1353129111067</v>
      </c>
      <c r="BK32" s="322"/>
      <c r="BL32" s="353">
        <f t="shared" si="149"/>
        <v>0.69407708350382935</v>
      </c>
      <c r="BM32" s="354"/>
      <c r="BN32" s="355">
        <f t="shared" si="150"/>
        <v>0.67086993781416848</v>
      </c>
      <c r="BO32" s="356"/>
      <c r="BP32" s="353">
        <f t="shared" si="151"/>
        <v>54970.905013503281</v>
      </c>
      <c r="BQ32" s="357">
        <f t="shared" si="152"/>
        <v>53132.899074882145</v>
      </c>
      <c r="BR32" s="322"/>
      <c r="BS32" s="353">
        <f t="shared" si="153"/>
        <v>0.51476185469456426</v>
      </c>
      <c r="BT32" s="354"/>
      <c r="BU32" s="355">
        <f t="shared" si="154"/>
        <v>0.50297124600638976</v>
      </c>
      <c r="BV32" s="356"/>
      <c r="BW32" s="353">
        <f t="shared" si="155"/>
        <v>8493.5706024603096</v>
      </c>
      <c r="BX32" s="357">
        <f t="shared" si="156"/>
        <v>8299.0255591054301</v>
      </c>
      <c r="BY32" s="322"/>
      <c r="BZ32" s="322"/>
      <c r="CA32" s="322"/>
    </row>
    <row r="33" spans="1:79">
      <c r="A33" s="342" t="s">
        <v>493</v>
      </c>
      <c r="B33" s="303" t="s">
        <v>494</v>
      </c>
      <c r="C33" s="403">
        <v>2.75E-2</v>
      </c>
      <c r="D33" s="403">
        <v>2.0899999999999998E-2</v>
      </c>
      <c r="E33" s="403">
        <v>2.75E-2</v>
      </c>
      <c r="F33" s="404">
        <v>2.0899999999999998E-2</v>
      </c>
      <c r="G33" s="322"/>
      <c r="H33" s="353">
        <f t="shared" si="118"/>
        <v>1.758109031647566</v>
      </c>
      <c r="I33" s="354"/>
      <c r="J33" s="355">
        <f t="shared" si="119"/>
        <v>1.7546043976696111</v>
      </c>
      <c r="K33" s="356"/>
      <c r="L33" s="353">
        <f t="shared" si="120"/>
        <v>1265.8385027862473</v>
      </c>
      <c r="M33" s="357">
        <f t="shared" si="121"/>
        <v>1263.3151663221197</v>
      </c>
      <c r="N33" s="322"/>
      <c r="O33" s="353">
        <f t="shared" si="122"/>
        <v>0.40913153191041957</v>
      </c>
      <c r="P33" s="354"/>
      <c r="Q33" s="355">
        <f t="shared" si="123"/>
        <v>0.39976038338658149</v>
      </c>
      <c r="R33" s="356"/>
      <c r="S33" s="353">
        <f t="shared" si="124"/>
        <v>21602.144884870155</v>
      </c>
      <c r="T33" s="357">
        <f t="shared" si="125"/>
        <v>21107.348242811502</v>
      </c>
      <c r="U33" s="322"/>
      <c r="V33" s="353">
        <f t="shared" si="126"/>
        <v>0.32311271159709815</v>
      </c>
      <c r="W33" s="354"/>
      <c r="X33" s="355">
        <f t="shared" si="127"/>
        <v>0.31396823905280963</v>
      </c>
      <c r="Y33" s="356"/>
      <c r="Z33" s="353">
        <f t="shared" si="128"/>
        <v>12795.263379245087</v>
      </c>
      <c r="AA33" s="395">
        <f t="shared" si="128"/>
        <v>12795.263379245087</v>
      </c>
      <c r="AB33" s="322"/>
      <c r="AC33" s="353">
        <f t="shared" si="129"/>
        <v>0.4765008937020293</v>
      </c>
      <c r="AD33" s="354"/>
      <c r="AE33" s="355">
        <f t="shared" si="130"/>
        <v>0.46733461755309152</v>
      </c>
      <c r="AF33" s="356"/>
      <c r="AG33" s="353">
        <f t="shared" si="131"/>
        <v>37738.87078120072</v>
      </c>
      <c r="AH33" s="357">
        <f t="shared" si="132"/>
        <v>37012.901710204846</v>
      </c>
      <c r="AI33" s="322"/>
      <c r="AJ33" s="353"/>
      <c r="AK33" s="355">
        <f t="shared" si="133"/>
        <v>0.41659620703279326</v>
      </c>
      <c r="AL33" s="355"/>
      <c r="AM33" s="357">
        <f t="shared" si="134"/>
        <v>0.41320388349514559</v>
      </c>
      <c r="AN33" s="353">
        <f t="shared" si="135"/>
        <v>5499.069932832871</v>
      </c>
      <c r="AO33" s="357">
        <f t="shared" si="136"/>
        <v>5454.2912621359219</v>
      </c>
      <c r="AP33" s="322"/>
      <c r="AQ33" s="353">
        <f t="shared" si="137"/>
        <v>0.37183261486699615</v>
      </c>
      <c r="AR33" s="354"/>
      <c r="AS33" s="355">
        <f t="shared" si="138"/>
        <v>0.36267853786882165</v>
      </c>
      <c r="AT33" s="356"/>
      <c r="AU33" s="353">
        <f t="shared" si="139"/>
        <v>29449.143097466094</v>
      </c>
      <c r="AV33" s="357">
        <f t="shared" si="140"/>
        <v>28724.140199210673</v>
      </c>
      <c r="AW33" s="322"/>
      <c r="AX33" s="353">
        <f t="shared" si="141"/>
        <v>0.39626485122489746</v>
      </c>
      <c r="AY33" s="354"/>
      <c r="AZ33" s="355">
        <f t="shared" si="142"/>
        <v>0.38425577898891183</v>
      </c>
      <c r="BA33" s="356"/>
      <c r="BB33" s="353">
        <f t="shared" si="143"/>
        <v>5230.6960361686461</v>
      </c>
      <c r="BC33" s="357">
        <f t="shared" si="144"/>
        <v>5072.176282653636</v>
      </c>
      <c r="BD33" s="322"/>
      <c r="BE33" s="353">
        <f t="shared" si="145"/>
        <v>0.3526048785616655</v>
      </c>
      <c r="BF33" s="354"/>
      <c r="BG33" s="355">
        <f t="shared" si="146"/>
        <v>0.34032606652884795</v>
      </c>
      <c r="BH33" s="356"/>
      <c r="BI33" s="353">
        <f t="shared" si="147"/>
        <v>4654.3843970139842</v>
      </c>
      <c r="BJ33" s="357">
        <f t="shared" si="148"/>
        <v>4492.3040781807931</v>
      </c>
      <c r="BK33" s="322"/>
      <c r="BL33" s="353">
        <f t="shared" si="149"/>
        <v>0.55165086116633844</v>
      </c>
      <c r="BM33" s="354"/>
      <c r="BN33" s="355">
        <f t="shared" si="150"/>
        <v>0.53320587543033626</v>
      </c>
      <c r="BO33" s="356"/>
      <c r="BP33" s="353">
        <f t="shared" si="151"/>
        <v>43690.748204374002</v>
      </c>
      <c r="BQ33" s="357">
        <f t="shared" si="152"/>
        <v>42229.905334082629</v>
      </c>
      <c r="BR33" s="322"/>
      <c r="BS33" s="353">
        <f t="shared" si="153"/>
        <v>0.40913153191041957</v>
      </c>
      <c r="BT33" s="354"/>
      <c r="BU33" s="355">
        <f t="shared" si="154"/>
        <v>0.39976038338658149</v>
      </c>
      <c r="BV33" s="356"/>
      <c r="BW33" s="353">
        <f t="shared" si="155"/>
        <v>6750.6702765219225</v>
      </c>
      <c r="BX33" s="357">
        <f t="shared" si="156"/>
        <v>6596.0463258785949</v>
      </c>
      <c r="BY33" s="322"/>
      <c r="BZ33" s="322"/>
      <c r="CA33" s="322"/>
    </row>
    <row r="34" spans="1:79">
      <c r="A34" s="342" t="s">
        <v>495</v>
      </c>
      <c r="B34" s="303" t="s">
        <v>496</v>
      </c>
      <c r="C34" s="403">
        <v>3.8E-3</v>
      </c>
      <c r="D34" s="403">
        <v>2.8999999999999998E-3</v>
      </c>
      <c r="E34" s="403">
        <v>3.8E-3</v>
      </c>
      <c r="F34" s="404">
        <v>2.8999999999999998E-3</v>
      </c>
      <c r="G34" s="322"/>
      <c r="H34" s="353">
        <f t="shared" si="118"/>
        <v>0.24293870255493638</v>
      </c>
      <c r="I34" s="354"/>
      <c r="J34" s="355">
        <f t="shared" si="119"/>
        <v>0.24245442585980082</v>
      </c>
      <c r="K34" s="356"/>
      <c r="L34" s="353">
        <f t="shared" si="120"/>
        <v>174.91586583955416</v>
      </c>
      <c r="M34" s="357">
        <f t="shared" si="121"/>
        <v>174.56718661905657</v>
      </c>
      <c r="N34" s="322"/>
      <c r="O34" s="353">
        <f t="shared" si="122"/>
        <v>5.6534538954894339E-2</v>
      </c>
      <c r="P34" s="354"/>
      <c r="Q34" s="355">
        <f t="shared" si="123"/>
        <v>5.5239616613418537E-2</v>
      </c>
      <c r="R34" s="356"/>
      <c r="S34" s="353">
        <f t="shared" si="124"/>
        <v>2985.0236568184209</v>
      </c>
      <c r="T34" s="357">
        <f t="shared" si="125"/>
        <v>2916.6517571884988</v>
      </c>
      <c r="U34" s="322"/>
      <c r="V34" s="353">
        <f t="shared" si="126"/>
        <v>4.4648301966144471E-2</v>
      </c>
      <c r="W34" s="354"/>
      <c r="X34" s="355">
        <f t="shared" si="127"/>
        <v>4.3384702123660961E-2</v>
      </c>
      <c r="Y34" s="356"/>
      <c r="Z34" s="353">
        <f t="shared" si="128"/>
        <v>1768.072757859321</v>
      </c>
      <c r="AA34" s="395">
        <f t="shared" si="128"/>
        <v>1768.072757859321</v>
      </c>
      <c r="AB34" s="322"/>
      <c r="AC34" s="353">
        <f t="shared" si="129"/>
        <v>6.5843759857007689E-2</v>
      </c>
      <c r="AD34" s="354"/>
      <c r="AE34" s="355">
        <f t="shared" si="130"/>
        <v>6.4577147152790823E-2</v>
      </c>
      <c r="AF34" s="356"/>
      <c r="AG34" s="353">
        <f t="shared" si="131"/>
        <v>5214.8257806750089</v>
      </c>
      <c r="AH34" s="357">
        <f t="shared" si="132"/>
        <v>5114.5100545010328</v>
      </c>
      <c r="AI34" s="322"/>
      <c r="AJ34" s="353"/>
      <c r="AK34" s="355">
        <f t="shared" si="133"/>
        <v>5.7805215329909114E-2</v>
      </c>
      <c r="AL34" s="355"/>
      <c r="AM34" s="357">
        <f t="shared" si="134"/>
        <v>5.7334510150044128E-2</v>
      </c>
      <c r="AN34" s="353">
        <f t="shared" si="135"/>
        <v>763.0288423548003</v>
      </c>
      <c r="AO34" s="357">
        <f t="shared" si="136"/>
        <v>756.81553398058247</v>
      </c>
      <c r="AP34" s="322"/>
      <c r="AQ34" s="353">
        <f t="shared" si="137"/>
        <v>5.1380506781621281E-2</v>
      </c>
      <c r="AR34" s="354"/>
      <c r="AS34" s="355">
        <f t="shared" si="138"/>
        <v>5.011557977823717E-2</v>
      </c>
      <c r="AT34" s="356"/>
      <c r="AU34" s="353">
        <f t="shared" si="139"/>
        <v>4069.3361371044057</v>
      </c>
      <c r="AV34" s="357">
        <f t="shared" si="140"/>
        <v>3969.1539184363837</v>
      </c>
      <c r="AW34" s="322"/>
      <c r="AX34" s="353">
        <f t="shared" si="141"/>
        <v>5.4756597623804019E-2</v>
      </c>
      <c r="AY34" s="354"/>
      <c r="AZ34" s="355">
        <f t="shared" si="142"/>
        <v>5.3097162187558722E-2</v>
      </c>
      <c r="BA34" s="356"/>
      <c r="BB34" s="353">
        <f t="shared" si="143"/>
        <v>722.78708863421309</v>
      </c>
      <c r="BC34" s="357">
        <f t="shared" si="144"/>
        <v>700.88254087577513</v>
      </c>
      <c r="BD34" s="322"/>
      <c r="BE34" s="353">
        <f t="shared" si="145"/>
        <v>4.8723583219430142E-2</v>
      </c>
      <c r="BF34" s="354"/>
      <c r="BG34" s="355">
        <f t="shared" si="146"/>
        <v>4.7026874647622625E-2</v>
      </c>
      <c r="BH34" s="356"/>
      <c r="BI34" s="353">
        <f t="shared" si="147"/>
        <v>643.15129849647792</v>
      </c>
      <c r="BJ34" s="357">
        <f t="shared" si="148"/>
        <v>620.75474534861871</v>
      </c>
      <c r="BK34" s="322"/>
      <c r="BL34" s="353">
        <f t="shared" si="149"/>
        <v>7.6228118997530403E-2</v>
      </c>
      <c r="BM34" s="354"/>
      <c r="BN34" s="355">
        <f t="shared" si="150"/>
        <v>7.3679357332191914E-2</v>
      </c>
      <c r="BO34" s="356"/>
      <c r="BP34" s="353">
        <f t="shared" si="151"/>
        <v>6037.2670246044081</v>
      </c>
      <c r="BQ34" s="357">
        <f t="shared" si="152"/>
        <v>5835.4051007095995</v>
      </c>
      <c r="BR34" s="322"/>
      <c r="BS34" s="353">
        <f t="shared" si="153"/>
        <v>5.6534538954894339E-2</v>
      </c>
      <c r="BT34" s="354"/>
      <c r="BU34" s="355">
        <f t="shared" si="154"/>
        <v>5.5239616613418537E-2</v>
      </c>
      <c r="BV34" s="356"/>
      <c r="BW34" s="353">
        <f t="shared" si="155"/>
        <v>932.81989275575665</v>
      </c>
      <c r="BX34" s="357">
        <f t="shared" si="156"/>
        <v>911.45367412140581</v>
      </c>
      <c r="BY34" s="322"/>
      <c r="BZ34" s="322"/>
      <c r="CA34" s="322"/>
    </row>
    <row r="35" spans="1:79" ht="14.5">
      <c r="A35" s="405" t="s">
        <v>15</v>
      </c>
      <c r="B35" s="406" t="s">
        <v>77</v>
      </c>
      <c r="C35" s="407">
        <v>0.11269999999999999</v>
      </c>
      <c r="D35" s="407">
        <v>8.5600000000000009E-2</v>
      </c>
      <c r="E35" s="407">
        <v>0.11269999999999999</v>
      </c>
      <c r="F35" s="408">
        <v>8.5600000000000009E-2</v>
      </c>
      <c r="G35" s="322"/>
      <c r="H35" s="358">
        <f>SUM(H30:H34)</f>
        <v>7.205050467879297</v>
      </c>
      <c r="I35" s="359">
        <f t="shared" ref="I35:M35" si="157">SUM(I30:I34)</f>
        <v>0</v>
      </c>
      <c r="J35" s="359">
        <f t="shared" si="157"/>
        <v>7.1906878406314618</v>
      </c>
      <c r="K35" s="360">
        <f t="shared" si="157"/>
        <v>0</v>
      </c>
      <c r="L35" s="358">
        <f>SUM(L30:L34)</f>
        <v>5187.6363368730936</v>
      </c>
      <c r="M35" s="360">
        <f t="shared" si="157"/>
        <v>5177.2952452546506</v>
      </c>
      <c r="N35" s="322"/>
      <c r="O35" s="358">
        <f>SUM(O30:O34)</f>
        <v>1.6766954053201559</v>
      </c>
      <c r="P35" s="359">
        <f t="shared" ref="P35:R35" si="158">SUM(P30:P34)</f>
        <v>0</v>
      </c>
      <c r="Q35" s="359">
        <f t="shared" si="158"/>
        <v>1.6382907348242812</v>
      </c>
      <c r="R35" s="360">
        <f t="shared" si="158"/>
        <v>0</v>
      </c>
      <c r="S35" s="358">
        <f>SUM(S30:S34)</f>
        <v>88529.517400904224</v>
      </c>
      <c r="T35" s="360">
        <f t="shared" ref="T35" si="159">SUM(T30:T34)</f>
        <v>86501.750798722045</v>
      </c>
      <c r="U35" s="322"/>
      <c r="V35" s="358">
        <f>SUM(V30:V34)</f>
        <v>1.3241746398906531</v>
      </c>
      <c r="W35" s="359">
        <f t="shared" ref="W35:Y35" si="160">SUM(W30:W34)</f>
        <v>0</v>
      </c>
      <c r="X35" s="359">
        <f t="shared" si="160"/>
        <v>1.2866989287727868</v>
      </c>
      <c r="Y35" s="360">
        <f t="shared" si="160"/>
        <v>0</v>
      </c>
      <c r="Z35" s="358">
        <f>SUM(Z30:Z34)</f>
        <v>52437.315739669859</v>
      </c>
      <c r="AA35" s="360">
        <f t="shared" ref="AA35" si="161">SUM(AA30:AA34)</f>
        <v>52437.315739669859</v>
      </c>
      <c r="AB35" s="322"/>
      <c r="AC35" s="358">
        <f>SUM(AC30:AC34)</f>
        <v>1.9527872989170434</v>
      </c>
      <c r="AD35" s="359">
        <f t="shared" ref="AD35:AF35" si="162">SUM(AD30:AD34)</f>
        <v>0</v>
      </c>
      <c r="AE35" s="359">
        <f t="shared" si="162"/>
        <v>1.915222232663033</v>
      </c>
      <c r="AF35" s="360">
        <f t="shared" si="162"/>
        <v>0</v>
      </c>
      <c r="AG35" s="358">
        <f>SUM(AG30:AG34)</f>
        <v>154660.75407422989</v>
      </c>
      <c r="AH35" s="360">
        <f t="shared" ref="AH35" si="163">SUM(AH30:AH34)</f>
        <v>151685.60082691221</v>
      </c>
      <c r="AI35" s="322"/>
      <c r="AJ35" s="358">
        <f>SUM(AJ30:AJ34)</f>
        <v>0</v>
      </c>
      <c r="AK35" s="359">
        <f t="shared" ref="AK35:AM35" si="164">SUM(AK30:AK34)</f>
        <v>1.7062504938759382</v>
      </c>
      <c r="AL35" s="359">
        <f t="shared" si="164"/>
        <v>0</v>
      </c>
      <c r="AM35" s="360">
        <f t="shared" si="164"/>
        <v>1.6923565754633716</v>
      </c>
      <c r="AN35" s="358">
        <f>SUM(AN30:AN34)</f>
        <v>22522.506519162383</v>
      </c>
      <c r="AO35" s="360">
        <f t="shared" ref="AO35" si="165">SUM(AO30:AO34)</f>
        <v>22339.106796116503</v>
      </c>
      <c r="AP35" s="322"/>
      <c r="AQ35" s="358">
        <f>SUM(AQ30:AQ34)</f>
        <v>1.5238376616549258</v>
      </c>
      <c r="AR35" s="359">
        <f t="shared" ref="AR35:AT35" si="166">SUM(AR30:AR34)</f>
        <v>0</v>
      </c>
      <c r="AS35" s="359">
        <f t="shared" si="166"/>
        <v>1.4863225897387708</v>
      </c>
      <c r="AT35" s="360">
        <f t="shared" si="166"/>
        <v>0</v>
      </c>
      <c r="AU35" s="358">
        <f>SUM(AU30:AU34)</f>
        <v>120687.94280307012</v>
      </c>
      <c r="AV35" s="360">
        <f t="shared" ref="AV35" si="167">SUM(AV30:AV34)</f>
        <v>117716.74910731064</v>
      </c>
      <c r="AW35" s="322"/>
      <c r="AX35" s="358">
        <f>SUM(AX30:AX34)</f>
        <v>1.623965408474398</v>
      </c>
      <c r="AY35" s="359">
        <f t="shared" ref="AY35:BA35" si="168">SUM(AY30:AY34)</f>
        <v>0</v>
      </c>
      <c r="AZ35" s="359">
        <f t="shared" si="168"/>
        <v>1.5747500469836495</v>
      </c>
      <c r="BA35" s="360">
        <f t="shared" si="168"/>
        <v>0</v>
      </c>
      <c r="BB35" s="358">
        <f>SUM(BB30:BB34)</f>
        <v>21436.343391862054</v>
      </c>
      <c r="BC35" s="360">
        <f t="shared" ref="BC35" si="169">SUM(BC30:BC34)</f>
        <v>20786.700620184176</v>
      </c>
      <c r="BD35" s="322"/>
      <c r="BE35" s="358">
        <f>SUM(BE30:BE34)</f>
        <v>1.4450389023236254</v>
      </c>
      <c r="BF35" s="359">
        <f t="shared" ref="BF35:BH35" si="170">SUM(BF30:BF34)</f>
        <v>0</v>
      </c>
      <c r="BG35" s="359">
        <f t="shared" si="170"/>
        <v>1.3947180981018603</v>
      </c>
      <c r="BH35" s="360">
        <f t="shared" si="170"/>
        <v>0</v>
      </c>
      <c r="BI35" s="358">
        <f>SUM(BI30:BI34)</f>
        <v>19074.513510671859</v>
      </c>
      <c r="BJ35" s="360">
        <f t="shared" ref="BJ35" si="171">SUM(BJ30:BJ34)</f>
        <v>18410.27889494456</v>
      </c>
      <c r="BK35" s="322"/>
      <c r="BL35" s="358">
        <f>SUM(BL30:BL34)</f>
        <v>2.2607655292162305</v>
      </c>
      <c r="BM35" s="359">
        <f t="shared" ref="BM35:BO35" si="172">SUM(BM30:BM34)</f>
        <v>0</v>
      </c>
      <c r="BN35" s="359">
        <f t="shared" si="172"/>
        <v>2.1851746240363235</v>
      </c>
      <c r="BO35" s="360">
        <f t="shared" si="172"/>
        <v>0</v>
      </c>
      <c r="BP35" s="358">
        <f>SUM(BP30:BP34)</f>
        <v>179052.62991392546</v>
      </c>
      <c r="BQ35" s="360">
        <f t="shared" ref="BQ35" si="173">SUM(BQ30:BQ34)</f>
        <v>173065.83022367684</v>
      </c>
      <c r="BR35" s="322"/>
      <c r="BS35" s="358">
        <f>SUM(BS30:BS34)</f>
        <v>1.6766954053201559</v>
      </c>
      <c r="BT35" s="359">
        <f t="shared" ref="BT35:BV35" si="174">SUM(BT30:BT34)</f>
        <v>0</v>
      </c>
      <c r="BU35" s="359">
        <f t="shared" si="174"/>
        <v>1.6382907348242812</v>
      </c>
      <c r="BV35" s="360">
        <f t="shared" si="174"/>
        <v>0</v>
      </c>
      <c r="BW35" s="358">
        <f>SUM(BW30:BW34)</f>
        <v>27665.474187782569</v>
      </c>
      <c r="BX35" s="360">
        <f t="shared" ref="BX35" si="175">SUM(BX30:BX34)</f>
        <v>27031.797124600638</v>
      </c>
      <c r="BY35" s="322"/>
      <c r="BZ35" s="322"/>
      <c r="CA35" s="322"/>
    </row>
    <row r="36" spans="1:79" ht="14.5">
      <c r="A36" s="597" t="s">
        <v>497</v>
      </c>
      <c r="B36" s="600"/>
      <c r="C36" s="600"/>
      <c r="D36" s="600"/>
      <c r="E36" s="600"/>
      <c r="F36" s="599"/>
      <c r="G36" s="322"/>
      <c r="H36" s="597"/>
      <c r="I36" s="598"/>
      <c r="J36" s="598"/>
      <c r="K36" s="599"/>
      <c r="L36" s="375"/>
      <c r="M36" s="376"/>
      <c r="N36" s="322"/>
      <c r="O36" s="597"/>
      <c r="P36" s="598"/>
      <c r="Q36" s="598"/>
      <c r="R36" s="599"/>
      <c r="S36" s="375"/>
      <c r="T36" s="376"/>
      <c r="U36" s="322"/>
      <c r="V36" s="597"/>
      <c r="W36" s="598"/>
      <c r="X36" s="598"/>
      <c r="Y36" s="599"/>
      <c r="Z36" s="375"/>
      <c r="AA36" s="376"/>
      <c r="AB36" s="322"/>
      <c r="AC36" s="597"/>
      <c r="AD36" s="598"/>
      <c r="AE36" s="598"/>
      <c r="AF36" s="599"/>
      <c r="AG36" s="375"/>
      <c r="AH36" s="376"/>
      <c r="AI36" s="322"/>
      <c r="AJ36" s="597"/>
      <c r="AK36" s="598"/>
      <c r="AL36" s="598"/>
      <c r="AM36" s="599"/>
      <c r="AN36" s="375"/>
      <c r="AO36" s="376"/>
      <c r="AP36" s="322"/>
      <c r="AQ36" s="597"/>
      <c r="AR36" s="598"/>
      <c r="AS36" s="598"/>
      <c r="AT36" s="599"/>
      <c r="AU36" s="375"/>
      <c r="AV36" s="376"/>
      <c r="AW36" s="322"/>
      <c r="AX36" s="597"/>
      <c r="AY36" s="598"/>
      <c r="AZ36" s="598"/>
      <c r="BA36" s="599"/>
      <c r="BB36" s="375"/>
      <c r="BC36" s="376"/>
      <c r="BD36" s="322"/>
      <c r="BE36" s="597"/>
      <c r="BF36" s="598"/>
      <c r="BG36" s="598"/>
      <c r="BH36" s="599"/>
      <c r="BI36" s="375"/>
      <c r="BJ36" s="376"/>
      <c r="BK36" s="322"/>
      <c r="BL36" s="597"/>
      <c r="BM36" s="598"/>
      <c r="BN36" s="598"/>
      <c r="BO36" s="599"/>
      <c r="BP36" s="375"/>
      <c r="BQ36" s="376"/>
      <c r="BR36" s="322"/>
      <c r="BS36" s="597"/>
      <c r="BT36" s="598"/>
      <c r="BU36" s="598"/>
      <c r="BV36" s="599"/>
      <c r="BW36" s="375"/>
      <c r="BX36" s="376"/>
      <c r="BY36" s="322"/>
      <c r="BZ36" s="322"/>
      <c r="CA36" s="322"/>
    </row>
    <row r="37" spans="1:79">
      <c r="A37" s="342" t="s">
        <v>498</v>
      </c>
      <c r="B37" s="303" t="s">
        <v>499</v>
      </c>
      <c r="C37" s="403">
        <v>9.7100000000000006E-2</v>
      </c>
      <c r="D37" s="403">
        <v>3.4500000000000003E-2</v>
      </c>
      <c r="E37" s="403">
        <v>0.17309999999999998</v>
      </c>
      <c r="F37" s="404">
        <v>6.5299999999999997E-2</v>
      </c>
      <c r="G37" s="322"/>
      <c r="H37" s="353">
        <f t="shared" ref="H37:H38" si="176">H$42*C37</f>
        <v>6.2077231626537701</v>
      </c>
      <c r="I37" s="355"/>
      <c r="J37" s="355">
        <f t="shared" ref="J37:J38" si="177">J$42*E37</f>
        <v>11.044437135876715</v>
      </c>
      <c r="K37" s="357"/>
      <c r="L37" s="353">
        <f t="shared" ref="L37:L38" si="178">$C$48*H37</f>
        <v>4469.5606771107141</v>
      </c>
      <c r="M37" s="357">
        <f t="shared" ref="M37:M38" si="179">$C$48*J37</f>
        <v>7951.9947378312336</v>
      </c>
      <c r="N37" s="322"/>
      <c r="O37" s="353">
        <f t="shared" ref="O37:O38" si="180">O$42*$C37</f>
        <v>1.4446062454000632</v>
      </c>
      <c r="P37" s="354"/>
      <c r="Q37" s="355">
        <f t="shared" ref="Q37:Q38" si="181">Q$42*$E37</f>
        <v>2.5163099041533545</v>
      </c>
      <c r="R37" s="357"/>
      <c r="S37" s="353">
        <f t="shared" ref="S37:S38" si="182">$C$50*$O37</f>
        <v>76275.209757123332</v>
      </c>
      <c r="T37" s="357">
        <f t="shared" ref="T37:T38" si="183">$C$50*$Q37</f>
        <v>132861.16293929712</v>
      </c>
      <c r="U37" s="322"/>
      <c r="V37" s="353">
        <f t="shared" ref="V37:V38" si="184">V$42*$C37</f>
        <v>1.140881610766481</v>
      </c>
      <c r="W37" s="354"/>
      <c r="X37" s="355">
        <f t="shared" ref="X37:X38" si="185">X$42*$E37</f>
        <v>1.976287352001503</v>
      </c>
      <c r="Y37" s="357"/>
      <c r="Z37" s="353">
        <f t="shared" ref="Z37:AA38" si="186">$C$55*$V37</f>
        <v>45178.911786352648</v>
      </c>
      <c r="AA37" s="395">
        <f t="shared" si="186"/>
        <v>45178.911786352648</v>
      </c>
      <c r="AB37" s="322"/>
      <c r="AC37" s="353">
        <f t="shared" ref="AC37:AC38" si="187">AC$42*$C37</f>
        <v>1.6824813373988017</v>
      </c>
      <c r="AD37" s="354"/>
      <c r="AE37" s="355">
        <f t="shared" ref="AE37:AE38" si="188">AE$42*$E37</f>
        <v>2.9416589926705501</v>
      </c>
      <c r="AF37" s="357"/>
      <c r="AG37" s="353">
        <f t="shared" ref="AG37:AG38" si="189">$C$51*$AC37</f>
        <v>133252.52192198508</v>
      </c>
      <c r="AH37" s="357">
        <f t="shared" ref="AH37:AH38" si="190">$C$51*$AE37</f>
        <v>232979.39221950757</v>
      </c>
      <c r="AI37" s="322"/>
      <c r="AJ37" s="353"/>
      <c r="AK37" s="355">
        <f t="shared" ref="AK37:AK38" si="191">AJ$42*$D37</f>
        <v>0.68768273409719483</v>
      </c>
      <c r="AL37" s="355"/>
      <c r="AM37" s="357">
        <f t="shared" ref="AM37:AM38" si="192">AL$42*$F37</f>
        <v>1.2910150044130626</v>
      </c>
      <c r="AN37" s="353">
        <f t="shared" ref="AN37:AN38" si="193">$C$49*$AK37</f>
        <v>9077.4120900829712</v>
      </c>
      <c r="AO37" s="357">
        <f t="shared" ref="AO37:AO38" si="194">$C$49*$AM37</f>
        <v>17041.398058252427</v>
      </c>
      <c r="AP37" s="322"/>
      <c r="AQ37" s="353">
        <f t="shared" ref="AQ37:AQ38" si="195">AQ$42*$C37</f>
        <v>1.3129071601303755</v>
      </c>
      <c r="AR37" s="354"/>
      <c r="AS37" s="355">
        <f t="shared" ref="AS37:AS38" si="196">AS$42*$E37</f>
        <v>2.2828965420033822</v>
      </c>
      <c r="AT37" s="357"/>
      <c r="AU37" s="353">
        <f t="shared" ref="AU37:AU38" si="197">$C$54*$AQ37</f>
        <v>103982.24708232573</v>
      </c>
      <c r="AV37" s="357">
        <f t="shared" ref="AV37:AV38" si="198">$C$54*$AS37</f>
        <v>180805.40612666786</v>
      </c>
      <c r="AW37" s="322"/>
      <c r="AX37" s="353">
        <f t="shared" ref="AX37:AX38" si="199">AX$42*$C37</f>
        <v>1.3991751655977289</v>
      </c>
      <c r="AY37" s="354"/>
      <c r="AZ37" s="355">
        <f t="shared" ref="AZ37:AZ38" si="200">AZ$42*$E37</f>
        <v>2.4187154670174773</v>
      </c>
      <c r="BA37" s="357"/>
      <c r="BB37" s="353">
        <f t="shared" ref="BB37:BB38" si="201">$C$56*$AX37</f>
        <v>18469.112185890022</v>
      </c>
      <c r="BC37" s="357">
        <f t="shared" ref="BC37:BC38" si="202">$C$56*$AZ37</f>
        <v>31927.044164630701</v>
      </c>
      <c r="BD37" s="322"/>
      <c r="BE37" s="353">
        <f t="shared" ref="BE37:BE38" si="203">BE$42*$C37</f>
        <v>1.2450157712122807</v>
      </c>
      <c r="BF37" s="354"/>
      <c r="BG37" s="355">
        <f t="shared" ref="BG37:BG38" si="204">BG$42*$E37</f>
        <v>2.1421978951324934</v>
      </c>
      <c r="BH37" s="357"/>
      <c r="BI37" s="353">
        <f t="shared" ref="BI37:BI38" si="205">$C$57*$BE37</f>
        <v>16434.208180002104</v>
      </c>
      <c r="BJ37" s="357">
        <f t="shared" ref="BJ37:BJ38" si="206">$C$57*$BG37</f>
        <v>28277.012215748913</v>
      </c>
      <c r="BK37" s="322"/>
      <c r="BL37" s="353">
        <f t="shared" ref="BL37:BL38" si="207">BL$42*$C37</f>
        <v>1.9478290407000531</v>
      </c>
      <c r="BM37" s="354"/>
      <c r="BN37" s="355">
        <f t="shared" ref="BN37:BN38" si="208">BN$42*$E37</f>
        <v>3.3562886195269521</v>
      </c>
      <c r="BO37" s="357"/>
      <c r="BP37" s="353">
        <f t="shared" ref="BP37:BP38" si="209">$C$51*$BL37</f>
        <v>154268.06002344421</v>
      </c>
      <c r="BQ37" s="357">
        <f t="shared" ref="BQ37:BQ38" si="210">$C$51*$BN37</f>
        <v>265818.05866653461</v>
      </c>
      <c r="BR37" s="322"/>
      <c r="BS37" s="353">
        <f t="shared" ref="BS37:BS38" si="211">BS$42*$C37</f>
        <v>1.4446062454000632</v>
      </c>
      <c r="BT37" s="354"/>
      <c r="BU37" s="355">
        <f t="shared" ref="BU37:BU38" si="212">BU$42*$E37</f>
        <v>2.5163099041533545</v>
      </c>
      <c r="BV37" s="357"/>
      <c r="BW37" s="353">
        <f t="shared" ref="BW37:BW38" si="213">$C$53*$BS37</f>
        <v>23836.003049101044</v>
      </c>
      <c r="BX37" s="357">
        <f t="shared" ref="BX37:BX38" si="214">$C$53*$BU37</f>
        <v>41519.113418530353</v>
      </c>
      <c r="BY37" s="322"/>
      <c r="BZ37" s="322"/>
      <c r="CA37" s="322"/>
    </row>
    <row r="38" spans="1:79">
      <c r="A38" s="342" t="s">
        <v>500</v>
      </c>
      <c r="B38" s="303" t="s">
        <v>501</v>
      </c>
      <c r="C38" s="403">
        <v>3.8999999999999998E-3</v>
      </c>
      <c r="D38" s="403">
        <v>3.0000000000000001E-3</v>
      </c>
      <c r="E38" s="403">
        <v>4.1000000000000003E-3</v>
      </c>
      <c r="F38" s="404">
        <v>3.0999999999999999E-3</v>
      </c>
      <c r="G38" s="322"/>
      <c r="H38" s="353">
        <f t="shared" si="176"/>
        <v>0.24933182630638207</v>
      </c>
      <c r="I38" s="355"/>
      <c r="J38" s="355">
        <f t="shared" si="177"/>
        <v>0.26159556474346934</v>
      </c>
      <c r="K38" s="357"/>
      <c r="L38" s="353">
        <f t="shared" si="178"/>
        <v>179.51891494059507</v>
      </c>
      <c r="M38" s="357">
        <f t="shared" si="179"/>
        <v>188.34880661529789</v>
      </c>
      <c r="N38" s="322"/>
      <c r="O38" s="353">
        <f t="shared" si="180"/>
        <v>5.802228998002313E-2</v>
      </c>
      <c r="P38" s="354"/>
      <c r="Q38" s="355">
        <f t="shared" si="181"/>
        <v>5.9600638977635789E-2</v>
      </c>
      <c r="R38" s="357"/>
      <c r="S38" s="353">
        <f t="shared" si="182"/>
        <v>3063.5769109452212</v>
      </c>
      <c r="T38" s="357">
        <f t="shared" si="183"/>
        <v>3146.9137380191696</v>
      </c>
      <c r="U38" s="322"/>
      <c r="V38" s="353">
        <f t="shared" si="184"/>
        <v>4.5823257281043007E-2</v>
      </c>
      <c r="W38" s="354"/>
      <c r="X38" s="355">
        <f t="shared" si="185"/>
        <v>4.6809810186055255E-2</v>
      </c>
      <c r="Y38" s="357"/>
      <c r="Z38" s="353">
        <f t="shared" si="186"/>
        <v>1814.6009883293032</v>
      </c>
      <c r="AA38" s="395">
        <f t="shared" si="186"/>
        <v>1814.6009883293032</v>
      </c>
      <c r="AB38" s="322"/>
      <c r="AC38" s="353">
        <f t="shared" si="187"/>
        <v>6.7576490379560511E-2</v>
      </c>
      <c r="AD38" s="354"/>
      <c r="AE38" s="355">
        <f t="shared" si="188"/>
        <v>6.9675342980642735E-2</v>
      </c>
      <c r="AF38" s="357"/>
      <c r="AG38" s="353">
        <f t="shared" si="189"/>
        <v>5352.0580380611927</v>
      </c>
      <c r="AH38" s="357">
        <f t="shared" si="190"/>
        <v>5518.2871640669046</v>
      </c>
      <c r="AI38" s="322"/>
      <c r="AJ38" s="353"/>
      <c r="AK38" s="355">
        <f t="shared" si="191"/>
        <v>5.9798498617147366E-2</v>
      </c>
      <c r="AL38" s="355"/>
      <c r="AM38" s="357">
        <f t="shared" si="192"/>
        <v>6.1288614298323031E-2</v>
      </c>
      <c r="AN38" s="353">
        <f t="shared" si="193"/>
        <v>789.34018174634525</v>
      </c>
      <c r="AO38" s="357">
        <f t="shared" si="194"/>
        <v>809.009708737864</v>
      </c>
      <c r="AP38" s="322"/>
      <c r="AQ38" s="353">
        <f t="shared" si="195"/>
        <v>5.2732625381137634E-2</v>
      </c>
      <c r="AR38" s="354"/>
      <c r="AS38" s="355">
        <f t="shared" si="196"/>
        <v>5.4072072918624321E-2</v>
      </c>
      <c r="AT38" s="357"/>
      <c r="AU38" s="353">
        <f t="shared" si="197"/>
        <v>4176.4239301861007</v>
      </c>
      <c r="AV38" s="357">
        <f t="shared" si="198"/>
        <v>4282.508175155046</v>
      </c>
      <c r="AW38" s="322"/>
      <c r="AX38" s="353">
        <f t="shared" si="199"/>
        <v>5.6197560719167275E-2</v>
      </c>
      <c r="AY38" s="354"/>
      <c r="AZ38" s="355">
        <f t="shared" si="200"/>
        <v>5.7289043412892315E-2</v>
      </c>
      <c r="BA38" s="357"/>
      <c r="BB38" s="353">
        <f t="shared" si="201"/>
        <v>741.80780149300801</v>
      </c>
      <c r="BC38" s="357">
        <f t="shared" si="202"/>
        <v>756.21537305017853</v>
      </c>
      <c r="BD38" s="322"/>
      <c r="BE38" s="353">
        <f t="shared" si="203"/>
        <v>5.000578277783619E-2</v>
      </c>
      <c r="BF38" s="354"/>
      <c r="BG38" s="355">
        <f t="shared" si="204"/>
        <v>5.0739522646119153E-2</v>
      </c>
      <c r="BH38" s="357"/>
      <c r="BI38" s="353">
        <f t="shared" si="205"/>
        <v>660.07633266743767</v>
      </c>
      <c r="BJ38" s="357">
        <f t="shared" si="206"/>
        <v>669.76169892877283</v>
      </c>
      <c r="BK38" s="322"/>
      <c r="BL38" s="353">
        <f t="shared" si="207"/>
        <v>7.8234122129044348E-2</v>
      </c>
      <c r="BM38" s="354"/>
      <c r="BN38" s="355">
        <f t="shared" si="208"/>
        <v>7.9496148700522865E-2</v>
      </c>
      <c r="BO38" s="357"/>
      <c r="BP38" s="353">
        <f t="shared" si="209"/>
        <v>6196.1424726203122</v>
      </c>
      <c r="BQ38" s="357">
        <f t="shared" si="210"/>
        <v>6296.0949770814104</v>
      </c>
      <c r="BR38" s="322"/>
      <c r="BS38" s="353">
        <f t="shared" si="211"/>
        <v>5.802228998002313E-2</v>
      </c>
      <c r="BT38" s="354"/>
      <c r="BU38" s="355">
        <f t="shared" si="212"/>
        <v>5.9600638977635789E-2</v>
      </c>
      <c r="BV38" s="357"/>
      <c r="BW38" s="353">
        <f t="shared" si="213"/>
        <v>957.36778467038164</v>
      </c>
      <c r="BX38" s="357">
        <f t="shared" si="214"/>
        <v>983.4105431309905</v>
      </c>
      <c r="BY38" s="322"/>
      <c r="BZ38" s="322"/>
      <c r="CA38" s="322"/>
    </row>
    <row r="39" spans="1:79" ht="14.5">
      <c r="A39" s="405" t="s">
        <v>502</v>
      </c>
      <c r="B39" s="406" t="s">
        <v>503</v>
      </c>
      <c r="C39" s="407">
        <f>SUM(C37:C38)</f>
        <v>0.10100000000000001</v>
      </c>
      <c r="D39" s="407">
        <f>SUM(D37:D38)</f>
        <v>3.7500000000000006E-2</v>
      </c>
      <c r="E39" s="407">
        <f>SUM(E37:E38)</f>
        <v>0.17719999999999997</v>
      </c>
      <c r="F39" s="408">
        <f>SUM(F37:F38)</f>
        <v>6.8400000000000002E-2</v>
      </c>
      <c r="G39" s="361"/>
      <c r="H39" s="358">
        <f t="shared" ref="H39:M39" si="215">SUM(H37:H38)</f>
        <v>6.4570549889601523</v>
      </c>
      <c r="I39" s="359">
        <f t="shared" si="215"/>
        <v>0</v>
      </c>
      <c r="J39" s="359">
        <f t="shared" si="215"/>
        <v>11.306032700620184</v>
      </c>
      <c r="K39" s="360">
        <f t="shared" si="215"/>
        <v>0</v>
      </c>
      <c r="L39" s="358">
        <f t="shared" si="215"/>
        <v>4649.0795920513092</v>
      </c>
      <c r="M39" s="360">
        <f t="shared" si="215"/>
        <v>8140.3435444465313</v>
      </c>
      <c r="N39" s="322"/>
      <c r="O39" s="358">
        <f t="shared" ref="O39:T39" si="216">SUM(O37:O38)</f>
        <v>1.5026285353800863</v>
      </c>
      <c r="P39" s="359">
        <f t="shared" si="216"/>
        <v>0</v>
      </c>
      <c r="Q39" s="359">
        <f t="shared" si="216"/>
        <v>2.5759105431309903</v>
      </c>
      <c r="R39" s="360">
        <f t="shared" si="216"/>
        <v>0</v>
      </c>
      <c r="S39" s="358">
        <f t="shared" si="216"/>
        <v>79338.786668068555</v>
      </c>
      <c r="T39" s="360">
        <f t="shared" si="216"/>
        <v>136008.0766773163</v>
      </c>
      <c r="U39" s="322"/>
      <c r="V39" s="358">
        <f t="shared" ref="V39:AA39" si="217">SUM(V37:V38)</f>
        <v>1.1867048680475241</v>
      </c>
      <c r="W39" s="359">
        <f t="shared" si="217"/>
        <v>0</v>
      </c>
      <c r="X39" s="359">
        <f t="shared" si="217"/>
        <v>2.0230971621875584</v>
      </c>
      <c r="Y39" s="360">
        <f t="shared" si="217"/>
        <v>0</v>
      </c>
      <c r="Z39" s="358">
        <f t="shared" si="217"/>
        <v>46993.512774681949</v>
      </c>
      <c r="AA39" s="360">
        <f t="shared" si="217"/>
        <v>46993.512774681949</v>
      </c>
      <c r="AB39" s="322"/>
      <c r="AC39" s="358">
        <f t="shared" ref="AC39:AH39" si="218">SUM(AC37:AC38)</f>
        <v>1.7500578277783623</v>
      </c>
      <c r="AD39" s="359">
        <f t="shared" si="218"/>
        <v>0</v>
      </c>
      <c r="AE39" s="359">
        <f t="shared" si="218"/>
        <v>3.0113343356511928</v>
      </c>
      <c r="AF39" s="360">
        <f t="shared" si="218"/>
        <v>0</v>
      </c>
      <c r="AG39" s="358">
        <f t="shared" si="218"/>
        <v>138604.57996004628</v>
      </c>
      <c r="AH39" s="360">
        <f t="shared" si="218"/>
        <v>238497.67938357449</v>
      </c>
      <c r="AI39" s="322"/>
      <c r="AJ39" s="358">
        <f t="shared" ref="AJ39:AO39" si="219">SUM(AJ37:AJ38)</f>
        <v>0</v>
      </c>
      <c r="AK39" s="359">
        <f t="shared" si="219"/>
        <v>0.74748123271434219</v>
      </c>
      <c r="AL39" s="359">
        <f t="shared" si="219"/>
        <v>0</v>
      </c>
      <c r="AM39" s="360">
        <f t="shared" si="219"/>
        <v>1.3523036187113857</v>
      </c>
      <c r="AN39" s="358">
        <f t="shared" si="219"/>
        <v>9866.7522718293167</v>
      </c>
      <c r="AO39" s="360">
        <f t="shared" si="219"/>
        <v>17850.407766990291</v>
      </c>
      <c r="AP39" s="322"/>
      <c r="AQ39" s="358">
        <f t="shared" ref="AQ39:AV39" si="220">SUM(AQ37:AQ38)</f>
        <v>1.365639785511513</v>
      </c>
      <c r="AR39" s="359">
        <f t="shared" si="220"/>
        <v>0</v>
      </c>
      <c r="AS39" s="359">
        <f t="shared" si="220"/>
        <v>2.3369686149220064</v>
      </c>
      <c r="AT39" s="360">
        <f t="shared" si="220"/>
        <v>0</v>
      </c>
      <c r="AU39" s="358">
        <f t="shared" si="220"/>
        <v>108158.67101251183</v>
      </c>
      <c r="AV39" s="360">
        <f t="shared" si="220"/>
        <v>185087.91430182289</v>
      </c>
      <c r="AW39" s="322"/>
      <c r="AX39" s="358">
        <f t="shared" ref="AX39:BC39" si="221">SUM(AX37:AX38)</f>
        <v>1.4553727263168963</v>
      </c>
      <c r="AY39" s="359">
        <f t="shared" si="221"/>
        <v>0</v>
      </c>
      <c r="AZ39" s="359">
        <f t="shared" si="221"/>
        <v>2.4760045104303696</v>
      </c>
      <c r="BA39" s="360">
        <f t="shared" si="221"/>
        <v>0</v>
      </c>
      <c r="BB39" s="358">
        <f t="shared" si="221"/>
        <v>19210.919987383029</v>
      </c>
      <c r="BC39" s="360">
        <f t="shared" si="221"/>
        <v>32683.259537680879</v>
      </c>
      <c r="BD39" s="322"/>
      <c r="BE39" s="358">
        <f t="shared" ref="BE39:BJ39" si="222">SUM(BE37:BE38)</f>
        <v>1.2950215539901169</v>
      </c>
      <c r="BF39" s="359">
        <f t="shared" si="222"/>
        <v>0</v>
      </c>
      <c r="BG39" s="359">
        <f t="shared" si="222"/>
        <v>2.1929374177786127</v>
      </c>
      <c r="BH39" s="360">
        <f t="shared" si="222"/>
        <v>0</v>
      </c>
      <c r="BI39" s="358">
        <f t="shared" si="222"/>
        <v>17094.284512669543</v>
      </c>
      <c r="BJ39" s="360">
        <f t="shared" si="222"/>
        <v>28946.773914677688</v>
      </c>
      <c r="BK39" s="322"/>
      <c r="BL39" s="358">
        <f t="shared" ref="BL39:BQ39" si="223">SUM(BL37:BL38)</f>
        <v>2.0260631628290975</v>
      </c>
      <c r="BM39" s="359">
        <f t="shared" si="223"/>
        <v>0</v>
      </c>
      <c r="BN39" s="359">
        <f t="shared" si="223"/>
        <v>3.4357847682274749</v>
      </c>
      <c r="BO39" s="360">
        <f t="shared" si="223"/>
        <v>0</v>
      </c>
      <c r="BP39" s="358">
        <f t="shared" si="223"/>
        <v>160464.20249606454</v>
      </c>
      <c r="BQ39" s="360">
        <f t="shared" si="223"/>
        <v>272114.15364361601</v>
      </c>
      <c r="BR39" s="322"/>
      <c r="BS39" s="358">
        <f t="shared" ref="BS39:BX39" si="224">SUM(BS37:BS38)</f>
        <v>1.5026285353800863</v>
      </c>
      <c r="BT39" s="359">
        <f t="shared" si="224"/>
        <v>0</v>
      </c>
      <c r="BU39" s="359">
        <f t="shared" si="224"/>
        <v>2.5759105431309903</v>
      </c>
      <c r="BV39" s="360">
        <f t="shared" si="224"/>
        <v>0</v>
      </c>
      <c r="BW39" s="358">
        <f t="shared" si="224"/>
        <v>24793.370833771427</v>
      </c>
      <c r="BX39" s="360">
        <f t="shared" si="224"/>
        <v>42502.52396166134</v>
      </c>
      <c r="BY39" s="322"/>
      <c r="BZ39" s="322"/>
      <c r="CA39" s="322"/>
    </row>
    <row r="40" spans="1:79" ht="15" thickBot="1">
      <c r="A40" s="601" t="s">
        <v>504</v>
      </c>
      <c r="B40" s="602"/>
      <c r="C40" s="409">
        <f>C39+C35+C28+C16</f>
        <v>0.90219999999999989</v>
      </c>
      <c r="D40" s="409">
        <f>D39+D35+D28+D16</f>
        <v>0.51860000000000006</v>
      </c>
      <c r="E40" s="409">
        <f>E39+E35+E28+E16</f>
        <v>1.1284000000000001</v>
      </c>
      <c r="F40" s="410">
        <f>F39+F35+F28+F16</f>
        <v>0.69950000000000001</v>
      </c>
      <c r="G40" s="322"/>
      <c r="H40" s="362">
        <f t="shared" ref="H40:M40" si="225">H39+H35+H28+H16</f>
        <v>57.678762485543061</v>
      </c>
      <c r="I40" s="363">
        <f t="shared" si="225"/>
        <v>0</v>
      </c>
      <c r="J40" s="363">
        <f t="shared" si="225"/>
        <v>71.996203721105061</v>
      </c>
      <c r="K40" s="364">
        <f t="shared" si="225"/>
        <v>0</v>
      </c>
      <c r="L40" s="362">
        <f t="shared" si="225"/>
        <v>41528.708989591003</v>
      </c>
      <c r="M40" s="364">
        <f t="shared" si="225"/>
        <v>51837.266679195629</v>
      </c>
      <c r="N40" s="322"/>
      <c r="O40" s="362">
        <f t="shared" ref="O40:T40" si="226">O39+O35+O28+O16</f>
        <v>13.422489748712017</v>
      </c>
      <c r="P40" s="363">
        <f t="shared" si="226"/>
        <v>0</v>
      </c>
      <c r="Q40" s="363">
        <f t="shared" si="226"/>
        <v>16.403258785942491</v>
      </c>
      <c r="R40" s="364">
        <f t="shared" si="226"/>
        <v>0</v>
      </c>
      <c r="S40" s="362">
        <f t="shared" si="226"/>
        <v>708707.4587319945</v>
      </c>
      <c r="T40" s="364">
        <f t="shared" si="226"/>
        <v>866092.06389776361</v>
      </c>
      <c r="U40" s="322"/>
      <c r="V40" s="362">
        <f t="shared" ref="V40:AA40" si="227">V39+V35+V28+V16</f>
        <v>10.600446851014617</v>
      </c>
      <c r="W40" s="363">
        <f t="shared" si="227"/>
        <v>0</v>
      </c>
      <c r="X40" s="363">
        <f t="shared" si="227"/>
        <v>12.882973125352375</v>
      </c>
      <c r="Y40" s="364">
        <f t="shared" si="227"/>
        <v>0</v>
      </c>
      <c r="Z40" s="362">
        <f t="shared" si="227"/>
        <v>419777.69530017878</v>
      </c>
      <c r="AA40" s="364">
        <f t="shared" si="227"/>
        <v>478528.63907627622</v>
      </c>
      <c r="AB40" s="322"/>
      <c r="AC40" s="362">
        <f t="shared" ref="AC40:AH40" si="228">AC39+AC35+AC28+AC16</f>
        <v>15.632694774471666</v>
      </c>
      <c r="AD40" s="363">
        <f t="shared" si="228"/>
        <v>0</v>
      </c>
      <c r="AE40" s="363">
        <f t="shared" si="228"/>
        <v>19.176013907160307</v>
      </c>
      <c r="AF40" s="364">
        <f t="shared" si="228"/>
        <v>0</v>
      </c>
      <c r="AG40" s="362">
        <f t="shared" si="228"/>
        <v>1238109.4261381561</v>
      </c>
      <c r="AH40" s="364">
        <f t="shared" si="228"/>
        <v>1518740.3014470963</v>
      </c>
      <c r="AI40" s="322"/>
      <c r="AJ40" s="362">
        <f t="shared" ref="AJ40:AO40" si="229">AJ39+AJ35+AJ28+AJ16</f>
        <v>0</v>
      </c>
      <c r="AK40" s="363">
        <f t="shared" si="229"/>
        <v>10.337167127617541</v>
      </c>
      <c r="AL40" s="363">
        <f t="shared" si="229"/>
        <v>0</v>
      </c>
      <c r="AM40" s="364">
        <f t="shared" si="229"/>
        <v>13.829479258605474</v>
      </c>
      <c r="AN40" s="362">
        <f t="shared" si="229"/>
        <v>136450.60608455155</v>
      </c>
      <c r="AO40" s="364">
        <f t="shared" si="229"/>
        <v>182549.12621359224</v>
      </c>
      <c r="AP40" s="322"/>
      <c r="AQ40" s="362">
        <f t="shared" ref="AQ40:AV40" si="230">AQ39+AQ35+AQ28+AQ16</f>
        <v>12.198814004836503</v>
      </c>
      <c r="AR40" s="363">
        <f t="shared" si="230"/>
        <v>0</v>
      </c>
      <c r="AS40" s="363">
        <f t="shared" si="230"/>
        <v>14.881689532042847</v>
      </c>
      <c r="AT40" s="364">
        <f t="shared" si="230"/>
        <v>0</v>
      </c>
      <c r="AU40" s="362">
        <f t="shared" si="230"/>
        <v>966146.06918305112</v>
      </c>
      <c r="AV40" s="364">
        <f t="shared" si="230"/>
        <v>1178629.8109377935</v>
      </c>
      <c r="AW40" s="322"/>
      <c r="AX40" s="362">
        <f t="shared" ref="AX40:BC40" si="231">AX39+AX35+AX28+AX16</f>
        <v>13.000369046367364</v>
      </c>
      <c r="AY40" s="363">
        <f t="shared" si="231"/>
        <v>0</v>
      </c>
      <c r="AZ40" s="363">
        <f t="shared" si="231"/>
        <v>15.767062582221387</v>
      </c>
      <c r="BA40" s="364">
        <f t="shared" si="231"/>
        <v>0</v>
      </c>
      <c r="BB40" s="362">
        <f t="shared" si="231"/>
        <v>171604.87141204922</v>
      </c>
      <c r="BC40" s="364">
        <f t="shared" si="231"/>
        <v>208125.22608532227</v>
      </c>
      <c r="BD40" s="322"/>
      <c r="BE40" s="362">
        <f t="shared" ref="BE40:BJ40" si="232">BE39+BE35+BE28+BE16</f>
        <v>11.568004415939438</v>
      </c>
      <c r="BF40" s="363">
        <f t="shared" si="232"/>
        <v>0</v>
      </c>
      <c r="BG40" s="363">
        <f t="shared" si="232"/>
        <v>13.964506671678254</v>
      </c>
      <c r="BH40" s="364">
        <f t="shared" si="232"/>
        <v>0</v>
      </c>
      <c r="BI40" s="362">
        <f t="shared" si="232"/>
        <v>152697.65829040061</v>
      </c>
      <c r="BJ40" s="364">
        <f t="shared" si="232"/>
        <v>184331.48806615296</v>
      </c>
      <c r="BK40" s="322"/>
      <c r="BL40" s="362">
        <f t="shared" ref="BL40:BQ40" si="233">BL39+BL35+BL28+BL16</f>
        <v>18.098160252518923</v>
      </c>
      <c r="BM40" s="363">
        <f t="shared" si="233"/>
        <v>0</v>
      </c>
      <c r="BN40" s="363">
        <f t="shared" si="233"/>
        <v>21.878891266748774</v>
      </c>
      <c r="BO40" s="364">
        <f t="shared" si="233"/>
        <v>0</v>
      </c>
      <c r="BP40" s="362">
        <f t="shared" si="233"/>
        <v>1433374.2919994991</v>
      </c>
      <c r="BQ40" s="364">
        <f t="shared" si="233"/>
        <v>1732808.1883265032</v>
      </c>
      <c r="BR40" s="322"/>
      <c r="BS40" s="362">
        <f t="shared" ref="BS40:BX40" si="234">BS39+BS35+BS28+BS16</f>
        <v>13.422489748712017</v>
      </c>
      <c r="BT40" s="363">
        <f t="shared" si="234"/>
        <v>0</v>
      </c>
      <c r="BU40" s="363">
        <f t="shared" si="234"/>
        <v>16.403258785942491</v>
      </c>
      <c r="BV40" s="364">
        <f t="shared" si="234"/>
        <v>0</v>
      </c>
      <c r="BW40" s="362">
        <f t="shared" si="234"/>
        <v>221471.08085374831</v>
      </c>
      <c r="BX40" s="364">
        <f t="shared" si="234"/>
        <v>270653.76996805111</v>
      </c>
      <c r="BY40" s="322"/>
      <c r="BZ40" s="322"/>
      <c r="CA40" s="322"/>
    </row>
    <row r="41" spans="1:79">
      <c r="A41" s="322"/>
      <c r="B41" s="322"/>
      <c r="C41" s="322"/>
      <c r="D41" s="322"/>
      <c r="E41" s="322"/>
      <c r="F41" s="322"/>
      <c r="G41" s="322"/>
      <c r="H41" s="603" t="s">
        <v>517</v>
      </c>
      <c r="I41" s="585"/>
      <c r="J41" s="585"/>
      <c r="K41" s="585"/>
      <c r="L41" s="383"/>
      <c r="M41" s="384"/>
      <c r="N41" s="322"/>
      <c r="O41" s="603" t="s">
        <v>517</v>
      </c>
      <c r="P41" s="585"/>
      <c r="Q41" s="585"/>
      <c r="R41" s="585"/>
      <c r="S41" s="383"/>
      <c r="T41" s="384"/>
      <c r="U41" s="322"/>
      <c r="V41" s="603" t="s">
        <v>517</v>
      </c>
      <c r="W41" s="585"/>
      <c r="X41" s="585"/>
      <c r="Y41" s="585"/>
      <c r="Z41" s="383"/>
      <c r="AA41" s="384"/>
      <c r="AB41" s="322"/>
      <c r="AC41" s="603" t="s">
        <v>517</v>
      </c>
      <c r="AD41" s="585"/>
      <c r="AE41" s="585"/>
      <c r="AF41" s="585"/>
      <c r="AG41" s="383"/>
      <c r="AH41" s="384"/>
      <c r="AI41" s="322"/>
      <c r="AJ41" s="603" t="s">
        <v>517</v>
      </c>
      <c r="AK41" s="585"/>
      <c r="AL41" s="585"/>
      <c r="AM41" s="585"/>
      <c r="AN41" s="383"/>
      <c r="AO41" s="384"/>
      <c r="AP41" s="322"/>
      <c r="AQ41" s="603" t="s">
        <v>517</v>
      </c>
      <c r="AR41" s="585"/>
      <c r="AS41" s="585"/>
      <c r="AT41" s="585"/>
      <c r="AU41" s="383"/>
      <c r="AV41" s="384"/>
      <c r="AW41" s="322"/>
      <c r="AX41" s="603" t="s">
        <v>517</v>
      </c>
      <c r="AY41" s="585"/>
      <c r="AZ41" s="585"/>
      <c r="BA41" s="585"/>
      <c r="BB41" s="383"/>
      <c r="BC41" s="384"/>
      <c r="BD41" s="322"/>
      <c r="BE41" s="603" t="s">
        <v>517</v>
      </c>
      <c r="BF41" s="585"/>
      <c r="BG41" s="585"/>
      <c r="BH41" s="585"/>
      <c r="BI41" s="383"/>
      <c r="BJ41" s="384"/>
      <c r="BK41" s="322"/>
      <c r="BL41" s="603" t="s">
        <v>517</v>
      </c>
      <c r="BM41" s="585"/>
      <c r="BN41" s="585"/>
      <c r="BO41" s="585"/>
      <c r="BP41" s="383"/>
      <c r="BQ41" s="384"/>
      <c r="BR41" s="322"/>
      <c r="BS41" s="603" t="s">
        <v>517</v>
      </c>
      <c r="BT41" s="585"/>
      <c r="BU41" s="585"/>
      <c r="BV41" s="585"/>
      <c r="BW41" s="383"/>
      <c r="BX41" s="384"/>
      <c r="BY41" s="322"/>
      <c r="BZ41" s="322"/>
      <c r="CA41" s="322"/>
    </row>
    <row r="42" spans="1:79">
      <c r="A42" s="322"/>
      <c r="B42" s="322"/>
      <c r="C42" s="322"/>
      <c r="D42" s="322"/>
      <c r="E42" s="322"/>
      <c r="F42" s="322"/>
      <c r="G42" s="322" t="s">
        <v>506</v>
      </c>
      <c r="H42" s="385">
        <f>I3/(1+$C$40)</f>
        <v>63.931237514456946</v>
      </c>
      <c r="I42" s="323"/>
      <c r="J42" s="386">
        <f>K3/(1+$E$40)</f>
        <v>63.80379627889495</v>
      </c>
      <c r="K42" s="323"/>
      <c r="L42" s="387">
        <f>(Análitica!$E13+Análitica!$E56)*H42</f>
        <v>46030.491010408994</v>
      </c>
      <c r="M42" s="388">
        <f>(Análitica!$E13+Análitica!$E56)*J42</f>
        <v>45938.733320804356</v>
      </c>
      <c r="N42" s="322"/>
      <c r="O42" s="385">
        <f>P3/(1+$C$40)</f>
        <v>14.877510251287983</v>
      </c>
      <c r="P42" s="323"/>
      <c r="Q42" s="386">
        <f>R3/(1+$E$40)</f>
        <v>14.536741214057509</v>
      </c>
      <c r="R42" s="323"/>
      <c r="S42" s="387">
        <f>O42*C50</f>
        <v>785532.5412680055</v>
      </c>
      <c r="T42" s="388">
        <f>C50*Q42</f>
        <v>767539.9361022365</v>
      </c>
      <c r="U42" s="322"/>
      <c r="V42" s="385">
        <f>W3/(1+$C$40)</f>
        <v>11.749553148985386</v>
      </c>
      <c r="W42" s="323"/>
      <c r="X42" s="386">
        <f>Y3/(1+$E$40)</f>
        <v>11.417026874647622</v>
      </c>
      <c r="Y42" s="323"/>
      <c r="Z42" s="387">
        <f>V42*$C$55</f>
        <v>465282.30469982128</v>
      </c>
      <c r="AA42" s="388">
        <f>X42*$C$55</f>
        <v>452114.26423604583</v>
      </c>
      <c r="AB42" s="322"/>
      <c r="AC42" s="385">
        <f>AD3/(1+$C$40)</f>
        <v>17.327305225528338</v>
      </c>
      <c r="AD42" s="323"/>
      <c r="AE42" s="386">
        <f>AF3/(1+$E$40)</f>
        <v>16.993986092839691</v>
      </c>
      <c r="AF42" s="323"/>
      <c r="AG42" s="387">
        <f>AC42*$C$52</f>
        <v>400260.75070970459</v>
      </c>
      <c r="AH42" s="388">
        <f>AE42*$C$52</f>
        <v>392561.07874459686</v>
      </c>
      <c r="AI42" s="322"/>
      <c r="AJ42" s="385">
        <f>AK3/(1+$D$40)</f>
        <v>19.932832872382455</v>
      </c>
      <c r="AK42" s="323"/>
      <c r="AL42" s="386">
        <f>AM3/(1+$F$40)</f>
        <v>19.770520741394527</v>
      </c>
      <c r="AM42" s="323"/>
      <c r="AN42" s="387">
        <f>AJ42*$C$49</f>
        <v>263113.3939154484</v>
      </c>
      <c r="AO42" s="388">
        <f>AL42*$C$49</f>
        <v>260970.87378640776</v>
      </c>
      <c r="AP42" s="322"/>
      <c r="AQ42" s="385">
        <f>AR3/(1+$C$40)</f>
        <v>13.521185995163496</v>
      </c>
      <c r="AR42" s="323"/>
      <c r="AS42" s="386">
        <f>AT3/(1+$E$40)</f>
        <v>13.18831046795715</v>
      </c>
      <c r="AT42" s="323"/>
      <c r="AU42" s="387">
        <f>AQ42*$C$54</f>
        <v>1070877.9308169489</v>
      </c>
      <c r="AV42" s="388">
        <f>AS42*$C$54</f>
        <v>1044514.1890622063</v>
      </c>
      <c r="AW42" s="322"/>
      <c r="AX42" s="385">
        <f>AY3/(1+$C$40)</f>
        <v>14.409630953632636</v>
      </c>
      <c r="AY42" s="323"/>
      <c r="AZ42" s="386">
        <f>BA3/(1+$E$40)</f>
        <v>13.972937417778612</v>
      </c>
      <c r="BA42" s="323"/>
      <c r="BB42" s="387">
        <f>AX42*$C$56</f>
        <v>190207.12858795081</v>
      </c>
      <c r="BC42" s="388">
        <f>AZ42*$C$56</f>
        <v>184442.77391467767</v>
      </c>
      <c r="BD42" s="322"/>
      <c r="BE42" s="385">
        <f>BF3/(1+$C$40)</f>
        <v>12.821995584060563</v>
      </c>
      <c r="BF42" s="323"/>
      <c r="BG42" s="386">
        <f>BH3/(1+$E$40)</f>
        <v>12.375493328321744</v>
      </c>
      <c r="BH42" s="323"/>
      <c r="BI42" s="387">
        <f>BE42*$C$57</f>
        <v>169250.34170959942</v>
      </c>
      <c r="BJ42" s="388">
        <f>BG42*$C$57</f>
        <v>163356.51193384701</v>
      </c>
      <c r="BK42" s="322"/>
      <c r="BL42" s="385">
        <f>BM3/(1+$C$40)</f>
        <v>20.060031315139579</v>
      </c>
      <c r="BM42" s="323"/>
      <c r="BN42" s="386">
        <f>BO3/(1+$E$40)</f>
        <v>19.389304561103135</v>
      </c>
      <c r="BO42" s="323"/>
      <c r="BP42" s="387">
        <f>BL42*$C$51</f>
        <v>1588754.4801590547</v>
      </c>
      <c r="BQ42" s="388">
        <f>BN42*$C$51</f>
        <v>1535632.9212393684</v>
      </c>
      <c r="BR42" s="322"/>
      <c r="BS42" s="385">
        <f>BT3/(1+$C$40)</f>
        <v>14.877510251287983</v>
      </c>
      <c r="BT42" s="323"/>
      <c r="BU42" s="386">
        <f>BV3/(1+$E$40)</f>
        <v>14.536741214057509</v>
      </c>
      <c r="BV42" s="323"/>
      <c r="BW42" s="387">
        <f>BS42*$C$53</f>
        <v>245478.91914625172</v>
      </c>
      <c r="BX42" s="388">
        <f>BU42*$C$51</f>
        <v>1151309.9041533547</v>
      </c>
      <c r="BY42" s="322"/>
      <c r="BZ42" s="322"/>
      <c r="CA42" s="322"/>
    </row>
    <row r="43" spans="1:79">
      <c r="A43" s="322"/>
      <c r="B43" s="322"/>
      <c r="C43" s="322"/>
      <c r="D43" s="322"/>
      <c r="E43" s="322"/>
      <c r="F43" s="322"/>
      <c r="G43" s="322" t="s">
        <v>507</v>
      </c>
      <c r="H43" s="385">
        <f>H40</f>
        <v>57.678762485543061</v>
      </c>
      <c r="I43" s="323"/>
      <c r="J43" s="386">
        <f>J40</f>
        <v>71.996203721105061</v>
      </c>
      <c r="K43" s="323"/>
      <c r="L43" s="387">
        <f>(Análitica!$E13+Análitica!$E56)*H43</f>
        <v>41528.708989590996</v>
      </c>
      <c r="M43" s="388">
        <f>(Análitica!$E13+Análitica!$E56)*J43</f>
        <v>51837.266679195636</v>
      </c>
      <c r="N43" s="322"/>
      <c r="O43" s="385">
        <f>O40</f>
        <v>13.422489748712017</v>
      </c>
      <c r="P43" s="323"/>
      <c r="Q43" s="386">
        <f>Q40</f>
        <v>16.403258785942491</v>
      </c>
      <c r="R43" s="323"/>
      <c r="S43" s="387">
        <f>O43*C50</f>
        <v>708707.4587319945</v>
      </c>
      <c r="T43" s="388">
        <f>Q43*C50</f>
        <v>866092.0638977635</v>
      </c>
      <c r="U43" s="322"/>
      <c r="V43" s="385">
        <f>V40</f>
        <v>10.600446851014617</v>
      </c>
      <c r="W43" s="323"/>
      <c r="X43" s="386">
        <f>X40</f>
        <v>12.882973125352375</v>
      </c>
      <c r="Y43" s="323"/>
      <c r="Z43" s="387">
        <f>V43*$C$55</f>
        <v>419777.69530017884</v>
      </c>
      <c r="AA43" s="388">
        <f>X43*$C$55</f>
        <v>510165.73576395406</v>
      </c>
      <c r="AB43" s="322"/>
      <c r="AC43" s="385">
        <f>AC40</f>
        <v>15.632694774471666</v>
      </c>
      <c r="AD43" s="323"/>
      <c r="AE43" s="386">
        <f>AE40</f>
        <v>19.176013907160307</v>
      </c>
      <c r="AF43" s="323"/>
      <c r="AG43" s="387">
        <f>AC43*$C$52</f>
        <v>361115.24929029547</v>
      </c>
      <c r="AH43" s="388">
        <f>AE43*$C$52</f>
        <v>442965.92125540308</v>
      </c>
      <c r="AI43" s="322"/>
      <c r="AJ43" s="385">
        <f>AK40</f>
        <v>10.337167127617541</v>
      </c>
      <c r="AK43" s="323"/>
      <c r="AL43" s="386">
        <f>AM40</f>
        <v>13.829479258605474</v>
      </c>
      <c r="AM43" s="323"/>
      <c r="AN43" s="387">
        <f>AJ43*$C$49</f>
        <v>136450.60608455155</v>
      </c>
      <c r="AO43" s="388">
        <f>AL43*$C$49</f>
        <v>182549.12621359224</v>
      </c>
      <c r="AP43" s="322"/>
      <c r="AQ43" s="385">
        <f>AQ40</f>
        <v>12.198814004836503</v>
      </c>
      <c r="AR43" s="323"/>
      <c r="AS43" s="386">
        <f>AS40</f>
        <v>14.881689532042847</v>
      </c>
      <c r="AT43" s="323"/>
      <c r="AU43" s="387">
        <f>AQ43*$C$54</f>
        <v>966146.069183051</v>
      </c>
      <c r="AV43" s="388">
        <f>AS43*$C$54</f>
        <v>1178629.8109377935</v>
      </c>
      <c r="AW43" s="322"/>
      <c r="AX43" s="385">
        <f>AX40</f>
        <v>13.000369046367364</v>
      </c>
      <c r="AY43" s="323"/>
      <c r="AZ43" s="386">
        <f>AZ40</f>
        <v>15.767062582221387</v>
      </c>
      <c r="BA43" s="323"/>
      <c r="BB43" s="387">
        <f>AX43*$C$56</f>
        <v>171604.87141204922</v>
      </c>
      <c r="BC43" s="388">
        <f>AZ43*$C$56</f>
        <v>208125.2260853223</v>
      </c>
      <c r="BD43" s="322"/>
      <c r="BE43" s="385">
        <f>BE40</f>
        <v>11.568004415939438</v>
      </c>
      <c r="BF43" s="323"/>
      <c r="BG43" s="386">
        <f>BG40</f>
        <v>13.964506671678254</v>
      </c>
      <c r="BH43" s="323"/>
      <c r="BI43" s="387">
        <f>BE43*$C$57</f>
        <v>152697.65829040058</v>
      </c>
      <c r="BJ43" s="388">
        <f>BG43*$C$57</f>
        <v>184331.48806615296</v>
      </c>
      <c r="BK43" s="322"/>
      <c r="BL43" s="385">
        <f>BL40</f>
        <v>18.098160252518923</v>
      </c>
      <c r="BM43" s="323"/>
      <c r="BN43" s="386">
        <f>BN40</f>
        <v>21.878891266748774</v>
      </c>
      <c r="BO43" s="323"/>
      <c r="BP43" s="387">
        <f>BL43*$C$51</f>
        <v>1433374.2919994986</v>
      </c>
      <c r="BQ43" s="388">
        <f>BN43*$C$51</f>
        <v>1732808.1883265029</v>
      </c>
      <c r="BR43" s="322"/>
      <c r="BS43" s="385">
        <f>BS40</f>
        <v>13.422489748712017</v>
      </c>
      <c r="BT43" s="323"/>
      <c r="BU43" s="386">
        <f>BU40</f>
        <v>16.403258785942491</v>
      </c>
      <c r="BV43" s="323"/>
      <c r="BW43" s="387">
        <f>BS43*$C$53</f>
        <v>221471.08085374828</v>
      </c>
      <c r="BX43" s="388">
        <f>BU43*$C$51</f>
        <v>1299138.0958466453</v>
      </c>
      <c r="BY43" s="322"/>
      <c r="BZ43" s="322"/>
      <c r="CA43" s="322"/>
    </row>
    <row r="44" spans="1:79">
      <c r="A44" s="322"/>
      <c r="B44" s="322"/>
      <c r="C44" s="322"/>
      <c r="D44" s="322"/>
      <c r="E44" s="322"/>
      <c r="F44" s="322"/>
      <c r="G44" s="322" t="s">
        <v>508</v>
      </c>
      <c r="H44" s="385">
        <f>H42+H43</f>
        <v>121.61000000000001</v>
      </c>
      <c r="I44" s="323"/>
      <c r="J44" s="386">
        <f>J42+J43</f>
        <v>135.80000000000001</v>
      </c>
      <c r="K44" s="323"/>
      <c r="L44" s="386">
        <f>L42+L43</f>
        <v>87559.199999999983</v>
      </c>
      <c r="M44" s="389">
        <f>M42+M43</f>
        <v>97776</v>
      </c>
      <c r="N44" s="322"/>
      <c r="O44" s="385">
        <f>O42+O43</f>
        <v>28.3</v>
      </c>
      <c r="P44" s="323"/>
      <c r="Q44" s="386">
        <f>Q42+Q43</f>
        <v>30.939999999999998</v>
      </c>
      <c r="R44" s="323"/>
      <c r="S44" s="386">
        <f>S42+S43</f>
        <v>1494240</v>
      </c>
      <c r="T44" s="389">
        <f>T42+T43</f>
        <v>1633632</v>
      </c>
      <c r="U44" s="322"/>
      <c r="V44" s="385">
        <f>V42+V43</f>
        <v>22.35</v>
      </c>
      <c r="W44" s="323"/>
      <c r="X44" s="386">
        <f>X42+X43</f>
        <v>24.299999999999997</v>
      </c>
      <c r="Y44" s="323"/>
      <c r="Z44" s="386">
        <f>Z42+Z43</f>
        <v>885060.00000000012</v>
      </c>
      <c r="AA44" s="389">
        <f>AA42+AA43</f>
        <v>962279.99999999988</v>
      </c>
      <c r="AB44" s="322"/>
      <c r="AC44" s="385">
        <f>AC42+AC43</f>
        <v>32.960000000000008</v>
      </c>
      <c r="AD44" s="323"/>
      <c r="AE44" s="386">
        <f>AE42+AE43</f>
        <v>36.17</v>
      </c>
      <c r="AF44" s="323"/>
      <c r="AG44" s="386">
        <f>AG42+AG43</f>
        <v>761376</v>
      </c>
      <c r="AH44" s="389">
        <f>AH42+AH43</f>
        <v>835527</v>
      </c>
      <c r="AI44" s="322"/>
      <c r="AJ44" s="385">
        <f>AJ42+AJ43</f>
        <v>30.269999999999996</v>
      </c>
      <c r="AK44" s="323"/>
      <c r="AL44" s="386">
        <f>AL42+AL43</f>
        <v>33.6</v>
      </c>
      <c r="AM44" s="323"/>
      <c r="AN44" s="386">
        <f>AN42+AN43</f>
        <v>399563.99999999994</v>
      </c>
      <c r="AO44" s="389">
        <f>AO42+AO43</f>
        <v>443520</v>
      </c>
      <c r="AP44" s="322"/>
      <c r="AQ44" s="385">
        <f>AQ42+AQ43</f>
        <v>25.72</v>
      </c>
      <c r="AR44" s="323"/>
      <c r="AS44" s="386">
        <f>AS42+AS43</f>
        <v>28.069999999999997</v>
      </c>
      <c r="AT44" s="323"/>
      <c r="AU44" s="386">
        <f>AU42+AU43</f>
        <v>2037024</v>
      </c>
      <c r="AV44" s="389">
        <f>AV42+AV43</f>
        <v>2223144</v>
      </c>
      <c r="AW44" s="322"/>
      <c r="AX44" s="385">
        <f>AX42+AX43</f>
        <v>27.41</v>
      </c>
      <c r="AY44" s="323"/>
      <c r="AZ44" s="386">
        <f>AZ42+AZ43</f>
        <v>29.74</v>
      </c>
      <c r="BA44" s="323"/>
      <c r="BB44" s="386">
        <f>BB42+BB43</f>
        <v>361812</v>
      </c>
      <c r="BC44" s="389">
        <f>BC42+BC43</f>
        <v>392568</v>
      </c>
      <c r="BD44" s="322"/>
      <c r="BE44" s="385">
        <f>BE42+BE43</f>
        <v>24.39</v>
      </c>
      <c r="BF44" s="323"/>
      <c r="BG44" s="386">
        <f>BG42+BG43</f>
        <v>26.339999999999996</v>
      </c>
      <c r="BH44" s="323"/>
      <c r="BI44" s="386">
        <f>BI42+BI43</f>
        <v>321948</v>
      </c>
      <c r="BJ44" s="389">
        <f>BJ42+BJ43</f>
        <v>347688</v>
      </c>
      <c r="BK44" s="322"/>
      <c r="BL44" s="385">
        <f>BL42+BL43</f>
        <v>38.158191567658506</v>
      </c>
      <c r="BM44" s="323"/>
      <c r="BN44" s="386">
        <f>BN42+BN43</f>
        <v>41.268195827851912</v>
      </c>
      <c r="BO44" s="323"/>
      <c r="BP44" s="386">
        <f>BP42+BP43</f>
        <v>3022128.7721585534</v>
      </c>
      <c r="BQ44" s="389">
        <f>BQ42+BQ43</f>
        <v>3268441.1095658713</v>
      </c>
      <c r="BR44" s="322"/>
      <c r="BS44" s="385">
        <f>BS42+BS43</f>
        <v>28.3</v>
      </c>
      <c r="BT44" s="323"/>
      <c r="BU44" s="386">
        <f>BU42+BU43</f>
        <v>30.939999999999998</v>
      </c>
      <c r="BV44" s="323"/>
      <c r="BW44" s="386">
        <f>BW42+BW43</f>
        <v>466950</v>
      </c>
      <c r="BX44" s="389">
        <f>BX42+BX43</f>
        <v>2450448</v>
      </c>
      <c r="BY44" s="322"/>
      <c r="BZ44" s="322"/>
      <c r="CA44" s="322"/>
    </row>
    <row r="45" spans="1:79" ht="13" thickBot="1">
      <c r="A45" s="322"/>
      <c r="B45" s="322"/>
      <c r="C45" s="322"/>
      <c r="D45" s="322"/>
      <c r="E45" s="322"/>
      <c r="F45" s="322"/>
      <c r="G45" s="322" t="s">
        <v>505</v>
      </c>
      <c r="H45" s="390" t="str">
        <f>IF(H44=I3,"ok", "conferir")</f>
        <v>ok</v>
      </c>
      <c r="I45" s="391"/>
      <c r="J45" s="391" t="str">
        <f>IF(J44=K3,"ok", "conferir")</f>
        <v>ok</v>
      </c>
      <c r="K45" s="391"/>
      <c r="L45" s="391" t="str">
        <f>IF(L44=Análitica!G13+Análitica!G56,"ok","conferir")</f>
        <v>ok</v>
      </c>
      <c r="M45" s="392" t="s">
        <v>510</v>
      </c>
      <c r="N45" s="322"/>
      <c r="O45" s="390" t="str">
        <f>IF(O44=P3,"ok", "conferir")</f>
        <v>ok</v>
      </c>
      <c r="P45" s="391"/>
      <c r="Q45" s="391" t="str">
        <f>IF(Q44=R3,"ok", "conferir")</f>
        <v>ok</v>
      </c>
      <c r="R45" s="391"/>
      <c r="S45" s="391" t="str">
        <f>IF(S44=Análitica!G15+Análitica!G58,"ok","conferir")</f>
        <v>ok</v>
      </c>
      <c r="T45" s="392" t="s">
        <v>510</v>
      </c>
      <c r="U45" s="322"/>
      <c r="V45" s="390" t="str">
        <f>IF(V44=W3,"ok", "conferir")</f>
        <v>ok</v>
      </c>
      <c r="W45" s="391"/>
      <c r="X45" s="391" t="str">
        <f>IF(X44=Y3,"ok", "conferir")</f>
        <v>ok</v>
      </c>
      <c r="Y45" s="391"/>
      <c r="Z45" s="391" t="str">
        <f>IF(Z44=Análitica!G20+Análitica!G63,"ok","conferir")</f>
        <v>ok</v>
      </c>
      <c r="AA45" s="392" t="s">
        <v>510</v>
      </c>
      <c r="AB45" s="322"/>
      <c r="AC45" s="390" t="str">
        <f>IF(AC44=AD3,"ok", "conferir")</f>
        <v>ok</v>
      </c>
      <c r="AD45" s="391"/>
      <c r="AE45" s="391" t="str">
        <f>IF(AE44=AF3,"ok", "conferir")</f>
        <v>ok</v>
      </c>
      <c r="AF45" s="391"/>
      <c r="AG45" s="391" t="str">
        <f>IF(AG44=Análitica!G17+Análitica!G60,"ok","conferir")</f>
        <v>ok</v>
      </c>
      <c r="AH45" s="392" t="s">
        <v>510</v>
      </c>
      <c r="AI45" s="322"/>
      <c r="AJ45" s="390" t="str">
        <f>IF(AJ44=AK3,"ok", "conferir")</f>
        <v>ok</v>
      </c>
      <c r="AK45" s="391"/>
      <c r="AL45" s="391" t="str">
        <f>IF(AL44=AM3,"ok", "conferir")</f>
        <v>ok</v>
      </c>
      <c r="AM45" s="391"/>
      <c r="AN45" s="391" t="str">
        <f>IF(AN44=Análitica!G14+Análitica!G57,"ok","conferir")</f>
        <v>ok</v>
      </c>
      <c r="AO45" s="392" t="s">
        <v>510</v>
      </c>
      <c r="AP45" s="322"/>
      <c r="AQ45" s="390" t="str">
        <f>IF(AQ44=AR3,"ok", "conferir")</f>
        <v>ok</v>
      </c>
      <c r="AR45" s="391"/>
      <c r="AS45" s="391" t="str">
        <f>IF(AS44=AT3,"ok", "conferir")</f>
        <v>ok</v>
      </c>
      <c r="AT45" s="391"/>
      <c r="AU45" s="391" t="str">
        <f>IF(AU44=Análitica!G19+Análitica!G62,"ok","conferir")</f>
        <v>ok</v>
      </c>
      <c r="AV45" s="392" t="s">
        <v>510</v>
      </c>
      <c r="AW45" s="322"/>
      <c r="AX45" s="390" t="str">
        <f>IF(AX44=AY3,"ok", "conferir")</f>
        <v>ok</v>
      </c>
      <c r="AY45" s="391"/>
      <c r="AZ45" s="391" t="str">
        <f>IF(AZ44=BA3,"ok", "conferir")</f>
        <v>ok</v>
      </c>
      <c r="BA45" s="391"/>
      <c r="BB45" s="391" t="str">
        <f>IF(BB44=Análitica!G21+Análitica!G64,"ok","conferir")</f>
        <v>ok</v>
      </c>
      <c r="BC45" s="392" t="s">
        <v>510</v>
      </c>
      <c r="BD45" s="322"/>
      <c r="BE45" s="390" t="str">
        <f>IF(BE44=BF3,"ok", "conferir")</f>
        <v>ok</v>
      </c>
      <c r="BF45" s="391"/>
      <c r="BG45" s="391" t="str">
        <f>IF(BG44=BH3,"ok", "conferir")</f>
        <v>ok</v>
      </c>
      <c r="BH45" s="391"/>
      <c r="BI45" s="391" t="str">
        <f>IF(BI44=Análitica!G22+Análitica!G65,"ok","conferir")</f>
        <v>ok</v>
      </c>
      <c r="BJ45" s="392" t="s">
        <v>510</v>
      </c>
      <c r="BK45" s="322"/>
      <c r="BL45" s="390" t="str">
        <f>IF(BL44=BM3,"ok", "conferir")</f>
        <v>ok</v>
      </c>
      <c r="BM45" s="391"/>
      <c r="BN45" s="391" t="str">
        <f>IF(BN44=BO3,"ok", "conferir")</f>
        <v>ok</v>
      </c>
      <c r="BO45" s="391"/>
      <c r="BP45" s="391" t="str">
        <f>IF(BP44=Análitica!G16+Análitica!G59,"ok","conferir")</f>
        <v>ok</v>
      </c>
      <c r="BQ45" s="392" t="s">
        <v>510</v>
      </c>
      <c r="BR45" s="322"/>
      <c r="BS45" s="390" t="str">
        <f>IF(BS44=BT3,"ok", "conferir")</f>
        <v>ok</v>
      </c>
      <c r="BT45" s="391"/>
      <c r="BU45" s="391" t="str">
        <f>IF(BU44=BV3,"ok", "conferir")</f>
        <v>ok</v>
      </c>
      <c r="BV45" s="391"/>
      <c r="BW45" s="391" t="str">
        <f>IF(BW44=Análitica!G18+Análitica!G61,"ok","conferir")</f>
        <v>ok</v>
      </c>
      <c r="BX45" s="392" t="s">
        <v>510</v>
      </c>
      <c r="BY45" s="322"/>
      <c r="BZ45" s="322"/>
      <c r="CA45" s="322"/>
    </row>
    <row r="46" spans="1:79">
      <c r="A46" s="607" t="s">
        <v>512</v>
      </c>
      <c r="B46" s="607"/>
      <c r="C46" s="607"/>
      <c r="D46" s="322"/>
      <c r="E46" s="322"/>
      <c r="F46" s="322"/>
      <c r="G46" s="322"/>
      <c r="H46" s="261"/>
      <c r="I46" s="261"/>
      <c r="J46" s="261"/>
      <c r="K46" s="261"/>
      <c r="L46" s="261"/>
      <c r="M46" s="261"/>
      <c r="N46" s="322"/>
      <c r="O46" s="322"/>
      <c r="P46" s="322"/>
      <c r="Q46" s="322"/>
      <c r="R46" s="322"/>
      <c r="S46" s="261"/>
      <c r="T46" s="261"/>
      <c r="U46" s="322"/>
      <c r="V46" s="322"/>
      <c r="W46" s="322"/>
      <c r="X46" s="322"/>
      <c r="Y46" s="322"/>
      <c r="Z46" s="261"/>
      <c r="AA46" s="261"/>
      <c r="AB46" s="322"/>
      <c r="AC46" s="322"/>
      <c r="AD46" s="322"/>
      <c r="AE46" s="322"/>
      <c r="AF46" s="322"/>
      <c r="AG46" s="261"/>
      <c r="AH46" s="261"/>
      <c r="AI46" s="322"/>
      <c r="AJ46" s="322"/>
      <c r="AK46" s="322"/>
      <c r="AL46" s="322"/>
      <c r="AM46" s="322"/>
      <c r="AN46" s="261"/>
      <c r="AO46" s="261"/>
      <c r="AP46" s="322"/>
      <c r="AQ46" s="322"/>
      <c r="AR46" s="322"/>
      <c r="AS46" s="322"/>
      <c r="AT46" s="322"/>
      <c r="AU46" s="261"/>
      <c r="AV46" s="261"/>
      <c r="AW46" s="322"/>
      <c r="AX46" s="322"/>
      <c r="AY46" s="322"/>
      <c r="AZ46" s="322"/>
      <c r="BA46" s="322"/>
      <c r="BB46" s="261"/>
      <c r="BC46" s="261"/>
      <c r="BD46" s="322"/>
      <c r="BE46" s="322"/>
      <c r="BF46" s="322"/>
      <c r="BG46" s="322"/>
      <c r="BH46" s="322"/>
      <c r="BI46" s="261"/>
      <c r="BJ46" s="261"/>
      <c r="BK46" s="322"/>
      <c r="BL46" s="322"/>
      <c r="BM46" s="322"/>
      <c r="BN46" s="322"/>
      <c r="BO46" s="322"/>
      <c r="BP46" s="261"/>
      <c r="BQ46" s="261"/>
      <c r="BR46" s="322"/>
      <c r="BS46" s="322"/>
      <c r="BT46" s="322"/>
      <c r="BU46" s="322"/>
      <c r="BV46" s="322"/>
      <c r="BW46" s="261"/>
      <c r="BX46" s="261"/>
      <c r="BY46" s="322"/>
      <c r="BZ46" s="322"/>
      <c r="CA46" s="322"/>
    </row>
    <row r="47" spans="1:79">
      <c r="A47" s="267" t="str">
        <f>Análitica!B9</f>
        <v>CÓDIGO</v>
      </c>
      <c r="B47" s="267" t="str">
        <f>Análitica!C9</f>
        <v>DISCRIMINAÇÃO</v>
      </c>
      <c r="C47" s="267" t="s">
        <v>187</v>
      </c>
      <c r="D47" s="322"/>
      <c r="E47" s="322"/>
      <c r="F47" s="322"/>
      <c r="G47" s="322"/>
      <c r="H47" s="261"/>
      <c r="I47" s="261"/>
      <c r="J47" s="261"/>
      <c r="K47" s="261"/>
      <c r="L47" s="261"/>
      <c r="M47" s="261"/>
      <c r="N47" s="322"/>
      <c r="O47" s="322"/>
      <c r="P47" s="322"/>
      <c r="Q47" s="322"/>
      <c r="R47" s="322"/>
      <c r="S47" s="261"/>
      <c r="T47" s="261"/>
      <c r="U47" s="322"/>
      <c r="V47" s="322"/>
      <c r="W47" s="322"/>
      <c r="X47" s="322"/>
      <c r="Y47" s="322"/>
      <c r="Z47" s="261"/>
      <c r="AA47" s="261"/>
      <c r="AB47" s="322"/>
      <c r="AC47" s="322"/>
      <c r="AD47" s="322"/>
      <c r="AE47" s="322"/>
      <c r="AF47" s="322"/>
      <c r="AG47" s="261"/>
      <c r="AH47" s="261"/>
      <c r="AI47" s="322"/>
      <c r="AJ47" s="322"/>
      <c r="AK47" s="322"/>
      <c r="AL47" s="322"/>
      <c r="AM47" s="322"/>
      <c r="AN47" s="261"/>
      <c r="AO47" s="261"/>
      <c r="AP47" s="322"/>
      <c r="AQ47" s="322"/>
      <c r="AR47" s="322"/>
      <c r="AS47" s="322"/>
      <c r="AT47" s="322"/>
      <c r="AU47" s="261"/>
      <c r="AV47" s="261"/>
      <c r="AW47" s="322"/>
      <c r="AX47" s="322"/>
      <c r="AY47" s="322"/>
      <c r="AZ47" s="322"/>
      <c r="BA47" s="322"/>
      <c r="BB47" s="261"/>
      <c r="BC47" s="261"/>
      <c r="BD47" s="322"/>
      <c r="BE47" s="322"/>
      <c r="BF47" s="322"/>
      <c r="BG47" s="322"/>
      <c r="BH47" s="322"/>
      <c r="BI47" s="261"/>
      <c r="BJ47" s="261"/>
      <c r="BK47" s="322"/>
      <c r="BL47" s="322"/>
      <c r="BM47" s="322"/>
      <c r="BN47" s="322"/>
      <c r="BO47" s="322"/>
      <c r="BP47" s="261"/>
      <c r="BQ47" s="261"/>
      <c r="BR47" s="322"/>
      <c r="BS47" s="322"/>
      <c r="BT47" s="322"/>
      <c r="BU47" s="322"/>
      <c r="BV47" s="322"/>
      <c r="BW47" s="261"/>
      <c r="BX47" s="261"/>
      <c r="BY47" s="322"/>
      <c r="BZ47" s="322"/>
      <c r="CA47" s="322"/>
    </row>
    <row r="48" spans="1:79">
      <c r="A48" s="267">
        <f>Análitica!B13</f>
        <v>90778</v>
      </c>
      <c r="B48" s="267" t="str">
        <f>Análitica!C13</f>
        <v>ENGENHEIRO PLENO COM ENCARGOS COMPLEMENTARES</v>
      </c>
      <c r="C48" s="411">
        <f>Análitica!E13+Análitica!E56</f>
        <v>719.99999999999989</v>
      </c>
      <c r="D48" s="322"/>
      <c r="E48" s="322"/>
      <c r="F48" s="322"/>
      <c r="G48" s="322"/>
      <c r="H48" s="261"/>
      <c r="I48" s="261"/>
      <c r="J48" s="261"/>
      <c r="K48" s="261"/>
      <c r="L48" s="365"/>
      <c r="M48" s="261"/>
      <c r="N48" s="322"/>
      <c r="O48" s="322"/>
      <c r="P48" s="322"/>
      <c r="Q48" s="322"/>
      <c r="R48" s="322"/>
      <c r="S48" s="365"/>
      <c r="T48" s="261"/>
      <c r="U48" s="322"/>
      <c r="V48" s="322"/>
      <c r="W48" s="322"/>
      <c r="X48" s="322"/>
      <c r="Y48" s="322"/>
      <c r="Z48" s="365"/>
      <c r="AA48" s="261"/>
      <c r="AB48" s="322"/>
      <c r="AC48" s="322"/>
      <c r="AD48" s="322"/>
      <c r="AE48" s="322"/>
      <c r="AF48" s="322"/>
      <c r="AG48" s="365"/>
      <c r="AH48" s="261"/>
      <c r="AI48" s="322"/>
      <c r="AJ48" s="322"/>
      <c r="AK48" s="322"/>
      <c r="AL48" s="322"/>
      <c r="AM48" s="322"/>
      <c r="AN48" s="365"/>
      <c r="AO48" s="261"/>
      <c r="AP48" s="322"/>
      <c r="AQ48" s="322"/>
      <c r="AR48" s="322"/>
      <c r="AS48" s="322"/>
      <c r="AT48" s="322"/>
      <c r="AU48" s="365"/>
      <c r="AV48" s="261"/>
      <c r="AW48" s="322"/>
      <c r="AX48" s="322"/>
      <c r="AY48" s="322"/>
      <c r="AZ48" s="322"/>
      <c r="BA48" s="322"/>
      <c r="BB48" s="365"/>
      <c r="BC48" s="261"/>
      <c r="BD48" s="322"/>
      <c r="BE48" s="322"/>
      <c r="BF48" s="322"/>
      <c r="BG48" s="322"/>
      <c r="BH48" s="322"/>
      <c r="BI48" s="365"/>
      <c r="BJ48" s="261"/>
      <c r="BK48" s="322"/>
      <c r="BL48" s="322"/>
      <c r="BM48" s="322"/>
      <c r="BN48" s="322"/>
      <c r="BO48" s="322"/>
      <c r="BP48" s="365"/>
      <c r="BQ48" s="261"/>
      <c r="BR48" s="322"/>
      <c r="BS48" s="322"/>
      <c r="BT48" s="322"/>
      <c r="BU48" s="322"/>
      <c r="BV48" s="322"/>
      <c r="BW48" s="365"/>
      <c r="BX48" s="261"/>
      <c r="BY48" s="322"/>
      <c r="BZ48" s="322"/>
      <c r="CA48" s="322"/>
    </row>
    <row r="49" spans="1:3">
      <c r="A49" s="267">
        <f>Análitica!B14</f>
        <v>100533</v>
      </c>
      <c r="B49" s="267" t="str">
        <f>Análitica!C14</f>
        <v>TECNICO PCM COM ENCARGOS COMPLEMENTARES</v>
      </c>
      <c r="C49" s="411">
        <f>Análitica!E14+Análitica!E57</f>
        <v>13200</v>
      </c>
    </row>
    <row r="50" spans="1:3">
      <c r="A50" s="267">
        <f>Análitica!B15</f>
        <v>100308</v>
      </c>
      <c r="B50" s="267" t="str">
        <f>Análitica!C15</f>
        <v>MECÂNICO DE REFRIGERAÇÃO COM ENCARGOS COMPLEMENTARES</v>
      </c>
      <c r="C50" s="411">
        <f>Análitica!E15+Análitica!E58</f>
        <v>52800</v>
      </c>
    </row>
    <row r="51" spans="1:3">
      <c r="A51" s="267">
        <f>Análitica!B16</f>
        <v>88266</v>
      </c>
      <c r="B51" s="267" t="str">
        <f>Análitica!C16</f>
        <v>ELETROTÉCNICO C/ ENCARGOS COMPLEMENTARES (c/ Peric.)</v>
      </c>
      <c r="C51" s="411">
        <f>Análitica!E16+Análitica!E59</f>
        <v>79200</v>
      </c>
    </row>
    <row r="52" spans="1:3">
      <c r="A52" s="267">
        <f>Análitica!B17</f>
        <v>88266</v>
      </c>
      <c r="B52" s="267" t="str">
        <f>Análitica!C17</f>
        <v>ELETRÔNICO COM ENCARGOS COMPLEMENTARES</v>
      </c>
      <c r="C52" s="411">
        <f>Análitica!E17+Análitica!E60</f>
        <v>23100</v>
      </c>
    </row>
    <row r="53" spans="1:3">
      <c r="A53" s="267">
        <f>Análitica!B18</f>
        <v>100308</v>
      </c>
      <c r="B53" s="267" t="str">
        <f>Análitica!C18</f>
        <v>TÉCNICO MECÂNICO COM ENCARGOS COMPLEMENTARES</v>
      </c>
      <c r="C53" s="411">
        <f>Análitica!E18+Análitica!E61</f>
        <v>16500</v>
      </c>
    </row>
    <row r="54" spans="1:3">
      <c r="A54" s="267">
        <f>Análitica!B19</f>
        <v>88309</v>
      </c>
      <c r="B54" s="267" t="str">
        <f>Análitica!C19</f>
        <v>OFICIAL DE MANUTENÇÃO PREDIAL</v>
      </c>
      <c r="C54" s="411">
        <f>Análitica!E19+Análitica!E62</f>
        <v>79200</v>
      </c>
    </row>
    <row r="55" spans="1:3">
      <c r="A55" s="267">
        <f>Análitica!B20</f>
        <v>88243</v>
      </c>
      <c r="B55" s="267" t="str">
        <f>Análitica!C20</f>
        <v>AUX. TÉCNICO EM REFRIGERAÇÃO</v>
      </c>
      <c r="C55" s="411">
        <f>Análitica!E20+Análitica!E63</f>
        <v>39600</v>
      </c>
    </row>
    <row r="56" spans="1:3">
      <c r="A56" s="267">
        <f>Análitica!B21</f>
        <v>88310</v>
      </c>
      <c r="B56" s="267" t="str">
        <f>Análitica!C21</f>
        <v>PINTOR</v>
      </c>
      <c r="C56" s="411">
        <f>Análitica!E21+Análitica!E64</f>
        <v>13200</v>
      </c>
    </row>
    <row r="57" spans="1:3">
      <c r="A57" s="267">
        <f>Análitica!B22</f>
        <v>100301</v>
      </c>
      <c r="B57" s="267" t="str">
        <f>Análitica!C22</f>
        <v>AJUDANTE DE PINTOR</v>
      </c>
      <c r="C57" s="411">
        <f>Análitica!E22+Análitica!E65</f>
        <v>13200</v>
      </c>
    </row>
    <row r="58" spans="1:3">
      <c r="A58" s="322"/>
    </row>
  </sheetData>
  <mergeCells count="87">
    <mergeCell ref="A46:C46"/>
    <mergeCell ref="AQ41:AT41"/>
    <mergeCell ref="AX41:BA41"/>
    <mergeCell ref="BE41:BH41"/>
    <mergeCell ref="BL41:BO41"/>
    <mergeCell ref="BS41:BV41"/>
    <mergeCell ref="H4:M4"/>
    <mergeCell ref="O4:T4"/>
    <mergeCell ref="V4:AA4"/>
    <mergeCell ref="AC4:AH4"/>
    <mergeCell ref="BL4:BQ4"/>
    <mergeCell ref="AJ41:AM41"/>
    <mergeCell ref="AJ36:AM36"/>
    <mergeCell ref="AQ36:AT36"/>
    <mergeCell ref="AX36:BA36"/>
    <mergeCell ref="BE36:BH36"/>
    <mergeCell ref="BL36:BO36"/>
    <mergeCell ref="BS36:BV36"/>
    <mergeCell ref="AQ29:AT29"/>
    <mergeCell ref="AX29:BA29"/>
    <mergeCell ref="BE29:BH29"/>
    <mergeCell ref="A40:B40"/>
    <mergeCell ref="H41:K41"/>
    <mergeCell ref="O41:R41"/>
    <mergeCell ref="V41:Y41"/>
    <mergeCell ref="AC41:AF41"/>
    <mergeCell ref="BL29:BO29"/>
    <mergeCell ref="BS29:BV29"/>
    <mergeCell ref="A36:F36"/>
    <mergeCell ref="H36:K36"/>
    <mergeCell ref="O36:R36"/>
    <mergeCell ref="V36:Y36"/>
    <mergeCell ref="AC36:AF36"/>
    <mergeCell ref="A29:F29"/>
    <mergeCell ref="H29:K29"/>
    <mergeCell ref="O29:R29"/>
    <mergeCell ref="V29:Y29"/>
    <mergeCell ref="AC29:AF29"/>
    <mergeCell ref="AJ29:AM29"/>
    <mergeCell ref="AJ17:AM17"/>
    <mergeCell ref="AQ17:AT17"/>
    <mergeCell ref="AX17:BA17"/>
    <mergeCell ref="BE17:BH17"/>
    <mergeCell ref="BL17:BO17"/>
    <mergeCell ref="BS17:BV17"/>
    <mergeCell ref="AQ6:AT6"/>
    <mergeCell ref="AX6:BA6"/>
    <mergeCell ref="BE6:BH6"/>
    <mergeCell ref="BL6:BO6"/>
    <mergeCell ref="BS6:BV6"/>
    <mergeCell ref="A17:F17"/>
    <mergeCell ref="H17:K17"/>
    <mergeCell ref="O17:R17"/>
    <mergeCell ref="V17:Y17"/>
    <mergeCell ref="AC17:AF17"/>
    <mergeCell ref="A6:F6"/>
    <mergeCell ref="H6:K6"/>
    <mergeCell ref="O6:R6"/>
    <mergeCell ref="V6:Y6"/>
    <mergeCell ref="AC6:AF6"/>
    <mergeCell ref="AJ6:AM6"/>
    <mergeCell ref="AJ4:AM4"/>
    <mergeCell ref="AQ4:AT4"/>
    <mergeCell ref="BS4:BV4"/>
    <mergeCell ref="AX4:BC4"/>
    <mergeCell ref="A4:F4"/>
    <mergeCell ref="AS1:AT1"/>
    <mergeCell ref="AZ1:BA1"/>
    <mergeCell ref="BG1:BH1"/>
    <mergeCell ref="BN1:BO1"/>
    <mergeCell ref="C1:E1"/>
    <mergeCell ref="AS2:AT2"/>
    <mergeCell ref="AZ2:BA2"/>
    <mergeCell ref="BG2:BH2"/>
    <mergeCell ref="BN2:BO2"/>
    <mergeCell ref="BU1:BV1"/>
    <mergeCell ref="J2:K2"/>
    <mergeCell ref="Q2:R2"/>
    <mergeCell ref="X2:Y2"/>
    <mergeCell ref="AE2:AF2"/>
    <mergeCell ref="AL2:AM2"/>
    <mergeCell ref="J1:K1"/>
    <mergeCell ref="Q1:R1"/>
    <mergeCell ref="X1:Y1"/>
    <mergeCell ref="AE1:AF1"/>
    <mergeCell ref="AL1:AM1"/>
    <mergeCell ref="BU2:BV2"/>
  </mergeCells>
  <hyperlinks>
    <hyperlink ref="B2" r:id="rId1" display="https://www.caixa.gov.br/Downloads/sinapi-metodologia/Livro_SINAPI_Calculos_Parametros.pdf" xr:uid="{18775886-791C-46EA-95FD-D406355AEFDB}"/>
  </hyperlinks>
  <pageMargins left="0.511811024" right="0.511811024" top="0.78740157499999996" bottom="0.78740157499999996" header="0.31496062000000002" footer="0.31496062000000002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7CA4C-7A6E-4C4B-823D-503FDA8AE55A}">
  <dimension ref="B1:H19"/>
  <sheetViews>
    <sheetView zoomScale="115" zoomScaleNormal="115" workbookViewId="0">
      <selection activeCell="C26" sqref="C26"/>
    </sheetView>
  </sheetViews>
  <sheetFormatPr defaultRowHeight="12.5"/>
  <cols>
    <col min="3" max="3" width="71.54296875" bestFit="1" customWidth="1"/>
    <col min="5" max="5" width="17" bestFit="1" customWidth="1"/>
    <col min="6" max="6" width="16.54296875" bestFit="1" customWidth="1"/>
    <col min="7" max="7" width="47.54296875" customWidth="1"/>
    <col min="8" max="8" width="15.453125" customWidth="1"/>
  </cols>
  <sheetData>
    <row r="1" spans="2:8" ht="13">
      <c r="B1" s="609" t="s">
        <v>415</v>
      </c>
      <c r="C1" s="609"/>
      <c r="D1" s="609"/>
      <c r="E1" s="609"/>
      <c r="F1" s="609"/>
      <c r="G1" t="s">
        <v>104</v>
      </c>
    </row>
    <row r="2" spans="2:8">
      <c r="B2" s="303"/>
      <c r="C2" s="304"/>
      <c r="D2" s="303"/>
      <c r="E2" s="303"/>
      <c r="F2" s="303"/>
      <c r="G2" t="s">
        <v>103</v>
      </c>
    </row>
    <row r="3" spans="2:8">
      <c r="B3" s="288"/>
      <c r="C3" s="288"/>
      <c r="D3" s="288"/>
      <c r="E3" s="608" t="s">
        <v>98</v>
      </c>
      <c r="F3" s="608"/>
    </row>
    <row r="4" spans="2:8">
      <c r="B4" s="305" t="s">
        <v>93</v>
      </c>
      <c r="C4" s="305" t="s">
        <v>94</v>
      </c>
      <c r="D4" s="305" t="s">
        <v>95</v>
      </c>
      <c r="E4" s="305" t="s">
        <v>96</v>
      </c>
      <c r="F4" s="305" t="s">
        <v>97</v>
      </c>
    </row>
    <row r="5" spans="2:8" s="335" customFormat="1" ht="14.5">
      <c r="B5" s="443">
        <v>90778</v>
      </c>
      <c r="C5" s="321" t="s">
        <v>118</v>
      </c>
      <c r="D5" s="321" t="s">
        <v>99</v>
      </c>
      <c r="E5" s="324">
        <v>135.80000000000001</v>
      </c>
      <c r="F5" s="321">
        <v>121.61</v>
      </c>
    </row>
    <row r="6" spans="2:8" s="335" customFormat="1" ht="14.5">
      <c r="B6" s="443">
        <v>100308</v>
      </c>
      <c r="C6" s="321" t="s">
        <v>66</v>
      </c>
      <c r="D6" s="321" t="s">
        <v>99</v>
      </c>
      <c r="E6" s="321">
        <v>30.94</v>
      </c>
      <c r="F6" s="324">
        <v>28.3</v>
      </c>
    </row>
    <row r="7" spans="2:8" s="335" customFormat="1" ht="14.5">
      <c r="B7" s="443">
        <v>88243</v>
      </c>
      <c r="C7" s="321" t="s">
        <v>67</v>
      </c>
      <c r="D7" s="321" t="s">
        <v>99</v>
      </c>
      <c r="E7" s="324">
        <v>24.3</v>
      </c>
      <c r="F7" s="321">
        <v>22.35</v>
      </c>
    </row>
    <row r="8" spans="2:8" ht="14.5">
      <c r="B8" s="443">
        <v>88266</v>
      </c>
      <c r="C8" s="321" t="s">
        <v>100</v>
      </c>
      <c r="D8" s="321" t="s">
        <v>99</v>
      </c>
      <c r="E8" s="321">
        <v>36.17</v>
      </c>
      <c r="F8" s="321">
        <v>32.96</v>
      </c>
      <c r="G8">
        <f>F8/1.9022</f>
        <v>17.327305225528338</v>
      </c>
      <c r="H8">
        <f>G8*0.3</f>
        <v>5.1981915676585011</v>
      </c>
    </row>
    <row r="9" spans="2:8" ht="14.5">
      <c r="B9" s="443">
        <v>88264</v>
      </c>
      <c r="C9" s="443" t="s">
        <v>101</v>
      </c>
      <c r="D9" s="443" t="s">
        <v>99</v>
      </c>
      <c r="E9" s="444">
        <v>30.02</v>
      </c>
      <c r="F9" s="443">
        <v>27.46</v>
      </c>
    </row>
    <row r="10" spans="2:8" s="109" customFormat="1" ht="14.5">
      <c r="B10" s="443">
        <v>88247</v>
      </c>
      <c r="C10" s="443" t="s">
        <v>115</v>
      </c>
      <c r="D10" s="443" t="s">
        <v>99</v>
      </c>
      <c r="E10" s="444">
        <v>24.97</v>
      </c>
      <c r="F10" s="443">
        <v>22.97</v>
      </c>
    </row>
    <row r="11" spans="2:8" s="335" customFormat="1" ht="14.5">
      <c r="B11" s="443">
        <v>100533</v>
      </c>
      <c r="C11" s="321" t="s">
        <v>105</v>
      </c>
      <c r="D11" s="321" t="s">
        <v>99</v>
      </c>
      <c r="E11" s="324">
        <v>33.6</v>
      </c>
      <c r="F11" s="321">
        <v>30.27</v>
      </c>
    </row>
    <row r="12" spans="2:8" ht="14.5">
      <c r="B12" s="443">
        <v>100309</v>
      </c>
      <c r="C12" s="443" t="s">
        <v>106</v>
      </c>
      <c r="D12" s="443" t="s">
        <v>99</v>
      </c>
      <c r="E12" s="444">
        <v>42.37</v>
      </c>
      <c r="F12" s="443">
        <v>38.119999999999997</v>
      </c>
    </row>
    <row r="13" spans="2:8" ht="14.5">
      <c r="B13" s="443">
        <v>90776</v>
      </c>
      <c r="C13" s="443" t="s">
        <v>107</v>
      </c>
      <c r="D13" s="443" t="s">
        <v>99</v>
      </c>
      <c r="E13" s="443">
        <v>73.260000000000005</v>
      </c>
      <c r="F13" s="443">
        <v>65.78</v>
      </c>
    </row>
    <row r="14" spans="2:8" s="335" customFormat="1" ht="14.5">
      <c r="B14" s="443">
        <v>88309</v>
      </c>
      <c r="C14" s="321" t="s">
        <v>112</v>
      </c>
      <c r="D14" s="443" t="s">
        <v>99</v>
      </c>
      <c r="E14" s="321">
        <v>28.07</v>
      </c>
      <c r="F14" s="321">
        <v>25.72</v>
      </c>
    </row>
    <row r="15" spans="2:8" ht="14.5">
      <c r="B15" s="443">
        <v>88242</v>
      </c>
      <c r="C15" s="443" t="s">
        <v>113</v>
      </c>
      <c r="D15" s="443" t="s">
        <v>99</v>
      </c>
      <c r="E15" s="443">
        <v>24.53</v>
      </c>
      <c r="F15" s="443">
        <v>22.58</v>
      </c>
    </row>
    <row r="16" spans="2:8" ht="14.5">
      <c r="B16" s="443">
        <v>88252</v>
      </c>
      <c r="C16" s="443" t="s">
        <v>114</v>
      </c>
      <c r="D16" s="443" t="s">
        <v>99</v>
      </c>
      <c r="E16" s="443">
        <v>23.1</v>
      </c>
      <c r="F16" s="443">
        <v>21.28</v>
      </c>
    </row>
    <row r="17" spans="2:6" ht="14.5">
      <c r="B17" s="443">
        <v>88267</v>
      </c>
      <c r="C17" s="443" t="s">
        <v>102</v>
      </c>
      <c r="D17" s="443" t="s">
        <v>99</v>
      </c>
      <c r="E17" s="443">
        <v>29.34</v>
      </c>
      <c r="F17" s="443">
        <v>26.79</v>
      </c>
    </row>
    <row r="18" spans="2:6" ht="14.5">
      <c r="B18" s="443">
        <v>88310</v>
      </c>
      <c r="C18" s="321" t="s">
        <v>117</v>
      </c>
      <c r="D18" s="321" t="s">
        <v>99</v>
      </c>
      <c r="E18" s="321">
        <v>29.74</v>
      </c>
      <c r="F18" s="321">
        <v>27.41</v>
      </c>
    </row>
    <row r="19" spans="2:6" ht="14.5">
      <c r="B19" s="443">
        <v>100301</v>
      </c>
      <c r="C19" s="321" t="s">
        <v>116</v>
      </c>
      <c r="D19" s="321" t="s">
        <v>99</v>
      </c>
      <c r="E19" s="321">
        <v>26.34</v>
      </c>
      <c r="F19" s="321">
        <v>24.39</v>
      </c>
    </row>
  </sheetData>
  <mergeCells count="2">
    <mergeCell ref="E3:F3"/>
    <mergeCell ref="B1:F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42"/>
  <sheetViews>
    <sheetView workbookViewId="0">
      <selection activeCell="B3" sqref="B3:E3"/>
    </sheetView>
  </sheetViews>
  <sheetFormatPr defaultRowHeight="12.5"/>
  <cols>
    <col min="1" max="1" width="4.453125" customWidth="1"/>
    <col min="2" max="2" width="17" customWidth="1"/>
    <col min="3" max="3" width="63.453125" customWidth="1"/>
    <col min="4" max="4" width="19" customWidth="1"/>
    <col min="5" max="5" width="21.81640625" customWidth="1"/>
  </cols>
  <sheetData>
    <row r="1" spans="2:15" ht="15.4" customHeight="1">
      <c r="B1" s="53"/>
      <c r="C1" s="54"/>
      <c r="D1" s="54"/>
      <c r="E1" s="54"/>
    </row>
    <row r="2" spans="2:15" ht="20">
      <c r="B2" s="618" t="s">
        <v>521</v>
      </c>
      <c r="C2" s="618"/>
      <c r="D2" s="618"/>
      <c r="E2" s="618"/>
    </row>
    <row r="3" spans="2:15" ht="25.5" customHeight="1">
      <c r="B3" s="619" t="s">
        <v>29</v>
      </c>
      <c r="C3" s="620"/>
      <c r="D3" s="620"/>
      <c r="E3" s="621"/>
    </row>
    <row r="4" spans="2:15" ht="20">
      <c r="B4" s="55"/>
      <c r="C4" s="74"/>
      <c r="D4" s="74"/>
      <c r="E4" s="75"/>
    </row>
    <row r="5" spans="2:15" ht="13">
      <c r="B5" s="622" t="s">
        <v>30</v>
      </c>
      <c r="C5" s="622"/>
      <c r="D5" s="622"/>
      <c r="E5" s="622"/>
      <c r="J5" s="617"/>
      <c r="K5" s="617"/>
    </row>
    <row r="6" spans="2:15">
      <c r="B6" s="508"/>
      <c r="C6" s="508"/>
      <c r="D6" s="508"/>
      <c r="E6" s="508"/>
      <c r="J6" s="617"/>
      <c r="K6" s="617"/>
    </row>
    <row r="7" spans="2:15" ht="13">
      <c r="B7" s="623" t="s">
        <v>31</v>
      </c>
      <c r="C7" s="623"/>
      <c r="D7" s="623"/>
      <c r="E7" s="623"/>
      <c r="J7" s="617"/>
      <c r="K7" s="617"/>
    </row>
    <row r="8" spans="2:15" ht="12.65" hidden="1" customHeight="1">
      <c r="B8" s="508"/>
      <c r="C8" s="508"/>
      <c r="D8" s="508"/>
      <c r="E8" s="508"/>
      <c r="J8" s="617"/>
      <c r="K8" s="617"/>
    </row>
    <row r="9" spans="2:15" ht="13">
      <c r="B9" s="56" t="s">
        <v>32</v>
      </c>
      <c r="C9" s="611" t="s">
        <v>33</v>
      </c>
      <c r="D9" s="611"/>
      <c r="E9" s="611"/>
      <c r="I9" s="185"/>
      <c r="J9" s="617"/>
      <c r="K9" s="617"/>
      <c r="L9" s="185"/>
      <c r="M9" s="185"/>
      <c r="N9" s="185"/>
      <c r="O9" s="185"/>
    </row>
    <row r="10" spans="2:15" ht="13">
      <c r="B10" s="57">
        <v>1</v>
      </c>
      <c r="C10" s="58" t="s">
        <v>34</v>
      </c>
      <c r="D10" s="616" t="s">
        <v>35</v>
      </c>
      <c r="E10" s="59">
        <v>0.86439999999999995</v>
      </c>
      <c r="I10" s="185"/>
      <c r="J10" s="397"/>
      <c r="K10" s="397"/>
      <c r="L10" s="185"/>
      <c r="M10" s="185"/>
      <c r="N10" s="185"/>
      <c r="O10" s="185"/>
    </row>
    <row r="11" spans="2:15">
      <c r="B11" s="60">
        <v>2</v>
      </c>
      <c r="C11" s="61" t="s">
        <v>36</v>
      </c>
      <c r="D11" s="616"/>
      <c r="E11" s="62">
        <v>0.47660000000000002</v>
      </c>
      <c r="I11" s="185"/>
      <c r="J11" s="185"/>
      <c r="K11" s="396"/>
      <c r="L11" s="185"/>
      <c r="M11" s="185"/>
      <c r="N11" s="185"/>
      <c r="O11" s="185"/>
    </row>
    <row r="12" spans="2:15">
      <c r="B12" s="610"/>
      <c r="C12" s="610"/>
      <c r="D12" s="610"/>
      <c r="E12" s="610"/>
      <c r="I12" s="185"/>
      <c r="J12" s="185"/>
      <c r="K12" s="396"/>
      <c r="L12" s="185"/>
      <c r="M12" s="185"/>
      <c r="N12" s="185"/>
      <c r="O12" s="185"/>
    </row>
    <row r="13" spans="2:15" ht="13">
      <c r="B13" s="56" t="s">
        <v>32</v>
      </c>
      <c r="C13" s="611" t="s">
        <v>37</v>
      </c>
      <c r="D13" s="611"/>
      <c r="E13" s="611"/>
      <c r="I13" s="185"/>
      <c r="J13" s="185"/>
      <c r="K13" s="396"/>
      <c r="L13" s="185"/>
      <c r="N13" s="185"/>
      <c r="O13" s="185"/>
    </row>
    <row r="14" spans="2:15" ht="14.5">
      <c r="B14" s="64">
        <v>1</v>
      </c>
      <c r="C14" s="65" t="s">
        <v>38</v>
      </c>
      <c r="D14" s="66" t="s">
        <v>39</v>
      </c>
      <c r="E14" s="62">
        <v>0.03</v>
      </c>
      <c r="I14" s="185"/>
      <c r="J14" s="185"/>
      <c r="K14" s="396"/>
      <c r="L14" s="185"/>
      <c r="M14" s="185"/>
      <c r="N14" s="185"/>
      <c r="O14" s="185"/>
    </row>
    <row r="15" spans="2:15" ht="14.5">
      <c r="B15" s="63">
        <v>2</v>
      </c>
      <c r="C15" s="67" t="s">
        <v>40</v>
      </c>
      <c r="D15" s="68" t="s">
        <v>41</v>
      </c>
      <c r="E15" s="62">
        <v>1.2E-2</v>
      </c>
      <c r="I15" s="185"/>
      <c r="J15" s="185"/>
      <c r="K15" s="396"/>
      <c r="L15" s="185"/>
      <c r="M15" s="185"/>
      <c r="N15" s="185"/>
      <c r="O15" s="185"/>
    </row>
    <row r="16" spans="2:15" ht="14.5">
      <c r="B16" s="63">
        <v>3</v>
      </c>
      <c r="C16" s="67" t="s">
        <v>42</v>
      </c>
      <c r="D16" s="68" t="s">
        <v>43</v>
      </c>
      <c r="E16" s="62">
        <v>0.04</v>
      </c>
      <c r="I16" s="185"/>
      <c r="J16" s="397"/>
      <c r="K16" s="398"/>
      <c r="L16" s="185"/>
      <c r="M16" s="185"/>
      <c r="N16" s="185"/>
      <c r="O16" s="185"/>
    </row>
    <row r="17" spans="2:15" ht="14.5">
      <c r="B17" s="63">
        <v>4</v>
      </c>
      <c r="C17" s="67" t="s">
        <v>44</v>
      </c>
      <c r="D17" s="68" t="s">
        <v>45</v>
      </c>
      <c r="E17" s="62">
        <v>7.0000000000000007E-2</v>
      </c>
      <c r="I17" s="185"/>
      <c r="J17" s="185"/>
      <c r="K17" s="185"/>
      <c r="L17" s="185"/>
      <c r="M17" s="185"/>
      <c r="N17" s="185"/>
      <c r="O17" s="185"/>
    </row>
    <row r="18" spans="2:15" ht="14.5">
      <c r="B18" s="63">
        <v>5</v>
      </c>
      <c r="C18" s="67" t="s">
        <v>46</v>
      </c>
      <c r="D18" s="612" t="s">
        <v>47</v>
      </c>
      <c r="E18" s="62">
        <v>0.03</v>
      </c>
      <c r="I18" s="185"/>
      <c r="J18" s="185"/>
      <c r="K18" s="185"/>
      <c r="L18" s="185"/>
      <c r="M18" s="185"/>
      <c r="N18" s="185"/>
      <c r="O18" s="185"/>
    </row>
    <row r="19" spans="2:15" ht="14.5">
      <c r="B19" s="63">
        <v>6</v>
      </c>
      <c r="C19" s="67" t="s">
        <v>48</v>
      </c>
      <c r="D19" s="612"/>
      <c r="E19" s="62">
        <v>6.4999999999999997E-3</v>
      </c>
      <c r="I19" s="185"/>
      <c r="J19" s="185"/>
      <c r="K19" s="185"/>
      <c r="L19" s="185"/>
      <c r="M19" s="185"/>
      <c r="N19" s="185"/>
      <c r="O19" s="185"/>
    </row>
    <row r="20" spans="2:15" ht="14.5">
      <c r="B20" s="63">
        <v>7</v>
      </c>
      <c r="C20" s="67" t="s">
        <v>49</v>
      </c>
      <c r="D20" s="612"/>
      <c r="E20" s="62">
        <v>3.5999999999999997E-2</v>
      </c>
      <c r="I20" s="185"/>
      <c r="J20" s="185"/>
      <c r="K20" s="185"/>
      <c r="L20" s="185"/>
      <c r="M20" s="185"/>
      <c r="N20" s="185"/>
      <c r="O20" s="185"/>
    </row>
    <row r="21" spans="2:15" ht="14.5">
      <c r="B21" s="63">
        <v>8</v>
      </c>
      <c r="C21" s="67" t="s">
        <v>50</v>
      </c>
      <c r="D21" s="612"/>
      <c r="E21" s="62">
        <v>0.02</v>
      </c>
      <c r="I21" s="185"/>
      <c r="J21" s="185"/>
      <c r="K21" s="185"/>
      <c r="L21" s="185"/>
      <c r="M21" s="185"/>
      <c r="N21" s="185"/>
      <c r="O21" s="185"/>
    </row>
    <row r="22" spans="2:15" ht="33.75" customHeight="1">
      <c r="B22" s="68" t="s">
        <v>51</v>
      </c>
      <c r="C22" s="69" t="s">
        <v>65</v>
      </c>
      <c r="D22" s="70" t="s">
        <v>52</v>
      </c>
      <c r="E22" s="71">
        <f>ROUND(((((1+E16)*(1+E14)*(1+E15)*(1+E17))/(1-((SUM(E18:E21)))))-1),4)</f>
        <v>0.2782</v>
      </c>
    </row>
    <row r="23" spans="2:15">
      <c r="B23" s="512"/>
      <c r="C23" s="512"/>
      <c r="D23" s="512"/>
      <c r="E23" s="512"/>
      <c r="L23" s="50"/>
    </row>
    <row r="24" spans="2:15">
      <c r="B24" s="512"/>
      <c r="C24" s="512"/>
      <c r="D24" s="512"/>
      <c r="E24" s="512"/>
    </row>
    <row r="25" spans="2:15">
      <c r="B25" s="613"/>
      <c r="C25" s="613"/>
      <c r="D25" s="613"/>
      <c r="E25" s="613"/>
      <c r="H25" s="99"/>
    </row>
    <row r="26" spans="2:15" ht="13">
      <c r="B26" s="614" t="s">
        <v>53</v>
      </c>
      <c r="C26" s="614"/>
      <c r="D26" s="614"/>
      <c r="E26" s="614"/>
    </row>
    <row r="27" spans="2:15">
      <c r="B27" s="508"/>
      <c r="C27" s="508"/>
      <c r="D27" s="508"/>
      <c r="E27" s="508"/>
    </row>
    <row r="28" spans="2:15">
      <c r="B28" s="615"/>
      <c r="C28" s="615"/>
      <c r="D28" s="615"/>
      <c r="E28" s="615"/>
    </row>
    <row r="29" spans="2:15" ht="13">
      <c r="B29" s="56" t="s">
        <v>32</v>
      </c>
      <c r="C29" s="611" t="s">
        <v>33</v>
      </c>
      <c r="D29" s="611"/>
      <c r="E29" s="611"/>
    </row>
    <row r="30" spans="2:15">
      <c r="B30" s="57">
        <v>1</v>
      </c>
      <c r="C30" s="58" t="s">
        <v>34</v>
      </c>
      <c r="D30" s="616" t="s">
        <v>35</v>
      </c>
      <c r="E30" s="59">
        <v>0.86439999999999995</v>
      </c>
    </row>
    <row r="31" spans="2:15">
      <c r="B31" s="60">
        <v>2</v>
      </c>
      <c r="C31" s="61" t="s">
        <v>36</v>
      </c>
      <c r="D31" s="616"/>
      <c r="E31" s="62">
        <v>0.47660000000000002</v>
      </c>
    </row>
    <row r="32" spans="2:15">
      <c r="B32" s="610"/>
      <c r="C32" s="610"/>
      <c r="D32" s="610"/>
      <c r="E32" s="610"/>
    </row>
    <row r="33" spans="2:5" ht="13">
      <c r="B33" s="56" t="s">
        <v>32</v>
      </c>
      <c r="C33" s="611" t="s">
        <v>37</v>
      </c>
      <c r="D33" s="611"/>
      <c r="E33" s="611"/>
    </row>
    <row r="34" spans="2:5" ht="14.5">
      <c r="B34" s="64">
        <v>1</v>
      </c>
      <c r="C34" s="65" t="s">
        <v>38</v>
      </c>
      <c r="D34" s="66" t="s">
        <v>39</v>
      </c>
      <c r="E34" s="62">
        <v>8.5000000000000006E-3</v>
      </c>
    </row>
    <row r="35" spans="2:5" ht="14.5">
      <c r="B35" s="63">
        <v>2</v>
      </c>
      <c r="C35" s="67" t="s">
        <v>40</v>
      </c>
      <c r="D35" s="68" t="s">
        <v>41</v>
      </c>
      <c r="E35" s="62">
        <v>8.5000000000000006E-3</v>
      </c>
    </row>
    <row r="36" spans="2:5" ht="14.5">
      <c r="B36" s="63">
        <v>3</v>
      </c>
      <c r="C36" s="67" t="s">
        <v>42</v>
      </c>
      <c r="D36" s="68" t="s">
        <v>43</v>
      </c>
      <c r="E36" s="62">
        <v>3.4500000000000003E-2</v>
      </c>
    </row>
    <row r="37" spans="2:5" ht="14.5">
      <c r="B37" s="63">
        <v>4</v>
      </c>
      <c r="C37" s="67" t="s">
        <v>44</v>
      </c>
      <c r="D37" s="68" t="s">
        <v>45</v>
      </c>
      <c r="E37" s="62">
        <v>5.11E-2</v>
      </c>
    </row>
    <row r="38" spans="2:5" ht="14.5">
      <c r="B38" s="63">
        <v>5</v>
      </c>
      <c r="C38" s="67" t="s">
        <v>46</v>
      </c>
      <c r="D38" s="612" t="s">
        <v>47</v>
      </c>
      <c r="E38" s="62">
        <v>0.03</v>
      </c>
    </row>
    <row r="39" spans="2:5" ht="14.5">
      <c r="B39" s="63">
        <v>6</v>
      </c>
      <c r="C39" s="67" t="s">
        <v>48</v>
      </c>
      <c r="D39" s="612"/>
      <c r="E39" s="62">
        <v>0</v>
      </c>
    </row>
    <row r="40" spans="2:5" ht="14.5">
      <c r="B40" s="63">
        <v>7</v>
      </c>
      <c r="C40" s="67" t="s">
        <v>49</v>
      </c>
      <c r="D40" s="612"/>
      <c r="E40" s="62">
        <v>0</v>
      </c>
    </row>
    <row r="41" spans="2:5" ht="14.5">
      <c r="B41" s="63">
        <v>8</v>
      </c>
      <c r="C41" s="67" t="s">
        <v>50</v>
      </c>
      <c r="D41" s="612"/>
      <c r="E41" s="62">
        <v>0</v>
      </c>
    </row>
    <row r="42" spans="2:5" ht="27" customHeight="1">
      <c r="B42" s="68" t="s">
        <v>51</v>
      </c>
      <c r="C42" s="69" t="s">
        <v>65</v>
      </c>
      <c r="D42" s="70" t="s">
        <v>52</v>
      </c>
      <c r="E42" s="71">
        <f>ROUND(((((1+E36)*(1+E34)*(1+E35)*(1+E37))/(1-((SUM(E38:E41)))))-1),4)</f>
        <v>0.1401</v>
      </c>
    </row>
  </sheetData>
  <mergeCells count="22">
    <mergeCell ref="J5:K9"/>
    <mergeCell ref="B23:E24"/>
    <mergeCell ref="B2:E2"/>
    <mergeCell ref="B3:E3"/>
    <mergeCell ref="B5:E5"/>
    <mergeCell ref="B6:E6"/>
    <mergeCell ref="B7:E7"/>
    <mergeCell ref="B8:E8"/>
    <mergeCell ref="C9:E9"/>
    <mergeCell ref="D10:D11"/>
    <mergeCell ref="B12:E12"/>
    <mergeCell ref="C13:E13"/>
    <mergeCell ref="D18:D21"/>
    <mergeCell ref="B32:E32"/>
    <mergeCell ref="C33:E33"/>
    <mergeCell ref="D38:D41"/>
    <mergeCell ref="B25:E25"/>
    <mergeCell ref="B26:E26"/>
    <mergeCell ref="B27:E27"/>
    <mergeCell ref="B28:E28"/>
    <mergeCell ref="C29:E29"/>
    <mergeCell ref="D30:D31"/>
  </mergeCells>
  <printOptions horizontalCentered="1"/>
  <pageMargins left="0" right="0" top="0.39370078740157483" bottom="0.39370078740157483" header="0" footer="0"/>
  <pageSetup paperSize="9" scale="71" fitToWidth="0" fitToHeight="0" pageOrder="overThenDown" orientation="portrait" useFirstPageNumber="1" horizontalDpi="0" verticalDpi="0" r:id="rId1"/>
  <headerFooter>
    <oddHeader>&amp;C&amp;A</oddHeader>
    <oddFooter>&amp;CPage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M183"/>
  <sheetViews>
    <sheetView zoomScale="120" zoomScaleNormal="120" workbookViewId="0">
      <pane ySplit="9" topLeftCell="A58" activePane="bottomLeft" state="frozen"/>
      <selection pane="bottomLeft" activeCell="A2" sqref="A2:J2"/>
    </sheetView>
  </sheetViews>
  <sheetFormatPr defaultRowHeight="12.5"/>
  <cols>
    <col min="1" max="1" width="12.453125" customWidth="1"/>
    <col min="2" max="2" width="12" style="24" customWidth="1"/>
    <col min="3" max="3" width="49.453125" style="24" customWidth="1"/>
    <col min="4" max="4" width="7" style="24" customWidth="1"/>
    <col min="5" max="5" width="9.81640625" style="24" bestFit="1" customWidth="1"/>
    <col min="6" max="6" width="10.26953125" style="24" customWidth="1"/>
    <col min="7" max="7" width="10.81640625" style="24" bestFit="1" customWidth="1"/>
    <col min="8" max="9" width="10.26953125" style="24" customWidth="1"/>
    <col min="10" max="10" width="15.1796875" style="24" bestFit="1" customWidth="1"/>
    <col min="11" max="11" width="12.1796875" style="23" customWidth="1"/>
    <col min="12" max="12" width="16.1796875" style="24" customWidth="1"/>
    <col min="13" max="13" width="61.81640625" style="24" bestFit="1" customWidth="1"/>
    <col min="14" max="65" width="12.1796875" style="24" customWidth="1"/>
  </cols>
  <sheetData>
    <row r="1" spans="1:65" ht="20">
      <c r="A1" s="522" t="s">
        <v>522</v>
      </c>
      <c r="B1" s="522"/>
      <c r="C1" s="522"/>
      <c r="D1" s="522"/>
      <c r="E1" s="522"/>
      <c r="F1" s="522"/>
      <c r="G1" s="522"/>
      <c r="H1" s="522"/>
      <c r="I1" s="522"/>
      <c r="J1" s="522"/>
    </row>
    <row r="2" spans="1:65" ht="15.5">
      <c r="A2" s="633" t="s">
        <v>17</v>
      </c>
      <c r="B2" s="633"/>
      <c r="C2" s="633"/>
      <c r="D2" s="633"/>
      <c r="E2" s="633"/>
      <c r="F2" s="633"/>
      <c r="G2" s="633"/>
      <c r="H2" s="633"/>
      <c r="I2" s="633"/>
      <c r="J2" s="633"/>
    </row>
    <row r="3" spans="1:65" ht="15.5">
      <c r="A3" s="25"/>
      <c r="B3" s="26"/>
      <c r="C3" s="27"/>
      <c r="D3" s="27"/>
      <c r="E3" s="28"/>
      <c r="F3" s="28"/>
      <c r="G3" s="28"/>
      <c r="H3" s="28"/>
      <c r="I3" s="28"/>
      <c r="J3" s="29"/>
    </row>
    <row r="4" spans="1:65" ht="13">
      <c r="A4" s="545" t="str">
        <f>Sintética!B4</f>
        <v>MANUTENÇÃO DE ATIVOS DAS UNIDADES DA RF10</v>
      </c>
      <c r="B4" s="545"/>
      <c r="C4" s="545"/>
      <c r="D4" s="545"/>
      <c r="E4" s="545"/>
      <c r="F4" s="545"/>
      <c r="G4" s="545"/>
      <c r="H4" s="545"/>
      <c r="I4" s="545"/>
      <c r="J4" s="545"/>
    </row>
    <row r="5" spans="1:65">
      <c r="A5" s="627" t="str">
        <f>Sintética!G6</f>
        <v>LEIS SOCIAIS DESONERADAS – REFERÊNCIA HORISTA SINAPI: LS</v>
      </c>
      <c r="B5" s="548"/>
      <c r="C5" s="548"/>
      <c r="D5" s="548"/>
      <c r="E5" s="548"/>
      <c r="F5" s="548"/>
      <c r="G5" s="548"/>
      <c r="H5" s="548"/>
      <c r="I5" s="548"/>
      <c r="J5" s="30">
        <v>0.9022</v>
      </c>
    </row>
    <row r="6" spans="1:65">
      <c r="A6" s="627" t="str">
        <f>Sintética!G7</f>
        <v>BENEFÍCIOS E DESPESA INDIRETAS: BDI (SERVIÇOS)</v>
      </c>
      <c r="B6" s="548"/>
      <c r="C6" s="548"/>
      <c r="D6" s="548"/>
      <c r="E6" s="548"/>
      <c r="F6" s="548"/>
      <c r="G6" s="548"/>
      <c r="H6" s="548"/>
      <c r="I6" s="548"/>
      <c r="J6" s="31">
        <f>Sintética!H7</f>
        <v>0.2782</v>
      </c>
    </row>
    <row r="7" spans="1:65">
      <c r="A7" s="627" t="str">
        <f>Sintética!G8</f>
        <v>BENEFÍCIOS E DESPESA INDIRETAS: BDI (MATERIAIS)</v>
      </c>
      <c r="B7" s="548"/>
      <c r="C7" s="548"/>
      <c r="D7" s="548"/>
      <c r="E7" s="548"/>
      <c r="F7" s="548"/>
      <c r="G7" s="548"/>
      <c r="H7" s="548"/>
      <c r="I7" s="548"/>
      <c r="J7" s="31">
        <f>Sintética!H8</f>
        <v>0.1401</v>
      </c>
    </row>
    <row r="8" spans="1:65" ht="13">
      <c r="A8" s="628" t="str">
        <f>Sintética!G9</f>
        <v>REFERÊNCIA: SINAPI – RS – 06/25 (DESONERADA)</v>
      </c>
      <c r="B8" s="550"/>
      <c r="C8" s="550"/>
      <c r="D8" s="550"/>
      <c r="E8" s="550"/>
      <c r="F8" s="550"/>
      <c r="G8" s="550"/>
      <c r="H8" s="550"/>
      <c r="I8" s="550"/>
      <c r="J8" s="32"/>
    </row>
    <row r="9" spans="1:65" ht="23">
      <c r="A9" s="311" t="s">
        <v>18</v>
      </c>
      <c r="B9" s="311" t="s">
        <v>19</v>
      </c>
      <c r="C9" s="311" t="s">
        <v>20</v>
      </c>
      <c r="D9" s="311" t="s">
        <v>21</v>
      </c>
      <c r="E9" s="311" t="s">
        <v>81</v>
      </c>
      <c r="F9" s="311" t="s">
        <v>22</v>
      </c>
      <c r="G9" s="311" t="s">
        <v>82</v>
      </c>
      <c r="H9" s="311" t="s">
        <v>78</v>
      </c>
      <c r="I9" s="311" t="s">
        <v>79</v>
      </c>
      <c r="J9" s="311" t="s">
        <v>23</v>
      </c>
    </row>
    <row r="10" spans="1:65">
      <c r="A10" s="631" t="s">
        <v>410</v>
      </c>
      <c r="B10" s="565"/>
      <c r="C10" s="565"/>
      <c r="D10" s="565"/>
      <c r="E10" s="565"/>
      <c r="F10" s="565"/>
      <c r="G10" s="565"/>
      <c r="H10" s="565"/>
      <c r="I10" s="565"/>
      <c r="J10" s="573"/>
    </row>
    <row r="11" spans="1:65">
      <c r="A11" s="307"/>
      <c r="B11" s="308" t="s">
        <v>11</v>
      </c>
      <c r="C11" s="309" t="s">
        <v>157</v>
      </c>
      <c r="D11" s="309"/>
      <c r="E11" s="309"/>
      <c r="F11" s="309"/>
      <c r="G11" s="309"/>
      <c r="H11" s="309"/>
      <c r="I11" s="309"/>
      <c r="J11" s="310">
        <f>J23+J31+J35+J52</f>
        <v>11549630.205627015</v>
      </c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</row>
    <row r="12" spans="1:65" s="100" customFormat="1">
      <c r="A12" s="44"/>
      <c r="B12" s="45" t="s">
        <v>12</v>
      </c>
      <c r="C12" s="46" t="s">
        <v>74</v>
      </c>
      <c r="D12" s="45"/>
      <c r="E12" s="47"/>
      <c r="F12" s="48"/>
      <c r="G12" s="48"/>
      <c r="H12" s="48"/>
      <c r="I12" s="48"/>
      <c r="J12" s="49"/>
    </row>
    <row r="13" spans="1:65" s="418" customFormat="1">
      <c r="A13" s="299" t="s">
        <v>25</v>
      </c>
      <c r="B13" s="299">
        <v>90778</v>
      </c>
      <c r="C13" s="412" t="s">
        <v>110</v>
      </c>
      <c r="D13" s="413" t="s">
        <v>26</v>
      </c>
      <c r="E13" s="414">
        <f>'Plano Mnt Hh'!H14</f>
        <v>503.99999999999989</v>
      </c>
      <c r="F13" s="255">
        <f>'MO SINAPI'!F5</f>
        <v>121.61</v>
      </c>
      <c r="G13" s="415">
        <f>E13*F13</f>
        <v>61291.439999999988</v>
      </c>
      <c r="H13" s="255">
        <f>$J$6*F13</f>
        <v>33.831901999999999</v>
      </c>
      <c r="I13" s="255">
        <f>F13+H13</f>
        <v>155.441902</v>
      </c>
      <c r="J13" s="416">
        <f>E13*I13</f>
        <v>78342.718607999981</v>
      </c>
    </row>
    <row r="14" spans="1:65" s="418" customFormat="1">
      <c r="A14" s="299" t="s">
        <v>25</v>
      </c>
      <c r="B14" s="299">
        <v>100533</v>
      </c>
      <c r="C14" s="412" t="s">
        <v>111</v>
      </c>
      <c r="D14" s="413" t="s">
        <v>26</v>
      </c>
      <c r="E14" s="414">
        <f>'Plano Mnt Hh'!H13</f>
        <v>9240</v>
      </c>
      <c r="F14" s="255">
        <f>'MO SINAPI'!F11</f>
        <v>30.27</v>
      </c>
      <c r="G14" s="415">
        <f t="shared" ref="G14:G19" si="0">E14*F14</f>
        <v>279694.8</v>
      </c>
      <c r="H14" s="255">
        <f t="shared" ref="H14:H19" si="1">$J$6*F14</f>
        <v>8.4211139999999993</v>
      </c>
      <c r="I14" s="255">
        <f t="shared" ref="I14:I19" si="2">F14+H14</f>
        <v>38.691113999999999</v>
      </c>
      <c r="J14" s="416">
        <f t="shared" ref="J14:J19" si="3">E14*I14</f>
        <v>357505.89335999999</v>
      </c>
      <c r="L14" s="419"/>
    </row>
    <row r="15" spans="1:65" s="418" customFormat="1" ht="20.5">
      <c r="A15" s="299" t="s">
        <v>25</v>
      </c>
      <c r="B15" s="299">
        <v>100308</v>
      </c>
      <c r="C15" s="412" t="s">
        <v>66</v>
      </c>
      <c r="D15" s="413" t="s">
        <v>26</v>
      </c>
      <c r="E15" s="414">
        <f>'Plano Mnt Hh'!H8</f>
        <v>36960</v>
      </c>
      <c r="F15" s="255">
        <f>'MO SINAPI'!F6</f>
        <v>28.3</v>
      </c>
      <c r="G15" s="415">
        <f t="shared" si="0"/>
        <v>1045968</v>
      </c>
      <c r="H15" s="255">
        <f t="shared" si="1"/>
        <v>7.8730600000000006</v>
      </c>
      <c r="I15" s="255">
        <f t="shared" si="2"/>
        <v>36.17306</v>
      </c>
      <c r="J15" s="416">
        <f t="shared" si="3"/>
        <v>1336956.2975999999</v>
      </c>
      <c r="L15" s="419"/>
    </row>
    <row r="16" spans="1:65" s="420" customFormat="1">
      <c r="A16" s="299" t="s">
        <v>25</v>
      </c>
      <c r="B16" s="299">
        <v>88266</v>
      </c>
      <c r="C16" s="412" t="s">
        <v>254</v>
      </c>
      <c r="D16" s="496" t="s">
        <v>26</v>
      </c>
      <c r="E16" s="497">
        <f>'Plano Mnt Hh'!H6</f>
        <v>55439.999999999993</v>
      </c>
      <c r="F16" s="498">
        <f>'MO SINAPI'!F8+'MO SINAPI'!H8</f>
        <v>38.158191567658506</v>
      </c>
      <c r="G16" s="499">
        <f t="shared" si="0"/>
        <v>2115490.1405109875</v>
      </c>
      <c r="H16" s="498">
        <f t="shared" si="1"/>
        <v>10.615608894122596</v>
      </c>
      <c r="I16" s="498">
        <f t="shared" si="2"/>
        <v>48.7738004617811</v>
      </c>
      <c r="J16" s="500">
        <f t="shared" si="3"/>
        <v>2704019.497601144</v>
      </c>
      <c r="L16" s="421"/>
    </row>
    <row r="17" spans="1:12" s="418" customFormat="1">
      <c r="A17" s="299" t="s">
        <v>25</v>
      </c>
      <c r="B17" s="299">
        <v>88266</v>
      </c>
      <c r="C17" s="412" t="s">
        <v>119</v>
      </c>
      <c r="D17" s="413" t="s">
        <v>26</v>
      </c>
      <c r="E17" s="414">
        <f>'Plano Mnt Hh'!H7</f>
        <v>16170</v>
      </c>
      <c r="F17" s="255">
        <f>'MO SINAPI'!F8</f>
        <v>32.96</v>
      </c>
      <c r="G17" s="415">
        <f t="shared" si="0"/>
        <v>532963.20000000007</v>
      </c>
      <c r="H17" s="255">
        <f t="shared" si="1"/>
        <v>9.1694720000000007</v>
      </c>
      <c r="I17" s="255">
        <f t="shared" si="2"/>
        <v>42.129472</v>
      </c>
      <c r="J17" s="416">
        <f t="shared" si="3"/>
        <v>681233.56224</v>
      </c>
    </row>
    <row r="18" spans="1:12" s="418" customFormat="1">
      <c r="A18" s="299" t="s">
        <v>25</v>
      </c>
      <c r="B18" s="299">
        <v>100308</v>
      </c>
      <c r="C18" s="412" t="s">
        <v>120</v>
      </c>
      <c r="D18" s="413" t="s">
        <v>26</v>
      </c>
      <c r="E18" s="414">
        <f>'Plano Mnt Hh'!H9</f>
        <v>11550</v>
      </c>
      <c r="F18" s="255">
        <f>'MO SINAPI'!F6</f>
        <v>28.3</v>
      </c>
      <c r="G18" s="415">
        <f t="shared" si="0"/>
        <v>326865</v>
      </c>
      <c r="H18" s="255">
        <f t="shared" si="1"/>
        <v>7.8730600000000006</v>
      </c>
      <c r="I18" s="255">
        <f t="shared" si="2"/>
        <v>36.17306</v>
      </c>
      <c r="J18" s="416">
        <f t="shared" si="3"/>
        <v>417798.84299999999</v>
      </c>
    </row>
    <row r="19" spans="1:12" s="418" customFormat="1">
      <c r="A19" s="299" t="s">
        <v>25</v>
      </c>
      <c r="B19" s="299">
        <v>88309</v>
      </c>
      <c r="C19" s="412" t="s">
        <v>121</v>
      </c>
      <c r="D19" s="413" t="s">
        <v>26</v>
      </c>
      <c r="E19" s="414">
        <f>'Plano Mnt Hh'!H5</f>
        <v>55439.999999999993</v>
      </c>
      <c r="F19" s="255">
        <f>'MO SINAPI'!F14</f>
        <v>25.72</v>
      </c>
      <c r="G19" s="415">
        <f t="shared" si="0"/>
        <v>1425916.7999999998</v>
      </c>
      <c r="H19" s="255">
        <f t="shared" si="1"/>
        <v>7.1553040000000001</v>
      </c>
      <c r="I19" s="255">
        <f t="shared" si="2"/>
        <v>32.875304</v>
      </c>
      <c r="J19" s="416">
        <f t="shared" si="3"/>
        <v>1822606.8537599999</v>
      </c>
    </row>
    <row r="20" spans="1:12" s="418" customFormat="1">
      <c r="A20" s="299" t="s">
        <v>25</v>
      </c>
      <c r="B20" s="299">
        <v>88243</v>
      </c>
      <c r="C20" s="412" t="s">
        <v>190</v>
      </c>
      <c r="D20" s="413" t="s">
        <v>26</v>
      </c>
      <c r="E20" s="414">
        <f>'Plano Mnt Hh'!H10</f>
        <v>27719.999999999996</v>
      </c>
      <c r="F20" s="255">
        <f>'MO SINAPI'!F7</f>
        <v>22.35</v>
      </c>
      <c r="G20" s="415">
        <f t="shared" ref="G20:G22" si="4">E20*F20</f>
        <v>619542</v>
      </c>
      <c r="H20" s="255">
        <f t="shared" ref="H20:H22" si="5">$J$6*F20</f>
        <v>6.2177700000000007</v>
      </c>
      <c r="I20" s="255">
        <f t="shared" ref="I20:I22" si="6">F20+H20</f>
        <v>28.567770000000003</v>
      </c>
      <c r="J20" s="416">
        <f t="shared" ref="J20:J22" si="7">E20*I20</f>
        <v>791898.58439999993</v>
      </c>
    </row>
    <row r="21" spans="1:12" s="418" customFormat="1">
      <c r="A21" s="299" t="s">
        <v>25</v>
      </c>
      <c r="B21" s="299">
        <v>88310</v>
      </c>
      <c r="C21" s="412" t="s">
        <v>188</v>
      </c>
      <c r="D21" s="413" t="s">
        <v>26</v>
      </c>
      <c r="E21" s="414">
        <f>'Plano Mnt Hh'!H11</f>
        <v>9240</v>
      </c>
      <c r="F21" s="255">
        <f>'MO SINAPI'!F18</f>
        <v>27.41</v>
      </c>
      <c r="G21" s="415">
        <f t="shared" si="4"/>
        <v>253268.4</v>
      </c>
      <c r="H21" s="255">
        <f t="shared" si="5"/>
        <v>7.6254619999999997</v>
      </c>
      <c r="I21" s="255">
        <f t="shared" si="6"/>
        <v>35.035462000000003</v>
      </c>
      <c r="J21" s="416">
        <f t="shared" si="7"/>
        <v>323727.66888000001</v>
      </c>
    </row>
    <row r="22" spans="1:12" s="418" customFormat="1">
      <c r="A22" s="299" t="s">
        <v>25</v>
      </c>
      <c r="B22" s="299">
        <v>100301</v>
      </c>
      <c r="C22" s="412" t="s">
        <v>189</v>
      </c>
      <c r="D22" s="413" t="s">
        <v>26</v>
      </c>
      <c r="E22" s="414">
        <f>'Plano Mnt Hh'!H12</f>
        <v>9240</v>
      </c>
      <c r="F22" s="255">
        <f>'MO SINAPI'!F19</f>
        <v>24.39</v>
      </c>
      <c r="G22" s="415">
        <f t="shared" si="4"/>
        <v>225363.6</v>
      </c>
      <c r="H22" s="255">
        <f t="shared" si="5"/>
        <v>6.7852980000000001</v>
      </c>
      <c r="I22" s="255">
        <f t="shared" si="6"/>
        <v>31.175298000000002</v>
      </c>
      <c r="J22" s="416">
        <f t="shared" si="7"/>
        <v>288059.75352000003</v>
      </c>
    </row>
    <row r="23" spans="1:12" s="100" customFormat="1">
      <c r="A23" s="629" t="s">
        <v>24</v>
      </c>
      <c r="B23" s="558"/>
      <c r="C23" s="558"/>
      <c r="D23" s="558"/>
      <c r="E23" s="558"/>
      <c r="F23" s="558"/>
      <c r="G23" s="558"/>
      <c r="H23" s="558"/>
      <c r="I23" s="630"/>
      <c r="J23" s="40">
        <f>SUM(J13:J22)</f>
        <v>8802149.6729691457</v>
      </c>
      <c r="L23" s="160"/>
    </row>
    <row r="24" spans="1:12" s="113" customFormat="1">
      <c r="A24" s="37"/>
      <c r="B24" s="37"/>
      <c r="C24" s="41"/>
      <c r="D24" s="38"/>
      <c r="E24" s="39"/>
      <c r="F24" s="42"/>
      <c r="G24" s="42"/>
      <c r="H24" s="42"/>
      <c r="I24" s="42"/>
      <c r="J24" s="43"/>
      <c r="L24" s="105"/>
    </row>
    <row r="25" spans="1:12" s="113" customFormat="1">
      <c r="A25" s="44"/>
      <c r="B25" s="45" t="s">
        <v>75</v>
      </c>
      <c r="C25" s="46" t="s">
        <v>122</v>
      </c>
      <c r="D25" s="45"/>
      <c r="E25" s="47"/>
      <c r="F25" s="48"/>
      <c r="G25" s="48"/>
      <c r="H25" s="48"/>
      <c r="I25" s="48"/>
      <c r="J25" s="49"/>
    </row>
    <row r="26" spans="1:12" s="113" customFormat="1">
      <c r="A26" s="37" t="s">
        <v>368</v>
      </c>
      <c r="B26" s="37"/>
      <c r="C26" s="41" t="s">
        <v>261</v>
      </c>
      <c r="D26" s="38" t="s">
        <v>21</v>
      </c>
      <c r="E26" s="114">
        <f>(Diárias!N27+Diárias!N40)*60</f>
        <v>5880</v>
      </c>
      <c r="F26" s="255">
        <f>40+40</f>
        <v>80</v>
      </c>
      <c r="G26" s="106">
        <f>E26*F26</f>
        <v>470400</v>
      </c>
      <c r="H26" s="42">
        <f>$J$6*F26</f>
        <v>22.256</v>
      </c>
      <c r="I26" s="42">
        <f>F26+H26</f>
        <v>102.256</v>
      </c>
      <c r="J26" s="43">
        <f>E26*I26</f>
        <v>601265.28</v>
      </c>
    </row>
    <row r="27" spans="1:12" s="113" customFormat="1">
      <c r="A27" s="37" t="s">
        <v>368</v>
      </c>
      <c r="B27" s="37"/>
      <c r="C27" s="41" t="s">
        <v>260</v>
      </c>
      <c r="D27" s="38" t="s">
        <v>21</v>
      </c>
      <c r="E27" s="114">
        <f>Diárias!N40*60</f>
        <v>1500</v>
      </c>
      <c r="F27" s="255">
        <v>260</v>
      </c>
      <c r="G27" s="106">
        <f t="shared" ref="G27:G30" si="8">E27*F27</f>
        <v>390000</v>
      </c>
      <c r="H27" s="42">
        <f t="shared" ref="H27:H30" si="9">$J$6*F27</f>
        <v>72.331999999999994</v>
      </c>
      <c r="I27" s="42">
        <f t="shared" ref="I27:I30" si="10">F27+H27</f>
        <v>332.33199999999999</v>
      </c>
      <c r="J27" s="43">
        <f t="shared" ref="J27:J30" si="11">E27*I27</f>
        <v>498498</v>
      </c>
      <c r="L27" s="98"/>
    </row>
    <row r="28" spans="1:12" s="113" customFormat="1">
      <c r="A28" s="37" t="s">
        <v>368</v>
      </c>
      <c r="B28" s="37"/>
      <c r="C28" s="41" t="s">
        <v>252</v>
      </c>
      <c r="D28" s="38" t="s">
        <v>13</v>
      </c>
      <c r="E28" s="114">
        <f>12*5/30*21</f>
        <v>42</v>
      </c>
      <c r="F28" s="302">
        <v>12920</v>
      </c>
      <c r="G28" s="106">
        <f t="shared" si="8"/>
        <v>542640</v>
      </c>
      <c r="H28" s="42">
        <f t="shared" si="9"/>
        <v>3594.3440000000001</v>
      </c>
      <c r="I28" s="42">
        <f t="shared" si="10"/>
        <v>16514.344000000001</v>
      </c>
      <c r="J28" s="43">
        <f t="shared" si="11"/>
        <v>693602.44800000009</v>
      </c>
    </row>
    <row r="29" spans="1:12" s="113" customFormat="1">
      <c r="A29" s="37" t="s">
        <v>368</v>
      </c>
      <c r="B29" s="37"/>
      <c r="C29" s="41" t="s">
        <v>123</v>
      </c>
      <c r="D29" s="38" t="s">
        <v>45</v>
      </c>
      <c r="E29" s="114">
        <f>(Deslocamentos!D14+Deslocamentos!D35+Deslocamentos!D56)/10*60</f>
        <v>33444</v>
      </c>
      <c r="F29" s="42">
        <f>((6.47*(Deslocamentos!D56+Deslocamentos!D35))+(7.28*Deslocamentos!D14))/(Deslocamentos!D14+Deslocamentos!D35+Deslocamentos!D56)</f>
        <v>6.55864370290635</v>
      </c>
      <c r="G29" s="106">
        <f t="shared" si="8"/>
        <v>219347.27999999997</v>
      </c>
      <c r="H29" s="42">
        <f t="shared" si="9"/>
        <v>1.8246146781485466</v>
      </c>
      <c r="I29" s="42">
        <f t="shared" si="10"/>
        <v>8.3832583810548975</v>
      </c>
      <c r="J29" s="43">
        <f t="shared" si="11"/>
        <v>280369.69329600001</v>
      </c>
      <c r="L29" s="98"/>
    </row>
    <row r="30" spans="1:12" s="113" customFormat="1">
      <c r="A30" s="37" t="s">
        <v>368</v>
      </c>
      <c r="B30" s="37"/>
      <c r="C30" s="41" t="s">
        <v>253</v>
      </c>
      <c r="D30" s="38" t="s">
        <v>21</v>
      </c>
      <c r="E30" s="114">
        <f>2*Deslocamentos!D34*60</f>
        <v>1080</v>
      </c>
      <c r="F30" s="42">
        <v>19.600000000000001</v>
      </c>
      <c r="G30" s="106">
        <f t="shared" si="8"/>
        <v>21168</v>
      </c>
      <c r="H30" s="42">
        <f t="shared" si="9"/>
        <v>5.4527200000000002</v>
      </c>
      <c r="I30" s="42">
        <f t="shared" si="10"/>
        <v>25.052720000000001</v>
      </c>
      <c r="J30" s="43">
        <f t="shared" si="11"/>
        <v>27056.937600000001</v>
      </c>
      <c r="L30" s="98"/>
    </row>
    <row r="31" spans="1:12" s="113" customFormat="1">
      <c r="A31" s="629" t="s">
        <v>24</v>
      </c>
      <c r="B31" s="558"/>
      <c r="C31" s="558"/>
      <c r="D31" s="558"/>
      <c r="E31" s="558"/>
      <c r="F31" s="558"/>
      <c r="G31" s="558"/>
      <c r="H31" s="558"/>
      <c r="I31" s="630"/>
      <c r="J31" s="40">
        <f>SUM(J26:J30)</f>
        <v>2100792.3588959998</v>
      </c>
      <c r="K31" s="196"/>
      <c r="L31" s="160"/>
    </row>
    <row r="32" spans="1:12" s="100" customFormat="1">
      <c r="A32" s="319"/>
      <c r="B32" s="162"/>
      <c r="C32" s="162"/>
      <c r="D32" s="162"/>
      <c r="E32" s="162"/>
      <c r="F32" s="162"/>
      <c r="G32" s="162"/>
      <c r="H32" s="162"/>
      <c r="I32" s="162"/>
      <c r="J32" s="320"/>
      <c r="L32" s="105"/>
    </row>
    <row r="33" spans="1:65" s="97" customFormat="1">
      <c r="A33" s="44"/>
      <c r="B33" s="45" t="s">
        <v>125</v>
      </c>
      <c r="C33" s="46" t="s">
        <v>412</v>
      </c>
      <c r="D33" s="45"/>
      <c r="E33" s="47"/>
      <c r="F33" s="48"/>
      <c r="G33" s="48"/>
      <c r="H33" s="48"/>
      <c r="I33" s="48"/>
      <c r="J33" s="49"/>
      <c r="L33" s="105"/>
    </row>
    <row r="34" spans="1:65" s="97" customFormat="1" ht="13">
      <c r="A34" s="301" t="s">
        <v>404</v>
      </c>
      <c r="B34" s="300"/>
      <c r="C34" s="41" t="s">
        <v>413</v>
      </c>
      <c r="D34" s="38" t="s">
        <v>403</v>
      </c>
      <c r="E34" s="104">
        <v>5</v>
      </c>
      <c r="F34" s="302">
        <f>Consumíveis!G2</f>
        <v>20637.605779154157</v>
      </c>
      <c r="G34" s="106">
        <f t="shared" ref="G34" si="12">E34*F34</f>
        <v>103188.02889577078</v>
      </c>
      <c r="H34" s="42">
        <f>$J$7*F34</f>
        <v>2891.3285696594976</v>
      </c>
      <c r="I34" s="42">
        <f t="shared" ref="I34" si="13">F34+H34</f>
        <v>23528.934348813655</v>
      </c>
      <c r="J34" s="43">
        <f t="shared" ref="J34" si="14">E34*I34</f>
        <v>117644.67174406827</v>
      </c>
    </row>
    <row r="35" spans="1:65">
      <c r="A35" s="629" t="s">
        <v>24</v>
      </c>
      <c r="B35" s="558"/>
      <c r="C35" s="558"/>
      <c r="D35" s="558"/>
      <c r="E35" s="558"/>
      <c r="F35" s="558"/>
      <c r="G35" s="558"/>
      <c r="H35" s="558"/>
      <c r="I35" s="630"/>
      <c r="J35" s="40">
        <f>SUM(J34:J34)</f>
        <v>117644.67174406827</v>
      </c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</row>
    <row r="36" spans="1:65" s="115" customFormat="1">
      <c r="A36" s="319"/>
      <c r="B36" s="162"/>
      <c r="C36" s="162"/>
      <c r="D36" s="162"/>
      <c r="E36" s="162"/>
      <c r="F36" s="162"/>
      <c r="G36" s="162"/>
      <c r="H36" s="162"/>
      <c r="I36" s="162"/>
      <c r="J36" s="320"/>
    </row>
    <row r="37" spans="1:65" s="115" customFormat="1">
      <c r="A37" s="44"/>
      <c r="B37" s="45" t="s">
        <v>160</v>
      </c>
      <c r="C37" s="46" t="s">
        <v>76</v>
      </c>
      <c r="D37" s="45"/>
      <c r="E37" s="47"/>
      <c r="F37" s="48"/>
      <c r="G37" s="48"/>
      <c r="H37" s="48"/>
      <c r="I37" s="48"/>
      <c r="J37" s="49"/>
    </row>
    <row r="38" spans="1:65" s="171" customFormat="1" ht="20.5">
      <c r="A38" s="301" t="s">
        <v>68</v>
      </c>
      <c r="B38" s="300"/>
      <c r="C38" s="286" t="s">
        <v>405</v>
      </c>
      <c r="D38" s="38" t="s">
        <v>70</v>
      </c>
      <c r="E38" s="104">
        <v>5</v>
      </c>
      <c r="F38" s="302">
        <f>Termografia!G6</f>
        <v>22357.626600000003</v>
      </c>
      <c r="G38" s="106">
        <f t="shared" ref="G38:G39" si="15">E38*F38</f>
        <v>111788.13300000002</v>
      </c>
      <c r="H38" s="42">
        <f t="shared" ref="H38:H39" si="16">$J$6*F38</f>
        <v>6219.8917201200011</v>
      </c>
      <c r="I38" s="42">
        <f t="shared" ref="I38:I39" si="17">F38+H38</f>
        <v>28577.518320120005</v>
      </c>
      <c r="J38" s="43">
        <f t="shared" ref="J38:J39" si="18">E38*I38</f>
        <v>142887.59160060002</v>
      </c>
    </row>
    <row r="39" spans="1:65" s="171" customFormat="1">
      <c r="A39" s="37" t="s">
        <v>367</v>
      </c>
      <c r="B39" s="37"/>
      <c r="C39" s="41" t="s">
        <v>191</v>
      </c>
      <c r="D39" s="38" t="s">
        <v>70</v>
      </c>
      <c r="E39" s="104">
        <f>13*5</f>
        <v>65</v>
      </c>
      <c r="F39" s="255">
        <v>13</v>
      </c>
      <c r="G39" s="106">
        <f t="shared" si="15"/>
        <v>845</v>
      </c>
      <c r="H39" s="42">
        <f t="shared" si="16"/>
        <v>3.6166</v>
      </c>
      <c r="I39" s="42">
        <f t="shared" si="17"/>
        <v>16.616599999999998</v>
      </c>
      <c r="J39" s="43">
        <f t="shared" si="18"/>
        <v>1080.079</v>
      </c>
    </row>
    <row r="40" spans="1:65" s="171" customFormat="1" ht="20.5">
      <c r="A40" s="37" t="s">
        <v>367</v>
      </c>
      <c r="B40" s="37" t="s">
        <v>69</v>
      </c>
      <c r="C40" s="41" t="s">
        <v>202</v>
      </c>
      <c r="D40" s="38" t="s">
        <v>263</v>
      </c>
      <c r="E40" s="149">
        <f>22*2*5</f>
        <v>220</v>
      </c>
      <c r="F40" s="255">
        <v>280</v>
      </c>
      <c r="G40" s="106">
        <f>E40*F40</f>
        <v>61600</v>
      </c>
      <c r="H40" s="42">
        <f t="shared" ref="H40:H41" si="19">$J$6*F40</f>
        <v>77.896000000000001</v>
      </c>
      <c r="I40" s="42">
        <f t="shared" ref="I40:I41" si="20">F40+H40</f>
        <v>357.89600000000002</v>
      </c>
      <c r="J40" s="43">
        <f t="shared" ref="J40:J41" si="21">E40*I40</f>
        <v>78737.12000000001</v>
      </c>
    </row>
    <row r="41" spans="1:65" s="171" customFormat="1" ht="20.5">
      <c r="A41" s="299" t="s">
        <v>368</v>
      </c>
      <c r="B41" s="37" t="s">
        <v>71</v>
      </c>
      <c r="C41" s="41" t="s">
        <v>192</v>
      </c>
      <c r="D41" s="38" t="s">
        <v>70</v>
      </c>
      <c r="E41" s="149">
        <f>4*5</f>
        <v>20</v>
      </c>
      <c r="F41" s="255">
        <f>195.56</f>
        <v>195.56</v>
      </c>
      <c r="G41" s="106">
        <f t="shared" ref="G41" si="22">E41*F41</f>
        <v>3911.2</v>
      </c>
      <c r="H41" s="42">
        <f t="shared" si="19"/>
        <v>54.404792</v>
      </c>
      <c r="I41" s="42">
        <f t="shared" si="20"/>
        <v>249.96479199999999</v>
      </c>
      <c r="J41" s="43">
        <f t="shared" si="21"/>
        <v>4999.2958399999998</v>
      </c>
    </row>
    <row r="42" spans="1:65" s="171" customFormat="1" ht="30.5">
      <c r="A42" s="37" t="s">
        <v>368</v>
      </c>
      <c r="B42" s="37"/>
      <c r="C42" s="41" t="s">
        <v>193</v>
      </c>
      <c r="D42" s="38" t="s">
        <v>70</v>
      </c>
      <c r="E42" s="104">
        <f>7*5</f>
        <v>35</v>
      </c>
      <c r="F42" s="255">
        <v>477.43</v>
      </c>
      <c r="G42" s="106">
        <f t="shared" ref="G42:G50" si="23">E42*F42</f>
        <v>16710.05</v>
      </c>
      <c r="H42" s="42">
        <f t="shared" ref="H42:H50" si="24">$J$6*F42</f>
        <v>132.82102599999999</v>
      </c>
      <c r="I42" s="42">
        <f t="shared" ref="I42:I50" si="25">F42+H42</f>
        <v>610.25102600000002</v>
      </c>
      <c r="J42" s="43">
        <f t="shared" ref="J42:J50" si="26">E42*I42</f>
        <v>21358.785910000002</v>
      </c>
    </row>
    <row r="43" spans="1:65" s="171" customFormat="1">
      <c r="A43" s="37" t="s">
        <v>368</v>
      </c>
      <c r="B43" s="37"/>
      <c r="C43" s="41" t="s">
        <v>194</v>
      </c>
      <c r="D43" s="38" t="s">
        <v>70</v>
      </c>
      <c r="E43" s="104">
        <f>6*5</f>
        <v>30</v>
      </c>
      <c r="F43" s="255">
        <v>477.43</v>
      </c>
      <c r="G43" s="106">
        <f t="shared" si="23"/>
        <v>14322.9</v>
      </c>
      <c r="H43" s="42">
        <f t="shared" si="24"/>
        <v>132.82102599999999</v>
      </c>
      <c r="I43" s="42">
        <f t="shared" si="25"/>
        <v>610.25102600000002</v>
      </c>
      <c r="J43" s="43">
        <f t="shared" si="26"/>
        <v>18307.530780000001</v>
      </c>
    </row>
    <row r="44" spans="1:65" s="171" customFormat="1">
      <c r="A44" s="37" t="s">
        <v>367</v>
      </c>
      <c r="B44" s="37"/>
      <c r="C44" s="41" t="s">
        <v>199</v>
      </c>
      <c r="D44" s="38" t="s">
        <v>262</v>
      </c>
      <c r="E44" s="104">
        <f>4*5</f>
        <v>20</v>
      </c>
      <c r="F44" s="255">
        <v>265.3</v>
      </c>
      <c r="G44" s="106">
        <f t="shared" si="23"/>
        <v>5306</v>
      </c>
      <c r="H44" s="42">
        <f t="shared" si="24"/>
        <v>73.806460000000001</v>
      </c>
      <c r="I44" s="42">
        <f t="shared" si="25"/>
        <v>339.10646000000003</v>
      </c>
      <c r="J44" s="43">
        <f t="shared" si="26"/>
        <v>6782.1292000000003</v>
      </c>
    </row>
    <row r="45" spans="1:65" s="171" customFormat="1">
      <c r="A45" s="37" t="s">
        <v>367</v>
      </c>
      <c r="B45" s="37"/>
      <c r="C45" s="41" t="s">
        <v>200</v>
      </c>
      <c r="D45" s="38" t="s">
        <v>70</v>
      </c>
      <c r="E45" s="104">
        <f>32*5*2</f>
        <v>320</v>
      </c>
      <c r="F45" s="255">
        <v>193</v>
      </c>
      <c r="G45" s="106">
        <f t="shared" si="23"/>
        <v>61760</v>
      </c>
      <c r="H45" s="42">
        <f t="shared" si="24"/>
        <v>53.692599999999999</v>
      </c>
      <c r="I45" s="42">
        <f t="shared" si="25"/>
        <v>246.6926</v>
      </c>
      <c r="J45" s="43">
        <f t="shared" si="26"/>
        <v>78941.631999999998</v>
      </c>
    </row>
    <row r="46" spans="1:65" s="171" customFormat="1">
      <c r="A46" s="37" t="s">
        <v>367</v>
      </c>
      <c r="B46" s="37"/>
      <c r="C46" s="41" t="s">
        <v>195</v>
      </c>
      <c r="D46" s="38" t="s">
        <v>70</v>
      </c>
      <c r="E46" s="262">
        <f>(147*5)</f>
        <v>735</v>
      </c>
      <c r="F46" s="255">
        <v>56.1</v>
      </c>
      <c r="G46" s="106">
        <f t="shared" si="23"/>
        <v>41233.5</v>
      </c>
      <c r="H46" s="42">
        <f t="shared" si="24"/>
        <v>15.60702</v>
      </c>
      <c r="I46" s="42">
        <f t="shared" si="25"/>
        <v>71.70702</v>
      </c>
      <c r="J46" s="43">
        <f t="shared" si="26"/>
        <v>52704.659699999997</v>
      </c>
    </row>
    <row r="47" spans="1:65" s="171" customFormat="1">
      <c r="A47" s="299" t="s">
        <v>406</v>
      </c>
      <c r="B47" s="37"/>
      <c r="C47" s="41" t="s">
        <v>196</v>
      </c>
      <c r="D47" s="38" t="s">
        <v>70</v>
      </c>
      <c r="E47" s="104">
        <f>2*5</f>
        <v>10</v>
      </c>
      <c r="F47" s="302">
        <f>(6498+6239.12)/2</f>
        <v>6368.5599999999995</v>
      </c>
      <c r="G47" s="106">
        <f t="shared" si="23"/>
        <v>63685.599999999991</v>
      </c>
      <c r="H47" s="42">
        <f t="shared" si="24"/>
        <v>1771.7333919999999</v>
      </c>
      <c r="I47" s="42">
        <f t="shared" si="25"/>
        <v>8140.2933919999996</v>
      </c>
      <c r="J47" s="43">
        <f t="shared" si="26"/>
        <v>81402.933919999996</v>
      </c>
    </row>
    <row r="48" spans="1:65" s="171" customFormat="1" ht="13">
      <c r="A48" s="301" t="s">
        <v>68</v>
      </c>
      <c r="B48" s="300"/>
      <c r="C48" s="41" t="s">
        <v>407</v>
      </c>
      <c r="D48" s="38" t="s">
        <v>70</v>
      </c>
      <c r="E48" s="104">
        <v>1</v>
      </c>
      <c r="F48" s="302">
        <f>'Inspeção Predial'!G3</f>
        <v>18636.896000000001</v>
      </c>
      <c r="G48" s="106">
        <f t="shared" si="23"/>
        <v>18636.896000000001</v>
      </c>
      <c r="H48" s="42">
        <f t="shared" si="24"/>
        <v>5184.7844672000001</v>
      </c>
      <c r="I48" s="42">
        <f t="shared" si="25"/>
        <v>23821.6804672</v>
      </c>
      <c r="J48" s="43">
        <f t="shared" si="26"/>
        <v>23821.6804672</v>
      </c>
    </row>
    <row r="49" spans="1:65" s="171" customFormat="1">
      <c r="A49" s="37" t="s">
        <v>368</v>
      </c>
      <c r="B49" s="37"/>
      <c r="C49" s="41" t="s">
        <v>197</v>
      </c>
      <c r="D49" s="38" t="s">
        <v>70</v>
      </c>
      <c r="E49" s="149">
        <v>10</v>
      </c>
      <c r="F49" s="148">
        <v>599</v>
      </c>
      <c r="G49" s="106">
        <f t="shared" si="23"/>
        <v>5990</v>
      </c>
      <c r="H49" s="42">
        <f t="shared" si="24"/>
        <v>166.64179999999999</v>
      </c>
      <c r="I49" s="42">
        <f t="shared" si="25"/>
        <v>765.64179999999999</v>
      </c>
      <c r="J49" s="43">
        <f t="shared" si="26"/>
        <v>7656.4179999999997</v>
      </c>
    </row>
    <row r="50" spans="1:65" s="171" customFormat="1">
      <c r="A50" s="37" t="s">
        <v>368</v>
      </c>
      <c r="B50" s="37"/>
      <c r="C50" s="41" t="s">
        <v>198</v>
      </c>
      <c r="D50" s="38" t="s">
        <v>70</v>
      </c>
      <c r="E50" s="262">
        <f>(34*5*2)</f>
        <v>340</v>
      </c>
      <c r="F50" s="255">
        <v>21.5</v>
      </c>
      <c r="G50" s="106">
        <f t="shared" si="23"/>
        <v>7310</v>
      </c>
      <c r="H50" s="42">
        <f t="shared" si="24"/>
        <v>5.9813000000000001</v>
      </c>
      <c r="I50" s="42">
        <f t="shared" si="25"/>
        <v>27.481300000000001</v>
      </c>
      <c r="J50" s="43">
        <f t="shared" si="26"/>
        <v>9343.6419999999998</v>
      </c>
    </row>
    <row r="51" spans="1:65" s="115" customFormat="1">
      <c r="A51" s="37" t="s">
        <v>68</v>
      </c>
      <c r="B51" s="37" t="s">
        <v>72</v>
      </c>
      <c r="C51" s="41" t="s">
        <v>73</v>
      </c>
      <c r="D51" s="38" t="s">
        <v>21</v>
      </c>
      <c r="E51" s="149">
        <v>3</v>
      </c>
      <c r="F51" s="42">
        <v>266</v>
      </c>
      <c r="G51" s="106">
        <f t="shared" ref="G51" si="27">E51*F51</f>
        <v>798</v>
      </c>
      <c r="H51" s="42">
        <f t="shared" ref="H51" si="28">$J$6*F51</f>
        <v>74.001199999999997</v>
      </c>
      <c r="I51" s="42">
        <f t="shared" ref="I51" si="29">F51+H51</f>
        <v>340.00119999999998</v>
      </c>
      <c r="J51" s="43">
        <f t="shared" ref="J51" si="30">E51*I51</f>
        <v>1020.0036</v>
      </c>
    </row>
    <row r="52" spans="1:65" s="115" customFormat="1">
      <c r="A52" s="629" t="s">
        <v>24</v>
      </c>
      <c r="B52" s="558"/>
      <c r="C52" s="558"/>
      <c r="D52" s="558"/>
      <c r="E52" s="558"/>
      <c r="F52" s="558"/>
      <c r="G52" s="558"/>
      <c r="H52" s="558"/>
      <c r="I52" s="630"/>
      <c r="J52" s="40">
        <f>SUM(J38:J51)</f>
        <v>529043.50201780011</v>
      </c>
      <c r="L52" s="160"/>
    </row>
    <row r="53" spans="1:65">
      <c r="A53" s="319"/>
      <c r="B53" s="162"/>
      <c r="C53" s="162"/>
      <c r="D53" s="162"/>
      <c r="E53" s="162"/>
      <c r="F53" s="162"/>
      <c r="G53" s="162"/>
      <c r="H53" s="162"/>
      <c r="I53" s="162"/>
      <c r="J53" s="320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</row>
    <row r="54" spans="1:65">
      <c r="A54" s="33"/>
      <c r="B54" s="34" t="s">
        <v>14</v>
      </c>
      <c r="C54" s="35" t="s">
        <v>80</v>
      </c>
      <c r="D54" s="35"/>
      <c r="E54" s="35"/>
      <c r="F54" s="35"/>
      <c r="G54" s="35"/>
      <c r="H54" s="35"/>
      <c r="I54" s="35"/>
      <c r="J54" s="36">
        <f>J66+J74</f>
        <v>4481753.8763959184</v>
      </c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</row>
    <row r="55" spans="1:65" s="101" customFormat="1">
      <c r="A55" s="44"/>
      <c r="B55" s="45" t="s">
        <v>126</v>
      </c>
      <c r="C55" s="46" t="s">
        <v>74</v>
      </c>
      <c r="D55" s="45"/>
      <c r="E55" s="47"/>
      <c r="F55" s="48"/>
      <c r="G55" s="48"/>
      <c r="H55" s="48"/>
      <c r="I55" s="48"/>
      <c r="J55" s="49"/>
    </row>
    <row r="56" spans="1:65">
      <c r="A56" s="37" t="s">
        <v>25</v>
      </c>
      <c r="B56" s="37">
        <v>90778</v>
      </c>
      <c r="C56" s="41" t="s">
        <v>110</v>
      </c>
      <c r="D56" s="38" t="s">
        <v>26</v>
      </c>
      <c r="E56" s="114">
        <f>'Plano Mnt Hh'!I14</f>
        <v>215.99999999999997</v>
      </c>
      <c r="F56" s="42">
        <f t="shared" ref="F56:F65" si="31">F13</f>
        <v>121.61</v>
      </c>
      <c r="G56" s="106">
        <f>E56*F56</f>
        <v>26267.759999999995</v>
      </c>
      <c r="H56" s="42">
        <f>$J$6*F56</f>
        <v>33.831901999999999</v>
      </c>
      <c r="I56" s="42">
        <f>F56+H56</f>
        <v>155.441902</v>
      </c>
      <c r="J56" s="43">
        <f>E56*I56</f>
        <v>33575.450831999995</v>
      </c>
      <c r="K56" s="50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</row>
    <row r="57" spans="1:65" s="418" customFormat="1">
      <c r="A57" s="299" t="s">
        <v>25</v>
      </c>
      <c r="B57" s="299">
        <v>100533</v>
      </c>
      <c r="C57" s="412" t="s">
        <v>111</v>
      </c>
      <c r="D57" s="413" t="s">
        <v>26</v>
      </c>
      <c r="E57" s="414">
        <f>'Plano Mnt Hh'!I13</f>
        <v>3960</v>
      </c>
      <c r="F57" s="255">
        <f t="shared" si="31"/>
        <v>30.27</v>
      </c>
      <c r="G57" s="415">
        <f t="shared" ref="G57:G62" si="32">E57*F57</f>
        <v>119869.2</v>
      </c>
      <c r="H57" s="255">
        <f t="shared" ref="H57:H62" si="33">$J$6*F57</f>
        <v>8.4211139999999993</v>
      </c>
      <c r="I57" s="255">
        <f t="shared" ref="I57:I62" si="34">F57+H57</f>
        <v>38.691113999999999</v>
      </c>
      <c r="J57" s="416">
        <f t="shared" ref="J57:J62" si="35">E57*I57</f>
        <v>153216.81143999999</v>
      </c>
    </row>
    <row r="58" spans="1:65" s="418" customFormat="1" ht="20.5">
      <c r="A58" s="299" t="s">
        <v>25</v>
      </c>
      <c r="B58" s="299">
        <v>100308</v>
      </c>
      <c r="C58" s="412" t="s">
        <v>66</v>
      </c>
      <c r="D58" s="413" t="s">
        <v>26</v>
      </c>
      <c r="E58" s="414">
        <f>'Plano Mnt Hh'!I8</f>
        <v>15840</v>
      </c>
      <c r="F58" s="255">
        <f t="shared" si="31"/>
        <v>28.3</v>
      </c>
      <c r="G58" s="415">
        <f t="shared" si="32"/>
        <v>448272</v>
      </c>
      <c r="H58" s="255">
        <f t="shared" si="33"/>
        <v>7.8730600000000006</v>
      </c>
      <c r="I58" s="255">
        <f t="shared" si="34"/>
        <v>36.17306</v>
      </c>
      <c r="J58" s="416">
        <f t="shared" si="35"/>
        <v>572981.27040000004</v>
      </c>
    </row>
    <row r="59" spans="1:65" s="418" customFormat="1">
      <c r="A59" s="299" t="s">
        <v>25</v>
      </c>
      <c r="B59" s="299">
        <v>88266</v>
      </c>
      <c r="C59" s="412" t="s">
        <v>254</v>
      </c>
      <c r="D59" s="413" t="s">
        <v>26</v>
      </c>
      <c r="E59" s="414">
        <f>'Plano Mnt Hh'!I6</f>
        <v>23760</v>
      </c>
      <c r="F59" s="255">
        <f t="shared" si="31"/>
        <v>38.158191567658506</v>
      </c>
      <c r="G59" s="415">
        <f t="shared" si="32"/>
        <v>906638.6316475661</v>
      </c>
      <c r="H59" s="255">
        <f t="shared" si="33"/>
        <v>10.615608894122596</v>
      </c>
      <c r="I59" s="255">
        <f t="shared" si="34"/>
        <v>48.7738004617811</v>
      </c>
      <c r="J59" s="416">
        <f t="shared" si="35"/>
        <v>1158865.4989719188</v>
      </c>
    </row>
    <row r="60" spans="1:65" s="418" customFormat="1">
      <c r="A60" s="299" t="s">
        <v>25</v>
      </c>
      <c r="B60" s="299">
        <v>88266</v>
      </c>
      <c r="C60" s="412" t="s">
        <v>119</v>
      </c>
      <c r="D60" s="413" t="s">
        <v>26</v>
      </c>
      <c r="E60" s="414">
        <f>'Plano Mnt Hh'!I7</f>
        <v>6930</v>
      </c>
      <c r="F60" s="255">
        <f t="shared" si="31"/>
        <v>32.96</v>
      </c>
      <c r="G60" s="415">
        <f t="shared" si="32"/>
        <v>228412.80000000002</v>
      </c>
      <c r="H60" s="255">
        <f t="shared" si="33"/>
        <v>9.1694720000000007</v>
      </c>
      <c r="I60" s="255">
        <f t="shared" si="34"/>
        <v>42.129472</v>
      </c>
      <c r="J60" s="416">
        <f t="shared" si="35"/>
        <v>291957.24096000002</v>
      </c>
    </row>
    <row r="61" spans="1:65" s="418" customFormat="1">
      <c r="A61" s="299" t="s">
        <v>25</v>
      </c>
      <c r="B61" s="299">
        <v>100308</v>
      </c>
      <c r="C61" s="412" t="s">
        <v>120</v>
      </c>
      <c r="D61" s="413" t="s">
        <v>26</v>
      </c>
      <c r="E61" s="414">
        <f>'Plano Mnt Hh'!I9</f>
        <v>4950</v>
      </c>
      <c r="F61" s="255">
        <f t="shared" si="31"/>
        <v>28.3</v>
      </c>
      <c r="G61" s="415">
        <f t="shared" si="32"/>
        <v>140085</v>
      </c>
      <c r="H61" s="255">
        <f t="shared" si="33"/>
        <v>7.8730600000000006</v>
      </c>
      <c r="I61" s="255">
        <f t="shared" si="34"/>
        <v>36.17306</v>
      </c>
      <c r="J61" s="416">
        <f t="shared" si="35"/>
        <v>179056.647</v>
      </c>
    </row>
    <row r="62" spans="1:65" s="418" customFormat="1">
      <c r="A62" s="299" t="s">
        <v>25</v>
      </c>
      <c r="B62" s="299">
        <v>88309</v>
      </c>
      <c r="C62" s="412" t="s">
        <v>121</v>
      </c>
      <c r="D62" s="413" t="s">
        <v>26</v>
      </c>
      <c r="E62" s="414">
        <f>'Plano Mnt Hh'!I5</f>
        <v>23760</v>
      </c>
      <c r="F62" s="255">
        <f t="shared" si="31"/>
        <v>25.72</v>
      </c>
      <c r="G62" s="415">
        <f t="shared" si="32"/>
        <v>611107.19999999995</v>
      </c>
      <c r="H62" s="255">
        <f t="shared" si="33"/>
        <v>7.1553040000000001</v>
      </c>
      <c r="I62" s="255">
        <f t="shared" si="34"/>
        <v>32.875304</v>
      </c>
      <c r="J62" s="416">
        <f t="shared" si="35"/>
        <v>781117.22303999995</v>
      </c>
    </row>
    <row r="63" spans="1:65" s="418" customFormat="1">
      <c r="A63" s="299" t="s">
        <v>25</v>
      </c>
      <c r="B63" s="299">
        <v>88243</v>
      </c>
      <c r="C63" s="412" t="s">
        <v>190</v>
      </c>
      <c r="D63" s="413" t="s">
        <v>26</v>
      </c>
      <c r="E63" s="414">
        <f>'Plano Mnt Hh'!I10</f>
        <v>11880</v>
      </c>
      <c r="F63" s="255">
        <f t="shared" si="31"/>
        <v>22.35</v>
      </c>
      <c r="G63" s="415">
        <f t="shared" ref="G63:G65" si="36">E63*F63</f>
        <v>265518</v>
      </c>
      <c r="H63" s="255">
        <f t="shared" ref="H63:H65" si="37">$J$6*F63</f>
        <v>6.2177700000000007</v>
      </c>
      <c r="I63" s="255">
        <f t="shared" ref="I63:I65" si="38">F63+H63</f>
        <v>28.567770000000003</v>
      </c>
      <c r="J63" s="416">
        <f t="shared" ref="J63:J65" si="39">E63*I63</f>
        <v>339385.10760000005</v>
      </c>
    </row>
    <row r="64" spans="1:65" s="418" customFormat="1">
      <c r="A64" s="299" t="s">
        <v>25</v>
      </c>
      <c r="B64" s="299">
        <v>88310</v>
      </c>
      <c r="C64" s="412" t="s">
        <v>188</v>
      </c>
      <c r="D64" s="413" t="s">
        <v>26</v>
      </c>
      <c r="E64" s="414">
        <f>'Plano Mnt Hh'!I11</f>
        <v>3960</v>
      </c>
      <c r="F64" s="255">
        <f t="shared" si="31"/>
        <v>27.41</v>
      </c>
      <c r="G64" s="415">
        <f t="shared" si="36"/>
        <v>108543.6</v>
      </c>
      <c r="H64" s="255">
        <f t="shared" si="37"/>
        <v>7.6254619999999997</v>
      </c>
      <c r="I64" s="255">
        <f t="shared" si="38"/>
        <v>35.035462000000003</v>
      </c>
      <c r="J64" s="416">
        <f t="shared" si="39"/>
        <v>138740.42952000001</v>
      </c>
    </row>
    <row r="65" spans="1:65" s="159" customFormat="1">
      <c r="A65" s="37" t="s">
        <v>25</v>
      </c>
      <c r="B65" s="37">
        <v>100301</v>
      </c>
      <c r="C65" s="41" t="s">
        <v>189</v>
      </c>
      <c r="D65" s="38" t="s">
        <v>26</v>
      </c>
      <c r="E65" s="114">
        <f>'Plano Mnt Hh'!I12</f>
        <v>3960</v>
      </c>
      <c r="F65" s="42">
        <f t="shared" si="31"/>
        <v>24.39</v>
      </c>
      <c r="G65" s="106">
        <f t="shared" si="36"/>
        <v>96584.400000000009</v>
      </c>
      <c r="H65" s="42">
        <f t="shared" si="37"/>
        <v>6.7852980000000001</v>
      </c>
      <c r="I65" s="42">
        <f t="shared" si="38"/>
        <v>31.175298000000002</v>
      </c>
      <c r="J65" s="43">
        <f t="shared" si="39"/>
        <v>123454.18008000001</v>
      </c>
    </row>
    <row r="66" spans="1:65">
      <c r="A66" s="626" t="s">
        <v>27</v>
      </c>
      <c r="B66" s="556"/>
      <c r="C66" s="556"/>
      <c r="D66" s="556"/>
      <c r="E66" s="556"/>
      <c r="F66" s="556"/>
      <c r="G66" s="556"/>
      <c r="H66" s="556"/>
      <c r="I66" s="567"/>
      <c r="J66" s="312">
        <f>SUM(J56:J65)</f>
        <v>3772349.8598439186</v>
      </c>
      <c r="K66"/>
      <c r="L66" s="160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</row>
    <row r="67" spans="1:65" s="115" customFormat="1">
      <c r="A67" s="319"/>
      <c r="B67" s="162"/>
      <c r="C67" s="162"/>
      <c r="D67" s="162"/>
      <c r="E67" s="162"/>
      <c r="F67" s="162"/>
      <c r="G67" s="162"/>
      <c r="H67" s="162"/>
      <c r="I67" s="162"/>
      <c r="J67" s="320"/>
    </row>
    <row r="68" spans="1:65" s="115" customFormat="1">
      <c r="A68" s="313"/>
      <c r="B68" s="314" t="s">
        <v>127</v>
      </c>
      <c r="C68" s="315" t="s">
        <v>122</v>
      </c>
      <c r="D68" s="314"/>
      <c r="E68" s="316"/>
      <c r="F68" s="317"/>
      <c r="G68" s="317"/>
      <c r="H68" s="317"/>
      <c r="I68" s="317"/>
      <c r="J68" s="318"/>
    </row>
    <row r="69" spans="1:65" s="115" customFormat="1">
      <c r="A69" s="37" t="s">
        <v>68</v>
      </c>
      <c r="B69" s="37"/>
      <c r="C69" s="41" t="s">
        <v>261</v>
      </c>
      <c r="D69" s="38" t="s">
        <v>21</v>
      </c>
      <c r="E69" s="114">
        <f>(Diárias!O27+Diárias!O40)*60</f>
        <v>2820</v>
      </c>
      <c r="F69" s="255">
        <f>40+40</f>
        <v>80</v>
      </c>
      <c r="G69" s="106">
        <f>E69*F69</f>
        <v>225600</v>
      </c>
      <c r="H69" s="42">
        <f>$J$6*F69</f>
        <v>22.256</v>
      </c>
      <c r="I69" s="42">
        <f>F69+H69</f>
        <v>102.256</v>
      </c>
      <c r="J69" s="43">
        <f>E69*I69</f>
        <v>288361.92</v>
      </c>
    </row>
    <row r="70" spans="1:65" s="115" customFormat="1">
      <c r="A70" s="37" t="s">
        <v>68</v>
      </c>
      <c r="B70" s="37"/>
      <c r="C70" s="41" t="s">
        <v>260</v>
      </c>
      <c r="D70" s="38" t="s">
        <v>21</v>
      </c>
      <c r="E70" s="114">
        <f>Diárias!O40</f>
        <v>13</v>
      </c>
      <c r="F70" s="255">
        <v>260</v>
      </c>
      <c r="G70" s="106">
        <f t="shared" ref="G70:G73" si="40">E70*F70</f>
        <v>3380</v>
      </c>
      <c r="H70" s="42">
        <f t="shared" ref="H70:H73" si="41">$J$6*F70</f>
        <v>72.331999999999994</v>
      </c>
      <c r="I70" s="42">
        <f t="shared" ref="I70:I73" si="42">F70+H70</f>
        <v>332.33199999999999</v>
      </c>
      <c r="J70" s="43">
        <f t="shared" ref="J70:J73" si="43">E70*I70</f>
        <v>4320.3159999999998</v>
      </c>
      <c r="L70" s="98"/>
    </row>
    <row r="71" spans="1:65" s="115" customFormat="1">
      <c r="A71" s="37" t="s">
        <v>68</v>
      </c>
      <c r="B71" s="37"/>
      <c r="C71" s="41" t="s">
        <v>252</v>
      </c>
      <c r="D71" s="38" t="s">
        <v>13</v>
      </c>
      <c r="E71" s="114">
        <f>12*5/30*9</f>
        <v>18</v>
      </c>
      <c r="F71" s="302">
        <v>12920</v>
      </c>
      <c r="G71" s="106">
        <f t="shared" si="40"/>
        <v>232560</v>
      </c>
      <c r="H71" s="42">
        <f t="shared" si="41"/>
        <v>3594.3440000000001</v>
      </c>
      <c r="I71" s="42">
        <f t="shared" si="42"/>
        <v>16514.344000000001</v>
      </c>
      <c r="J71" s="43">
        <f t="shared" si="43"/>
        <v>297258.19200000004</v>
      </c>
    </row>
    <row r="72" spans="1:65" s="115" customFormat="1">
      <c r="A72" s="37" t="s">
        <v>68</v>
      </c>
      <c r="B72" s="37"/>
      <c r="C72" s="41" t="s">
        <v>123</v>
      </c>
      <c r="D72" s="38" t="s">
        <v>45</v>
      </c>
      <c r="E72" s="114">
        <f>(Deslocamentos!D18+Deslocamentos!D39+Deslocamentos!D60)/10*60</f>
        <v>13080</v>
      </c>
      <c r="F72" s="302">
        <f>((6.47*(Deslocamentos!D60+Deslocamentos!D39))+(7.28*Deslocamentos!D18))/(Deslocamentos!D18+Deslocamentos!D39+Deslocamentos!D60)</f>
        <v>6.6059908256880728</v>
      </c>
      <c r="G72" s="106">
        <f t="shared" si="40"/>
        <v>86406.359999999986</v>
      </c>
      <c r="H72" s="42">
        <f t="shared" si="41"/>
        <v>1.837786647706422</v>
      </c>
      <c r="I72" s="42">
        <f t="shared" si="42"/>
        <v>8.4437774733944941</v>
      </c>
      <c r="J72" s="43">
        <f t="shared" si="43"/>
        <v>110444.60935199998</v>
      </c>
    </row>
    <row r="73" spans="1:65" s="115" customFormat="1">
      <c r="A73" s="37" t="s">
        <v>68</v>
      </c>
      <c r="B73" s="37"/>
      <c r="C73" s="41" t="s">
        <v>253</v>
      </c>
      <c r="D73" s="38" t="s">
        <v>21</v>
      </c>
      <c r="E73" s="114">
        <f>2*Deslocamentos!D38*60</f>
        <v>360</v>
      </c>
      <c r="F73" s="42">
        <f>F30</f>
        <v>19.600000000000001</v>
      </c>
      <c r="G73" s="106">
        <f t="shared" si="40"/>
        <v>7056.0000000000009</v>
      </c>
      <c r="H73" s="42">
        <f t="shared" si="41"/>
        <v>5.4527200000000002</v>
      </c>
      <c r="I73" s="42">
        <f t="shared" si="42"/>
        <v>25.052720000000001</v>
      </c>
      <c r="J73" s="43">
        <f t="shared" si="43"/>
        <v>9018.9791999999998</v>
      </c>
    </row>
    <row r="74" spans="1:65" s="115" customFormat="1">
      <c r="A74" s="629" t="s">
        <v>24</v>
      </c>
      <c r="B74" s="558"/>
      <c r="C74" s="558"/>
      <c r="D74" s="558"/>
      <c r="E74" s="558"/>
      <c r="F74" s="558"/>
      <c r="G74" s="558"/>
      <c r="H74" s="558"/>
      <c r="I74" s="630"/>
      <c r="J74" s="40">
        <f>SUM(J69:J73)</f>
        <v>709404.01655199996</v>
      </c>
      <c r="K74" s="196"/>
      <c r="L74" s="160"/>
    </row>
    <row r="75" spans="1:65" s="306" customFormat="1">
      <c r="A75" s="632"/>
      <c r="B75" s="562"/>
      <c r="C75" s="562"/>
      <c r="D75" s="562"/>
      <c r="E75" s="562"/>
      <c r="F75" s="562"/>
      <c r="G75" s="562"/>
      <c r="H75" s="562"/>
      <c r="I75" s="562"/>
      <c r="J75" s="572"/>
      <c r="K75" s="196"/>
      <c r="L75" s="160"/>
    </row>
    <row r="76" spans="1:65" s="115" customFormat="1">
      <c r="A76" s="631" t="s">
        <v>411</v>
      </c>
      <c r="B76" s="565"/>
      <c r="C76" s="565"/>
      <c r="D76" s="565"/>
      <c r="E76" s="565"/>
      <c r="F76" s="565"/>
      <c r="G76" s="565"/>
      <c r="H76" s="565"/>
      <c r="I76" s="565"/>
      <c r="J76" s="573"/>
    </row>
    <row r="77" spans="1:65" ht="35.25" customHeight="1">
      <c r="A77" s="33"/>
      <c r="B77" s="34" t="s">
        <v>15</v>
      </c>
      <c r="C77" s="35" t="s">
        <v>239</v>
      </c>
      <c r="D77" s="35"/>
      <c r="E77" s="35"/>
      <c r="F77" s="35"/>
      <c r="G77" s="35"/>
      <c r="H77" s="35"/>
      <c r="I77" s="35"/>
      <c r="J77" s="36">
        <f>J79</f>
        <v>4809415.22460688</v>
      </c>
    </row>
    <row r="78" spans="1:65" ht="36.75" customHeight="1">
      <c r="A78" s="38" t="s">
        <v>28</v>
      </c>
      <c r="B78" s="37" t="s">
        <v>16</v>
      </c>
      <c r="C78" s="41" t="s">
        <v>419</v>
      </c>
      <c r="D78" s="38" t="s">
        <v>424</v>
      </c>
      <c r="E78" s="104">
        <v>5</v>
      </c>
      <c r="F78" s="302">
        <f>(J11+J54)*30%/5</f>
        <v>961883.04492137604</v>
      </c>
      <c r="G78" s="106" t="s">
        <v>408</v>
      </c>
      <c r="H78" s="106" t="s">
        <v>408</v>
      </c>
      <c r="I78" s="106" t="s">
        <v>408</v>
      </c>
      <c r="J78" s="43">
        <f>E78*F78</f>
        <v>4809415.22460688</v>
      </c>
      <c r="L78" s="150"/>
      <c r="M78" s="150"/>
    </row>
    <row r="79" spans="1:65">
      <c r="A79" s="626" t="s">
        <v>409</v>
      </c>
      <c r="B79" s="556"/>
      <c r="C79" s="556"/>
      <c r="D79" s="556"/>
      <c r="E79" s="556"/>
      <c r="F79" s="556"/>
      <c r="G79" s="556"/>
      <c r="H79" s="556"/>
      <c r="I79" s="567"/>
      <c r="J79" s="312">
        <f>SUM(J78:J78)</f>
        <v>4809415.22460688</v>
      </c>
      <c r="L79" s="160"/>
      <c r="M79" s="150"/>
    </row>
    <row r="80" spans="1:65" s="111" customFormat="1">
      <c r="A80" s="632"/>
      <c r="B80" s="562"/>
      <c r="C80" s="562"/>
      <c r="D80" s="562"/>
      <c r="E80" s="562"/>
      <c r="F80" s="562"/>
      <c r="G80" s="562"/>
      <c r="H80" s="562"/>
      <c r="I80" s="562"/>
      <c r="J80" s="572"/>
      <c r="K80" s="23"/>
      <c r="L80" s="144"/>
      <c r="M80" s="150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</row>
    <row r="81" spans="1:65" s="111" customFormat="1">
      <c r="A81" s="307"/>
      <c r="B81" s="308" t="s">
        <v>251</v>
      </c>
      <c r="C81" s="624" t="s">
        <v>250</v>
      </c>
      <c r="D81" s="571"/>
      <c r="E81" s="571"/>
      <c r="F81" s="571"/>
      <c r="G81" s="571"/>
      <c r="H81" s="571"/>
      <c r="I81" s="625"/>
      <c r="J81" s="310">
        <f>J11+J54+J77</f>
        <v>20840799.306629814</v>
      </c>
      <c r="K81" s="23"/>
      <c r="L81" s="14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</row>
    <row r="82" spans="1:65" s="111" customFormat="1">
      <c r="A82" s="50"/>
      <c r="B82" s="51"/>
      <c r="C82" s="50"/>
      <c r="D82" s="50"/>
      <c r="E82" s="50"/>
      <c r="F82" s="50"/>
      <c r="G82" s="50"/>
      <c r="H82" s="50"/>
      <c r="I82" s="50"/>
      <c r="J82" s="52"/>
      <c r="K82" s="23"/>
      <c r="L82" s="14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</row>
    <row r="83" spans="1:65" s="111" customFormat="1">
      <c r="A83" s="50"/>
      <c r="B83" s="51"/>
      <c r="C83" s="50"/>
      <c r="D83" s="50"/>
      <c r="E83" s="50"/>
      <c r="F83" s="50"/>
      <c r="G83" s="50"/>
      <c r="H83" s="50"/>
      <c r="I83" s="50"/>
      <c r="J83" s="52"/>
      <c r="K83" s="23"/>
      <c r="L83" s="14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</row>
    <row r="84" spans="1:65" s="111" customFormat="1">
      <c r="A84" s="50"/>
      <c r="B84" s="51"/>
      <c r="C84" s="50"/>
      <c r="D84" s="50"/>
      <c r="E84" s="50"/>
      <c r="F84" s="50"/>
      <c r="G84" s="50"/>
      <c r="H84" s="50"/>
      <c r="I84" s="50"/>
      <c r="J84" s="52"/>
      <c r="K84" s="23"/>
      <c r="L84" s="14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</row>
    <row r="85" spans="1:65" s="111" customFormat="1">
      <c r="A85" s="50"/>
      <c r="B85" s="51"/>
      <c r="C85" s="50"/>
      <c r="D85" s="50"/>
      <c r="E85" s="50"/>
      <c r="F85" s="50"/>
      <c r="G85" s="50"/>
      <c r="H85" s="50"/>
      <c r="I85" s="50"/>
      <c r="J85" s="52"/>
      <c r="K85" s="23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</row>
    <row r="86" spans="1:65" s="111" customFormat="1">
      <c r="A86" s="50"/>
      <c r="B86" s="51"/>
      <c r="C86" s="50"/>
      <c r="D86" s="50"/>
      <c r="E86" s="50"/>
      <c r="F86" s="50"/>
      <c r="G86" s="50"/>
      <c r="H86" s="50"/>
      <c r="I86" s="50"/>
      <c r="J86" s="52"/>
      <c r="K86" s="23"/>
      <c r="L86" s="14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</row>
    <row r="87" spans="1:65" s="111" customFormat="1">
      <c r="A87" s="50"/>
      <c r="B87" s="51"/>
      <c r="C87" s="50"/>
      <c r="D87" s="50"/>
      <c r="E87" s="50"/>
      <c r="F87" s="50"/>
      <c r="G87" s="50"/>
      <c r="H87" s="50"/>
      <c r="I87" s="50"/>
      <c r="J87" s="220"/>
      <c r="K87" s="23"/>
      <c r="L87" s="14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</row>
    <row r="88" spans="1:65" s="111" customFormat="1">
      <c r="A88" s="50"/>
      <c r="B88" s="51"/>
      <c r="C88" s="50"/>
      <c r="D88" s="50"/>
      <c r="E88" s="50"/>
      <c r="F88" s="50"/>
      <c r="G88" s="50"/>
      <c r="H88" s="50"/>
      <c r="I88" s="50"/>
      <c r="J88" s="52"/>
      <c r="K88" s="23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</row>
    <row r="89" spans="1:65" s="111" customFormat="1">
      <c r="A89" s="50"/>
      <c r="B89" s="51"/>
      <c r="C89" s="50"/>
      <c r="D89" s="50"/>
      <c r="E89" s="50"/>
      <c r="F89" s="50"/>
      <c r="G89" s="50"/>
      <c r="H89" s="50"/>
      <c r="I89" s="50"/>
      <c r="J89" s="220"/>
      <c r="K89" s="23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</row>
    <row r="90" spans="1:65" s="111" customFormat="1">
      <c r="A90" s="50"/>
      <c r="B90" s="51"/>
      <c r="C90" s="50"/>
      <c r="D90" s="50"/>
      <c r="E90" s="50"/>
      <c r="F90" s="50"/>
      <c r="G90" s="50"/>
      <c r="H90" s="50"/>
      <c r="I90" s="50"/>
      <c r="J90" s="52"/>
      <c r="K90" s="23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</row>
    <row r="91" spans="1:65" s="111" customFormat="1">
      <c r="A91" s="50"/>
      <c r="B91" s="51"/>
      <c r="C91" s="50"/>
      <c r="D91" s="50"/>
      <c r="E91" s="50"/>
      <c r="F91" s="50"/>
      <c r="G91" s="50"/>
      <c r="H91" s="50"/>
      <c r="I91" s="50"/>
      <c r="J91" s="52"/>
      <c r="K91" s="23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</row>
    <row r="92" spans="1:65" s="111" customFormat="1">
      <c r="A92" s="50"/>
      <c r="B92" s="51"/>
      <c r="C92" s="50"/>
      <c r="D92" s="50"/>
      <c r="E92" s="50"/>
      <c r="F92" s="50"/>
      <c r="G92" s="50"/>
      <c r="H92" s="50"/>
      <c r="I92" s="50"/>
      <c r="J92" s="52"/>
      <c r="K92" s="23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</row>
    <row r="93" spans="1:65" s="111" customFormat="1">
      <c r="A93" s="50"/>
      <c r="B93" s="51"/>
      <c r="C93" s="50"/>
      <c r="D93" s="50"/>
      <c r="E93" s="50"/>
      <c r="F93" s="50"/>
      <c r="G93" s="50"/>
      <c r="H93" s="50"/>
      <c r="I93" s="50"/>
      <c r="J93" s="52"/>
      <c r="K93" s="23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</row>
    <row r="94" spans="1:65" s="111" customFormat="1">
      <c r="A94" s="50"/>
      <c r="B94" s="51"/>
      <c r="C94" s="50"/>
      <c r="D94" s="50"/>
      <c r="E94" s="50"/>
      <c r="F94" s="50"/>
      <c r="G94" s="50"/>
      <c r="H94" s="50"/>
      <c r="I94" s="50"/>
      <c r="J94" s="52"/>
      <c r="K94" s="23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</row>
    <row r="95" spans="1:65" s="111" customFormat="1">
      <c r="A95" s="50"/>
      <c r="B95" s="51"/>
      <c r="C95" s="50"/>
      <c r="D95" s="50"/>
      <c r="E95" s="50"/>
      <c r="F95" s="50"/>
      <c r="G95" s="50"/>
      <c r="H95" s="50"/>
      <c r="I95" s="50"/>
      <c r="J95" s="52"/>
      <c r="K95" s="23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</row>
    <row r="96" spans="1:65">
      <c r="A96" s="50"/>
      <c r="B96" s="51"/>
      <c r="C96" s="50"/>
      <c r="D96" s="50"/>
      <c r="E96" s="50"/>
      <c r="F96" s="50"/>
      <c r="G96" s="50"/>
      <c r="H96" s="50"/>
      <c r="I96" s="50"/>
      <c r="J96" s="52"/>
    </row>
    <row r="97" spans="1:10">
      <c r="A97" s="50"/>
      <c r="B97" s="51"/>
      <c r="C97" s="50"/>
      <c r="D97" s="50"/>
      <c r="E97" s="50"/>
      <c r="F97" s="50"/>
      <c r="G97" s="50"/>
      <c r="H97" s="50"/>
      <c r="I97" s="50"/>
      <c r="J97" s="108"/>
    </row>
    <row r="98" spans="1:10">
      <c r="A98" s="50"/>
      <c r="B98" s="51"/>
      <c r="C98" s="50"/>
      <c r="D98" s="50"/>
      <c r="E98" s="50"/>
      <c r="F98" s="50"/>
      <c r="G98" s="50"/>
      <c r="H98" s="50"/>
      <c r="I98" s="50"/>
      <c r="J98" s="52"/>
    </row>
    <row r="99" spans="1:10">
      <c r="A99" s="50"/>
      <c r="B99" s="51"/>
      <c r="C99" s="50"/>
      <c r="D99" s="50"/>
      <c r="E99" s="50"/>
      <c r="F99" s="50"/>
      <c r="G99" s="50"/>
      <c r="H99" s="50"/>
      <c r="I99" s="50"/>
      <c r="J99" s="52"/>
    </row>
    <row r="100" spans="1:10">
      <c r="A100" s="50"/>
      <c r="B100" s="51"/>
      <c r="C100" s="50"/>
      <c r="D100" s="50"/>
      <c r="E100" s="50"/>
      <c r="F100" s="50"/>
      <c r="G100" s="50"/>
      <c r="H100" s="50"/>
      <c r="I100" s="50"/>
    </row>
    <row r="101" spans="1:10">
      <c r="A101" s="50"/>
      <c r="B101" s="51"/>
      <c r="C101" s="50"/>
      <c r="D101" s="50"/>
      <c r="E101" s="50"/>
      <c r="F101" s="50"/>
      <c r="G101" s="50"/>
      <c r="H101" s="50"/>
      <c r="I101" s="50"/>
      <c r="J101" s="52"/>
    </row>
    <row r="102" spans="1:10">
      <c r="A102" s="50"/>
      <c r="B102" s="51"/>
      <c r="C102" s="50"/>
      <c r="D102" s="50"/>
      <c r="E102" s="50"/>
      <c r="F102" s="50"/>
      <c r="G102" s="50"/>
      <c r="H102" s="50"/>
      <c r="I102" s="50"/>
      <c r="J102" s="52"/>
    </row>
    <row r="103" spans="1:10">
      <c r="B103" s="51"/>
      <c r="C103" s="50"/>
      <c r="D103" s="50"/>
      <c r="E103" s="50"/>
      <c r="F103" s="50"/>
      <c r="G103" s="50"/>
      <c r="H103" s="50"/>
      <c r="I103" s="50"/>
      <c r="J103" s="52"/>
    </row>
    <row r="104" spans="1:10">
      <c r="B104" s="51"/>
      <c r="C104" s="50"/>
      <c r="D104" s="50"/>
      <c r="E104" s="50"/>
      <c r="F104" s="50"/>
      <c r="G104" s="50"/>
      <c r="H104" s="50"/>
      <c r="I104" s="50"/>
      <c r="J104" s="52"/>
    </row>
    <row r="105" spans="1:10">
      <c r="B105" s="51"/>
      <c r="C105" s="50"/>
      <c r="D105" s="50"/>
      <c r="E105" s="50"/>
      <c r="F105" s="50"/>
      <c r="G105" s="50"/>
      <c r="H105" s="50"/>
      <c r="I105" s="50"/>
      <c r="J105" s="52"/>
    </row>
    <row r="106" spans="1:10">
      <c r="B106" s="51"/>
      <c r="C106" s="50"/>
      <c r="D106" s="50"/>
      <c r="E106" s="50"/>
      <c r="F106" s="50"/>
      <c r="G106" s="50"/>
      <c r="H106" s="50"/>
      <c r="I106" s="50"/>
      <c r="J106" s="52"/>
    </row>
    <row r="107" spans="1:10">
      <c r="B107" s="51"/>
      <c r="C107" s="50"/>
      <c r="D107" s="50"/>
      <c r="E107" s="50"/>
      <c r="F107" s="50"/>
      <c r="G107" s="50"/>
      <c r="H107" s="50"/>
      <c r="I107" s="50"/>
      <c r="J107" s="52"/>
    </row>
    <row r="108" spans="1:10">
      <c r="B108" s="51"/>
      <c r="C108" s="50"/>
      <c r="D108" s="50"/>
      <c r="E108" s="50"/>
      <c r="F108" s="50"/>
      <c r="G108" s="50"/>
      <c r="H108" s="50"/>
      <c r="I108" s="50"/>
      <c r="J108" s="52"/>
    </row>
    <row r="109" spans="1:10">
      <c r="B109" s="51"/>
      <c r="C109" s="50"/>
      <c r="D109" s="50"/>
      <c r="E109" s="50"/>
      <c r="F109" s="50"/>
      <c r="G109" s="50"/>
      <c r="H109" s="50"/>
      <c r="I109" s="50"/>
      <c r="J109" s="52"/>
    </row>
    <row r="110" spans="1:10">
      <c r="B110" s="51"/>
      <c r="C110" s="50"/>
      <c r="D110" s="50"/>
      <c r="E110" s="50"/>
      <c r="F110" s="50"/>
      <c r="G110" s="50"/>
      <c r="H110" s="50"/>
      <c r="I110" s="50"/>
      <c r="J110" s="52"/>
    </row>
    <row r="111" spans="1:10">
      <c r="B111" s="51"/>
      <c r="C111" s="50"/>
      <c r="D111" s="50"/>
      <c r="E111" s="50"/>
      <c r="F111" s="50"/>
      <c r="G111" s="50"/>
      <c r="H111" s="50"/>
      <c r="I111" s="50"/>
      <c r="J111" s="52"/>
    </row>
    <row r="112" spans="1:10">
      <c r="B112" s="51"/>
      <c r="C112" s="50"/>
      <c r="D112" s="50"/>
      <c r="E112" s="50"/>
      <c r="F112" s="50"/>
      <c r="G112" s="50"/>
      <c r="H112" s="50"/>
      <c r="I112" s="50"/>
      <c r="J112" s="52"/>
    </row>
    <row r="113" spans="2:10">
      <c r="B113" s="51"/>
      <c r="C113" s="50"/>
      <c r="D113" s="50"/>
      <c r="E113" s="50"/>
      <c r="F113" s="50"/>
      <c r="G113" s="50"/>
      <c r="H113" s="50"/>
      <c r="I113" s="50"/>
      <c r="J113" s="52"/>
    </row>
    <row r="114" spans="2:10">
      <c r="B114" s="51"/>
      <c r="C114" s="50"/>
      <c r="D114" s="50"/>
      <c r="E114" s="50"/>
      <c r="F114" s="50"/>
      <c r="G114" s="50"/>
      <c r="H114" s="50"/>
      <c r="I114" s="50"/>
      <c r="J114" s="52"/>
    </row>
    <row r="115" spans="2:10">
      <c r="B115" s="51"/>
      <c r="C115" s="50"/>
      <c r="D115" s="50"/>
      <c r="E115" s="50"/>
      <c r="F115" s="50"/>
      <c r="G115" s="50"/>
      <c r="H115" s="50"/>
      <c r="I115" s="50"/>
      <c r="J115" s="52"/>
    </row>
    <row r="116" spans="2:10">
      <c r="B116" s="51"/>
      <c r="C116" s="50"/>
      <c r="D116" s="50"/>
      <c r="E116" s="50"/>
      <c r="F116" s="50"/>
      <c r="G116" s="50"/>
      <c r="H116" s="50"/>
      <c r="I116" s="50"/>
      <c r="J116" s="52"/>
    </row>
    <row r="117" spans="2:10">
      <c r="B117" s="51"/>
      <c r="C117" s="50"/>
      <c r="D117" s="50"/>
      <c r="E117" s="50"/>
      <c r="F117" s="50"/>
      <c r="G117" s="50"/>
      <c r="H117" s="50"/>
      <c r="I117" s="50"/>
      <c r="J117" s="52"/>
    </row>
    <row r="118" spans="2:10">
      <c r="B118" s="51"/>
      <c r="C118" s="50"/>
      <c r="D118" s="50"/>
      <c r="E118" s="50"/>
      <c r="F118" s="50"/>
      <c r="G118" s="50"/>
      <c r="H118" s="50"/>
      <c r="I118" s="50"/>
      <c r="J118" s="52"/>
    </row>
    <row r="119" spans="2:10">
      <c r="B119" s="51"/>
      <c r="C119" s="50"/>
      <c r="D119" s="50"/>
      <c r="E119" s="50"/>
      <c r="F119" s="50"/>
      <c r="G119" s="50"/>
      <c r="H119" s="50"/>
      <c r="I119" s="50"/>
      <c r="J119" s="52"/>
    </row>
    <row r="120" spans="2:10">
      <c r="B120" s="51"/>
      <c r="C120" s="50"/>
      <c r="D120" s="50"/>
      <c r="E120" s="50"/>
      <c r="F120" s="50"/>
      <c r="G120" s="50"/>
      <c r="H120" s="50"/>
      <c r="I120" s="50"/>
      <c r="J120" s="52"/>
    </row>
    <row r="121" spans="2:10">
      <c r="B121" s="51"/>
      <c r="C121" s="50"/>
      <c r="D121" s="50"/>
      <c r="E121" s="50"/>
      <c r="F121" s="50"/>
      <c r="G121" s="50"/>
      <c r="H121" s="50"/>
      <c r="I121" s="50"/>
      <c r="J121" s="52"/>
    </row>
    <row r="122" spans="2:10">
      <c r="B122" s="51"/>
      <c r="C122" s="50"/>
      <c r="D122" s="50"/>
      <c r="E122" s="50"/>
      <c r="F122" s="50"/>
      <c r="G122" s="50"/>
      <c r="H122" s="50"/>
      <c r="I122" s="50"/>
      <c r="J122" s="52"/>
    </row>
    <row r="123" spans="2:10">
      <c r="B123" s="51"/>
      <c r="C123" s="50"/>
      <c r="D123" s="50"/>
      <c r="E123" s="50"/>
      <c r="F123" s="50"/>
      <c r="G123" s="50"/>
      <c r="H123" s="50"/>
      <c r="I123" s="50"/>
      <c r="J123" s="52"/>
    </row>
    <row r="124" spans="2:10">
      <c r="B124" s="51"/>
      <c r="C124" s="50"/>
      <c r="D124" s="50"/>
      <c r="E124" s="50"/>
      <c r="F124" s="50"/>
      <c r="G124" s="50"/>
      <c r="H124" s="50"/>
      <c r="I124" s="50"/>
      <c r="J124" s="52"/>
    </row>
    <row r="125" spans="2:10">
      <c r="B125" s="51"/>
      <c r="C125" s="50"/>
      <c r="D125" s="50"/>
      <c r="E125" s="50"/>
      <c r="F125" s="50"/>
      <c r="G125" s="50"/>
      <c r="H125" s="50"/>
      <c r="I125" s="50"/>
      <c r="J125" s="52"/>
    </row>
    <row r="126" spans="2:10">
      <c r="B126" s="51"/>
      <c r="C126" s="50"/>
      <c r="D126" s="50"/>
      <c r="E126" s="50"/>
      <c r="F126" s="50"/>
      <c r="G126" s="50"/>
      <c r="H126" s="50"/>
      <c r="I126" s="50"/>
      <c r="J126" s="52"/>
    </row>
    <row r="127" spans="2:10">
      <c r="B127" s="51"/>
      <c r="C127" s="50"/>
      <c r="D127" s="50"/>
      <c r="E127" s="50"/>
      <c r="F127" s="50"/>
      <c r="G127" s="50"/>
      <c r="H127" s="50"/>
      <c r="I127" s="50"/>
      <c r="J127" s="52"/>
    </row>
    <row r="128" spans="2:10">
      <c r="B128" s="51"/>
      <c r="C128" s="50"/>
      <c r="D128" s="50"/>
      <c r="E128" s="50"/>
      <c r="F128" s="50"/>
      <c r="G128" s="50"/>
      <c r="H128" s="50"/>
      <c r="I128" s="50"/>
      <c r="J128" s="52"/>
    </row>
    <row r="129" spans="2:10">
      <c r="B129" s="51"/>
      <c r="C129" s="50"/>
      <c r="D129" s="50"/>
      <c r="E129" s="50"/>
      <c r="F129" s="50"/>
      <c r="G129" s="50"/>
      <c r="H129" s="50"/>
      <c r="I129" s="50"/>
      <c r="J129" s="52"/>
    </row>
    <row r="130" spans="2:10">
      <c r="B130" s="51"/>
      <c r="C130" s="50"/>
      <c r="D130" s="50"/>
      <c r="E130" s="50"/>
      <c r="F130" s="50"/>
      <c r="G130" s="50"/>
      <c r="H130" s="50"/>
      <c r="I130" s="50"/>
      <c r="J130" s="52"/>
    </row>
    <row r="131" spans="2:10">
      <c r="B131" s="51"/>
      <c r="C131" s="50"/>
      <c r="D131" s="50"/>
      <c r="E131" s="50"/>
      <c r="F131" s="50"/>
      <c r="G131" s="50"/>
      <c r="H131" s="50"/>
      <c r="I131" s="50"/>
      <c r="J131" s="52"/>
    </row>
    <row r="132" spans="2:10">
      <c r="B132" s="51"/>
      <c r="C132" s="50"/>
      <c r="D132" s="50"/>
      <c r="E132" s="50"/>
      <c r="F132" s="50"/>
      <c r="G132" s="50"/>
      <c r="H132" s="50"/>
      <c r="I132" s="50"/>
      <c r="J132" s="52"/>
    </row>
    <row r="133" spans="2:10">
      <c r="B133" s="51"/>
      <c r="C133" s="50"/>
      <c r="D133" s="50"/>
      <c r="E133" s="50"/>
      <c r="F133" s="50"/>
      <c r="G133" s="50"/>
      <c r="H133" s="50"/>
      <c r="I133" s="50"/>
      <c r="J133" s="52"/>
    </row>
    <row r="134" spans="2:10">
      <c r="B134" s="51"/>
      <c r="C134" s="50"/>
      <c r="D134" s="50"/>
      <c r="E134" s="50"/>
      <c r="F134" s="50"/>
      <c r="G134" s="50"/>
      <c r="H134" s="50"/>
      <c r="I134" s="50"/>
      <c r="J134" s="52"/>
    </row>
    <row r="135" spans="2:10">
      <c r="B135" s="51"/>
      <c r="C135" s="50"/>
      <c r="D135" s="50"/>
      <c r="E135" s="50"/>
      <c r="F135" s="50"/>
      <c r="G135" s="50"/>
      <c r="H135" s="50"/>
      <c r="I135" s="50"/>
      <c r="J135" s="52"/>
    </row>
    <row r="136" spans="2:10">
      <c r="B136" s="51"/>
      <c r="C136" s="50"/>
      <c r="D136" s="50"/>
      <c r="E136" s="50"/>
      <c r="F136" s="50"/>
      <c r="G136" s="50"/>
      <c r="H136" s="50"/>
      <c r="I136" s="50"/>
      <c r="J136" s="52"/>
    </row>
    <row r="137" spans="2:10">
      <c r="B137" s="51"/>
      <c r="C137" s="50"/>
      <c r="D137" s="50"/>
      <c r="E137" s="50"/>
      <c r="F137" s="50"/>
      <c r="G137" s="50"/>
      <c r="H137" s="50"/>
      <c r="I137" s="50"/>
      <c r="J137" s="52"/>
    </row>
    <row r="138" spans="2:10">
      <c r="B138" s="51"/>
      <c r="C138" s="50"/>
      <c r="D138" s="50"/>
      <c r="E138" s="50"/>
      <c r="F138" s="50"/>
      <c r="G138" s="50"/>
      <c r="H138" s="50"/>
      <c r="I138" s="50"/>
      <c r="J138" s="52"/>
    </row>
    <row r="139" spans="2:10">
      <c r="B139" s="51"/>
      <c r="C139" s="50"/>
      <c r="D139" s="50"/>
      <c r="E139" s="50"/>
      <c r="F139" s="50"/>
      <c r="G139" s="50"/>
      <c r="H139" s="50"/>
      <c r="I139" s="50"/>
      <c r="J139" s="52"/>
    </row>
    <row r="140" spans="2:10">
      <c r="B140" s="51"/>
      <c r="C140" s="50"/>
      <c r="D140" s="50"/>
      <c r="E140" s="50"/>
      <c r="F140" s="50"/>
      <c r="G140" s="50"/>
      <c r="H140" s="50"/>
      <c r="I140" s="50"/>
      <c r="J140" s="52"/>
    </row>
    <row r="141" spans="2:10">
      <c r="B141" s="51"/>
      <c r="C141" s="50"/>
      <c r="D141" s="50"/>
      <c r="E141" s="50"/>
      <c r="F141" s="50"/>
      <c r="G141" s="50"/>
      <c r="H141" s="50"/>
      <c r="I141" s="50"/>
      <c r="J141" s="52"/>
    </row>
    <row r="142" spans="2:10">
      <c r="B142" s="51"/>
      <c r="C142" s="50"/>
      <c r="D142" s="50"/>
      <c r="E142" s="50"/>
      <c r="F142" s="50"/>
      <c r="G142" s="50"/>
      <c r="H142" s="50"/>
      <c r="I142" s="50"/>
      <c r="J142" s="52"/>
    </row>
    <row r="143" spans="2:10">
      <c r="B143" s="51"/>
      <c r="C143" s="50"/>
      <c r="D143" s="50"/>
      <c r="E143" s="50"/>
      <c r="F143" s="50"/>
      <c r="G143" s="50"/>
      <c r="H143" s="50"/>
      <c r="I143" s="50"/>
      <c r="J143" s="52"/>
    </row>
    <row r="144" spans="2:10">
      <c r="B144" s="51"/>
      <c r="C144" s="50"/>
      <c r="D144" s="50"/>
      <c r="E144" s="50"/>
      <c r="F144" s="50"/>
      <c r="G144" s="50"/>
      <c r="H144" s="50"/>
      <c r="I144" s="50"/>
      <c r="J144" s="52"/>
    </row>
    <row r="145" spans="2:10">
      <c r="B145" s="51"/>
      <c r="C145" s="50"/>
      <c r="D145" s="50"/>
      <c r="E145" s="50"/>
      <c r="F145" s="50"/>
      <c r="G145" s="50"/>
      <c r="H145" s="50"/>
      <c r="I145" s="50"/>
      <c r="J145" s="52"/>
    </row>
    <row r="146" spans="2:10">
      <c r="B146" s="51"/>
      <c r="C146" s="50"/>
      <c r="D146" s="50"/>
      <c r="E146" s="50"/>
      <c r="F146" s="50"/>
      <c r="G146" s="50"/>
      <c r="H146" s="50"/>
      <c r="I146" s="50"/>
      <c r="J146" s="52"/>
    </row>
    <row r="147" spans="2:10">
      <c r="B147" s="51"/>
      <c r="C147" s="50"/>
      <c r="D147" s="50"/>
      <c r="E147" s="50"/>
      <c r="F147" s="50"/>
      <c r="G147" s="50"/>
      <c r="H147" s="50"/>
      <c r="I147" s="50"/>
      <c r="J147" s="52"/>
    </row>
    <row r="148" spans="2:10">
      <c r="B148" s="51"/>
      <c r="C148" s="50"/>
      <c r="D148" s="50"/>
      <c r="E148" s="50"/>
      <c r="F148" s="50"/>
      <c r="G148" s="50"/>
      <c r="H148" s="50"/>
      <c r="I148" s="50"/>
      <c r="J148" s="52"/>
    </row>
    <row r="149" spans="2:10">
      <c r="B149" s="51"/>
      <c r="C149" s="50"/>
      <c r="D149" s="50"/>
      <c r="E149" s="50"/>
      <c r="F149" s="50"/>
      <c r="G149" s="50"/>
      <c r="H149" s="50"/>
      <c r="I149" s="50"/>
      <c r="J149" s="52"/>
    </row>
    <row r="150" spans="2:10">
      <c r="B150" s="51"/>
      <c r="C150" s="50"/>
      <c r="D150" s="50"/>
      <c r="E150" s="50"/>
      <c r="F150" s="50"/>
      <c r="G150" s="50"/>
      <c r="H150" s="50"/>
      <c r="I150" s="50"/>
      <c r="J150" s="52"/>
    </row>
    <row r="151" spans="2:10">
      <c r="B151" s="51"/>
      <c r="C151" s="50"/>
      <c r="D151" s="50"/>
      <c r="E151" s="50"/>
      <c r="F151" s="50"/>
      <c r="G151" s="50"/>
      <c r="H151" s="50"/>
      <c r="I151" s="50"/>
      <c r="J151" s="52"/>
    </row>
    <row r="152" spans="2:10">
      <c r="B152" s="51"/>
      <c r="C152" s="50"/>
      <c r="D152" s="50"/>
      <c r="E152" s="50"/>
      <c r="F152" s="50"/>
      <c r="G152" s="50"/>
      <c r="H152" s="50"/>
      <c r="I152" s="50"/>
      <c r="J152" s="52"/>
    </row>
    <row r="153" spans="2:10">
      <c r="B153" s="51"/>
      <c r="C153" s="50"/>
      <c r="D153" s="50"/>
      <c r="E153" s="50"/>
      <c r="F153" s="50"/>
      <c r="G153" s="50"/>
      <c r="H153" s="50"/>
      <c r="I153" s="50"/>
      <c r="J153" s="52"/>
    </row>
    <row r="154" spans="2:10">
      <c r="B154" s="51"/>
      <c r="C154" s="50"/>
      <c r="D154" s="50"/>
      <c r="E154" s="50"/>
      <c r="F154" s="50"/>
      <c r="G154" s="50"/>
      <c r="H154" s="50"/>
      <c r="I154" s="50"/>
      <c r="J154" s="52"/>
    </row>
    <row r="155" spans="2:10">
      <c r="B155" s="51"/>
      <c r="C155" s="50"/>
      <c r="D155" s="50"/>
      <c r="E155" s="50"/>
      <c r="F155" s="50"/>
      <c r="G155" s="50"/>
      <c r="H155" s="50"/>
      <c r="I155" s="50"/>
      <c r="J155" s="52"/>
    </row>
    <row r="156" spans="2:10">
      <c r="B156" s="51"/>
      <c r="C156" s="50"/>
      <c r="D156" s="50"/>
      <c r="E156" s="50"/>
      <c r="F156" s="50"/>
      <c r="G156" s="50"/>
      <c r="H156" s="50"/>
      <c r="I156" s="50"/>
      <c r="J156" s="52"/>
    </row>
    <row r="157" spans="2:10">
      <c r="B157" s="51"/>
      <c r="C157" s="50"/>
      <c r="D157" s="50"/>
      <c r="E157" s="50"/>
      <c r="F157" s="50"/>
      <c r="G157" s="50"/>
      <c r="H157" s="50"/>
      <c r="I157" s="50"/>
      <c r="J157" s="52"/>
    </row>
    <row r="158" spans="2:10">
      <c r="B158" s="51"/>
      <c r="C158" s="50"/>
      <c r="D158" s="50"/>
      <c r="E158" s="50"/>
      <c r="F158" s="50"/>
      <c r="G158" s="50"/>
      <c r="H158" s="50"/>
      <c r="I158" s="50"/>
      <c r="J158" s="52"/>
    </row>
    <row r="159" spans="2:10">
      <c r="B159" s="51"/>
      <c r="C159" s="50"/>
      <c r="D159" s="50"/>
      <c r="E159" s="50"/>
      <c r="F159" s="50"/>
      <c r="G159" s="50"/>
      <c r="H159" s="50"/>
      <c r="I159" s="50"/>
      <c r="J159" s="52"/>
    </row>
    <row r="160" spans="2:10">
      <c r="B160" s="51"/>
      <c r="C160" s="50"/>
      <c r="D160" s="50"/>
      <c r="E160" s="50"/>
      <c r="F160" s="50"/>
      <c r="G160" s="50"/>
      <c r="H160" s="50"/>
      <c r="I160" s="50"/>
      <c r="J160" s="52"/>
    </row>
    <row r="161" spans="2:10">
      <c r="B161" s="51"/>
      <c r="C161" s="50"/>
      <c r="D161" s="50"/>
      <c r="E161" s="50"/>
      <c r="F161" s="50"/>
      <c r="G161" s="50"/>
      <c r="H161" s="50"/>
      <c r="I161" s="50"/>
      <c r="J161" s="52"/>
    </row>
    <row r="162" spans="2:10">
      <c r="B162" s="51"/>
      <c r="C162" s="50"/>
      <c r="D162" s="50"/>
      <c r="E162" s="50"/>
      <c r="F162" s="50"/>
      <c r="G162" s="50"/>
      <c r="H162" s="50"/>
      <c r="I162" s="50"/>
      <c r="J162" s="52"/>
    </row>
    <row r="163" spans="2:10">
      <c r="B163" s="51"/>
      <c r="C163" s="50"/>
      <c r="D163" s="50"/>
      <c r="E163" s="50"/>
      <c r="F163" s="50"/>
      <c r="G163" s="50"/>
      <c r="H163" s="50"/>
      <c r="I163" s="50"/>
      <c r="J163" s="52"/>
    </row>
    <row r="164" spans="2:10">
      <c r="B164" s="51"/>
      <c r="C164" s="50"/>
      <c r="D164" s="50"/>
      <c r="E164" s="50"/>
      <c r="F164" s="50"/>
      <c r="G164" s="50"/>
      <c r="H164" s="50"/>
      <c r="I164" s="50"/>
      <c r="J164" s="52"/>
    </row>
    <row r="165" spans="2:10">
      <c r="B165" s="51"/>
      <c r="C165" s="50"/>
      <c r="D165" s="50"/>
      <c r="E165" s="50"/>
      <c r="F165" s="50"/>
      <c r="G165" s="50"/>
      <c r="H165" s="50"/>
      <c r="I165" s="50"/>
      <c r="J165" s="52"/>
    </row>
    <row r="166" spans="2:10">
      <c r="B166" s="51"/>
      <c r="C166" s="50"/>
      <c r="D166" s="50"/>
      <c r="E166" s="50"/>
      <c r="F166" s="50"/>
      <c r="G166" s="50"/>
      <c r="H166" s="50"/>
      <c r="I166" s="50"/>
      <c r="J166" s="52"/>
    </row>
    <row r="167" spans="2:10">
      <c r="B167" s="51"/>
      <c r="C167" s="50"/>
      <c r="D167" s="50"/>
      <c r="E167" s="50"/>
      <c r="F167" s="50"/>
      <c r="G167" s="50"/>
      <c r="H167" s="50"/>
      <c r="I167" s="50"/>
      <c r="J167" s="52"/>
    </row>
    <row r="168" spans="2:10">
      <c r="B168" s="51"/>
      <c r="C168" s="50"/>
      <c r="D168" s="50"/>
      <c r="E168" s="50"/>
      <c r="F168" s="50"/>
      <c r="G168" s="50"/>
      <c r="H168" s="50"/>
      <c r="I168" s="50"/>
      <c r="J168" s="52"/>
    </row>
    <row r="169" spans="2:10">
      <c r="B169" s="51"/>
      <c r="C169" s="50"/>
      <c r="D169" s="50"/>
      <c r="E169" s="50"/>
      <c r="F169" s="50"/>
      <c r="G169" s="50"/>
      <c r="H169" s="50"/>
      <c r="I169" s="50"/>
      <c r="J169" s="52"/>
    </row>
    <row r="170" spans="2:10">
      <c r="B170" s="51"/>
      <c r="C170" s="50"/>
      <c r="D170" s="50"/>
      <c r="E170" s="50"/>
      <c r="F170" s="50"/>
      <c r="G170" s="50"/>
      <c r="H170" s="50"/>
      <c r="I170" s="50"/>
      <c r="J170" s="52"/>
    </row>
    <row r="171" spans="2:10">
      <c r="B171" s="51"/>
      <c r="C171" s="50"/>
      <c r="D171" s="50"/>
      <c r="E171" s="50"/>
      <c r="F171" s="50"/>
      <c r="G171" s="50"/>
      <c r="H171" s="50"/>
      <c r="I171" s="50"/>
      <c r="J171" s="52"/>
    </row>
    <row r="172" spans="2:10">
      <c r="B172" s="51"/>
      <c r="C172" s="50"/>
      <c r="D172" s="50"/>
      <c r="E172" s="50"/>
      <c r="F172" s="50"/>
      <c r="G172" s="50"/>
      <c r="H172" s="50"/>
      <c r="I172" s="50"/>
      <c r="J172" s="52"/>
    </row>
    <row r="173" spans="2:10">
      <c r="B173" s="51"/>
      <c r="C173" s="50"/>
      <c r="D173" s="50"/>
      <c r="E173" s="50"/>
      <c r="F173" s="50"/>
      <c r="G173" s="50"/>
      <c r="H173" s="50"/>
      <c r="I173" s="50"/>
      <c r="J173" s="52"/>
    </row>
    <row r="174" spans="2:10">
      <c r="B174" s="51"/>
      <c r="C174" s="50"/>
      <c r="D174" s="50"/>
      <c r="E174" s="50"/>
      <c r="F174" s="50"/>
      <c r="G174" s="50"/>
      <c r="H174" s="50"/>
      <c r="I174" s="50"/>
      <c r="J174" s="52"/>
    </row>
    <row r="175" spans="2:10">
      <c r="B175" s="51"/>
      <c r="C175" s="50"/>
      <c r="D175" s="50"/>
      <c r="E175" s="50"/>
      <c r="F175" s="50"/>
      <c r="G175" s="50"/>
      <c r="H175" s="50"/>
      <c r="I175" s="50"/>
      <c r="J175" s="52"/>
    </row>
    <row r="176" spans="2:10">
      <c r="B176" s="51"/>
      <c r="C176" s="50"/>
      <c r="D176" s="50"/>
      <c r="E176" s="50"/>
      <c r="F176" s="50"/>
      <c r="G176" s="50"/>
      <c r="H176" s="50"/>
      <c r="I176" s="50"/>
      <c r="J176" s="52"/>
    </row>
    <row r="177" spans="2:10">
      <c r="B177" s="51"/>
      <c r="C177" s="50"/>
      <c r="D177" s="50"/>
      <c r="E177" s="50"/>
      <c r="F177" s="50"/>
      <c r="G177" s="50"/>
      <c r="H177" s="50"/>
      <c r="I177" s="50"/>
      <c r="J177" s="52"/>
    </row>
    <row r="178" spans="2:10">
      <c r="B178" s="51"/>
      <c r="C178" s="50"/>
      <c r="D178" s="50"/>
      <c r="E178" s="50"/>
      <c r="F178" s="50"/>
      <c r="G178" s="50"/>
      <c r="H178" s="50"/>
      <c r="I178" s="50"/>
      <c r="J178" s="52"/>
    </row>
    <row r="179" spans="2:10">
      <c r="B179" s="51"/>
      <c r="C179" s="50"/>
      <c r="D179" s="50"/>
      <c r="E179" s="50"/>
      <c r="F179" s="50"/>
      <c r="G179" s="50"/>
      <c r="H179" s="50"/>
      <c r="I179" s="50"/>
      <c r="J179" s="52"/>
    </row>
    <row r="180" spans="2:10">
      <c r="B180" s="51"/>
      <c r="C180" s="50"/>
      <c r="D180" s="50"/>
      <c r="E180" s="50"/>
      <c r="F180" s="50"/>
      <c r="G180" s="50"/>
      <c r="H180" s="50"/>
      <c r="I180" s="50"/>
      <c r="J180" s="52"/>
    </row>
    <row r="181" spans="2:10">
      <c r="B181" s="51"/>
      <c r="C181" s="50"/>
      <c r="D181" s="50"/>
      <c r="E181" s="50"/>
      <c r="F181" s="50"/>
      <c r="G181" s="50"/>
      <c r="H181" s="50"/>
      <c r="I181" s="50"/>
      <c r="J181" s="52"/>
    </row>
    <row r="182" spans="2:10">
      <c r="B182" s="51"/>
      <c r="C182" s="50"/>
      <c r="D182" s="50"/>
      <c r="E182" s="50"/>
      <c r="F182" s="50"/>
      <c r="G182" s="50"/>
      <c r="H182" s="50"/>
      <c r="I182" s="50"/>
      <c r="J182" s="52"/>
    </row>
    <row r="183" spans="2:10">
      <c r="B183" s="92"/>
      <c r="C183" s="92"/>
      <c r="D183" s="92"/>
      <c r="E183" s="92"/>
      <c r="F183" s="92"/>
      <c r="G183" s="92"/>
      <c r="H183" s="92"/>
      <c r="I183" s="92"/>
      <c r="J183" s="92"/>
    </row>
  </sheetData>
  <mergeCells count="19">
    <mergeCell ref="A1:J1"/>
    <mergeCell ref="A2:J2"/>
    <mergeCell ref="A4:J4"/>
    <mergeCell ref="A23:I23"/>
    <mergeCell ref="A35:I35"/>
    <mergeCell ref="A10:J10"/>
    <mergeCell ref="C81:I81"/>
    <mergeCell ref="A66:I66"/>
    <mergeCell ref="A79:I79"/>
    <mergeCell ref="A5:I5"/>
    <mergeCell ref="A6:I6"/>
    <mergeCell ref="A7:I7"/>
    <mergeCell ref="A8:I8"/>
    <mergeCell ref="A31:I31"/>
    <mergeCell ref="A52:I52"/>
    <mergeCell ref="A74:I74"/>
    <mergeCell ref="A76:J76"/>
    <mergeCell ref="A80:J80"/>
    <mergeCell ref="A75:J75"/>
  </mergeCells>
  <conditionalFormatting sqref="D13:D22 D24 D34">
    <cfRule type="expression" dxfId="43" priority="41" stopIfTrue="1">
      <formula>AND(#REF!&lt;&gt;"COMPOSICAO",#REF!&lt;&gt;"INSUMO",#REF!&lt;&gt;"")</formula>
    </cfRule>
    <cfRule type="expression" dxfId="42" priority="42" stopIfTrue="1">
      <formula>AND(OR(#REF!="COMPOSICAO",#REF!="INSUMO",#REF!&lt;&gt;""),#REF!&lt;&gt;"")</formula>
    </cfRule>
  </conditionalFormatting>
  <conditionalFormatting sqref="D26:D30 D38:D51">
    <cfRule type="expression" dxfId="41" priority="13" stopIfTrue="1">
      <formula>AND(#REF!&lt;&gt;"COMPOSICAO",#REF!&lt;&gt;"INSUMO",#REF!&lt;&gt;"")</formula>
    </cfRule>
    <cfRule type="expression" dxfId="40" priority="14" stopIfTrue="1">
      <formula>AND(OR(#REF!="COMPOSICAO",#REF!="INSUMO",#REF!&lt;&gt;""),#REF!&lt;&gt;"")</formula>
    </cfRule>
  </conditionalFormatting>
  <conditionalFormatting sqref="D56:D65">
    <cfRule type="expression" dxfId="39" priority="17" stopIfTrue="1">
      <formula>AND(#REF!&lt;&gt;"COMPOSICAO",#REF!&lt;&gt;"INSUMO",#REF!&lt;&gt;"")</formula>
    </cfRule>
    <cfRule type="expression" dxfId="38" priority="18" stopIfTrue="1">
      <formula>AND(OR(#REF!="COMPOSICAO",#REF!="INSUMO",#REF!&lt;&gt;""),#REF!&lt;&gt;"")</formula>
    </cfRule>
  </conditionalFormatting>
  <conditionalFormatting sqref="D69:D73">
    <cfRule type="expression" dxfId="37" priority="1" stopIfTrue="1">
      <formula>AND(#REF!&lt;&gt;"COMPOSICAO",#REF!&lt;&gt;"INSUMO",#REF!&lt;&gt;"")</formula>
    </cfRule>
    <cfRule type="expression" dxfId="36" priority="2" stopIfTrue="1">
      <formula>AND(OR(#REF!="COMPOSICAO",#REF!="INSUMO",#REF!&lt;&gt;""),#REF!&lt;&gt;"")</formula>
    </cfRule>
  </conditionalFormatting>
  <conditionalFormatting sqref="J23">
    <cfRule type="expression" dxfId="35" priority="37" stopIfTrue="1">
      <formula>AND(#REF!&lt;&gt;"COMPOSICAO",#REF!&lt;&gt;"INSUMO",#REF!&lt;&gt;"")</formula>
    </cfRule>
    <cfRule type="expression" dxfId="34" priority="38" stopIfTrue="1">
      <formula>AND(OR(#REF!="COMPOSICAO",#REF!="INSUMO",#REF!&lt;&gt;""),#REF!&lt;&gt;"")</formula>
    </cfRule>
  </conditionalFormatting>
  <conditionalFormatting sqref="J31">
    <cfRule type="expression" dxfId="33" priority="11" stopIfTrue="1">
      <formula>AND(#REF!&lt;&gt;"COMPOSICAO",#REF!&lt;&gt;"INSUMO",#REF!&lt;&gt;"")</formula>
    </cfRule>
    <cfRule type="expression" dxfId="32" priority="12" stopIfTrue="1">
      <formula>AND(OR(#REF!="COMPOSICAO",#REF!="INSUMO",#REF!&lt;&gt;""),#REF!&lt;&gt;"")</formula>
    </cfRule>
  </conditionalFormatting>
  <conditionalFormatting sqref="J35">
    <cfRule type="expression" dxfId="31" priority="49" stopIfTrue="1">
      <formula>AND(#REF!&lt;&gt;"COMPOSICAO",#REF!&lt;&gt;"INSUMO",#REF!&lt;&gt;"")</formula>
    </cfRule>
    <cfRule type="expression" dxfId="30" priority="50" stopIfTrue="1">
      <formula>AND(OR(#REF!="COMPOSICAO",#REF!="INSUMO",#REF!&lt;&gt;""),#REF!&lt;&gt;"")</formula>
    </cfRule>
  </conditionalFormatting>
  <conditionalFormatting sqref="J52">
    <cfRule type="expression" dxfId="29" priority="7" stopIfTrue="1">
      <formula>AND(#REF!&lt;&gt;"COMPOSICAO",#REF!&lt;&gt;"INSUMO",#REF!&lt;&gt;"")</formula>
    </cfRule>
    <cfRule type="expression" dxfId="28" priority="8" stopIfTrue="1">
      <formula>AND(OR(#REF!="COMPOSICAO",#REF!="INSUMO",#REF!&lt;&gt;""),#REF!&lt;&gt;"")</formula>
    </cfRule>
  </conditionalFormatting>
  <conditionalFormatting sqref="J66 D78 J79 J82:J99 D82:D182 J101:J182">
    <cfRule type="expression" dxfId="27" priority="47" stopIfTrue="1">
      <formula>AND(#REF!&lt;&gt;"COMPOSICAO",#REF!&lt;&gt;"INSUMO",#REF!&lt;&gt;"")</formula>
    </cfRule>
    <cfRule type="expression" dxfId="26" priority="48" stopIfTrue="1">
      <formula>AND(OR(#REF!="COMPOSICAO",#REF!="INSUMO",#REF!&lt;&gt;""),#REF!&lt;&gt;"")</formula>
    </cfRule>
  </conditionalFormatting>
  <conditionalFormatting sqref="J74">
    <cfRule type="expression" dxfId="25" priority="3" stopIfTrue="1">
      <formula>AND(#REF!&lt;&gt;"COMPOSICAO",#REF!&lt;&gt;"INSUMO",#REF!&lt;&gt;"")</formula>
    </cfRule>
    <cfRule type="expression" dxfId="24" priority="4" stopIfTrue="1">
      <formula>AND(OR(#REF!="COMPOSICAO",#REF!="INSUMO",#REF!&lt;&gt;""),#REF!&lt;&gt;"")</formula>
    </cfRule>
  </conditionalFormatting>
  <hyperlinks>
    <hyperlink ref="A38" location="Termografia!A1" display="Própria" xr:uid="{811160E1-813A-4D51-AB97-6632CD323968}"/>
    <hyperlink ref="A34" location="Consumíveis!A1" display="Diversos" xr:uid="{BBC9DBE8-2E88-4EE6-8083-E43679093F01}"/>
    <hyperlink ref="A48" location="'Inspeção Predial'!A1" display="Própria" xr:uid="{AB03A289-D398-4894-BE5A-EF0D75DD1593}"/>
  </hyperlinks>
  <printOptions horizontalCentered="1"/>
  <pageMargins left="0" right="0" top="0.39370078740157483" bottom="0.39370078740157483" header="0" footer="0"/>
  <pageSetup paperSize="9" scale="71" fitToWidth="0" fitToHeight="0" pageOrder="overThenDown" orientation="portrait" useFirstPageNumber="1" r:id="rId1"/>
  <headerFooter>
    <oddHeader>&amp;C&amp;A</oddHeader>
    <oddFooter>&amp;CPage &amp;P</oddFooter>
  </headerFooter>
  <colBreaks count="1" manualBreakCount="1">
    <brk id="10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F8376-C43C-496F-A0C2-66EFEC20FFC5}">
  <dimension ref="B1:K37"/>
  <sheetViews>
    <sheetView workbookViewId="0">
      <selection activeCell="C4" sqref="C4"/>
    </sheetView>
  </sheetViews>
  <sheetFormatPr defaultRowHeight="12.5"/>
  <cols>
    <col min="2" max="2" width="50.81640625" bestFit="1" customWidth="1"/>
    <col min="3" max="4" width="15.81640625" customWidth="1"/>
    <col min="5" max="5" width="15.26953125" customWidth="1"/>
    <col min="6" max="7" width="13.453125" bestFit="1" customWidth="1"/>
    <col min="8" max="8" width="14.26953125" customWidth="1"/>
    <col min="9" max="9" width="13.453125" bestFit="1" customWidth="1"/>
    <col min="10" max="10" width="5.1796875" customWidth="1"/>
    <col min="11" max="11" width="13.54296875" customWidth="1"/>
    <col min="12" max="12" width="12.81640625" customWidth="1"/>
    <col min="13" max="13" width="4.26953125" customWidth="1"/>
    <col min="14" max="15" width="13.453125" bestFit="1" customWidth="1"/>
  </cols>
  <sheetData>
    <row r="1" spans="2:11" s="77" customFormat="1" ht="15.5">
      <c r="C1" s="227" t="s">
        <v>209</v>
      </c>
      <c r="D1" s="223"/>
      <c r="E1" s="222"/>
      <c r="F1" s="635" t="s">
        <v>186</v>
      </c>
      <c r="G1" s="636"/>
      <c r="H1" s="635" t="s">
        <v>240</v>
      </c>
      <c r="I1" s="636"/>
    </row>
    <row r="2" spans="2:11" ht="12.75" customHeight="1">
      <c r="C2" s="640" t="s">
        <v>173</v>
      </c>
      <c r="D2" s="640"/>
      <c r="E2" s="222"/>
      <c r="F2" s="637"/>
      <c r="G2" s="638"/>
      <c r="H2" s="637"/>
      <c r="I2" s="638"/>
    </row>
    <row r="3" spans="2:11" ht="15.5">
      <c r="B3" s="634" t="s">
        <v>63</v>
      </c>
      <c r="C3" s="94" t="s">
        <v>61</v>
      </c>
      <c r="D3" s="94" t="s">
        <v>62</v>
      </c>
      <c r="E3" s="222"/>
      <c r="F3" s="186" t="s">
        <v>61</v>
      </c>
      <c r="G3" s="186" t="s">
        <v>62</v>
      </c>
      <c r="H3" s="189" t="s">
        <v>61</v>
      </c>
      <c r="I3" s="189" t="s">
        <v>62</v>
      </c>
    </row>
    <row r="4" spans="2:11" ht="15.5">
      <c r="B4" s="634"/>
      <c r="C4" s="95" t="s">
        <v>187</v>
      </c>
      <c r="D4" s="95" t="s">
        <v>187</v>
      </c>
      <c r="E4" s="222"/>
      <c r="F4" s="187" t="s">
        <v>184</v>
      </c>
      <c r="G4" s="187" t="s">
        <v>184</v>
      </c>
      <c r="H4" s="190" t="s">
        <v>86</v>
      </c>
      <c r="I4" s="190" t="s">
        <v>86</v>
      </c>
    </row>
    <row r="5" spans="2:11" ht="15.5">
      <c r="B5" s="192" t="s">
        <v>88</v>
      </c>
      <c r="C5" s="231">
        <f>220*F18*0.7</f>
        <v>923.99999999999989</v>
      </c>
      <c r="D5" s="232">
        <f>220*F18*0.3</f>
        <v>396</v>
      </c>
      <c r="E5" s="98"/>
      <c r="F5" s="188">
        <f t="shared" ref="F5:F14" si="0">C5*12</f>
        <v>11087.999999999998</v>
      </c>
      <c r="G5" s="188">
        <f t="shared" ref="G5:G14" si="1">D5*12</f>
        <v>4752</v>
      </c>
      <c r="H5" s="243">
        <f t="shared" ref="H5:H14" si="2">F5*5</f>
        <v>55439.999999999993</v>
      </c>
      <c r="I5" s="191">
        <f t="shared" ref="I5:I14" si="3">G5*5</f>
        <v>23760</v>
      </c>
    </row>
    <row r="6" spans="2:11" ht="15.5">
      <c r="B6" s="228" t="s">
        <v>178</v>
      </c>
      <c r="C6" s="231">
        <f>220*F19*0.7</f>
        <v>923.99999999999989</v>
      </c>
      <c r="D6" s="232">
        <f>220*F19*0.3</f>
        <v>396</v>
      </c>
      <c r="E6" s="98"/>
      <c r="F6" s="188">
        <f t="shared" si="0"/>
        <v>11087.999999999998</v>
      </c>
      <c r="G6" s="188">
        <f t="shared" si="1"/>
        <v>4752</v>
      </c>
      <c r="H6" s="243">
        <f t="shared" si="2"/>
        <v>55439.999999999993</v>
      </c>
      <c r="I6" s="191">
        <f t="shared" si="3"/>
        <v>23760</v>
      </c>
      <c r="J6" s="77"/>
    </row>
    <row r="7" spans="2:11" ht="15.5">
      <c r="B7" s="228" t="s">
        <v>90</v>
      </c>
      <c r="C7" s="231">
        <f>220*F20*0.7</f>
        <v>269.5</v>
      </c>
      <c r="D7" s="232">
        <f>220*F20*0.3</f>
        <v>115.5</v>
      </c>
      <c r="E7" s="98"/>
      <c r="F7" s="188">
        <f t="shared" si="0"/>
        <v>3234</v>
      </c>
      <c r="G7" s="188">
        <f t="shared" si="1"/>
        <v>1386</v>
      </c>
      <c r="H7" s="243">
        <f t="shared" si="2"/>
        <v>16170</v>
      </c>
      <c r="I7" s="191">
        <f t="shared" si="3"/>
        <v>6930</v>
      </c>
      <c r="J7" s="77"/>
    </row>
    <row r="8" spans="2:11" s="109" customFormat="1" ht="15.5">
      <c r="B8" s="228" t="s">
        <v>89</v>
      </c>
      <c r="C8" s="231">
        <f>220*F21*0.7</f>
        <v>616</v>
      </c>
      <c r="D8" s="232">
        <f>220*F21*0.3</f>
        <v>264</v>
      </c>
      <c r="E8" s="98"/>
      <c r="F8" s="188">
        <f t="shared" si="0"/>
        <v>7392</v>
      </c>
      <c r="G8" s="188">
        <f t="shared" si="1"/>
        <v>3168</v>
      </c>
      <c r="H8" s="243">
        <f t="shared" si="2"/>
        <v>36960</v>
      </c>
      <c r="I8" s="191">
        <f t="shared" si="3"/>
        <v>15840</v>
      </c>
    </row>
    <row r="9" spans="2:11" s="109" customFormat="1" ht="15.5">
      <c r="B9" s="229" t="s">
        <v>91</v>
      </c>
      <c r="C9" s="231">
        <f>220*F22*0.7</f>
        <v>192.5</v>
      </c>
      <c r="D9" s="232">
        <f>220*F22*0.3</f>
        <v>82.5</v>
      </c>
      <c r="E9" s="98"/>
      <c r="F9" s="188">
        <f t="shared" si="0"/>
        <v>2310</v>
      </c>
      <c r="G9" s="188">
        <f t="shared" si="1"/>
        <v>990</v>
      </c>
      <c r="H9" s="243">
        <f t="shared" si="2"/>
        <v>11550</v>
      </c>
      <c r="I9" s="191">
        <f t="shared" si="3"/>
        <v>4950</v>
      </c>
    </row>
    <row r="10" spans="2:11" s="109" customFormat="1" ht="15.5">
      <c r="B10" s="230" t="s">
        <v>179</v>
      </c>
      <c r="C10" s="231">
        <f>220*3*0.7</f>
        <v>461.99999999999994</v>
      </c>
      <c r="D10" s="232">
        <f>220*3*0.3</f>
        <v>198</v>
      </c>
      <c r="E10" s="98"/>
      <c r="F10" s="188">
        <f t="shared" si="0"/>
        <v>5543.9999999999991</v>
      </c>
      <c r="G10" s="188">
        <f t="shared" si="1"/>
        <v>2376</v>
      </c>
      <c r="H10" s="243">
        <f t="shared" si="2"/>
        <v>27719.999999999996</v>
      </c>
      <c r="I10" s="191">
        <f t="shared" si="3"/>
        <v>11880</v>
      </c>
    </row>
    <row r="11" spans="2:11" s="109" customFormat="1" ht="15.5">
      <c r="B11" s="230" t="s">
        <v>180</v>
      </c>
      <c r="C11" s="231">
        <f>220*F24*0.7</f>
        <v>154</v>
      </c>
      <c r="D11" s="232">
        <f>220*F24*0.3</f>
        <v>66</v>
      </c>
      <c r="E11" s="98"/>
      <c r="F11" s="188">
        <f t="shared" si="0"/>
        <v>1848</v>
      </c>
      <c r="G11" s="188">
        <f t="shared" si="1"/>
        <v>792</v>
      </c>
      <c r="H11" s="243">
        <f t="shared" si="2"/>
        <v>9240</v>
      </c>
      <c r="I11" s="191">
        <f t="shared" si="3"/>
        <v>3960</v>
      </c>
    </row>
    <row r="12" spans="2:11" s="109" customFormat="1" ht="15.5">
      <c r="B12" s="230" t="s">
        <v>181</v>
      </c>
      <c r="C12" s="231">
        <f>220*F25*0.7</f>
        <v>154</v>
      </c>
      <c r="D12" s="232">
        <f>220*F25*0.3</f>
        <v>66</v>
      </c>
      <c r="E12" s="98"/>
      <c r="F12" s="188">
        <f t="shared" si="0"/>
        <v>1848</v>
      </c>
      <c r="G12" s="188">
        <f t="shared" si="1"/>
        <v>792</v>
      </c>
      <c r="H12" s="243">
        <f t="shared" si="2"/>
        <v>9240</v>
      </c>
      <c r="I12" s="191">
        <f t="shared" si="3"/>
        <v>3960</v>
      </c>
    </row>
    <row r="13" spans="2:11" s="109" customFormat="1" ht="31">
      <c r="B13" s="228" t="s">
        <v>92</v>
      </c>
      <c r="C13" s="231">
        <f>220*1*0.7</f>
        <v>154</v>
      </c>
      <c r="D13" s="232">
        <f>220*1*0.3</f>
        <v>66</v>
      </c>
      <c r="E13" s="98"/>
      <c r="F13" s="188">
        <f t="shared" si="0"/>
        <v>1848</v>
      </c>
      <c r="G13" s="188">
        <f t="shared" si="1"/>
        <v>792</v>
      </c>
      <c r="H13" s="243">
        <f t="shared" si="2"/>
        <v>9240</v>
      </c>
      <c r="I13" s="191">
        <f t="shared" si="3"/>
        <v>3960</v>
      </c>
    </row>
    <row r="14" spans="2:11" s="109" customFormat="1" ht="15.5">
      <c r="B14" s="228" t="s">
        <v>108</v>
      </c>
      <c r="C14" s="231">
        <f>12*0.7</f>
        <v>8.3999999999999986</v>
      </c>
      <c r="D14" s="232">
        <f>12*0.3</f>
        <v>3.5999999999999996</v>
      </c>
      <c r="E14" s="98"/>
      <c r="F14" s="188">
        <f t="shared" si="0"/>
        <v>100.79999999999998</v>
      </c>
      <c r="G14" s="188">
        <f t="shared" si="1"/>
        <v>43.199999999999996</v>
      </c>
      <c r="H14" s="243">
        <f t="shared" si="2"/>
        <v>503.99999999999989</v>
      </c>
      <c r="I14" s="191">
        <f t="shared" si="3"/>
        <v>215.99999999999997</v>
      </c>
    </row>
    <row r="15" spans="2:11" ht="14.5">
      <c r="B15" s="79"/>
      <c r="C15" s="98"/>
      <c r="E15" s="222"/>
      <c r="F15" s="222"/>
      <c r="G15" s="222"/>
      <c r="H15" s="222"/>
      <c r="I15" s="222"/>
      <c r="K15" s="98"/>
    </row>
    <row r="16" spans="2:11" ht="13">
      <c r="B16" s="634" t="s">
        <v>63</v>
      </c>
      <c r="C16" s="180" t="s">
        <v>174</v>
      </c>
      <c r="D16" s="180" t="s">
        <v>176</v>
      </c>
      <c r="E16" s="180" t="s">
        <v>177</v>
      </c>
      <c r="F16" s="639" t="s">
        <v>185</v>
      </c>
    </row>
    <row r="17" spans="2:6">
      <c r="B17" s="634"/>
      <c r="C17" s="179" t="s">
        <v>175</v>
      </c>
      <c r="D17" s="179" t="s">
        <v>175</v>
      </c>
      <c r="E17" s="179" t="s">
        <v>175</v>
      </c>
      <c r="F17" s="639"/>
    </row>
    <row r="18" spans="2:6" ht="15.5">
      <c r="B18" s="178" t="s">
        <v>88</v>
      </c>
      <c r="C18" s="179">
        <v>2</v>
      </c>
      <c r="D18" s="179">
        <v>2</v>
      </c>
      <c r="E18" s="179">
        <v>2</v>
      </c>
      <c r="F18" s="179">
        <f>SUM(C18:E18)</f>
        <v>6</v>
      </c>
    </row>
    <row r="19" spans="2:6" ht="15.5">
      <c r="B19" s="96" t="s">
        <v>178</v>
      </c>
      <c r="C19" s="179">
        <v>2</v>
      </c>
      <c r="D19" s="179">
        <v>2</v>
      </c>
      <c r="E19" s="179">
        <v>2</v>
      </c>
      <c r="F19" s="179">
        <f t="shared" ref="F19:F25" si="4">SUM(C19:E19)</f>
        <v>6</v>
      </c>
    </row>
    <row r="20" spans="2:6" ht="15.5">
      <c r="B20" s="96" t="s">
        <v>90</v>
      </c>
      <c r="C20" s="179">
        <v>0.5</v>
      </c>
      <c r="D20" s="179">
        <v>0.5</v>
      </c>
      <c r="E20" s="179">
        <v>0.75</v>
      </c>
      <c r="F20" s="179">
        <f t="shared" si="4"/>
        <v>1.75</v>
      </c>
    </row>
    <row r="21" spans="2:6" ht="15.5">
      <c r="B21" s="96" t="s">
        <v>89</v>
      </c>
      <c r="C21" s="179">
        <v>1</v>
      </c>
      <c r="D21" s="179">
        <v>2</v>
      </c>
      <c r="E21" s="179">
        <v>1</v>
      </c>
      <c r="F21" s="179">
        <f t="shared" si="4"/>
        <v>4</v>
      </c>
    </row>
    <row r="22" spans="2:6" ht="15.5">
      <c r="B22" s="181" t="s">
        <v>91</v>
      </c>
      <c r="C22" s="179">
        <v>0.5</v>
      </c>
      <c r="D22" s="179">
        <v>0.5</v>
      </c>
      <c r="E22" s="179">
        <v>0.25</v>
      </c>
      <c r="F22" s="179">
        <f t="shared" si="4"/>
        <v>1.25</v>
      </c>
    </row>
    <row r="23" spans="2:6" ht="15.5">
      <c r="B23" s="182" t="s">
        <v>179</v>
      </c>
      <c r="C23" s="179">
        <v>1</v>
      </c>
      <c r="D23" s="179">
        <v>1</v>
      </c>
      <c r="E23" s="179">
        <v>1</v>
      </c>
      <c r="F23" s="179">
        <f t="shared" si="4"/>
        <v>3</v>
      </c>
    </row>
    <row r="24" spans="2:6" ht="15.5">
      <c r="B24" s="182" t="s">
        <v>180</v>
      </c>
      <c r="C24" s="179">
        <v>0</v>
      </c>
      <c r="D24" s="179">
        <v>0</v>
      </c>
      <c r="E24" s="179">
        <v>1</v>
      </c>
      <c r="F24" s="179">
        <f t="shared" si="4"/>
        <v>1</v>
      </c>
    </row>
    <row r="25" spans="2:6" ht="15.5">
      <c r="B25" s="182" t="s">
        <v>181</v>
      </c>
      <c r="C25" s="179">
        <v>0</v>
      </c>
      <c r="D25" s="179">
        <v>0</v>
      </c>
      <c r="E25" s="179">
        <v>1</v>
      </c>
      <c r="F25" s="179">
        <f t="shared" si="4"/>
        <v>1</v>
      </c>
    </row>
    <row r="27" spans="2:6" ht="15.5">
      <c r="B27" s="183" t="s">
        <v>77</v>
      </c>
      <c r="C27" s="179">
        <f>SUM(C18:C25)</f>
        <v>7</v>
      </c>
      <c r="D27" s="179">
        <f t="shared" ref="D27:F27" si="5">SUM(D18:D25)</f>
        <v>8</v>
      </c>
      <c r="E27" s="179">
        <f t="shared" si="5"/>
        <v>9</v>
      </c>
      <c r="F27" s="180">
        <f t="shared" si="5"/>
        <v>24</v>
      </c>
    </row>
    <row r="30" spans="2:6" ht="13">
      <c r="B30" s="634" t="s">
        <v>63</v>
      </c>
      <c r="C30" s="180" t="s">
        <v>207</v>
      </c>
      <c r="D30" s="184"/>
      <c r="E30" s="184"/>
    </row>
    <row r="31" spans="2:6">
      <c r="B31" s="634"/>
      <c r="C31" s="179" t="s">
        <v>175</v>
      </c>
      <c r="D31" s="185"/>
      <c r="E31" s="185"/>
    </row>
    <row r="32" spans="2:6" ht="31">
      <c r="B32" s="224" t="s">
        <v>92</v>
      </c>
      <c r="C32" s="225" t="s">
        <v>182</v>
      </c>
      <c r="D32" s="185"/>
      <c r="E32" s="185"/>
    </row>
    <row r="33" spans="2:3" ht="15.5">
      <c r="B33" s="224" t="s">
        <v>108</v>
      </c>
      <c r="C33" s="226" t="s">
        <v>183</v>
      </c>
    </row>
    <row r="35" spans="2:3" ht="15.5">
      <c r="B35" s="234" t="s">
        <v>210</v>
      </c>
    </row>
    <row r="36" spans="2:3" ht="15.5">
      <c r="B36" s="233" t="s">
        <v>211</v>
      </c>
    </row>
    <row r="37" spans="2:3" ht="15.5">
      <c r="B37" s="233" t="s">
        <v>212</v>
      </c>
    </row>
  </sheetData>
  <mergeCells count="7">
    <mergeCell ref="B30:B31"/>
    <mergeCell ref="F1:G2"/>
    <mergeCell ref="H1:I2"/>
    <mergeCell ref="B16:B17"/>
    <mergeCell ref="F16:F17"/>
    <mergeCell ref="B3:B4"/>
    <mergeCell ref="C2:D2"/>
  </mergeCells>
  <phoneticPr fontId="54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90ADB-5F3E-441B-8556-85DD19A7412A}">
  <dimension ref="C2:U65"/>
  <sheetViews>
    <sheetView showGridLines="0" zoomScaleNormal="100" workbookViewId="0">
      <selection activeCell="D56" activeCellId="2" sqref="D14 D35 D56"/>
    </sheetView>
  </sheetViews>
  <sheetFormatPr defaultColWidth="9.1796875" defaultRowHeight="14.5"/>
  <cols>
    <col min="1" max="2" width="9.1796875" style="118"/>
    <col min="3" max="3" width="25.26953125" style="118" bestFit="1" customWidth="1"/>
    <col min="4" max="4" width="12.1796875" style="118" customWidth="1"/>
    <col min="5" max="5" width="18.7265625" style="118" bestFit="1" customWidth="1"/>
    <col min="6" max="6" width="16.1796875" style="118" bestFit="1" customWidth="1"/>
    <col min="7" max="7" width="13.1796875" style="118" customWidth="1"/>
    <col min="8" max="8" width="11.7265625" style="118" bestFit="1" customWidth="1"/>
    <col min="9" max="9" width="14.7265625" style="118" bestFit="1" customWidth="1"/>
    <col min="10" max="10" width="9.54296875" style="118" bestFit="1" customWidth="1"/>
    <col min="11" max="11" width="17" style="118" bestFit="1" customWidth="1"/>
    <col min="12" max="16384" width="9.1796875" style="118"/>
  </cols>
  <sheetData>
    <row r="2" spans="3:21" ht="18">
      <c r="C2" s="117" t="s">
        <v>128</v>
      </c>
    </row>
    <row r="4" spans="3:21" ht="18">
      <c r="C4" s="646" t="s">
        <v>161</v>
      </c>
      <c r="D4" s="647"/>
      <c r="E4" s="647"/>
      <c r="F4" s="647"/>
      <c r="G4" s="647"/>
      <c r="H4" s="647"/>
      <c r="I4" s="647"/>
      <c r="J4" s="647"/>
      <c r="K4" s="648"/>
      <c r="O4" s="641" t="s">
        <v>151</v>
      </c>
      <c r="P4" s="642"/>
      <c r="Q4" s="642"/>
      <c r="R4" s="642"/>
      <c r="S4" s="642"/>
      <c r="T4" s="642"/>
      <c r="U4" s="643"/>
    </row>
    <row r="5" spans="3:21" ht="17.5">
      <c r="C5" s="119"/>
      <c r="D5" s="120" t="s">
        <v>162</v>
      </c>
      <c r="E5" s="120"/>
      <c r="F5" s="120"/>
      <c r="G5" s="120"/>
      <c r="H5" s="120"/>
      <c r="I5" s="120"/>
      <c r="J5" s="121"/>
      <c r="K5" s="121"/>
      <c r="O5" s="162"/>
      <c r="P5" s="163" t="s">
        <v>139</v>
      </c>
      <c r="Q5" s="163" t="s">
        <v>140</v>
      </c>
      <c r="R5" s="163" t="s">
        <v>141</v>
      </c>
      <c r="S5" s="163" t="s">
        <v>142</v>
      </c>
      <c r="T5" s="163" t="s">
        <v>143</v>
      </c>
      <c r="U5" s="163" t="s">
        <v>144</v>
      </c>
    </row>
    <row r="6" spans="3:21" ht="17.5">
      <c r="C6" s="119" t="s">
        <v>129</v>
      </c>
      <c r="D6" s="120">
        <v>5</v>
      </c>
      <c r="E6" s="120"/>
      <c r="F6" s="120"/>
      <c r="G6" s="120"/>
      <c r="H6" s="120"/>
      <c r="I6" s="120"/>
      <c r="J6" s="121"/>
      <c r="K6" s="121"/>
      <c r="O6" s="157" t="s">
        <v>167</v>
      </c>
      <c r="P6" s="158">
        <v>8</v>
      </c>
      <c r="Q6" s="158">
        <v>6</v>
      </c>
      <c r="R6" s="158">
        <v>4</v>
      </c>
      <c r="S6" s="158">
        <v>3</v>
      </c>
      <c r="T6" s="158">
        <v>2</v>
      </c>
      <c r="U6" s="134">
        <v>8</v>
      </c>
    </row>
    <row r="7" spans="3:21" ht="17.5">
      <c r="C7" s="119" t="s">
        <v>130</v>
      </c>
      <c r="D7" s="120">
        <v>3</v>
      </c>
      <c r="E7" s="120"/>
      <c r="F7" s="120"/>
      <c r="G7" s="120"/>
      <c r="H7" s="120"/>
      <c r="I7" s="120"/>
      <c r="J7" s="121"/>
      <c r="K7" s="121"/>
      <c r="O7" s="164" t="s">
        <v>168</v>
      </c>
      <c r="P7" s="139">
        <v>0</v>
      </c>
      <c r="Q7" s="139">
        <v>0</v>
      </c>
      <c r="R7" s="139">
        <v>0</v>
      </c>
      <c r="S7" s="139">
        <v>0</v>
      </c>
      <c r="T7" s="139">
        <v>0</v>
      </c>
      <c r="U7" s="139">
        <v>0</v>
      </c>
    </row>
    <row r="8" spans="3:21" ht="17.5">
      <c r="C8" s="119"/>
      <c r="D8" s="120"/>
      <c r="E8" s="120"/>
      <c r="F8" s="120"/>
      <c r="G8" s="120"/>
      <c r="H8" s="120"/>
      <c r="I8" s="120"/>
      <c r="J8" s="121"/>
      <c r="K8" s="121"/>
      <c r="O8" s="157"/>
      <c r="P8" s="158"/>
      <c r="Q8" s="158"/>
      <c r="R8" s="158"/>
      <c r="S8" s="158"/>
      <c r="T8" s="158"/>
      <c r="U8" s="158"/>
    </row>
    <row r="9" spans="3:21" ht="17.5">
      <c r="C9" s="119" t="s">
        <v>131</v>
      </c>
      <c r="D9" s="120">
        <v>61</v>
      </c>
      <c r="E9" s="120"/>
      <c r="F9" s="120"/>
      <c r="G9" s="120"/>
      <c r="H9" s="120"/>
      <c r="I9" s="120"/>
      <c r="J9" s="121"/>
      <c r="K9" s="122"/>
      <c r="O9" s="165" t="s">
        <v>169</v>
      </c>
      <c r="P9" s="166">
        <v>0</v>
      </c>
      <c r="Q9" s="166">
        <v>0</v>
      </c>
      <c r="R9" s="166">
        <v>0</v>
      </c>
      <c r="S9" s="166">
        <v>0</v>
      </c>
      <c r="T9" s="166">
        <v>0</v>
      </c>
      <c r="U9" s="166">
        <v>0</v>
      </c>
    </row>
    <row r="10" spans="3:21" ht="17.5">
      <c r="C10" s="119" t="s">
        <v>132</v>
      </c>
      <c r="D10" s="123">
        <v>4.1666666666666664E-2</v>
      </c>
      <c r="E10" s="123"/>
      <c r="F10" s="123"/>
      <c r="G10" s="123"/>
      <c r="H10" s="123"/>
      <c r="I10" s="123"/>
      <c r="J10" s="124"/>
      <c r="K10" s="125"/>
      <c r="O10" s="138" t="s">
        <v>170</v>
      </c>
      <c r="P10" s="137">
        <v>12</v>
      </c>
      <c r="Q10" s="137">
        <v>11</v>
      </c>
      <c r="R10" s="137">
        <v>6</v>
      </c>
      <c r="S10" s="137">
        <v>7</v>
      </c>
      <c r="T10" s="137">
        <v>4</v>
      </c>
      <c r="U10" s="167">
        <v>12</v>
      </c>
    </row>
    <row r="11" spans="3:21">
      <c r="C11" s="126"/>
      <c r="D11" s="127"/>
      <c r="E11" s="127"/>
      <c r="F11" s="127"/>
      <c r="G11" s="127"/>
      <c r="H11" s="127"/>
      <c r="I11" s="127"/>
      <c r="J11" s="122"/>
      <c r="K11" s="122"/>
      <c r="O11" s="157"/>
      <c r="P11" s="158"/>
      <c r="Q11" s="158"/>
      <c r="R11" s="158"/>
      <c r="S11" s="158"/>
      <c r="T11" s="158"/>
      <c r="U11" s="158"/>
    </row>
    <row r="12" spans="3:21" ht="18">
      <c r="C12" s="644" t="s">
        <v>135</v>
      </c>
      <c r="D12" s="645"/>
      <c r="E12" s="645"/>
      <c r="F12" s="645"/>
      <c r="G12" s="645"/>
      <c r="H12" s="645"/>
      <c r="I12" s="645"/>
      <c r="J12" s="645"/>
      <c r="K12" s="128" t="s">
        <v>136</v>
      </c>
      <c r="O12" s="168" t="s">
        <v>171</v>
      </c>
      <c r="P12" s="169">
        <v>0</v>
      </c>
      <c r="Q12" s="169">
        <v>0</v>
      </c>
      <c r="R12" s="169">
        <v>0</v>
      </c>
      <c r="S12" s="169">
        <v>0</v>
      </c>
      <c r="T12" s="169">
        <v>0</v>
      </c>
      <c r="U12" s="169">
        <v>0</v>
      </c>
    </row>
    <row r="13" spans="3:21" ht="17.5">
      <c r="C13" s="119" t="s">
        <v>122</v>
      </c>
      <c r="D13" s="120">
        <f>D6</f>
        <v>5</v>
      </c>
      <c r="E13" s="120">
        <f t="shared" ref="E13:J13" si="0">E6</f>
        <v>0</v>
      </c>
      <c r="F13" s="120">
        <f t="shared" si="0"/>
        <v>0</v>
      </c>
      <c r="G13" s="120">
        <f t="shared" si="0"/>
        <v>0</v>
      </c>
      <c r="H13" s="120">
        <f t="shared" si="0"/>
        <v>0</v>
      </c>
      <c r="I13" s="120">
        <f t="shared" si="0"/>
        <v>0</v>
      </c>
      <c r="J13" s="120">
        <f t="shared" si="0"/>
        <v>0</v>
      </c>
      <c r="K13" s="121">
        <f>SUM(D13:J13)</f>
        <v>5</v>
      </c>
      <c r="O13" s="138" t="s">
        <v>172</v>
      </c>
      <c r="P13" s="137">
        <v>7</v>
      </c>
      <c r="Q13" s="137">
        <v>5</v>
      </c>
      <c r="R13" s="137">
        <v>5</v>
      </c>
      <c r="S13" s="137">
        <v>7</v>
      </c>
      <c r="T13" s="137">
        <v>2</v>
      </c>
      <c r="U13" s="170">
        <v>7</v>
      </c>
    </row>
    <row r="14" spans="3:21" ht="17.5">
      <c r="C14" s="119" t="s">
        <v>133</v>
      </c>
      <c r="D14" s="120">
        <f>D9*2*D13</f>
        <v>610</v>
      </c>
      <c r="E14" s="120">
        <f t="shared" ref="E14:J14" si="1">E9*2*E13</f>
        <v>0</v>
      </c>
      <c r="F14" s="120">
        <f t="shared" si="1"/>
        <v>0</v>
      </c>
      <c r="G14" s="120">
        <f t="shared" si="1"/>
        <v>0</v>
      </c>
      <c r="H14" s="120">
        <f t="shared" si="1"/>
        <v>0</v>
      </c>
      <c r="I14" s="120">
        <f t="shared" si="1"/>
        <v>0</v>
      </c>
      <c r="J14" s="120">
        <f t="shared" si="1"/>
        <v>0</v>
      </c>
      <c r="K14" s="129">
        <f t="shared" ref="K14" si="2">SUM(D14:J14)</f>
        <v>610</v>
      </c>
    </row>
    <row r="15" spans="3:21" ht="17.5">
      <c r="C15" s="130" t="s">
        <v>134</v>
      </c>
      <c r="D15" s="131">
        <f>D10*2*D13</f>
        <v>0.41666666666666663</v>
      </c>
      <c r="E15" s="131">
        <f t="shared" ref="E15:J15" si="3">E10*2*E13</f>
        <v>0</v>
      </c>
      <c r="F15" s="131">
        <f t="shared" si="3"/>
        <v>0</v>
      </c>
      <c r="G15" s="131">
        <f t="shared" si="3"/>
        <v>0</v>
      </c>
      <c r="H15" s="131">
        <f t="shared" si="3"/>
        <v>0</v>
      </c>
      <c r="I15" s="131">
        <f t="shared" si="3"/>
        <v>0</v>
      </c>
      <c r="J15" s="131">
        <f t="shared" si="3"/>
        <v>0</v>
      </c>
      <c r="K15" s="132">
        <f>SUM(D15:J15)</f>
        <v>0.41666666666666663</v>
      </c>
    </row>
    <row r="16" spans="3:21" ht="18">
      <c r="C16" s="644" t="s">
        <v>137</v>
      </c>
      <c r="D16" s="645"/>
      <c r="E16" s="645"/>
      <c r="F16" s="645"/>
      <c r="G16" s="645"/>
      <c r="H16" s="645"/>
      <c r="I16" s="645"/>
      <c r="J16" s="645"/>
      <c r="K16" s="128" t="s">
        <v>136</v>
      </c>
    </row>
    <row r="17" spans="3:11" ht="17.5">
      <c r="C17" s="119" t="s">
        <v>122</v>
      </c>
      <c r="D17" s="120">
        <f>D7</f>
        <v>3</v>
      </c>
      <c r="E17" s="120">
        <f t="shared" ref="E17:J17" si="4">E7</f>
        <v>0</v>
      </c>
      <c r="F17" s="120">
        <f t="shared" si="4"/>
        <v>0</v>
      </c>
      <c r="G17" s="120">
        <f t="shared" si="4"/>
        <v>0</v>
      </c>
      <c r="H17" s="120">
        <f t="shared" si="4"/>
        <v>0</v>
      </c>
      <c r="I17" s="120">
        <f t="shared" si="4"/>
        <v>0</v>
      </c>
      <c r="J17" s="120">
        <f t="shared" si="4"/>
        <v>0</v>
      </c>
      <c r="K17" s="121">
        <f>SUM(D17:J17)</f>
        <v>3</v>
      </c>
    </row>
    <row r="18" spans="3:11" ht="17.5">
      <c r="C18" s="119" t="s">
        <v>133</v>
      </c>
      <c r="D18" s="120">
        <f>D9*2*D17</f>
        <v>366</v>
      </c>
      <c r="E18" s="120">
        <f t="shared" ref="E18:J18" si="5">E9*2*E17</f>
        <v>0</v>
      </c>
      <c r="F18" s="120">
        <f t="shared" si="5"/>
        <v>0</v>
      </c>
      <c r="G18" s="120">
        <f t="shared" si="5"/>
        <v>0</v>
      </c>
      <c r="H18" s="120">
        <f t="shared" si="5"/>
        <v>0</v>
      </c>
      <c r="I18" s="120">
        <f t="shared" si="5"/>
        <v>0</v>
      </c>
      <c r="J18" s="120">
        <f t="shared" si="5"/>
        <v>0</v>
      </c>
      <c r="K18" s="129">
        <f t="shared" ref="K18" si="6">SUM(D18:J18)</f>
        <v>366</v>
      </c>
    </row>
    <row r="19" spans="3:11" ht="17.5">
      <c r="C19" s="130" t="s">
        <v>134</v>
      </c>
      <c r="D19" s="131">
        <f>D10*2*D17</f>
        <v>0.25</v>
      </c>
      <c r="E19" s="131">
        <f t="shared" ref="E19:J19" si="7">E10*2*E17</f>
        <v>0</v>
      </c>
      <c r="F19" s="131">
        <f t="shared" si="7"/>
        <v>0</v>
      </c>
      <c r="G19" s="131">
        <f t="shared" si="7"/>
        <v>0</v>
      </c>
      <c r="H19" s="131">
        <f t="shared" si="7"/>
        <v>0</v>
      </c>
      <c r="I19" s="131">
        <f t="shared" si="7"/>
        <v>0</v>
      </c>
      <c r="J19" s="131">
        <f t="shared" si="7"/>
        <v>0</v>
      </c>
      <c r="K19" s="132">
        <f>SUM(D19:J19)</f>
        <v>0.25</v>
      </c>
    </row>
    <row r="20" spans="3:11" ht="18">
      <c r="C20" s="644" t="s">
        <v>138</v>
      </c>
      <c r="D20" s="645"/>
      <c r="E20" s="645"/>
      <c r="F20" s="645"/>
      <c r="G20" s="645"/>
      <c r="H20" s="645"/>
      <c r="I20" s="645"/>
      <c r="J20" s="645"/>
      <c r="K20" s="128" t="s">
        <v>77</v>
      </c>
    </row>
    <row r="21" spans="3:11" ht="17.5">
      <c r="C21" s="119" t="s">
        <v>122</v>
      </c>
      <c r="D21" s="120">
        <f>D13+D17</f>
        <v>8</v>
      </c>
      <c r="E21" s="120">
        <f t="shared" ref="E21:J21" si="8">E13+E17</f>
        <v>0</v>
      </c>
      <c r="F21" s="120">
        <f t="shared" si="8"/>
        <v>0</v>
      </c>
      <c r="G21" s="120">
        <f t="shared" si="8"/>
        <v>0</v>
      </c>
      <c r="H21" s="120">
        <f t="shared" si="8"/>
        <v>0</v>
      </c>
      <c r="I21" s="120">
        <f t="shared" si="8"/>
        <v>0</v>
      </c>
      <c r="J21" s="120">
        <f t="shared" si="8"/>
        <v>0</v>
      </c>
      <c r="K21" s="121">
        <f>SUM(D21:J21)</f>
        <v>8</v>
      </c>
    </row>
    <row r="22" spans="3:11" ht="17.5">
      <c r="C22" s="119" t="s">
        <v>133</v>
      </c>
      <c r="D22" s="120">
        <f>D14+D18</f>
        <v>976</v>
      </c>
      <c r="E22" s="120">
        <f t="shared" ref="E22:J22" si="9">E14+E18</f>
        <v>0</v>
      </c>
      <c r="F22" s="120">
        <f t="shared" si="9"/>
        <v>0</v>
      </c>
      <c r="G22" s="120">
        <f t="shared" si="9"/>
        <v>0</v>
      </c>
      <c r="H22" s="120">
        <f t="shared" si="9"/>
        <v>0</v>
      </c>
      <c r="I22" s="120">
        <f t="shared" si="9"/>
        <v>0</v>
      </c>
      <c r="J22" s="120">
        <f t="shared" si="9"/>
        <v>0</v>
      </c>
      <c r="K22" s="129">
        <f t="shared" ref="K22" si="10">SUM(D22:J22)</f>
        <v>976</v>
      </c>
    </row>
    <row r="23" spans="3:11" ht="17.5">
      <c r="C23" s="130" t="s">
        <v>134</v>
      </c>
      <c r="D23" s="131">
        <f>D15+D19</f>
        <v>0.66666666666666663</v>
      </c>
      <c r="E23" s="131">
        <f t="shared" ref="E23:J23" si="11">E15+E19</f>
        <v>0</v>
      </c>
      <c r="F23" s="131">
        <f t="shared" si="11"/>
        <v>0</v>
      </c>
      <c r="G23" s="131">
        <f t="shared" si="11"/>
        <v>0</v>
      </c>
      <c r="H23" s="131">
        <f t="shared" si="11"/>
        <v>0</v>
      </c>
      <c r="I23" s="131">
        <f t="shared" si="11"/>
        <v>0</v>
      </c>
      <c r="J23" s="131">
        <f t="shared" si="11"/>
        <v>0</v>
      </c>
      <c r="K23" s="132">
        <f>SUM(D23:J23)</f>
        <v>0.66666666666666663</v>
      </c>
    </row>
    <row r="25" spans="3:11" ht="18">
      <c r="C25" s="646" t="s">
        <v>163</v>
      </c>
      <c r="D25" s="647"/>
      <c r="E25" s="647"/>
      <c r="F25" s="647"/>
      <c r="G25" s="647"/>
      <c r="H25" s="647"/>
      <c r="I25" s="647"/>
      <c r="J25" s="647"/>
      <c r="K25" s="648"/>
    </row>
    <row r="26" spans="3:11" ht="17.5">
      <c r="C26" s="119"/>
      <c r="D26" s="120" t="s">
        <v>164</v>
      </c>
      <c r="E26" s="120"/>
      <c r="F26" s="120"/>
      <c r="G26" s="120"/>
      <c r="H26" s="120"/>
      <c r="I26" s="120"/>
      <c r="J26" s="121"/>
      <c r="K26" s="121"/>
    </row>
    <row r="27" spans="3:11" ht="17.5">
      <c r="C27" s="119" t="s">
        <v>129</v>
      </c>
      <c r="D27" s="120">
        <v>9</v>
      </c>
      <c r="E27" s="120"/>
      <c r="F27" s="120"/>
      <c r="G27" s="120"/>
      <c r="H27" s="120"/>
      <c r="I27" s="120"/>
      <c r="J27" s="121"/>
      <c r="K27" s="121"/>
    </row>
    <row r="28" spans="3:11" ht="17.5">
      <c r="C28" s="119" t="s">
        <v>130</v>
      </c>
      <c r="D28" s="120">
        <v>3</v>
      </c>
      <c r="E28" s="120"/>
      <c r="F28" s="120"/>
      <c r="G28" s="120"/>
      <c r="H28" s="120"/>
      <c r="I28" s="120"/>
      <c r="J28" s="121"/>
      <c r="K28" s="121"/>
    </row>
    <row r="29" spans="3:11" ht="17.5">
      <c r="C29" s="119"/>
      <c r="D29" s="120"/>
      <c r="E29" s="120"/>
      <c r="F29" s="120"/>
      <c r="G29" s="120"/>
      <c r="H29" s="120"/>
      <c r="I29" s="120"/>
      <c r="J29" s="121"/>
      <c r="K29" s="121"/>
    </row>
    <row r="30" spans="3:11" ht="17.5">
      <c r="C30" s="119" t="s">
        <v>131</v>
      </c>
      <c r="D30" s="120">
        <v>143</v>
      </c>
      <c r="E30" s="120"/>
      <c r="F30" s="120"/>
      <c r="G30" s="120"/>
      <c r="H30" s="120"/>
      <c r="I30" s="120"/>
      <c r="J30" s="121"/>
      <c r="K30" s="122"/>
    </row>
    <row r="31" spans="3:11" ht="17.5">
      <c r="C31" s="119" t="s">
        <v>132</v>
      </c>
      <c r="D31" s="123">
        <v>8.3333333333333329E-2</v>
      </c>
      <c r="E31" s="123"/>
      <c r="F31" s="123"/>
      <c r="G31" s="123"/>
      <c r="H31" s="123"/>
      <c r="I31" s="123"/>
      <c r="J31" s="124"/>
      <c r="K31" s="125"/>
    </row>
    <row r="32" spans="3:11">
      <c r="C32" s="126"/>
      <c r="D32" s="127"/>
      <c r="E32" s="127"/>
      <c r="F32" s="127"/>
      <c r="G32" s="127"/>
      <c r="H32" s="127"/>
      <c r="I32" s="127"/>
      <c r="J32" s="122"/>
      <c r="K32" s="122"/>
    </row>
    <row r="33" spans="3:11" ht="18">
      <c r="C33" s="644" t="s">
        <v>135</v>
      </c>
      <c r="D33" s="645"/>
      <c r="E33" s="645"/>
      <c r="F33" s="645"/>
      <c r="G33" s="645"/>
      <c r="H33" s="645"/>
      <c r="I33" s="645"/>
      <c r="J33" s="645"/>
      <c r="K33" s="128" t="s">
        <v>136</v>
      </c>
    </row>
    <row r="34" spans="3:11" ht="17.5">
      <c r="C34" s="119" t="s">
        <v>122</v>
      </c>
      <c r="D34" s="120">
        <f>D27</f>
        <v>9</v>
      </c>
      <c r="E34" s="120">
        <f t="shared" ref="E34:J34" si="12">E27</f>
        <v>0</v>
      </c>
      <c r="F34" s="120">
        <f t="shared" si="12"/>
        <v>0</v>
      </c>
      <c r="G34" s="120">
        <f t="shared" si="12"/>
        <v>0</v>
      </c>
      <c r="H34" s="120">
        <f t="shared" si="12"/>
        <v>0</v>
      </c>
      <c r="I34" s="120">
        <f t="shared" si="12"/>
        <v>0</v>
      </c>
      <c r="J34" s="120">
        <f t="shared" si="12"/>
        <v>0</v>
      </c>
      <c r="K34" s="121">
        <f>SUM(D34:J34)</f>
        <v>9</v>
      </c>
    </row>
    <row r="35" spans="3:11" ht="17.5">
      <c r="C35" s="119" t="s">
        <v>133</v>
      </c>
      <c r="D35" s="120">
        <f>D30*2*D34</f>
        <v>2574</v>
      </c>
      <c r="E35" s="120">
        <f t="shared" ref="E35:J35" si="13">E30*2*E34</f>
        <v>0</v>
      </c>
      <c r="F35" s="120">
        <f t="shared" si="13"/>
        <v>0</v>
      </c>
      <c r="G35" s="120">
        <f t="shared" si="13"/>
        <v>0</v>
      </c>
      <c r="H35" s="120">
        <f t="shared" si="13"/>
        <v>0</v>
      </c>
      <c r="I35" s="120">
        <f t="shared" si="13"/>
        <v>0</v>
      </c>
      <c r="J35" s="120">
        <f t="shared" si="13"/>
        <v>0</v>
      </c>
      <c r="K35" s="129">
        <f t="shared" ref="K35" si="14">SUM(D35:J35)</f>
        <v>2574</v>
      </c>
    </row>
    <row r="36" spans="3:11" ht="17.5">
      <c r="C36" s="130" t="s">
        <v>134</v>
      </c>
      <c r="D36" s="161">
        <f>D31*2*D34</f>
        <v>1.5</v>
      </c>
      <c r="E36" s="131">
        <f t="shared" ref="E36:J36" si="15">E31*2*E34</f>
        <v>0</v>
      </c>
      <c r="F36" s="131">
        <f t="shared" si="15"/>
        <v>0</v>
      </c>
      <c r="G36" s="131">
        <f t="shared" si="15"/>
        <v>0</v>
      </c>
      <c r="H36" s="131">
        <f t="shared" si="15"/>
        <v>0</v>
      </c>
      <c r="I36" s="131">
        <f t="shared" si="15"/>
        <v>0</v>
      </c>
      <c r="J36" s="131">
        <f t="shared" si="15"/>
        <v>0</v>
      </c>
      <c r="K36" s="132">
        <f>SUM(D36:J36)</f>
        <v>1.5</v>
      </c>
    </row>
    <row r="37" spans="3:11" ht="18">
      <c r="C37" s="644" t="s">
        <v>137</v>
      </c>
      <c r="D37" s="645"/>
      <c r="E37" s="645"/>
      <c r="F37" s="645"/>
      <c r="G37" s="645"/>
      <c r="H37" s="645"/>
      <c r="I37" s="645"/>
      <c r="J37" s="645"/>
      <c r="K37" s="128" t="s">
        <v>136</v>
      </c>
    </row>
    <row r="38" spans="3:11" ht="17.5">
      <c r="C38" s="119" t="s">
        <v>122</v>
      </c>
      <c r="D38" s="120">
        <f>D28</f>
        <v>3</v>
      </c>
      <c r="E38" s="120">
        <f t="shared" ref="E38:J38" si="16">E28</f>
        <v>0</v>
      </c>
      <c r="F38" s="120">
        <f t="shared" si="16"/>
        <v>0</v>
      </c>
      <c r="G38" s="120">
        <f t="shared" si="16"/>
        <v>0</v>
      </c>
      <c r="H38" s="120">
        <f t="shared" si="16"/>
        <v>0</v>
      </c>
      <c r="I38" s="120">
        <f t="shared" si="16"/>
        <v>0</v>
      </c>
      <c r="J38" s="120">
        <f t="shared" si="16"/>
        <v>0</v>
      </c>
      <c r="K38" s="121">
        <f>SUM(D38:J38)</f>
        <v>3</v>
      </c>
    </row>
    <row r="39" spans="3:11" ht="17.5">
      <c r="C39" s="119" t="s">
        <v>133</v>
      </c>
      <c r="D39" s="120">
        <f>D30*2*D38</f>
        <v>858</v>
      </c>
      <c r="E39" s="120">
        <f t="shared" ref="E39:J39" si="17">E30*2*E38</f>
        <v>0</v>
      </c>
      <c r="F39" s="120">
        <f t="shared" si="17"/>
        <v>0</v>
      </c>
      <c r="G39" s="120">
        <f t="shared" si="17"/>
        <v>0</v>
      </c>
      <c r="H39" s="120">
        <f t="shared" si="17"/>
        <v>0</v>
      </c>
      <c r="I39" s="120">
        <f t="shared" si="17"/>
        <v>0</v>
      </c>
      <c r="J39" s="120">
        <f t="shared" si="17"/>
        <v>0</v>
      </c>
      <c r="K39" s="129">
        <f t="shared" ref="K39" si="18">SUM(D39:J39)</f>
        <v>858</v>
      </c>
    </row>
    <row r="40" spans="3:11" ht="17.5">
      <c r="C40" s="130" t="s">
        <v>134</v>
      </c>
      <c r="D40" s="161">
        <f>D31*2*D38</f>
        <v>0.5</v>
      </c>
      <c r="E40" s="131">
        <f t="shared" ref="E40:J40" si="19">E31*2*E38</f>
        <v>0</v>
      </c>
      <c r="F40" s="131">
        <f t="shared" si="19"/>
        <v>0</v>
      </c>
      <c r="G40" s="131">
        <f t="shared" si="19"/>
        <v>0</v>
      </c>
      <c r="H40" s="131">
        <f t="shared" si="19"/>
        <v>0</v>
      </c>
      <c r="I40" s="131">
        <f t="shared" si="19"/>
        <v>0</v>
      </c>
      <c r="J40" s="131">
        <f t="shared" si="19"/>
        <v>0</v>
      </c>
      <c r="K40" s="132">
        <f>SUM(D40:J40)</f>
        <v>0.5</v>
      </c>
    </row>
    <row r="41" spans="3:11" ht="18">
      <c r="C41" s="644" t="s">
        <v>138</v>
      </c>
      <c r="D41" s="645"/>
      <c r="E41" s="645"/>
      <c r="F41" s="645"/>
      <c r="G41" s="645"/>
      <c r="H41" s="645"/>
      <c r="I41" s="645"/>
      <c r="J41" s="645"/>
      <c r="K41" s="128" t="s">
        <v>77</v>
      </c>
    </row>
    <row r="42" spans="3:11" ht="17.5">
      <c r="C42" s="119" t="s">
        <v>122</v>
      </c>
      <c r="D42" s="120">
        <f>D34+D38</f>
        <v>12</v>
      </c>
      <c r="E42" s="120">
        <f t="shared" ref="E42:J42" si="20">E34+E38</f>
        <v>0</v>
      </c>
      <c r="F42" s="120">
        <f t="shared" si="20"/>
        <v>0</v>
      </c>
      <c r="G42" s="120">
        <f t="shared" si="20"/>
        <v>0</v>
      </c>
      <c r="H42" s="120">
        <f t="shared" si="20"/>
        <v>0</v>
      </c>
      <c r="I42" s="120">
        <f t="shared" si="20"/>
        <v>0</v>
      </c>
      <c r="J42" s="120">
        <f t="shared" si="20"/>
        <v>0</v>
      </c>
      <c r="K42" s="121">
        <f>SUM(D42:J42)</f>
        <v>12</v>
      </c>
    </row>
    <row r="43" spans="3:11" ht="17.5">
      <c r="C43" s="119" t="s">
        <v>133</v>
      </c>
      <c r="D43" s="120">
        <f>D35+D39</f>
        <v>3432</v>
      </c>
      <c r="E43" s="120">
        <f t="shared" ref="E43:J43" si="21">E35+E39</f>
        <v>0</v>
      </c>
      <c r="F43" s="120">
        <f t="shared" si="21"/>
        <v>0</v>
      </c>
      <c r="G43" s="120">
        <f t="shared" si="21"/>
        <v>0</v>
      </c>
      <c r="H43" s="120">
        <f t="shared" si="21"/>
        <v>0</v>
      </c>
      <c r="I43" s="120">
        <f t="shared" si="21"/>
        <v>0</v>
      </c>
      <c r="J43" s="120">
        <f t="shared" si="21"/>
        <v>0</v>
      </c>
      <c r="K43" s="129">
        <f t="shared" ref="K43" si="22">SUM(D43:J43)</f>
        <v>3432</v>
      </c>
    </row>
    <row r="44" spans="3:11" ht="17.5">
      <c r="C44" s="130" t="s">
        <v>134</v>
      </c>
      <c r="D44" s="161">
        <f>D36+D40</f>
        <v>2</v>
      </c>
      <c r="E44" s="131">
        <f t="shared" ref="E44:J44" si="23">E36+E40</f>
        <v>0</v>
      </c>
      <c r="F44" s="131">
        <f t="shared" si="23"/>
        <v>0</v>
      </c>
      <c r="G44" s="131">
        <f t="shared" si="23"/>
        <v>0</v>
      </c>
      <c r="H44" s="131">
        <f t="shared" si="23"/>
        <v>0</v>
      </c>
      <c r="I44" s="131">
        <f t="shared" si="23"/>
        <v>0</v>
      </c>
      <c r="J44" s="131">
        <f t="shared" si="23"/>
        <v>0</v>
      </c>
      <c r="K44" s="132">
        <f>SUM(D44:J44)</f>
        <v>2</v>
      </c>
    </row>
    <row r="46" spans="3:11" ht="18">
      <c r="C46" s="646" t="s">
        <v>165</v>
      </c>
      <c r="D46" s="647"/>
      <c r="E46" s="647"/>
      <c r="F46" s="647"/>
      <c r="G46" s="647"/>
      <c r="H46" s="647"/>
      <c r="I46" s="647"/>
      <c r="J46" s="647"/>
      <c r="K46" s="648"/>
    </row>
    <row r="47" spans="3:11" ht="17.5">
      <c r="C47" s="119"/>
      <c r="D47" s="120" t="s">
        <v>166</v>
      </c>
      <c r="E47" s="120"/>
      <c r="F47" s="120"/>
      <c r="G47" s="120"/>
      <c r="H47" s="120"/>
      <c r="I47" s="120"/>
      <c r="J47" s="121"/>
      <c r="K47" s="121"/>
    </row>
    <row r="48" spans="3:11" ht="17.5">
      <c r="C48" s="119" t="s">
        <v>129</v>
      </c>
      <c r="D48" s="120">
        <v>5</v>
      </c>
      <c r="E48" s="120"/>
      <c r="F48" s="120"/>
      <c r="G48" s="120"/>
      <c r="H48" s="120"/>
      <c r="I48" s="120"/>
      <c r="J48" s="121"/>
      <c r="K48" s="121"/>
    </row>
    <row r="49" spans="3:11" ht="17.5">
      <c r="C49" s="119" t="s">
        <v>130</v>
      </c>
      <c r="D49" s="120">
        <v>2</v>
      </c>
      <c r="E49" s="120"/>
      <c r="F49" s="120"/>
      <c r="G49" s="120"/>
      <c r="H49" s="120"/>
      <c r="I49" s="120"/>
      <c r="J49" s="121"/>
      <c r="K49" s="121"/>
    </row>
    <row r="50" spans="3:11" ht="17.5">
      <c r="C50" s="119"/>
      <c r="D50" s="120"/>
      <c r="E50" s="120"/>
      <c r="F50" s="120"/>
      <c r="G50" s="120"/>
      <c r="H50" s="120"/>
      <c r="I50" s="120"/>
      <c r="J50" s="121"/>
      <c r="K50" s="121"/>
    </row>
    <row r="51" spans="3:11" ht="17.5">
      <c r="C51" s="119" t="s">
        <v>131</v>
      </c>
      <c r="D51" s="120">
        <v>239</v>
      </c>
      <c r="E51" s="120"/>
      <c r="F51" s="120"/>
      <c r="G51" s="120"/>
      <c r="H51" s="120"/>
      <c r="I51" s="120"/>
      <c r="J51" s="121"/>
      <c r="K51" s="122"/>
    </row>
    <row r="52" spans="3:11" ht="17.5">
      <c r="C52" s="119" t="s">
        <v>132</v>
      </c>
      <c r="D52" s="123">
        <v>0.125</v>
      </c>
      <c r="E52" s="123"/>
      <c r="F52" s="123"/>
      <c r="G52" s="123"/>
      <c r="H52" s="123"/>
      <c r="I52" s="123"/>
      <c r="J52" s="124"/>
      <c r="K52" s="125"/>
    </row>
    <row r="53" spans="3:11">
      <c r="C53" s="126"/>
      <c r="D53" s="127"/>
      <c r="E53" s="127"/>
      <c r="F53" s="127"/>
      <c r="G53" s="127"/>
      <c r="H53" s="127"/>
      <c r="I53" s="127"/>
      <c r="J53" s="122"/>
      <c r="K53" s="122"/>
    </row>
    <row r="54" spans="3:11" ht="18">
      <c r="C54" s="644" t="s">
        <v>135</v>
      </c>
      <c r="D54" s="645"/>
      <c r="E54" s="645"/>
      <c r="F54" s="645"/>
      <c r="G54" s="645"/>
      <c r="H54" s="645"/>
      <c r="I54" s="645"/>
      <c r="J54" s="645"/>
      <c r="K54" s="128" t="s">
        <v>136</v>
      </c>
    </row>
    <row r="55" spans="3:11" ht="17.5">
      <c r="C55" s="119" t="s">
        <v>122</v>
      </c>
      <c r="D55" s="120">
        <f>D48</f>
        <v>5</v>
      </c>
      <c r="E55" s="120">
        <f t="shared" ref="E55:J55" si="24">E48</f>
        <v>0</v>
      </c>
      <c r="F55" s="120">
        <f t="shared" si="24"/>
        <v>0</v>
      </c>
      <c r="G55" s="120">
        <f t="shared" si="24"/>
        <v>0</v>
      </c>
      <c r="H55" s="120">
        <f t="shared" si="24"/>
        <v>0</v>
      </c>
      <c r="I55" s="120">
        <f t="shared" si="24"/>
        <v>0</v>
      </c>
      <c r="J55" s="120">
        <f t="shared" si="24"/>
        <v>0</v>
      </c>
      <c r="K55" s="121">
        <f>SUM(D55:J55)</f>
        <v>5</v>
      </c>
    </row>
    <row r="56" spans="3:11" ht="17.5">
      <c r="C56" s="119" t="s">
        <v>133</v>
      </c>
      <c r="D56" s="120">
        <f>D51*2*D55</f>
        <v>2390</v>
      </c>
      <c r="E56" s="120">
        <f t="shared" ref="E56:J56" si="25">E51*2*E55</f>
        <v>0</v>
      </c>
      <c r="F56" s="120">
        <f t="shared" si="25"/>
        <v>0</v>
      </c>
      <c r="G56" s="120">
        <f t="shared" si="25"/>
        <v>0</v>
      </c>
      <c r="H56" s="120">
        <f t="shared" si="25"/>
        <v>0</v>
      </c>
      <c r="I56" s="120">
        <f t="shared" si="25"/>
        <v>0</v>
      </c>
      <c r="J56" s="120">
        <f t="shared" si="25"/>
        <v>0</v>
      </c>
      <c r="K56" s="129">
        <f t="shared" ref="K56" si="26">SUM(D56:J56)</f>
        <v>2390</v>
      </c>
    </row>
    <row r="57" spans="3:11" ht="17.5">
      <c r="C57" s="130" t="s">
        <v>134</v>
      </c>
      <c r="D57" s="161">
        <f>D52*2*D55</f>
        <v>1.25</v>
      </c>
      <c r="E57" s="131">
        <f t="shared" ref="E57:J57" si="27">E52*2*E55</f>
        <v>0</v>
      </c>
      <c r="F57" s="131">
        <f t="shared" si="27"/>
        <v>0</v>
      </c>
      <c r="G57" s="131">
        <f t="shared" si="27"/>
        <v>0</v>
      </c>
      <c r="H57" s="131">
        <f t="shared" si="27"/>
        <v>0</v>
      </c>
      <c r="I57" s="131">
        <f t="shared" si="27"/>
        <v>0</v>
      </c>
      <c r="J57" s="131">
        <f t="shared" si="27"/>
        <v>0</v>
      </c>
      <c r="K57" s="132">
        <f>SUM(D57:J57)</f>
        <v>1.25</v>
      </c>
    </row>
    <row r="58" spans="3:11" ht="18">
      <c r="C58" s="644" t="s">
        <v>137</v>
      </c>
      <c r="D58" s="645"/>
      <c r="E58" s="645"/>
      <c r="F58" s="645"/>
      <c r="G58" s="645"/>
      <c r="H58" s="645"/>
      <c r="I58" s="645"/>
      <c r="J58" s="645"/>
      <c r="K58" s="128" t="s">
        <v>136</v>
      </c>
    </row>
    <row r="59" spans="3:11" ht="17.5">
      <c r="C59" s="119" t="s">
        <v>122</v>
      </c>
      <c r="D59" s="120">
        <f>D49</f>
        <v>2</v>
      </c>
      <c r="E59" s="120">
        <f t="shared" ref="E59:J59" si="28">E49</f>
        <v>0</v>
      </c>
      <c r="F59" s="120">
        <f t="shared" si="28"/>
        <v>0</v>
      </c>
      <c r="G59" s="120">
        <f t="shared" si="28"/>
        <v>0</v>
      </c>
      <c r="H59" s="120">
        <f t="shared" si="28"/>
        <v>0</v>
      </c>
      <c r="I59" s="120">
        <f t="shared" si="28"/>
        <v>0</v>
      </c>
      <c r="J59" s="120">
        <f t="shared" si="28"/>
        <v>0</v>
      </c>
      <c r="K59" s="121">
        <f>SUM(D59:J59)</f>
        <v>2</v>
      </c>
    </row>
    <row r="60" spans="3:11" ht="17.5">
      <c r="C60" s="119" t="s">
        <v>133</v>
      </c>
      <c r="D60" s="120">
        <f>D51*2*D59</f>
        <v>956</v>
      </c>
      <c r="E60" s="120">
        <f t="shared" ref="E60:J60" si="29">E51*2*E59</f>
        <v>0</v>
      </c>
      <c r="F60" s="120">
        <f t="shared" si="29"/>
        <v>0</v>
      </c>
      <c r="G60" s="120">
        <f t="shared" si="29"/>
        <v>0</v>
      </c>
      <c r="H60" s="120">
        <f t="shared" si="29"/>
        <v>0</v>
      </c>
      <c r="I60" s="120">
        <f t="shared" si="29"/>
        <v>0</v>
      </c>
      <c r="J60" s="120">
        <f t="shared" si="29"/>
        <v>0</v>
      </c>
      <c r="K60" s="129">
        <f t="shared" ref="K60" si="30">SUM(D60:J60)</f>
        <v>956</v>
      </c>
    </row>
    <row r="61" spans="3:11" ht="17.5">
      <c r="C61" s="130" t="s">
        <v>134</v>
      </c>
      <c r="D61" s="161">
        <f>D52*2*D59</f>
        <v>0.5</v>
      </c>
      <c r="E61" s="131">
        <f t="shared" ref="E61:J61" si="31">E52*2*E59</f>
        <v>0</v>
      </c>
      <c r="F61" s="131">
        <f t="shared" si="31"/>
        <v>0</v>
      </c>
      <c r="G61" s="131">
        <f t="shared" si="31"/>
        <v>0</v>
      </c>
      <c r="H61" s="131">
        <f t="shared" si="31"/>
        <v>0</v>
      </c>
      <c r="I61" s="131">
        <f t="shared" si="31"/>
        <v>0</v>
      </c>
      <c r="J61" s="131">
        <f t="shared" si="31"/>
        <v>0</v>
      </c>
      <c r="K61" s="132">
        <f>SUM(D61:J61)</f>
        <v>0.5</v>
      </c>
    </row>
    <row r="62" spans="3:11" ht="18">
      <c r="C62" s="644" t="s">
        <v>138</v>
      </c>
      <c r="D62" s="645"/>
      <c r="E62" s="645"/>
      <c r="F62" s="645"/>
      <c r="G62" s="645"/>
      <c r="H62" s="645"/>
      <c r="I62" s="645"/>
      <c r="J62" s="645"/>
      <c r="K62" s="128" t="s">
        <v>77</v>
      </c>
    </row>
    <row r="63" spans="3:11" ht="17.5">
      <c r="C63" s="119" t="s">
        <v>122</v>
      </c>
      <c r="D63" s="120">
        <f>D55+D59</f>
        <v>7</v>
      </c>
      <c r="E63" s="120">
        <f t="shared" ref="E63:J63" si="32">E55+E59</f>
        <v>0</v>
      </c>
      <c r="F63" s="120">
        <f t="shared" si="32"/>
        <v>0</v>
      </c>
      <c r="G63" s="120">
        <f t="shared" si="32"/>
        <v>0</v>
      </c>
      <c r="H63" s="120">
        <f t="shared" si="32"/>
        <v>0</v>
      </c>
      <c r="I63" s="120">
        <f t="shared" si="32"/>
        <v>0</v>
      </c>
      <c r="J63" s="120">
        <f t="shared" si="32"/>
        <v>0</v>
      </c>
      <c r="K63" s="121">
        <f>SUM(D63:J63)</f>
        <v>7</v>
      </c>
    </row>
    <row r="64" spans="3:11" ht="17.5">
      <c r="C64" s="119" t="s">
        <v>133</v>
      </c>
      <c r="D64" s="120">
        <f>D56+D60</f>
        <v>3346</v>
      </c>
      <c r="E64" s="120">
        <f t="shared" ref="E64:J64" si="33">E56+E60</f>
        <v>0</v>
      </c>
      <c r="F64" s="120">
        <f t="shared" si="33"/>
        <v>0</v>
      </c>
      <c r="G64" s="120">
        <f t="shared" si="33"/>
        <v>0</v>
      </c>
      <c r="H64" s="120">
        <f t="shared" si="33"/>
        <v>0</v>
      </c>
      <c r="I64" s="120">
        <f t="shared" si="33"/>
        <v>0</v>
      </c>
      <c r="J64" s="120">
        <f t="shared" si="33"/>
        <v>0</v>
      </c>
      <c r="K64" s="129">
        <f t="shared" ref="K64" si="34">SUM(D64:J64)</f>
        <v>3346</v>
      </c>
    </row>
    <row r="65" spans="3:11" ht="17.5">
      <c r="C65" s="130" t="s">
        <v>134</v>
      </c>
      <c r="D65" s="161">
        <f>D57+D61</f>
        <v>1.75</v>
      </c>
      <c r="E65" s="131">
        <f t="shared" ref="E65:J65" si="35">E57+E61</f>
        <v>0</v>
      </c>
      <c r="F65" s="131">
        <f t="shared" si="35"/>
        <v>0</v>
      </c>
      <c r="G65" s="131">
        <f t="shared" si="35"/>
        <v>0</v>
      </c>
      <c r="H65" s="131">
        <f t="shared" si="35"/>
        <v>0</v>
      </c>
      <c r="I65" s="131">
        <f t="shared" si="35"/>
        <v>0</v>
      </c>
      <c r="J65" s="131">
        <f t="shared" si="35"/>
        <v>0</v>
      </c>
      <c r="K65" s="132">
        <f>SUM(D65:J65)</f>
        <v>1.75</v>
      </c>
    </row>
  </sheetData>
  <mergeCells count="13">
    <mergeCell ref="O4:U4"/>
    <mergeCell ref="C62:J62"/>
    <mergeCell ref="C37:J37"/>
    <mergeCell ref="C41:J41"/>
    <mergeCell ref="C46:K46"/>
    <mergeCell ref="C54:J54"/>
    <mergeCell ref="C58:J58"/>
    <mergeCell ref="C12:J12"/>
    <mergeCell ref="C16:J16"/>
    <mergeCell ref="C20:J20"/>
    <mergeCell ref="C25:K25"/>
    <mergeCell ref="C33:J33"/>
    <mergeCell ref="C4:K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Metadata/LabelInfo.xml><?xml version="1.0" encoding="utf-8"?>
<clbl:labelList xmlns:clbl="http://schemas.microsoft.com/office/2020/mipLabelMetadata">
  <clbl:label id="{6f49aa43-822a-4c20-9670-db7700bf1eb0}" enabled="0" method="" siteId="{6f49aa43-822a-4c20-9670-db7700bf1eb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2993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3</vt:i4>
      </vt:variant>
    </vt:vector>
  </HeadingPairs>
  <TitlesOfParts>
    <vt:vector size="16" baseType="lpstr">
      <vt:lpstr>Resumo</vt:lpstr>
      <vt:lpstr>Sintética</vt:lpstr>
      <vt:lpstr>Dem.Vnj.Rgm</vt:lpstr>
      <vt:lpstr>Dem.Anlt.Enc.Soc</vt:lpstr>
      <vt:lpstr>MO SINAPI</vt:lpstr>
      <vt:lpstr>BDI</vt:lpstr>
      <vt:lpstr>Análitica</vt:lpstr>
      <vt:lpstr>Plano Mnt Hh</vt:lpstr>
      <vt:lpstr>Deslocamentos</vt:lpstr>
      <vt:lpstr>Diárias</vt:lpstr>
      <vt:lpstr>Consumíveis</vt:lpstr>
      <vt:lpstr>Inspeção Predial</vt:lpstr>
      <vt:lpstr>Termografia</vt:lpstr>
      <vt:lpstr>Análitica!Area_de_impressao</vt:lpstr>
      <vt:lpstr>BDI!Area_de_impressao</vt:lpstr>
      <vt:lpstr>Dem.Vnj.Rgm!Area_de_impressao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Fernando da Silva</dc:creator>
  <cp:lastModifiedBy>Matheus Faria Perius</cp:lastModifiedBy>
  <cp:revision>107</cp:revision>
  <cp:lastPrinted>2024-10-18T17:06:52Z</cp:lastPrinted>
  <dcterms:created xsi:type="dcterms:W3CDTF">2009-04-16T11:32:48Z</dcterms:created>
  <dcterms:modified xsi:type="dcterms:W3CDTF">2026-01-26T12:16:30Z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