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rfbgov-my.sharepoint.com/personal/marcelo_nascimento_rfb_gov_br/Documents/ARQUIVOS/RFB/ENGENHARIA/Ponta Pora/Cercamento 2023 Projeto/Fiscaliz contrato/Projeto V3 final/Planilha custos/"/>
    </mc:Choice>
  </mc:AlternateContent>
  <xr:revisionPtr revIDLastSave="72" documentId="8_{4D1ACB25-C72A-4DEF-A40E-72996EED08DB}" xr6:coauthVersionLast="47" xr6:coauthVersionMax="47" xr10:uidLastSave="{DA1CE0AB-DF17-4629-A80E-065705A0F8A8}"/>
  <bookViews>
    <workbookView xWindow="28680" yWindow="-120" windowWidth="29040" windowHeight="15840" activeTab="5" xr2:uid="{00000000-000D-0000-FFFF-FFFF00000000}"/>
  </bookViews>
  <sheets>
    <sheet name="RESUMO" sheetId="6" r:id="rId1"/>
    <sheet name="ORÇAMENTO" sheetId="2" r:id="rId2"/>
    <sheet name="Memória de Cálculo" sheetId="4" r:id="rId3"/>
    <sheet name="CURVA ABC - SERVIÇOS" sheetId="10" r:id="rId4"/>
    <sheet name="CURVA ABC - INSUMOS" sheetId="13" r:id="rId5"/>
    <sheet name="CRONOGRAMA" sheetId="8" r:id="rId6"/>
    <sheet name="BDI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3" l="1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H43" i="13"/>
  <c r="H44" i="13"/>
  <c r="H45" i="13"/>
  <c r="H46" i="13"/>
  <c r="H47" i="13"/>
  <c r="H48" i="13"/>
  <c r="H49" i="13"/>
  <c r="H50" i="13"/>
  <c r="H51" i="13"/>
  <c r="H52" i="13"/>
  <c r="H53" i="13"/>
  <c r="H54" i="13"/>
  <c r="H55" i="13"/>
  <c r="H56" i="13"/>
  <c r="H57" i="13"/>
  <c r="H58" i="13"/>
  <c r="H59" i="13"/>
  <c r="H60" i="13"/>
  <c r="H61" i="13"/>
  <c r="H62" i="13"/>
  <c r="H63" i="13"/>
  <c r="H64" i="13"/>
  <c r="H65" i="13"/>
  <c r="H66" i="13"/>
  <c r="H67" i="13"/>
  <c r="H68" i="13"/>
  <c r="H69" i="13"/>
  <c r="H70" i="13"/>
  <c r="H71" i="13"/>
  <c r="H72" i="13"/>
  <c r="H73" i="13"/>
  <c r="H74" i="13"/>
  <c r="H75" i="13"/>
  <c r="H76" i="13"/>
  <c r="H4" i="13"/>
  <c r="H6" i="2"/>
  <c r="H7" i="2"/>
  <c r="H8" i="2"/>
  <c r="H9" i="2"/>
  <c r="H10" i="2"/>
  <c r="H12" i="2"/>
  <c r="H13" i="2"/>
  <c r="H14" i="2"/>
  <c r="H16" i="2"/>
  <c r="H17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3" i="2"/>
  <c r="H35" i="2"/>
  <c r="H36" i="2"/>
  <c r="H38" i="2"/>
  <c r="H39" i="2"/>
  <c r="H40" i="2"/>
  <c r="H5" i="2"/>
  <c r="F10" i="13" l="1"/>
  <c r="F21" i="13"/>
  <c r="F8" i="13"/>
  <c r="F16" i="13"/>
  <c r="F62" i="13"/>
  <c r="F57" i="13"/>
  <c r="F76" i="13"/>
  <c r="F72" i="13"/>
  <c r="F59" i="13"/>
  <c r="F6" i="13"/>
  <c r="F5" i="13"/>
  <c r="F23" i="13"/>
  <c r="F32" i="13"/>
  <c r="F30" i="13"/>
  <c r="F38" i="13"/>
  <c r="F67" i="13"/>
  <c r="F46" i="13"/>
  <c r="F26" i="13"/>
  <c r="F39" i="13"/>
  <c r="F52" i="13"/>
  <c r="F42" i="13"/>
  <c r="F69" i="13"/>
  <c r="F44" i="13"/>
  <c r="F51" i="13"/>
  <c r="F64" i="13"/>
  <c r="I37" i="13"/>
  <c r="I15" i="13"/>
  <c r="F14" i="13"/>
  <c r="F43" i="13"/>
  <c r="F28" i="13"/>
  <c r="F20" i="13"/>
  <c r="F31" i="13"/>
  <c r="F9" i="13"/>
  <c r="F68" i="13"/>
  <c r="F56" i="13"/>
  <c r="F40" i="13"/>
  <c r="F24" i="13"/>
  <c r="F17" i="13"/>
  <c r="F29" i="13"/>
  <c r="F12" i="13"/>
  <c r="F7" i="13"/>
  <c r="I11" i="13"/>
  <c r="F58" i="13"/>
  <c r="F70" i="13"/>
  <c r="F45" i="13"/>
  <c r="F71" i="13"/>
  <c r="F54" i="13"/>
  <c r="F48" i="13"/>
  <c r="F41" i="13"/>
  <c r="F35" i="13"/>
  <c r="F34" i="13"/>
  <c r="F50" i="13"/>
  <c r="F66" i="13"/>
  <c r="F27" i="13"/>
  <c r="F49" i="13"/>
  <c r="F25" i="13"/>
  <c r="F22" i="13"/>
  <c r="F13" i="13"/>
  <c r="I53" i="13"/>
  <c r="I47" i="13"/>
  <c r="I65" i="13"/>
  <c r="I18" i="13"/>
  <c r="I55" i="13"/>
  <c r="I63" i="13"/>
  <c r="I75" i="13"/>
  <c r="I19" i="13"/>
  <c r="F61" i="13"/>
  <c r="F74" i="13"/>
  <c r="F73" i="13"/>
  <c r="I36" i="13"/>
  <c r="F60" i="13"/>
  <c r="F33" i="13"/>
  <c r="I16" i="13" l="1"/>
  <c r="I32" i="13"/>
  <c r="I39" i="13"/>
  <c r="I38" i="13"/>
  <c r="I76" i="13"/>
  <c r="I26" i="13"/>
  <c r="I62" i="13"/>
  <c r="I46" i="13"/>
  <c r="I67" i="13"/>
  <c r="I8" i="13"/>
  <c r="I21" i="13"/>
  <c r="I5" i="13"/>
  <c r="I72" i="13"/>
  <c r="I69" i="13"/>
  <c r="I30" i="13"/>
  <c r="I10" i="13"/>
  <c r="I23" i="13"/>
  <c r="I52" i="13"/>
  <c r="I6" i="13"/>
  <c r="I42" i="13"/>
  <c r="I59" i="13"/>
  <c r="I57" i="13"/>
  <c r="I71" i="13"/>
  <c r="I44" i="13"/>
  <c r="I43" i="13"/>
  <c r="I13" i="13"/>
  <c r="I49" i="13"/>
  <c r="I34" i="13"/>
  <c r="I58" i="13"/>
  <c r="I29" i="13"/>
  <c r="I4" i="13"/>
  <c r="I35" i="13"/>
  <c r="I45" i="13"/>
  <c r="I17" i="13"/>
  <c r="I56" i="13"/>
  <c r="I33" i="13"/>
  <c r="I73" i="13"/>
  <c r="I28" i="13"/>
  <c r="I74" i="13"/>
  <c r="I66" i="13"/>
  <c r="I25" i="13"/>
  <c r="I50" i="13"/>
  <c r="I54" i="13"/>
  <c r="I70" i="13"/>
  <c r="I40" i="13"/>
  <c r="I14" i="13"/>
  <c r="I60" i="13"/>
  <c r="I68" i="13"/>
  <c r="I24" i="13"/>
  <c r="I61" i="13"/>
  <c r="I27" i="13"/>
  <c r="I41" i="13"/>
  <c r="I7" i="13"/>
  <c r="I9" i="13"/>
  <c r="I64" i="13"/>
  <c r="I22" i="13"/>
  <c r="I48" i="13"/>
  <c r="I31" i="13"/>
  <c r="I51" i="13"/>
  <c r="I12" i="13"/>
  <c r="I20" i="13"/>
  <c r="F22" i="10"/>
  <c r="H23" i="10"/>
  <c r="I23" i="10" s="1"/>
  <c r="H26" i="10"/>
  <c r="I26" i="10" s="1"/>
  <c r="H28" i="10"/>
  <c r="I28" i="10" s="1"/>
  <c r="H20" i="10"/>
  <c r="I20" i="10" s="1"/>
  <c r="H17" i="10"/>
  <c r="I17" i="10" s="1"/>
  <c r="H6" i="10"/>
  <c r="H33" i="10"/>
  <c r="H25" i="10"/>
  <c r="H29" i="10"/>
  <c r="H27" i="10"/>
  <c r="H30" i="10"/>
  <c r="H18" i="10"/>
  <c r="H14" i="10"/>
  <c r="H7" i="10"/>
  <c r="H31" i="10"/>
  <c r="H11" i="10"/>
  <c r="H19" i="10"/>
  <c r="H24" i="10"/>
  <c r="H15" i="10"/>
  <c r="H5" i="10"/>
  <c r="H12" i="10"/>
  <c r="H13" i="10"/>
  <c r="H21" i="10"/>
  <c r="H9" i="10"/>
  <c r="H4" i="10"/>
  <c r="H8" i="10"/>
  <c r="H16" i="10"/>
  <c r="I16" i="10" s="1"/>
  <c r="H10" i="10"/>
  <c r="H32" i="10"/>
  <c r="H22" i="10"/>
  <c r="F32" i="10"/>
  <c r="F10" i="10"/>
  <c r="F8" i="10"/>
  <c r="F4" i="10"/>
  <c r="F9" i="10"/>
  <c r="F13" i="10"/>
  <c r="F12" i="10"/>
  <c r="F5" i="10"/>
  <c r="F15" i="10"/>
  <c r="F24" i="10"/>
  <c r="F19" i="10"/>
  <c r="F11" i="10"/>
  <c r="F31" i="10"/>
  <c r="F7" i="10"/>
  <c r="F14" i="10"/>
  <c r="F18" i="10"/>
  <c r="F30" i="10"/>
  <c r="F29" i="10"/>
  <c r="F25" i="10"/>
  <c r="F33" i="10"/>
  <c r="F6" i="10"/>
  <c r="H42" i="2"/>
  <c r="C15" i="7"/>
  <c r="C8" i="7"/>
  <c r="I78" i="13" l="1"/>
  <c r="I22" i="10"/>
  <c r="I7" i="10"/>
  <c r="I21" i="10"/>
  <c r="I24" i="10"/>
  <c r="I12" i="10"/>
  <c r="I8" i="10"/>
  <c r="I6" i="10"/>
  <c r="I18" i="10"/>
  <c r="I11" i="10"/>
  <c r="I5" i="10"/>
  <c r="I30" i="10"/>
  <c r="I31" i="10"/>
  <c r="I15" i="10"/>
  <c r="I10" i="10"/>
  <c r="I33" i="10"/>
  <c r="I9" i="10"/>
  <c r="I25" i="10"/>
  <c r="I32" i="10"/>
  <c r="I14" i="10"/>
  <c r="I27" i="10"/>
  <c r="I19" i="10"/>
  <c r="I4" i="10"/>
  <c r="I13" i="10"/>
  <c r="I29" i="10"/>
  <c r="H18" i="8"/>
  <c r="H16" i="8"/>
  <c r="H14" i="8"/>
  <c r="H12" i="8"/>
  <c r="H10" i="8"/>
  <c r="H4" i="8"/>
  <c r="F40" i="2"/>
  <c r="A86" i="4"/>
  <c r="B86" i="4"/>
  <c r="F39" i="2"/>
  <c r="B11" i="6"/>
  <c r="B18" i="8" s="1"/>
  <c r="B10" i="6"/>
  <c r="B16" i="8" s="1"/>
  <c r="A11" i="6"/>
  <c r="A10" i="6"/>
  <c r="I35" i="10" l="1"/>
  <c r="J14" i="10" s="1"/>
  <c r="I40" i="2"/>
  <c r="J33" i="10" l="1"/>
  <c r="J29" i="10"/>
  <c r="J11" i="10"/>
  <c r="J15" i="10"/>
  <c r="J12" i="10"/>
  <c r="J9" i="10"/>
  <c r="J19" i="10"/>
  <c r="J25" i="10"/>
  <c r="J22" i="10"/>
  <c r="J23" i="10"/>
  <c r="J28" i="10"/>
  <c r="J16" i="10"/>
  <c r="J20" i="10"/>
  <c r="J26" i="10"/>
  <c r="J17" i="10"/>
  <c r="J10" i="10"/>
  <c r="J7" i="10"/>
  <c r="J5" i="10"/>
  <c r="J21" i="10"/>
  <c r="J4" i="10"/>
  <c r="K4" i="10" s="1"/>
  <c r="J32" i="10"/>
  <c r="J30" i="10"/>
  <c r="J6" i="10"/>
  <c r="J24" i="10"/>
  <c r="J13" i="10"/>
  <c r="J27" i="10"/>
  <c r="J31" i="10"/>
  <c r="J18" i="10"/>
  <c r="J8" i="10"/>
  <c r="F42" i="2"/>
  <c r="K5" i="10" l="1"/>
  <c r="K6" i="10" s="1"/>
  <c r="K7" i="10" s="1"/>
  <c r="K8" i="10" s="1"/>
  <c r="K9" i="10" s="1"/>
  <c r="K10" i="10" s="1"/>
  <c r="K11" i="10" s="1"/>
  <c r="K12" i="10" s="1"/>
  <c r="K13" i="10" s="1"/>
  <c r="K14" i="10" s="1"/>
  <c r="K15" i="10" s="1"/>
  <c r="K16" i="10" s="1"/>
  <c r="K17" i="10" s="1"/>
  <c r="K18" i="10" s="1"/>
  <c r="K19" i="10" s="1"/>
  <c r="K20" i="10" s="1"/>
  <c r="K21" i="10" s="1"/>
  <c r="K22" i="10" s="1"/>
  <c r="K23" i="10" s="1"/>
  <c r="K24" i="10" s="1"/>
  <c r="K25" i="10" s="1"/>
  <c r="K26" i="10" s="1"/>
  <c r="K27" i="10" s="1"/>
  <c r="K28" i="10" s="1"/>
  <c r="K29" i="10" s="1"/>
  <c r="K30" i="10" s="1"/>
  <c r="K31" i="10" s="1"/>
  <c r="K32" i="10" s="1"/>
  <c r="K33" i="10" s="1"/>
  <c r="I42" i="2"/>
  <c r="C11" i="6" s="1"/>
  <c r="C18" i="8" s="1"/>
  <c r="G19" i="8" s="1"/>
  <c r="H19" i="8" s="1"/>
  <c r="C23" i="7"/>
  <c r="D23" i="7" s="1"/>
  <c r="D22" i="7"/>
  <c r="D21" i="7"/>
  <c r="D20" i="7"/>
  <c r="D19" i="7"/>
  <c r="D15" i="7"/>
  <c r="D14" i="7"/>
  <c r="D13" i="7"/>
  <c r="D12" i="7"/>
  <c r="D7" i="7"/>
  <c r="D6" i="7"/>
  <c r="D25" i="7" l="1"/>
  <c r="A9" i="6"/>
  <c r="A8" i="6"/>
  <c r="B9" i="6"/>
  <c r="B14" i="8" s="1"/>
  <c r="B8" i="6"/>
  <c r="B12" i="8" s="1"/>
  <c r="A7" i="6"/>
  <c r="A6" i="6"/>
  <c r="A5" i="6"/>
  <c r="B7" i="6"/>
  <c r="B10" i="8" s="1"/>
  <c r="B6" i="6"/>
  <c r="B8" i="8" s="1"/>
  <c r="B5" i="6"/>
  <c r="B6" i="8" s="1"/>
  <c r="A4" i="6"/>
  <c r="B4" i="6"/>
  <c r="B4" i="8" s="1"/>
  <c r="F28" i="2" l="1"/>
  <c r="F22" i="2"/>
  <c r="F23" i="2"/>
  <c r="F24" i="2" l="1"/>
  <c r="F29" i="2"/>
  <c r="F30" i="2"/>
  <c r="F36" i="2"/>
  <c r="F35" i="2"/>
  <c r="I36" i="2" l="1"/>
  <c r="I39" i="2"/>
  <c r="I10" i="2"/>
  <c r="I9" i="2"/>
  <c r="I8" i="2"/>
  <c r="F33" i="2" l="1"/>
  <c r="I28" i="2"/>
  <c r="F27" i="2"/>
  <c r="F26" i="2"/>
  <c r="F25" i="2" l="1"/>
  <c r="F21" i="2" l="1"/>
  <c r="F19" i="2" l="1"/>
  <c r="F5" i="2"/>
  <c r="I6" i="2" l="1"/>
  <c r="I7" i="2"/>
  <c r="I19" i="2"/>
  <c r="I21" i="2"/>
  <c r="I22" i="2"/>
  <c r="I23" i="2"/>
  <c r="I24" i="2"/>
  <c r="I25" i="2"/>
  <c r="I26" i="2"/>
  <c r="I27" i="2"/>
  <c r="I29" i="2"/>
  <c r="I30" i="2"/>
  <c r="I33" i="2"/>
  <c r="C8" i="6" s="1"/>
  <c r="C12" i="8" s="1"/>
  <c r="E13" i="8" s="1"/>
  <c r="H13" i="8" s="1"/>
  <c r="I35" i="2"/>
  <c r="I38" i="2"/>
  <c r="C10" i="6" s="1"/>
  <c r="C16" i="8" s="1"/>
  <c r="G17" i="8" s="1"/>
  <c r="H17" i="8" s="1"/>
  <c r="I5" i="2"/>
  <c r="F20" i="2"/>
  <c r="F16" i="2"/>
  <c r="F17" i="2" s="1"/>
  <c r="F14" i="2"/>
  <c r="F13" i="2"/>
  <c r="F12" i="2"/>
  <c r="F31" i="2"/>
  <c r="I17" i="2" l="1"/>
  <c r="I31" i="2"/>
  <c r="I12" i="2"/>
  <c r="I20" i="2"/>
  <c r="C9" i="6"/>
  <c r="C14" i="8" s="1"/>
  <c r="I13" i="2"/>
  <c r="I14" i="2"/>
  <c r="I16" i="2"/>
  <c r="C4" i="6"/>
  <c r="C7" i="6" l="1"/>
  <c r="C10" i="8" s="1"/>
  <c r="G11" i="8" s="1"/>
  <c r="C6" i="6"/>
  <c r="C8" i="8" s="1"/>
  <c r="D9" i="8" s="1"/>
  <c r="H9" i="8" s="1"/>
  <c r="E15" i="8"/>
  <c r="F15" i="8"/>
  <c r="G15" i="8"/>
  <c r="C5" i="6"/>
  <c r="C6" i="8" s="1"/>
  <c r="C4" i="8"/>
  <c r="I44" i="2"/>
  <c r="E7" i="8" l="1"/>
  <c r="F11" i="8"/>
  <c r="E11" i="8"/>
  <c r="D11" i="8"/>
  <c r="I80" i="13"/>
  <c r="J36" i="13"/>
  <c r="J65" i="13"/>
  <c r="J55" i="13"/>
  <c r="J47" i="13"/>
  <c r="J18" i="13"/>
  <c r="J19" i="13"/>
  <c r="J15" i="13"/>
  <c r="J63" i="13"/>
  <c r="J53" i="13"/>
  <c r="J11" i="13"/>
  <c r="J37" i="13"/>
  <c r="J75" i="13"/>
  <c r="J58" i="13"/>
  <c r="J31" i="13"/>
  <c r="J24" i="13"/>
  <c r="J57" i="13"/>
  <c r="J68" i="13"/>
  <c r="J73" i="13"/>
  <c r="J60" i="13"/>
  <c r="J28" i="13"/>
  <c r="J26" i="13"/>
  <c r="J25" i="13"/>
  <c r="J66" i="13"/>
  <c r="J29" i="13"/>
  <c r="J45" i="13"/>
  <c r="J70" i="13"/>
  <c r="J34" i="13"/>
  <c r="J17" i="13"/>
  <c r="J43" i="13"/>
  <c r="J72" i="13"/>
  <c r="J44" i="13"/>
  <c r="J59" i="13"/>
  <c r="J71" i="13"/>
  <c r="J62" i="13"/>
  <c r="J54" i="13"/>
  <c r="J6" i="13"/>
  <c r="J8" i="13"/>
  <c r="J49" i="13"/>
  <c r="J56" i="13"/>
  <c r="J46" i="13"/>
  <c r="J42" i="13"/>
  <c r="J32" i="13"/>
  <c r="J21" i="13"/>
  <c r="J38" i="13"/>
  <c r="J7" i="13"/>
  <c r="J48" i="13"/>
  <c r="J22" i="13"/>
  <c r="J64" i="13"/>
  <c r="J61" i="13"/>
  <c r="J74" i="13"/>
  <c r="J50" i="13"/>
  <c r="J33" i="13"/>
  <c r="J4" i="13"/>
  <c r="K4" i="13" s="1"/>
  <c r="J76" i="13"/>
  <c r="J13" i="13"/>
  <c r="J52" i="13"/>
  <c r="J51" i="13"/>
  <c r="J23" i="13"/>
  <c r="J27" i="13"/>
  <c r="J10" i="13"/>
  <c r="J67" i="13"/>
  <c r="J39" i="13"/>
  <c r="J16" i="13"/>
  <c r="J9" i="13"/>
  <c r="J5" i="13"/>
  <c r="J40" i="13"/>
  <c r="J20" i="13"/>
  <c r="J14" i="13"/>
  <c r="J12" i="13"/>
  <c r="J69" i="13"/>
  <c r="J41" i="13"/>
  <c r="J35" i="13"/>
  <c r="J30" i="13"/>
  <c r="C20" i="8"/>
  <c r="C12" i="6"/>
  <c r="H15" i="8"/>
  <c r="D7" i="8"/>
  <c r="E5" i="8"/>
  <c r="F5" i="8"/>
  <c r="G5" i="8"/>
  <c r="G20" i="8" s="1"/>
  <c r="D5" i="8"/>
  <c r="E20" i="8" l="1"/>
  <c r="H7" i="8"/>
  <c r="H11" i="8"/>
  <c r="F20" i="8"/>
  <c r="K5" i="13"/>
  <c r="K6" i="13" s="1"/>
  <c r="K7" i="13" s="1"/>
  <c r="K8" i="13" s="1"/>
  <c r="K9" i="13" s="1"/>
  <c r="K10" i="13" s="1"/>
  <c r="K11" i="13" s="1"/>
  <c r="K12" i="13" s="1"/>
  <c r="K13" i="13" s="1"/>
  <c r="K14" i="13" s="1"/>
  <c r="K15" i="13" s="1"/>
  <c r="K16" i="13" s="1"/>
  <c r="K17" i="13" s="1"/>
  <c r="K18" i="13" s="1"/>
  <c r="K19" i="13" s="1"/>
  <c r="K20" i="13" s="1"/>
  <c r="K21" i="13" s="1"/>
  <c r="K22" i="13" s="1"/>
  <c r="K23" i="13" s="1"/>
  <c r="K24" i="13" s="1"/>
  <c r="K25" i="13" s="1"/>
  <c r="K26" i="13" s="1"/>
  <c r="K27" i="13" s="1"/>
  <c r="K28" i="13" s="1"/>
  <c r="K29" i="13" s="1"/>
  <c r="K30" i="13" s="1"/>
  <c r="K31" i="13" s="1"/>
  <c r="K32" i="13" s="1"/>
  <c r="K33" i="13" s="1"/>
  <c r="K34" i="13" s="1"/>
  <c r="K35" i="13" s="1"/>
  <c r="K36" i="13" s="1"/>
  <c r="K37" i="13" s="1"/>
  <c r="K38" i="13" s="1"/>
  <c r="K39" i="13" s="1"/>
  <c r="K40" i="13" s="1"/>
  <c r="K41" i="13" s="1"/>
  <c r="K42" i="13" s="1"/>
  <c r="K43" i="13" s="1"/>
  <c r="K44" i="13" s="1"/>
  <c r="K45" i="13" s="1"/>
  <c r="K46" i="13" s="1"/>
  <c r="K47" i="13" s="1"/>
  <c r="K48" i="13" s="1"/>
  <c r="K49" i="13" s="1"/>
  <c r="K50" i="13" s="1"/>
  <c r="K51" i="13" s="1"/>
  <c r="K52" i="13" s="1"/>
  <c r="K53" i="13" s="1"/>
  <c r="K54" i="13" s="1"/>
  <c r="K55" i="13" s="1"/>
  <c r="K56" i="13" s="1"/>
  <c r="K57" i="13" s="1"/>
  <c r="K58" i="13" s="1"/>
  <c r="K59" i="13" s="1"/>
  <c r="K60" i="13" s="1"/>
  <c r="K61" i="13" s="1"/>
  <c r="K62" i="13" s="1"/>
  <c r="K63" i="13" s="1"/>
  <c r="K64" i="13" s="1"/>
  <c r="K65" i="13" s="1"/>
  <c r="K66" i="13" s="1"/>
  <c r="K67" i="13" s="1"/>
  <c r="K68" i="13" s="1"/>
  <c r="K69" i="13" s="1"/>
  <c r="K70" i="13" s="1"/>
  <c r="K71" i="13" s="1"/>
  <c r="K72" i="13" s="1"/>
  <c r="K73" i="13" s="1"/>
  <c r="K74" i="13" s="1"/>
  <c r="K75" i="13" s="1"/>
  <c r="K76" i="13" s="1"/>
  <c r="J80" i="13"/>
  <c r="I79" i="13"/>
  <c r="J79" i="13" s="1"/>
  <c r="D20" i="8"/>
  <c r="D21" i="8" s="1"/>
  <c r="H5" i="8"/>
  <c r="E21" i="8" l="1"/>
  <c r="F21" i="8" s="1"/>
  <c r="G21" i="8" s="1"/>
  <c r="H20" i="8"/>
</calcChain>
</file>

<file path=xl/sharedStrings.xml><?xml version="1.0" encoding="utf-8"?>
<sst xmlns="http://schemas.openxmlformats.org/spreadsheetml/2006/main" count="857" uniqueCount="275">
  <si>
    <t>ITEM</t>
  </si>
  <si>
    <t>CÓDIGO</t>
  </si>
  <si>
    <t>SERVIÇOS</t>
  </si>
  <si>
    <t>UNID</t>
  </si>
  <si>
    <t>QUANT</t>
  </si>
  <si>
    <t>PREÇO TOTAL (R$)</t>
  </si>
  <si>
    <t>SERVIÇOS INICIAIS</t>
  </si>
  <si>
    <t>REVOLVIMENTO E LIMPEZA MANUAL DE SOLO. AF_05/2018</t>
  </si>
  <si>
    <t>m²</t>
  </si>
  <si>
    <t>EXECUÇÃO DE ESCRITÓRIO EM CANTEIRO DE OBRA EM CHAPA DE MADEIRA COMPENSADA, NÃO INCLUSO MOBILIÁRIO E EQUIPAMENTOS. AF_02/2016</t>
  </si>
  <si>
    <t>EXECUÇÃO DE CENTRAL DE ARMADURA EM CANTEIRO DE OBRA, NÃO INCLUSO MOBILIÁRIO E EQUIPAMENTOS. AF_04/2016</t>
  </si>
  <si>
    <t>FUNDAÇÃO</t>
  </si>
  <si>
    <t>ESTACA ESCAVADA MECANICAMENTE, SEM FLUIDO ESTABILIZANTE, COM 25CM DE DIÂMETRO, CONCRETO LANÇADO MANUALMENTE (EXCLUSIVE MOBILIZAÇÃO E DESMOBILIZAÇÃO). AF_01/2020_PA</t>
  </si>
  <si>
    <t>m</t>
  </si>
  <si>
    <t>LASTRO COM MATERIAL GRANULAR, APLICADO EM BLOCOS DE COROAMENTO, ESPESSURA DE *5 CM*. AF_08/2017</t>
  </si>
  <si>
    <t>m³</t>
  </si>
  <si>
    <t>ARRASAMENTO MECANICO DE ESTACA DE CONCRETO ARMADO, DIÂMETROS ATÉ 40 CM. AF_05/2021</t>
  </si>
  <si>
    <t>UN</t>
  </si>
  <si>
    <t>SERVIÇOS EM TERRA</t>
  </si>
  <si>
    <t>ESCAVAÇÃO MECANIZADA DE VALA COM PROF. ATÉ 1,5M (MÉDIA MONTANTE E JUSANTE/UMA COMPOSIÇÃO POR TRECHO, RETROESCAV. (0,26 M3), LARG. MENOR QUE 0,8 M, EM SOLO DE 1A CATEGORIA, EM LOCAIS COM BAIXO NÍVEL DE INTERFERÊNCIA. AF_02/2021</t>
  </si>
  <si>
    <t>REATERRO MANUAL DE VALAS COM COMPACTAÇÃO MECANIZADA. AF_04/2016</t>
  </si>
  <si>
    <t>ESTRUTURA DE CONCRETO</t>
  </si>
  <si>
    <t>FABRICAÇÃO, MONTAGEM E DESMONTAGEM DE FÔRMA PARA BLOCO DE COROAMENTO, EM MADEIRA SERRADA, E=25MM, 4 UTILIZAÇÕES. AF_06/2017</t>
  </si>
  <si>
    <t>FABRICAÇÃO, MONTAGEM E DESMONTAGEM DE FÔRMA PARA VIGA BALDRAME, EM MADEIRA SERRADA, E=25MM, 4 UTILIZAÇÕES. AF_06/2017</t>
  </si>
  <si>
    <t>ARMAÇÃO DE BLOCO, VIGA BALDRAME E SAPATA UTILIZANDO AÇO CA-60 DE 5 MM - MONTAGEM. F_06/2017</t>
  </si>
  <si>
    <t>kg</t>
  </si>
  <si>
    <t>ARMAÇÃO DE BLOCO, VIGA BALDRAME OU SAPATA UTILIZANDO AÇO CA-50 DE 8 MM - MONTAGEM. AF_06/2017</t>
  </si>
  <si>
    <t>LASTRO COM MATERIAL GRANULAR, APLICADO EM PISOS OU LAJES SOBRE SOLO, ESPESSURA DE *5 CM*. AF_08/2017</t>
  </si>
  <si>
    <t>IMPERMEABILIZAÇÃO</t>
  </si>
  <si>
    <t>IMPERMEABILIZAÇÃO DE SUPERFÍCIE COM EMULSÃO ASFÁLTICA, 2 DEMÃOS AF_06/2018</t>
  </si>
  <si>
    <t>5.0</t>
  </si>
  <si>
    <t>5.1</t>
  </si>
  <si>
    <t>1.0</t>
  </si>
  <si>
    <t>1.1</t>
  </si>
  <si>
    <t>1.2</t>
  </si>
  <si>
    <t>1.3</t>
  </si>
  <si>
    <t>2.0</t>
  </si>
  <si>
    <t>2.1</t>
  </si>
  <si>
    <t>2.2</t>
  </si>
  <si>
    <t>2.3</t>
  </si>
  <si>
    <t>3.0</t>
  </si>
  <si>
    <t>3.1</t>
  </si>
  <si>
    <t>3.2</t>
  </si>
  <si>
    <t>4.0</t>
  </si>
  <si>
    <t>4.1</t>
  </si>
  <si>
    <t>4.2</t>
  </si>
  <si>
    <t>4.3</t>
  </si>
  <si>
    <t>4.4</t>
  </si>
  <si>
    <t>4.5</t>
  </si>
  <si>
    <t>6.1</t>
  </si>
  <si>
    <t>ALVENARIA DE VEDAÇÃO DE BLOCOS VAZADOS DE CONCRETO DE 19X19X39 CM (ESPESSURA 19 CM) E ARGAMASSA DE ASSENTAMENTO COM PREPARO EM BETONEIRA. AF_12/2021</t>
  </si>
  <si>
    <t>ALVENARIA</t>
  </si>
  <si>
    <t>6.0</t>
  </si>
  <si>
    <t>6.2</t>
  </si>
  <si>
    <t>ARMAÇÃO DE VERGA E CONTRAVERGA DE ALVENARIA ESTRUTURAL; DIÂMETRO DE 8,0 MM. AF_09/2021</t>
  </si>
  <si>
    <t>ARMAÇÃO VERTICAL DE ALVENARIA ESTRUTURAL; DIÂMETRO DE 10,0 MM. AF_09/2021</t>
  </si>
  <si>
    <t>ARMAÇÃO DE PILAR OU VIGA DE ESTRUTURA CONVENCIONAL DE CONCRETO ARMADO UTILIZANDO AÇO CA-60 DE 5,0 MM - MONTAGEM. AF_06/2022</t>
  </si>
  <si>
    <t>ARMAÇÃO DE PILAR OU VIGA DE ESTRUTURA CONVENCIONAL DE CONCRETO ARMADO UTILIZANDO AÇO CA-50 DE 8,0 MM - MONTAGEM. AF_06/2022</t>
  </si>
  <si>
    <t>4.6</t>
  </si>
  <si>
    <t>4.8</t>
  </si>
  <si>
    <t>4.7</t>
  </si>
  <si>
    <t>4.9</t>
  </si>
  <si>
    <t>4.10</t>
  </si>
  <si>
    <t>4.11</t>
  </si>
  <si>
    <t>4.12</t>
  </si>
  <si>
    <t>PREÇO UNIT. COM BDI (R$)</t>
  </si>
  <si>
    <t>CUSTO UNITÁRIO (R$)</t>
  </si>
  <si>
    <t xml:space="preserve">2,00 [m] x 4,00 [m] = 8,00 [m²] </t>
  </si>
  <si>
    <t>3,00 [m] x 4,00 [m] = 12,00 [m²]</t>
  </si>
  <si>
    <t>376 x 2,50 [m] = 940,00 [m] | quantidade de estacas x profundidade = quantidade linear escavada</t>
  </si>
  <si>
    <t>95 x 0,05 [m] x 0,60 [m] x 0,60 [m] = 1,71 [m³] | quantidade de blocos x espessura camada x largura x comprimento bloco = volume lastro</t>
  </si>
  <si>
    <t>376 | quantidade de estacas</t>
  </si>
  <si>
    <t>1125,00 [m] x 0,35 [m] x 0,60 [m] = 236,25 [m³] | perímetro x profundidade escavada x largura escavação = volume escavado</t>
  </si>
  <si>
    <t>236,25 [m³] - (1125,00 [m] x 0,35 [m] x 0,25 [m]) =  137,81 [m³] | volume escavado - volume à ser concretado do baldrame = volume à ser reaterrado</t>
  </si>
  <si>
    <t>95 x 0,40 [m] x 4 x (0,60 [m]) / 4 = 22,80 [m³] | quantidade de blocos x altura blocos x quantidade faces bloco x comprimento face / quantidade utilizações</t>
  </si>
  <si>
    <t>(1125 [m] - (95 x 0,60 [m])) x 0,40 [m] x 2 / 4 = 213,60 [m²] | (comprimento linear muro - blocos) x altura viga baldrame x 2 faces laterais / quantidade utilizações</t>
  </si>
  <si>
    <t>1,20 [m] x 0,154 [kg/m] x 76 x 95 x 1,10 = 1467,69 [kg] | comprimento estribo x massa linear Ø5 unitária x 76 estribos por trecho x 95 trechos + 10% perdas</t>
  </si>
  <si>
    <t>(1125,00 [m] x (95 x 0,60 [m])) x (0,05 [m] x 0,25 [m]) = 13,35 [m³] | comprimento linear baldrames - transpasse blocos x espessura camada x largura baldrame</t>
  </si>
  <si>
    <t>2 x 12,00 [m] x 0,395 [kg/m] x 95 x 1,10 = 990,66 [kg] | número de barras x comprimento trecho x massa linear Ø8 x quantidade de trechos + 10% de perdas</t>
  </si>
  <si>
    <t>CONCRETAGEM DE BLOCOS DE COROAMENTO E VIGAS BALDRAME, FCK 30 MPA, COM USO DE JERICA LANÇAMENTO, ADENSAMENTO E ACABAMENTO. AF_06/2017</t>
  </si>
  <si>
    <t>4.13</t>
  </si>
  <si>
    <t>95 x (4 x 0,60 [m] x 0,40 [m] +0,60 [m] * 0,60 [m]) = 125,4 [m²] | quantidade blocos x  (área 4 faces laterais + área superior bloco) = superfície total blocos</t>
  </si>
  <si>
    <t>1125,00 [m] -(95 x 0,60 [m]) x (0,25 [m] +0,40 [m] + 0,40 [m]) = 1121,40 [m²] | comprimento linear baldrame - blocos x face superior+laterais = superfície baldrame</t>
  </si>
  <si>
    <t>1.4</t>
  </si>
  <si>
    <t>FORNECIMENTO E INSTALAÇÃO DE PLACA DE OBRA COM CHAPA GALVANIZADA E ESTRUTURA DE MADEIRA. AF_03/2022_PS</t>
  </si>
  <si>
    <t>SERVIÇOS INICIAIS E ADMINISTRATIVOS</t>
  </si>
  <si>
    <t>ENGENHEIRO CIVIL DE OBRA PLENO COM ENCARGOS COMPLEMENTARES</t>
  </si>
  <si>
    <t>1.5</t>
  </si>
  <si>
    <t>h</t>
  </si>
  <si>
    <t>1.6</t>
  </si>
  <si>
    <t>ENCARREGADO GERAL COM ENCARGOS COMPLEMENTARES</t>
  </si>
  <si>
    <t>FABRICAÇÃO, MONTAGEM E DESMONTAGEM DE FÔRMA PARA BLOCO DE COROAMENTO, EM MADEIRA SERRADA,E=25MM,4 UTILIZAÇÕES.</t>
  </si>
  <si>
    <t>ARMAÇÃO DE PILAR OU VIGA DE ESTRUTURA CONVENCIONAL DE CONCRETO ARMADO UTILIZANDO AÇO CA-60 DE 5,0 MM-MONTAGEM.AF_06/2022</t>
  </si>
  <si>
    <t>ARMAÇÃO DE PILAR OU VIGA DE ESTRUTURA CONVENCIONAL DE CONCRETO ARMADO UTILIZANDO AÇO CA-50 DE 8,0 MM-MONTAGEM.AF_06/2022</t>
  </si>
  <si>
    <t>17.11</t>
  </si>
  <si>
    <t>Alv. Estrutural Canaleta Concreto 19x19x39cm (espessura 19 cm), com argamassa cimento, cal hidratada e areia 1:1:5</t>
  </si>
  <si>
    <t>2 x 1125,00 [m] = 2250,00 [m]  | 2 fiadas de canaletas (intermediária e superior) x comprimento linear do muro</t>
  </si>
  <si>
    <t>2,80 [m] x (1125,00 [m] + (95 x 0,20 [m]) x 2) - (1125,00 [m]  x 0,40 [m]) = 2806,40 [m²] | altura do muro x comprimento linear muro acrescentado dos pilares com dentes internos e descontado a área das canaletas intermediária e superior</t>
  </si>
  <si>
    <t>CONCRETAGEM DE PILARES, FCK = 25 MPA, COM USO DE BOMBA - LANÇAMENTO, ADENSAMENTO E ACABAMENTO. AF_02/2022_PS</t>
  </si>
  <si>
    <t>CONCRETO FCK = 25MPA, TRAÇO 1:2,2:2,5 (EM MASSA SECA DE CIMENTO/ AREIA MÉDIA/ SEIXO ROLADO) - PREPARO MECÂNICO COM BETONEIRA 600L. AF_05/2021</t>
  </si>
  <si>
    <t>1125,00 [m] x 0,16 [m] x 0,14 [m] x 2 x 1,05 = 52,92 [m³] | comprimento linear do muro x área da canaleta x 2 canaletas (intermediária e superior) + 5% de perdas</t>
  </si>
  <si>
    <t>95 x 10 x 2,80 [m] x 0,14 [m] x 0,14 [m] x 1,05 = 54,74 [m³] | quantidade de trechos x quantidade de furos preenchidos x área furo + 5% de perdas</t>
  </si>
  <si>
    <t>LANÇAMENTO COM USO DE BALDES, ADENSAMENTO E ACABAMENTO DE CONCRETO EM ESTRUTURAS. AF_02/2022</t>
  </si>
  <si>
    <t>Alv. Estrutural Canaleta Concreto 19x19x39cm (espessura 19 cm), com argamassa cimento, cal hidratada e areia 1:1:5 (SINDUSCON MS)</t>
  </si>
  <si>
    <t>(2,00 [m] +1,60 [m]) x 0,617 [kg/m] x 2 x 10 x 95 x 1,10 = 4.642,31 [kg] | comprimento armaduras x massa linear Ø10 x quantidade de barras seção x quantidade por trecho padrão 12 m x trechos + 10% perdas</t>
  </si>
  <si>
    <t>(5 x 12,00 [m] x 0,395 [kg/m] x 95 x 1,10) + (22,64 [kg] x 95 x 1,10) = 2476,65 + 2366,03 = 4842,68 [kg] | armadura vigas baldrame +  armadura blocos + 10% de perdas</t>
  </si>
  <si>
    <t>(1125,00 [m] - (95 x 0,60 [m])) x 0,40 [m] x 0,25 [m] x 1,05 + (0,60 [m] x 0,60 [m] x 0,40 [m] x 4 x 95 x 1,05) = 94,18 [m³] + 57,46 [m³] = 151,64 [m³] | comprimento linear total - blocos x altura baldrame x largura baldrame + 5% de perdas + volume de concreto dos blocos de coroamento + 5% de perdas</t>
  </si>
  <si>
    <t>TOTAL</t>
  </si>
  <si>
    <t>FUNDAÇÕES</t>
  </si>
  <si>
    <t>COD</t>
  </si>
  <si>
    <t>DESCRIÇÃO</t>
  </si>
  <si>
    <t>%</t>
  </si>
  <si>
    <t>Benefício</t>
  </si>
  <si>
    <t>S+G</t>
  </si>
  <si>
    <t>Garantia/seguros</t>
  </si>
  <si>
    <t>L</t>
  </si>
  <si>
    <t>Lucro</t>
  </si>
  <si>
    <t xml:space="preserve">
</t>
  </si>
  <si>
    <t>Despesas Indiretas</t>
  </si>
  <si>
    <t>DF</t>
  </si>
  <si>
    <t>Despesas financeiras</t>
  </si>
  <si>
    <t>AC</t>
  </si>
  <si>
    <t>Administração central</t>
  </si>
  <si>
    <t>R</t>
  </si>
  <si>
    <t>Riscos</t>
  </si>
  <si>
    <t>T</t>
  </si>
  <si>
    <t>Impostos</t>
  </si>
  <si>
    <t>COFINS</t>
  </si>
  <si>
    <t>ISSQN</t>
  </si>
  <si>
    <t>PIS</t>
  </si>
  <si>
    <t>CPRB</t>
  </si>
  <si>
    <t>BDI = (1+AC+S+G+R)*(1+DF)*(1+L)/(1-T)-1</t>
  </si>
  <si>
    <t>ACABAMENTOS</t>
  </si>
  <si>
    <t>7.0</t>
  </si>
  <si>
    <t>7.1</t>
  </si>
  <si>
    <t>7.2</t>
  </si>
  <si>
    <t>7.3</t>
  </si>
  <si>
    <t>COMPLEMENTARES</t>
  </si>
  <si>
    <t>8.0</t>
  </si>
  <si>
    <t>8.1</t>
  </si>
  <si>
    <t>VALOR (R$)</t>
  </si>
  <si>
    <t>MÊS 1</t>
  </si>
  <si>
    <t>MÊS 2</t>
  </si>
  <si>
    <t>MÊS 3</t>
  </si>
  <si>
    <t>MÊS 4</t>
  </si>
  <si>
    <t>2</t>
  </si>
  <si>
    <t>3</t>
  </si>
  <si>
    <t>4</t>
  </si>
  <si>
    <t>5</t>
  </si>
  <si>
    <t>6</t>
  </si>
  <si>
    <t>PINTURA COM TINTA ALQUÍDICA DE ACABAMENTO (ESMALTE SINTÉTICO BRILHANTE) PULVERIZADA SOBRE SUPERFÍCIES METÁLICAS (EXCETO PERFIL) EXECUTADO EM OBRA (02 DEMÃOS). AF_91/2020_PE</t>
  </si>
  <si>
    <t>1125,00 [m] | perímetro do muro + 12,00 [m] largura do portão existente</t>
  </si>
  <si>
    <t>1125,00 [m] x 3,00 [m]  = 3375,00 [m²] | perímetro x faixa de 3 metros  = área de limpeza</t>
  </si>
  <si>
    <t>12,00 [m] x 3,00 [m] = 36,00 [m²] | largura x altura do portão existente</t>
  </si>
  <si>
    <t>2,00 [m] x 1125,00 [m] = 2250,00 [m²] | perímetro do muro x faixa de 2 metros = área de limpeza</t>
  </si>
  <si>
    <t>COTAÇÃO</t>
  </si>
  <si>
    <t>Chapim linear 0,23x0,80x0,05 (largura x comprimento x altura) para muro de e=19cm e chapim quadrado (0,45x0,45x0,05) para pilares do muro, incluso transporte (cotação)</t>
  </si>
  <si>
    <t>Chapim linear 0,23x0,80x0,05 cm (largura x comprimento x altura) para muro de e=19cm e chapim quadrado 0,45x0,45x0,05 cm para pilares do muro, incluso transporte (cotação)</t>
  </si>
  <si>
    <t>1160 x 0,80 [m] + 95 x 0,40 [m] = 1125,00 [m]  | quantidade de chapins lineares x comprimento unitário + quantidade de pilares x largura pilar unitário = comprimento linear total do muro</t>
  </si>
  <si>
    <t>BARREIRA DE PROTECAO HELICOIDAL (CONCERTINA) SIMPLES EM ACO GALVANIZADO CORTANTE, DIAMETRO DE 300MM, INCLUSIVE ACESSORIOS DE FIXACAO (AGESUL)</t>
  </si>
  <si>
    <t>0,55 [m] x 0,154 [kg/m] x 61 x 95 x 1,10 = 539,92 [kg] | comprimento estribo x massa linear Ø5 unitária x 61 estribos por trecho da cinta final x 95 trechos + 10% perdas</t>
  </si>
  <si>
    <t>4 x 12,00 [m] x 0,395 [kg/m] x 95 x 1,10 = 1981,32 [kg] | quantidade barras x comprimento trecho cinta final x massa linear Ø8 x quantidade trechos + 10% de perdas</t>
  </si>
  <si>
    <t>% ACUMULADO</t>
  </si>
  <si>
    <t>FONTE</t>
  </si>
  <si>
    <t>SINAPI</t>
  </si>
  <si>
    <t>AGESUL</t>
  </si>
  <si>
    <t>SINDUSCON MS</t>
  </si>
  <si>
    <t>TIPO</t>
  </si>
  <si>
    <t>Serviço</t>
  </si>
  <si>
    <t>A</t>
  </si>
  <si>
    <t>C</t>
  </si>
  <si>
    <t>B</t>
  </si>
  <si>
    <t>TOTAL GERAL ATÉ 100%:</t>
  </si>
  <si>
    <t>SERVENTE COM ENCARGOS COMPLEMENTARES</t>
  </si>
  <si>
    <t>H</t>
  </si>
  <si>
    <t>JARDINEIRO COM ENCARGOS COMPLEMENTARES</t>
  </si>
  <si>
    <t>TELA DE ACO SOLDADA GALVANIZADA/ZINCADA PARA ALVENARIA, FIO D = *1,20 A 1,70* MM, MALHA 15 X 15 MM, (C X L) *50 X 17,5* CM</t>
  </si>
  <si>
    <t>BLOCO DE VEDACAO DE CONCRETO 19 X 19 X 39 CM (CLASSE C - NBR 6136)</t>
  </si>
  <si>
    <t>un</t>
  </si>
  <si>
    <t>cento</t>
  </si>
  <si>
    <t>PINO DE ACO COM FURO, HASTE = 27 MM (ACAO DIRETA)</t>
  </si>
  <si>
    <t>ARGAMASSA TRAÇO 1:2:8 (EM VOLUME DE CIMENTO, CAL E AREIA MÉDIA ÚMIDA) PARA EMBOÇO/MASSA ÚNICA/ASSENTAMENTO DE ALVENARIA DE VEDAÇÃO, PREPARO MECÂNICO COM BETONEIRA 400 L. AF_08/2019</t>
  </si>
  <si>
    <t>PEDREIRO COM ENCARGOS COMPLEMENTARES</t>
  </si>
  <si>
    <t>MANTA LIQUIDA DE BASE ASFALTICA MODIFICADA COM A ADICAO DE ELASTOMEROS DILUIDOS EM SOLVENTE ORGANICO, APLICACAO A FRIO (MEMBRANA IMPERMEABILIZANTE ASFALTICAS)</t>
  </si>
  <si>
    <t>KG</t>
  </si>
  <si>
    <t>AJUDANTE ESPECIALIZADO COM ENCARGOS COMPLEMENTARES</t>
  </si>
  <si>
    <t>IMPERMEABILIZADOR COM ENCARGOS COMPLEMENTARES</t>
  </si>
  <si>
    <t>CONCRETO FCK = 30MPA, TRAÇO 1:2,1:2,5 (EM MASSA SECA DE CIMENTO/ AREIA MÉDIA/ BRITA 1) - PREPARO MECÂNICO COM BETONEIRA 600 L. AF_05/2021</t>
  </si>
  <si>
    <t>CONCRETO USINADO BOMBEAVEL, CLASSE DE RESISTENCIA C25, COM BRITA 0 E 1, SLUMP = 130 +/- 20 MM, EXCLUI SERVICO DE BOMBEAMENTO (NBR 8953)</t>
  </si>
  <si>
    <t>PERFURATRIZ HIDRÁULICA SOBRE CAMINHÃO COM TRADO CURTO ACOPLADO, PROFUNDIDADE MÁXIMA DE 20 M, DIÂMETRO MÁXIMO DE 1500 MM, POTÊNCIA INSTALADA DE 137HP, MESA ROTATIVA COM TORQUE MÁXIMO DE 30 KNM - CHP DIURNO. AF_06/2015</t>
  </si>
  <si>
    <t>CHP</t>
  </si>
  <si>
    <t>CHI</t>
  </si>
  <si>
    <t>MONTAGEM DE ARMADURA DE ESTACAS, DIÂMETRO = 12,5 MM. AF_09/2021_PS</t>
  </si>
  <si>
    <t>TRANSPORTE COM CAMINHÃO BASCULANTE DE 6 M³, EM VIA URBANA EM REVESTIMENTO</t>
  </si>
  <si>
    <t>m³ x km</t>
  </si>
  <si>
    <t>CARGA, MANOBRA E DESCARGA DE SOLOS E MATERIAIS GRANULARES EM CAMINHÃO BASCULANTE 6 M³ - CARGA COM PÁ CARREGADEIRA (CAÇAMBA DE 1,7 A 2,8 M³ / 128 HP) E DESCARGA LIVRE (UNIDADE: M3). AF_07/2020</t>
  </si>
  <si>
    <t>ESPACADOR / DISTANCIADOR CIRCULAR COM ENTRADA LATERAL, EM PLASTICO, PARA VERGALHAO *4,2 A 12,5* MM, COBRIMENTO 20 MM</t>
  </si>
  <si>
    <t>ARAME RECOZIDO 16 BWG, D = 1,65 MM (0,016 KG/M) OU 18 BWG, D = 1,25 MM (0,01 KG/M)</t>
  </si>
  <si>
    <t>AJUDANTE DE ARMADOR COM ENCARGOS COMPLEMENTARES</t>
  </si>
  <si>
    <t>ARMADOR COM ENCARGOS COMPLEMENTARES</t>
  </si>
  <si>
    <t>DILUENTE AGUARRAS</t>
  </si>
  <si>
    <t>TINTA ESMALTE SINTETICO PREMIUM BRILHANTE</t>
  </si>
  <si>
    <t>PINTOR COM ENCARGOS COMPLEMENTARES</t>
  </si>
  <si>
    <t>ACO CA-50, 10,0 MM, VERGALHAO</t>
  </si>
  <si>
    <t>CONCRETO USINADO BOMBEAVEL, CLASSE DE RESISTENCIA C25, BRITA 0 E 1, SLUMP= 100 +/- 20 MM, COM BOMBEAMENTO (DISPONIBILIZACAO DE BOMBA), SEM O LANCAMENTO (NBR 8953)</t>
  </si>
  <si>
    <t>CARPINTEIRO DE FORMAS COM ENCARGOS COMPLEMENTARES</t>
  </si>
  <si>
    <t>AREIA MEDIA - POSTO JAZIDA/FORNECEDOR (RETIRADO NA JAZIDA, SEM TRANSPORTE)</t>
  </si>
  <si>
    <t>CIMENTO PORTLAND COMPOSTO CP II-32</t>
  </si>
  <si>
    <t>SEIXO ROLADO PARA APLICACAO EM CONCRETO (POSTO PEDREIRA/FORNECEDOR, SEM FRETE)</t>
  </si>
  <si>
    <t>OPERADOR DE BETONEIRA ESTACIONÁRIA/MISTURADOR COM ENCARGOS COMPLEMENTARES</t>
  </si>
  <si>
    <t>BETONEIRA CAPACIDADE NOMINAL DE 600 L, CAPACIDADE DE MISTURA 360 L, MOTOR ELÉTRICO TRIFÁSICO POTÊNCIA DE 4 CV, SEM CARREGADOR - CHP DIURNO. AF_05/2023</t>
  </si>
  <si>
    <t>VIBRADOR DE IMERSÃO, DIÂMETRO DE PONTEIRA 45MM, MOTOR ELÉTRICO TRIFÁSICO POTÊNCIA DE 2 CV - CHI DIURNO. AF_06/2015</t>
  </si>
  <si>
    <t>PERFURATRIZ HIDRÁULICA SOBRE CAMINHÃO COM TRADO CURTO ACOPLADO, PROFUNDIDADE MÁXIMA DE 20 M, DIÂMETRO MÁXIMO DE 1500 MM, POTÊNCIA INSTALADA DE 137HP, MESA ROTATIVA COM TORQUE MÁXIMO DE 30 KNM - CHI DIURNO. AF_06/2015</t>
  </si>
  <si>
    <t>BETONEIRA CAPACIDADE NOMINAL DE 600 L, CAPACIDADE DE MISTURA 360 L, MOTOR ELÉTRICO TRIFÁSICO POTÊNCIA DE 4 CV, SEM CARREGADOR - CHI DIURNO. AF_05/2023</t>
  </si>
  <si>
    <t>ENCARREGADO GERAL DE OBRAS (HORISTA)</t>
  </si>
  <si>
    <t>EXAMES - HORISTA (COLETADO CAIXA - ENCARGOS COMPLEMENTARES)</t>
  </si>
  <si>
    <t>SEGURO - HORISTA (COLETADO CAIXA - ENCARGOS COMPLEMENTARES)</t>
  </si>
  <si>
    <t>FERRAMENTAS - FAMILIA ENCARREGADO GERAL - HORISTA (ENCARGOS COMPLEMENTARES - COLETADO CAIXA)</t>
  </si>
  <si>
    <t>EPI - FAMILIA ENCARREGADO GERAL - HORISTA (ENCARGOS COMPLEMENTARES - COLETADO CAIXA)</t>
  </si>
  <si>
    <t>CURSO DE CAPACITAÇÃO PARA ENCARREGADO GERAL (ENCARGOS COMPLEMENTARES) - HORISTA</t>
  </si>
  <si>
    <t>DESMOLDANTE PROTETOR PARA FORMAS DE MADEIRA, DE BASE OLEOSA EMULSIONADA EM ÁGUA</t>
  </si>
  <si>
    <t>PONTALETE *7,5 X 7,5* CM EM PINUS, MISTA OU EQUIVALENTE DA REGIAO - BRUTA</t>
  </si>
  <si>
    <t>SARRAFO *2,5 X 7,5* CM EM PINUS, MISTA OU EQUIVALENTE DA REGIAO - BRUTA</t>
  </si>
  <si>
    <t>PREGO DE ACO POLIDO COM CABECA 17 X 24 (2 1/4 X 11)</t>
  </si>
  <si>
    <t>TABUA NAO APARELHADA *2,5 X 30* CM, EM MACARANDUBA/MASSARANDUBA, ANGELIM OU EQUIVALENTE DA REGIAO - BRUTA</t>
  </si>
  <si>
    <t>AJUDANTE DE CARPINTEIRO COM ENCARGOS COMPLEMENTARES</t>
  </si>
  <si>
    <t>SERRA CIRCULAR DE BANCADA COM MOTOR ELÉTRICO POTÊNCIA DE 5HP, COM COIFA PARA DISCO 10" - CHP DIURNO. AF_08/2015</t>
  </si>
  <si>
    <t>ACO CA-50, 8,0 MM, VERGALHAO</t>
  </si>
  <si>
    <t>ENGENHEIRO CIVIL DE OBRA PLENO (HORISTA)</t>
  </si>
  <si>
    <t>FERRAMENTAS - FAMILIA ENGENHEIRO CIVIL - HORISTA (ENCARGOS COMPLEMENTARES - COLETADO CAIXA)</t>
  </si>
  <si>
    <t>EPI - FAMILIA ENGENHEIRO CIVIL - HORISTA (ENCARGOS COMPLEMENTARES - COLETADO CAIXA)</t>
  </si>
  <si>
    <t>CURSO DE CAPACITAÇÃO PARA ENGENHEIRO CIVIL DE OBRA PLENO (ENCARGOS COMPLEMENTARES) - HORISTA</t>
  </si>
  <si>
    <t>MARTELO DEMOLIDOR ELÉTRICO, COM POTÊNCIA DE 2.000 W, 1.000 IMPACTOS POR MINUTO, PESO DE 30 KG - CHI DIURNO. AF_01/2021</t>
  </si>
  <si>
    <t>MARTELO DEMOLIDOR ELÉTRICO, COM POTÊNCIA DE 2.000 W, 1.000 IMPACTOS POR MINUTO, PESO DE 30 KG - CHP DIURNO. AF_01/2021</t>
  </si>
  <si>
    <t>CAMINHÃO PIPA 10.000 L TRUCADO, PESO BRUTO TOTAL 23.000 KG, CARGA ÚTIL MÁXIMA 15.935 KG, DISTÂNCIA ENTRE EIXOS 4,8 M, POTÊNCIA 230 CV, INCLUSIVE TANQUE DE AÇO PARA TRANSPORTE DE ÁGUA - CHP DIURNO. AF_06/2014</t>
  </si>
  <si>
    <t>CAMINHÃO PIPA 10.000 L TRUCADO, PESO BRUTO TOTAL 23.000 KG, CARGA ÚTIL MÁXIMA 15.935 KG, DISTÂNCIA ENTRE EIXOS 4,8 M, POTÊNCIA 230 CV, INCLUSIVE TANQUE DE AÇO PARA TRANSPORTE DE ÁGUA - CHI DIURNO. AF_06/2014</t>
  </si>
  <si>
    <t>COMPACTADOR DE SOLOS DE PERCUSSÃO (SOQUETE) COM MOTOR A GASOLINA 4 TEMPOS, POTÊNCIA 4 CV - CHP DIURNO. AF_08/2015</t>
  </si>
  <si>
    <t>SARRAFO *2,5 X 10* CM EM PINUS, MISTA OU EQUIVALENTE DA REGIAO - BRUTA</t>
  </si>
  <si>
    <t>PLACA DE OBRA (PARA CONSTRUCAO CIVIL) EM CHAPA GALVANIZADA *N. 22*, ADESIVADA, DE *2,4 X 1,2* M (SEM POSTES PARA FIXACAO)</t>
  </si>
  <si>
    <t>PREGO DE ACO POLIDO COM CABECA 10 X 10 (7/8 X 17)</t>
  </si>
  <si>
    <t>PREGO DE ACO POLIDO COM CABECA 17 X 27 (2 1/2 X 11)</t>
  </si>
  <si>
    <t>PINTURA IMUNIZANTE PARA MADEIRA, 2 DEMÃOS. AF_01/2021</t>
  </si>
  <si>
    <t>RETROESCAVADEIRA SOBRE RODAS COM CARREGADEIRA, TRAÇÃO 4X4, POTÊNCIA LÍQ. 88 HP, CAÇAMBA CARREG. CAP. MÍN. 1 M3, CAÇAMBA RETRO CAP. 0,26 M3, PESO OPERACIONAL MÍN. 6.674 KG, PROFUNDIDADE ESCAVAÇÃO MÁX. 4,37 M - CHP DIURNO. AF_06/2014</t>
  </si>
  <si>
    <t>RETROESCAVADEIRA SOBRE RODAS COM CARREGADEIRA, TRAÇÃO 4X4, POTÊNCIA LÍQ. 88 HP, CAÇAMBA CARREG. CAP. MÍN. 1 M3, CAÇAMBA RETRO CAP. 0,26 M3, PESO OPERACIONAL MÍN. 6.674 KG, PROFUNDIDADE ESCAVAÇÃO MÁX. 4,37 M - CHI DIURNO. AF_06/2014</t>
  </si>
  <si>
    <t>PREGO DE ACO POLIDO COM CABECA 15 X 18 (1 1/2 X 13)</t>
  </si>
  <si>
    <t>PEDRA BRITADA N. 2 (19 A 38 MM) POSTO PEDREIRA/FORNECEDOR, SEM FRETE</t>
  </si>
  <si>
    <t>PLACA VIBRATÓRIA REVERSÍVEL COM MOTOR 4 TEMPOS A GASOLINA, FORÇA CENTRÍFUGA DE 25 KN (2500 KGF), POTÊNCIA 5,5 CV - CHP DIURNO. AF_08/2015</t>
  </si>
  <si>
    <t>PLACA VIBRATÓRIA REVERSÍVEL COM MOTOR 4 TEMPOS A GASOLINA, FORÇA CENTRÍFUGA DE 25 KN (2500 KGF), POTÊNCIA 5,5 CV - CHI DIURNO. AF_08/2015</t>
  </si>
  <si>
    <t>Chapim linear 0,23x0,80x0,05 cm (largura x comprimento x altura)</t>
  </si>
  <si>
    <t>Chapim quadrado (chapéu chinês) 0,45x0,45x0,05 m para pilares 40x40 cm</t>
  </si>
  <si>
    <t>11.17</t>
  </si>
  <si>
    <t>M</t>
  </si>
  <si>
    <t>SERRA CIRCULAR DE BANCADA COM MOTOR ELÉTRICO POTÊNCIA DE 5HP, COM COIFA PARA DISCO 10" - CHI DIURNO. AF_08/201</t>
  </si>
  <si>
    <t>ACO CA-60, 4,2 MM, OU 5,0 MM, OU 6,0 MM, OU 7,0 MM, VERGALHAO</t>
  </si>
  <si>
    <t>SUBTOTAL ATÉ 87,27%:</t>
  </si>
  <si>
    <t>OUTROS:</t>
  </si>
  <si>
    <t>TOTAL GERAL:</t>
  </si>
  <si>
    <t>Material</t>
  </si>
  <si>
    <t>Mão de Obra</t>
  </si>
  <si>
    <t>CLASSE ABC</t>
  </si>
  <si>
    <t>Encargos Complementares</t>
  </si>
  <si>
    <t>Equipamento</t>
  </si>
  <si>
    <t>Chapim Linear 0,23x0,80x0,05 cm (largura x comprimento x altura) para muro de e=19cm e Chapim Quadrado 0,45x0,45x0,05 cm para pilares do muro, incluso transporte (cotação)</t>
  </si>
  <si>
    <t>SERVIÇO</t>
  </si>
  <si>
    <t>VALOR</t>
  </si>
  <si>
    <t>TOTAL DA OBRA:</t>
  </si>
  <si>
    <t>PERCENTUAL DE INCIDÊNCIA</t>
  </si>
  <si>
    <t>ANEXO 2 - Modelo Planilha de Custos e BDI</t>
  </si>
  <si>
    <t xml:space="preserve">BDI = </t>
  </si>
  <si>
    <t>CRONOGRAMA FÍSICO-FINANCEIRO</t>
  </si>
  <si>
    <t>O ITEM 1 (SERVIÇOS ADMINISTRATIVOS) DEVE TER O SEU PERCENTUAL DE EXECUÇÃO ATRELADO AO PERCENTUAL DE EXECUÇÃO FINANCEIRA MENSAL DA OBRA!</t>
  </si>
  <si>
    <t>1 *</t>
  </si>
  <si>
    <t>* OBS:</t>
  </si>
  <si>
    <t>RESUMO DO ORÇAMENTO</t>
  </si>
  <si>
    <t>COMPOSIÇÃO BDI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</si>
</sst>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"/>
    <numFmt numFmtId="165" formatCode="#,##0.00%"/>
    <numFmt numFmtId="166" formatCode="#,##0.00\'\ %\'"/>
    <numFmt numFmtId="167" formatCode="0.0%"/>
    <numFmt numFmtId="168" formatCode="0.000%"/>
    <numFmt numFmtId="169" formatCode="#,##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4" tint="-0.249977111117893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7"/>
      <color rgb="FF000000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b/>
      <sz val="7"/>
      <color theme="1"/>
      <name val="Arial"/>
      <family val="2"/>
    </font>
    <font>
      <sz val="7"/>
      <color theme="1"/>
      <name val="Arial"/>
      <family val="2"/>
    </font>
    <font>
      <sz val="7"/>
      <color theme="1"/>
      <name val="Calibri"/>
      <family val="2"/>
      <scheme val="minor"/>
    </font>
    <font>
      <sz val="7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/>
    <xf numFmtId="0" fontId="5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2" fontId="4" fillId="0" borderId="1" xfId="0" applyNumberFormat="1" applyFont="1" applyBorder="1"/>
    <xf numFmtId="43" fontId="4" fillId="0" borderId="1" xfId="1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/>
    </xf>
    <xf numFmtId="0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horizontal="right"/>
    </xf>
    <xf numFmtId="0" fontId="8" fillId="0" borderId="1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2" borderId="6" xfId="0" applyNumberFormat="1" applyFont="1" applyFill="1" applyBorder="1" applyAlignment="1" applyProtection="1">
      <alignment wrapText="1"/>
      <protection locked="0"/>
    </xf>
    <xf numFmtId="0" fontId="2" fillId="2" borderId="7" xfId="0" applyNumberFormat="1" applyFont="1" applyFill="1" applyBorder="1" applyAlignment="1" applyProtection="1">
      <alignment wrapText="1"/>
      <protection locked="0"/>
    </xf>
    <xf numFmtId="0" fontId="2" fillId="2" borderId="6" xfId="0" applyNumberFormat="1" applyFont="1" applyFill="1" applyBorder="1" applyAlignment="1" applyProtection="1">
      <alignment horizontal="left" vertical="center" wrapText="1"/>
      <protection locked="0"/>
    </xf>
    <xf numFmtId="10" fontId="3" fillId="0" borderId="6" xfId="2" applyNumberFormat="1" applyFont="1" applyFill="1" applyBorder="1" applyAlignment="1" applyProtection="1">
      <alignment horizontal="left" vertical="center" wrapText="1"/>
      <protection locked="0"/>
    </xf>
    <xf numFmtId="0" fontId="2" fillId="2" borderId="8" xfId="0" applyNumberFormat="1" applyFont="1" applyFill="1" applyBorder="1" applyAlignment="1" applyProtection="1">
      <alignment wrapText="1"/>
      <protection locked="0"/>
    </xf>
    <xf numFmtId="0" fontId="9" fillId="2" borderId="4" xfId="0" applyNumberFormat="1" applyFont="1" applyFill="1" applyBorder="1" applyAlignment="1" applyProtection="1">
      <alignment horizontal="center" vertical="center" wrapText="1"/>
    </xf>
    <xf numFmtId="0" fontId="9" fillId="2" borderId="5" xfId="0" applyNumberFormat="1" applyFont="1" applyFill="1" applyBorder="1" applyAlignment="1" applyProtection="1">
      <alignment horizontal="center" vertical="center" wrapText="1"/>
    </xf>
    <xf numFmtId="0" fontId="4" fillId="2" borderId="7" xfId="0" applyNumberFormat="1" applyFont="1" applyFill="1" applyBorder="1" applyAlignment="1" applyProtection="1">
      <alignment wrapText="1"/>
      <protection locked="0"/>
    </xf>
    <xf numFmtId="0" fontId="9" fillId="2" borderId="5" xfId="0" applyNumberFormat="1" applyFont="1" applyFill="1" applyBorder="1" applyAlignment="1" applyProtection="1">
      <alignment horizontal="left" vertical="top" wrapText="1"/>
    </xf>
    <xf numFmtId="0" fontId="4" fillId="2" borderId="0" xfId="0" applyNumberFormat="1" applyFont="1" applyFill="1" applyBorder="1" applyAlignment="1" applyProtection="1">
      <alignment wrapText="1"/>
      <protection locked="0"/>
    </xf>
    <xf numFmtId="0" fontId="12" fillId="2" borderId="4" xfId="0" applyNumberFormat="1" applyFont="1" applyFill="1" applyBorder="1" applyAlignment="1" applyProtection="1">
      <alignment horizontal="center" vertical="top" wrapText="1"/>
    </xf>
    <xf numFmtId="0" fontId="12" fillId="2" borderId="5" xfId="0" applyNumberFormat="1" applyFont="1" applyFill="1" applyBorder="1" applyAlignment="1" applyProtection="1">
      <alignment horizontal="left" vertical="top" wrapText="1"/>
    </xf>
    <xf numFmtId="4" fontId="12" fillId="2" borderId="5" xfId="0" applyNumberFormat="1" applyFont="1" applyFill="1" applyBorder="1" applyAlignment="1" applyProtection="1">
      <alignment horizontal="right" vertical="top" wrapText="1"/>
    </xf>
    <xf numFmtId="0" fontId="9" fillId="2" borderId="5" xfId="0" applyNumberFormat="1" applyFont="1" applyFill="1" applyBorder="1" applyAlignment="1" applyProtection="1">
      <alignment horizontal="right" vertical="center" wrapText="1"/>
    </xf>
    <xf numFmtId="4" fontId="9" fillId="2" borderId="5" xfId="0" applyNumberFormat="1" applyFont="1" applyFill="1" applyBorder="1" applyAlignment="1" applyProtection="1">
      <alignment horizontal="right" vertical="top" wrapText="1"/>
    </xf>
    <xf numFmtId="0" fontId="9" fillId="2" borderId="4" xfId="0" applyNumberFormat="1" applyFont="1" applyFill="1" applyBorder="1" applyAlignment="1" applyProtection="1">
      <alignment horizontal="center" vertical="top" wrapText="1"/>
    </xf>
    <xf numFmtId="165" fontId="12" fillId="0" borderId="11" xfId="0" applyNumberFormat="1" applyFont="1" applyFill="1" applyBorder="1" applyAlignment="1" applyProtection="1">
      <alignment horizontal="right" vertical="center" wrapText="1"/>
    </xf>
    <xf numFmtId="166" fontId="9" fillId="0" borderId="11" xfId="0" applyNumberFormat="1" applyFont="1" applyFill="1" applyBorder="1" applyAlignment="1" applyProtection="1">
      <alignment horizontal="right" vertical="center" wrapText="1"/>
    </xf>
    <xf numFmtId="0" fontId="4" fillId="0" borderId="11" xfId="0" applyNumberFormat="1" applyFont="1" applyFill="1" applyBorder="1" applyAlignment="1" applyProtection="1">
      <alignment wrapText="1"/>
      <protection locked="0"/>
    </xf>
    <xf numFmtId="0" fontId="0" fillId="0" borderId="0" xfId="0" applyAlignment="1">
      <alignment horizontal="center"/>
    </xf>
    <xf numFmtId="43" fontId="2" fillId="0" borderId="0" xfId="0" applyNumberFormat="1" applyFont="1"/>
    <xf numFmtId="167" fontId="2" fillId="0" borderId="0" xfId="2" applyNumberFormat="1" applyFont="1"/>
    <xf numFmtId="43" fontId="0" fillId="0" borderId="0" xfId="0" applyNumberFormat="1"/>
    <xf numFmtId="10" fontId="0" fillId="0" borderId="0" xfId="2" applyNumberFormat="1" applyFont="1"/>
    <xf numFmtId="10" fontId="0" fillId="0" borderId="0" xfId="0" applyNumberFormat="1"/>
    <xf numFmtId="10" fontId="4" fillId="0" borderId="11" xfId="2" applyNumberFormat="1" applyFont="1" applyFill="1" applyBorder="1" applyAlignment="1" applyProtection="1">
      <alignment wrapText="1"/>
      <protection locked="0"/>
    </xf>
    <xf numFmtId="168" fontId="0" fillId="0" borderId="0" xfId="0" applyNumberFormat="1"/>
    <xf numFmtId="169" fontId="12" fillId="0" borderId="11" xfId="0" applyNumberFormat="1" applyFont="1" applyFill="1" applyBorder="1" applyAlignment="1" applyProtection="1">
      <alignment horizontal="right" vertical="center" wrapText="1"/>
    </xf>
    <xf numFmtId="4" fontId="12" fillId="3" borderId="5" xfId="0" applyNumberFormat="1" applyFont="1" applyFill="1" applyBorder="1" applyAlignment="1" applyProtection="1">
      <alignment horizontal="right" vertical="center" wrapText="1"/>
    </xf>
    <xf numFmtId="0" fontId="4" fillId="3" borderId="13" xfId="0" applyNumberFormat="1" applyFont="1" applyFill="1" applyBorder="1" applyAlignment="1" applyProtection="1">
      <alignment wrapText="1"/>
      <protection locked="0"/>
    </xf>
    <xf numFmtId="4" fontId="4" fillId="3" borderId="13" xfId="0" applyNumberFormat="1" applyFont="1" applyFill="1" applyBorder="1" applyAlignment="1" applyProtection="1">
      <alignment wrapText="1"/>
      <protection locked="0"/>
    </xf>
    <xf numFmtId="4" fontId="9" fillId="3" borderId="5" xfId="0" applyNumberFormat="1" applyFont="1" applyFill="1" applyBorder="1" applyAlignment="1" applyProtection="1">
      <alignment horizontal="right" vertical="center" wrapText="1"/>
    </xf>
    <xf numFmtId="4" fontId="12" fillId="4" borderId="11" xfId="0" applyNumberFormat="1" applyFont="1" applyFill="1" applyBorder="1" applyAlignment="1" applyProtection="1">
      <alignment horizontal="right" vertical="center" wrapText="1"/>
    </xf>
    <xf numFmtId="4" fontId="12" fillId="5" borderId="5" xfId="0" applyNumberFormat="1" applyFont="1" applyFill="1" applyBorder="1" applyAlignment="1" applyProtection="1">
      <alignment horizontal="right" vertical="center" wrapText="1"/>
    </xf>
    <xf numFmtId="0" fontId="4" fillId="3" borderId="12" xfId="0" applyNumberFormat="1" applyFont="1" applyFill="1" applyBorder="1" applyAlignment="1" applyProtection="1">
      <alignment wrapText="1"/>
      <protection locked="0"/>
    </xf>
    <xf numFmtId="0" fontId="4" fillId="3" borderId="15" xfId="0" applyNumberFormat="1" applyFont="1" applyFill="1" applyBorder="1" applyAlignment="1" applyProtection="1">
      <alignment wrapText="1"/>
      <protection locked="0"/>
    </xf>
    <xf numFmtId="0" fontId="4" fillId="3" borderId="14" xfId="0" applyNumberFormat="1" applyFont="1" applyFill="1" applyBorder="1" applyAlignment="1" applyProtection="1">
      <alignment wrapText="1"/>
      <protection locked="0"/>
    </xf>
    <xf numFmtId="0" fontId="4" fillId="3" borderId="17" xfId="0" applyNumberFormat="1" applyFont="1" applyFill="1" applyBorder="1" applyAlignment="1" applyProtection="1">
      <alignment wrapText="1"/>
      <protection locked="0"/>
    </xf>
    <xf numFmtId="0" fontId="12" fillId="4" borderId="5" xfId="0" applyNumberFormat="1" applyFont="1" applyFill="1" applyBorder="1" applyAlignment="1" applyProtection="1">
      <alignment horizontal="center" vertical="center" wrapText="1"/>
    </xf>
    <xf numFmtId="44" fontId="4" fillId="0" borderId="1" xfId="3" applyFont="1" applyBorder="1"/>
    <xf numFmtId="0" fontId="0" fillId="0" borderId="0" xfId="0" applyBorder="1"/>
    <xf numFmtId="0" fontId="0" fillId="0" borderId="7" xfId="0" applyBorder="1"/>
    <xf numFmtId="0" fontId="0" fillId="0" borderId="6" xfId="0" applyBorder="1"/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4" fillId="0" borderId="1" xfId="0" applyFont="1" applyBorder="1"/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2" fontId="14" fillId="0" borderId="1" xfId="0" applyNumberFormat="1" applyFont="1" applyBorder="1"/>
    <xf numFmtId="43" fontId="14" fillId="0" borderId="1" xfId="1" applyFont="1" applyBorder="1"/>
    <xf numFmtId="10" fontId="14" fillId="0" borderId="1" xfId="2" applyNumberFormat="1" applyFont="1" applyBorder="1"/>
    <xf numFmtId="10" fontId="15" fillId="0" borderId="1" xfId="0" applyNumberFormat="1" applyFont="1" applyBorder="1"/>
    <xf numFmtId="0" fontId="15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horizontal="center" wrapText="1"/>
    </xf>
    <xf numFmtId="0" fontId="14" fillId="0" borderId="1" xfId="0" applyFont="1" applyBorder="1" applyAlignment="1"/>
    <xf numFmtId="0" fontId="14" fillId="0" borderId="1" xfId="0" applyFont="1" applyBorder="1" applyAlignment="1">
      <alignment horizontal="right"/>
    </xf>
    <xf numFmtId="0" fontId="14" fillId="0" borderId="1" xfId="0" applyFont="1" applyBorder="1" applyAlignment="1">
      <alignment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43" fontId="14" fillId="0" borderId="0" xfId="0" applyNumberFormat="1" applyFont="1"/>
    <xf numFmtId="10" fontId="15" fillId="0" borderId="0" xfId="2" applyNumberFormat="1" applyFont="1"/>
    <xf numFmtId="0" fontId="15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8" xfId="0" applyFont="1" applyBorder="1"/>
    <xf numFmtId="0" fontId="15" fillId="0" borderId="1" xfId="0" applyFont="1" applyBorder="1" applyAlignment="1">
      <alignment horizontal="center" vertical="center"/>
    </xf>
    <xf numFmtId="10" fontId="15" fillId="0" borderId="1" xfId="2" applyNumberFormat="1" applyFont="1" applyBorder="1" applyAlignment="1">
      <alignment horizontal="center" vertical="center"/>
    </xf>
    <xf numFmtId="10" fontId="4" fillId="0" borderId="1" xfId="2" applyNumberFormat="1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19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1" xfId="0" applyBorder="1" applyAlignment="1">
      <alignment horizontal="center"/>
    </xf>
    <xf numFmtId="0" fontId="13" fillId="0" borderId="1" xfId="0" applyFont="1" applyBorder="1" applyAlignment="1">
      <alignment horizontal="right"/>
    </xf>
    <xf numFmtId="0" fontId="14" fillId="0" borderId="2" xfId="0" applyFont="1" applyBorder="1" applyAlignment="1">
      <alignment horizontal="center"/>
    </xf>
    <xf numFmtId="0" fontId="14" fillId="0" borderId="19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3" fillId="0" borderId="2" xfId="0" applyFont="1" applyBorder="1" applyAlignment="1">
      <alignment horizontal="right"/>
    </xf>
    <xf numFmtId="0" fontId="13" fillId="0" borderId="19" xfId="0" applyFont="1" applyBorder="1" applyAlignment="1">
      <alignment horizontal="right"/>
    </xf>
    <xf numFmtId="0" fontId="13" fillId="0" borderId="3" xfId="0" applyFont="1" applyBorder="1" applyAlignment="1">
      <alignment horizontal="right"/>
    </xf>
    <xf numFmtId="0" fontId="13" fillId="0" borderId="20" xfId="0" applyFont="1" applyBorder="1" applyAlignment="1">
      <alignment horizontal="right"/>
    </xf>
    <xf numFmtId="0" fontId="13" fillId="0" borderId="0" xfId="0" applyFont="1" applyAlignment="1">
      <alignment horizontal="right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0" fontId="12" fillId="0" borderId="5" xfId="0" applyNumberFormat="1" applyFont="1" applyFill="1" applyBorder="1" applyAlignment="1" applyProtection="1">
      <alignment horizontal="left" vertical="center" wrapText="1"/>
    </xf>
    <xf numFmtId="4" fontId="12" fillId="0" borderId="5" xfId="0" applyNumberFormat="1" applyFont="1" applyFill="1" applyBorder="1" applyAlignment="1" applyProtection="1">
      <alignment horizontal="right" vertical="center" wrapText="1"/>
    </xf>
    <xf numFmtId="4" fontId="12" fillId="3" borderId="16" xfId="0" applyNumberFormat="1" applyFont="1" applyFill="1" applyBorder="1" applyAlignment="1" applyProtection="1">
      <alignment horizontal="right" vertical="center" wrapText="1"/>
    </xf>
    <xf numFmtId="4" fontId="12" fillId="5" borderId="5" xfId="0" applyNumberFormat="1" applyFont="1" applyFill="1" applyBorder="1" applyAlignment="1" applyProtection="1">
      <alignment horizontal="right" vertical="center" wrapText="1"/>
    </xf>
    <xf numFmtId="0" fontId="12" fillId="0" borderId="11" xfId="0" applyNumberFormat="1" applyFont="1" applyFill="1" applyBorder="1" applyAlignment="1" applyProtection="1">
      <alignment horizontal="center" vertical="center" wrapText="1"/>
    </xf>
    <xf numFmtId="0" fontId="12" fillId="0" borderId="13" xfId="0" applyNumberFormat="1" applyFont="1" applyFill="1" applyBorder="1" applyAlignment="1" applyProtection="1">
      <alignment horizontal="center" vertical="center" wrapText="1"/>
    </xf>
    <xf numFmtId="0" fontId="12" fillId="0" borderId="11" xfId="0" applyNumberFormat="1" applyFont="1" applyFill="1" applyBorder="1" applyAlignment="1" applyProtection="1">
      <alignment horizontal="left" vertical="center" wrapText="1"/>
    </xf>
    <xf numFmtId="0" fontId="12" fillId="0" borderId="13" xfId="0" applyNumberFormat="1" applyFont="1" applyFill="1" applyBorder="1" applyAlignment="1" applyProtection="1">
      <alignment horizontal="left" vertical="center" wrapText="1"/>
    </xf>
    <xf numFmtId="4" fontId="12" fillId="0" borderId="11" xfId="0" applyNumberFormat="1" applyFont="1" applyFill="1" applyBorder="1" applyAlignment="1" applyProtection="1">
      <alignment horizontal="right" vertical="center" wrapText="1"/>
    </xf>
    <xf numFmtId="4" fontId="12" fillId="0" borderId="13" xfId="0" applyNumberFormat="1" applyFont="1" applyFill="1" applyBorder="1" applyAlignment="1" applyProtection="1">
      <alignment horizontal="right" vertical="center" wrapText="1"/>
    </xf>
    <xf numFmtId="0" fontId="11" fillId="2" borderId="0" xfId="0" applyNumberFormat="1" applyFont="1" applyFill="1" applyBorder="1" applyAlignment="1" applyProtection="1">
      <alignment horizontal="left" vertical="center" wrapText="1"/>
    </xf>
    <xf numFmtId="0" fontId="11" fillId="2" borderId="9" xfId="0" applyNumberFormat="1" applyFont="1" applyFill="1" applyBorder="1" applyAlignment="1" applyProtection="1">
      <alignment horizontal="left" vertical="center" wrapText="1"/>
    </xf>
    <xf numFmtId="0" fontId="11" fillId="2" borderId="10" xfId="0" applyNumberFormat="1" applyFont="1" applyFill="1" applyBorder="1" applyAlignment="1" applyProtection="1">
      <alignment horizontal="left" vertical="center" wrapText="1"/>
    </xf>
    <xf numFmtId="0" fontId="9" fillId="2" borderId="0" xfId="0" applyNumberFormat="1" applyFont="1" applyFill="1" applyBorder="1" applyAlignment="1" applyProtection="1">
      <alignment horizontal="right" vertical="center" wrapText="1"/>
    </xf>
    <xf numFmtId="0" fontId="10" fillId="2" borderId="0" xfId="0" applyNumberFormat="1" applyFont="1" applyFill="1" applyBorder="1" applyAlignment="1" applyProtection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7" fillId="0" borderId="0" xfId="0" applyFont="1" applyBorder="1" applyAlignment="1">
      <alignment horizontal="center"/>
    </xf>
    <xf numFmtId="0" fontId="17" fillId="0" borderId="17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15" xfId="0" applyFont="1" applyBorder="1" applyAlignment="1">
      <alignment horizontal="center" wrapText="1"/>
    </xf>
    <xf numFmtId="0" fontId="19" fillId="0" borderId="5" xfId="0" applyNumberFormat="1" applyFont="1" applyFill="1" applyBorder="1" applyAlignment="1" applyProtection="1">
      <alignment horizontal="left" vertical="center" wrapText="1"/>
    </xf>
    <xf numFmtId="0" fontId="6" fillId="0" borderId="21" xfId="0" applyFont="1" applyBorder="1" applyAlignment="1">
      <alignment horizontal="center" vertical="center"/>
    </xf>
  </cellXfs>
  <cellStyles count="4">
    <cellStyle name="Moeda" xfId="3" builtinId="4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2791</xdr:colOff>
      <xdr:row>0</xdr:row>
      <xdr:rowOff>0</xdr:rowOff>
    </xdr:from>
    <xdr:to>
      <xdr:col>2</xdr:col>
      <xdr:colOff>9525</xdr:colOff>
      <xdr:row>0</xdr:row>
      <xdr:rowOff>1537799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91" y="0"/>
          <a:ext cx="9074534" cy="15377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1810</xdr:rowOff>
    </xdr:from>
    <xdr:to>
      <xdr:col>12</xdr:col>
      <xdr:colOff>16565</xdr:colOff>
      <xdr:row>0</xdr:row>
      <xdr:rowOff>1628437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10"/>
          <a:ext cx="9598715" cy="16266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8471</xdr:colOff>
      <xdr:row>0</xdr:row>
      <xdr:rowOff>41414</xdr:rowOff>
    </xdr:from>
    <xdr:to>
      <xdr:col>11</xdr:col>
      <xdr:colOff>572553</xdr:colOff>
      <xdr:row>1</xdr:row>
      <xdr:rowOff>11199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1" y="41414"/>
          <a:ext cx="9555682" cy="16176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zoomScaleNormal="100" workbookViewId="0">
      <selection activeCell="C24" sqref="C24"/>
    </sheetView>
  </sheetViews>
  <sheetFormatPr defaultRowHeight="14.6" x14ac:dyDescent="0.4"/>
  <cols>
    <col min="1" max="1" width="10.69140625" customWidth="1"/>
    <col min="2" max="2" width="62.69140625" customWidth="1"/>
    <col min="3" max="3" width="25.69140625" customWidth="1"/>
    <col min="4" max="4" width="36.84375" customWidth="1"/>
  </cols>
  <sheetData>
    <row r="1" spans="1:9" ht="53.15" customHeight="1" x14ac:dyDescent="0.4">
      <c r="A1" s="137" t="s">
        <v>267</v>
      </c>
      <c r="B1" s="137"/>
      <c r="C1" s="137"/>
      <c r="D1" s="137"/>
      <c r="E1" s="138"/>
      <c r="F1" s="138"/>
      <c r="G1" s="138"/>
      <c r="H1" s="138"/>
      <c r="I1" s="138"/>
    </row>
    <row r="2" spans="1:9" ht="27" customHeight="1" x14ac:dyDescent="0.4">
      <c r="A2" s="144" t="s">
        <v>273</v>
      </c>
      <c r="B2" s="144"/>
      <c r="C2" s="144"/>
      <c r="D2" s="144"/>
      <c r="E2" s="138"/>
      <c r="F2" s="138"/>
      <c r="G2" s="138"/>
      <c r="H2" s="138"/>
      <c r="I2" s="138"/>
    </row>
    <row r="3" spans="1:9" x14ac:dyDescent="0.4">
      <c r="A3" s="99" t="s">
        <v>0</v>
      </c>
      <c r="B3" s="99" t="s">
        <v>263</v>
      </c>
      <c r="C3" s="99" t="s">
        <v>264</v>
      </c>
      <c r="D3" s="99" t="s">
        <v>266</v>
      </c>
    </row>
    <row r="4" spans="1:9" x14ac:dyDescent="0.4">
      <c r="A4" s="17" t="str">
        <f>ORÇAMENTO!A4</f>
        <v>1.0</v>
      </c>
      <c r="B4" s="9" t="str">
        <f>ORÇAMENTO!D4</f>
        <v>SERVIÇOS INICIAIS E ADMINISTRATIVOS</v>
      </c>
      <c r="C4" s="66">
        <f>SUM(ORÇAMENTO!I5:I10)</f>
        <v>0</v>
      </c>
      <c r="D4" s="98"/>
    </row>
    <row r="5" spans="1:9" x14ac:dyDescent="0.4">
      <c r="A5" s="17" t="str">
        <f>ORÇAMENTO!A11</f>
        <v>2.0</v>
      </c>
      <c r="B5" s="9" t="str">
        <f>ORÇAMENTO!D11</f>
        <v>FUNDAÇÕES</v>
      </c>
      <c r="C5" s="66">
        <f>SUM(ORÇAMENTO!I12:I14)</f>
        <v>0</v>
      </c>
      <c r="D5" s="98"/>
    </row>
    <row r="6" spans="1:9" x14ac:dyDescent="0.4">
      <c r="A6" s="17" t="str">
        <f>ORÇAMENTO!A15</f>
        <v>3.0</v>
      </c>
      <c r="B6" s="9" t="str">
        <f>ORÇAMENTO!D15</f>
        <v>SERVIÇOS EM TERRA</v>
      </c>
      <c r="C6" s="66">
        <f>SUM(ORÇAMENTO!I16:I17)</f>
        <v>0</v>
      </c>
      <c r="D6" s="98"/>
    </row>
    <row r="7" spans="1:9" x14ac:dyDescent="0.4">
      <c r="A7" s="17" t="str">
        <f>ORÇAMENTO!A18</f>
        <v>4.0</v>
      </c>
      <c r="B7" s="9" t="str">
        <f>ORÇAMENTO!D18</f>
        <v>ESTRUTURA DE CONCRETO</v>
      </c>
      <c r="C7" s="66">
        <f>SUM(ORÇAMENTO!I19:I31)</f>
        <v>0</v>
      </c>
      <c r="D7" s="98"/>
    </row>
    <row r="8" spans="1:9" x14ac:dyDescent="0.4">
      <c r="A8" s="17" t="str">
        <f>ORÇAMENTO!A32</f>
        <v>5.0</v>
      </c>
      <c r="B8" s="9" t="str">
        <f>ORÇAMENTO!D32</f>
        <v>IMPERMEABILIZAÇÃO</v>
      </c>
      <c r="C8" s="66">
        <f>SUM(ORÇAMENTO!I33)</f>
        <v>0</v>
      </c>
      <c r="D8" s="98"/>
    </row>
    <row r="9" spans="1:9" x14ac:dyDescent="0.4">
      <c r="A9" s="17" t="str">
        <f>ORÇAMENTO!A34</f>
        <v>6.0</v>
      </c>
      <c r="B9" s="9" t="str">
        <f>ORÇAMENTO!D34</f>
        <v>ALVENARIA</v>
      </c>
      <c r="C9" s="66">
        <f>SUM(ORÇAMENTO!I35:I36)</f>
        <v>0</v>
      </c>
      <c r="D9" s="98"/>
    </row>
    <row r="10" spans="1:9" x14ac:dyDescent="0.4">
      <c r="A10" s="17" t="str">
        <f>ORÇAMENTO!A37</f>
        <v>7.0</v>
      </c>
      <c r="B10" s="9" t="str">
        <f>ORÇAMENTO!D37</f>
        <v>ACABAMENTOS</v>
      </c>
      <c r="C10" s="66">
        <f>SUM(ORÇAMENTO!I38:I40)</f>
        <v>0</v>
      </c>
      <c r="D10" s="98"/>
    </row>
    <row r="11" spans="1:9" x14ac:dyDescent="0.4">
      <c r="A11" s="17" t="str">
        <f>ORÇAMENTO!A41</f>
        <v>8.0</v>
      </c>
      <c r="B11" s="9" t="str">
        <f>ORÇAMENTO!D41</f>
        <v>COMPLEMENTARES</v>
      </c>
      <c r="C11" s="66">
        <f>SUM(ORÇAMENTO!I42)</f>
        <v>0</v>
      </c>
      <c r="D11" s="98"/>
    </row>
    <row r="12" spans="1:9" x14ac:dyDescent="0.4">
      <c r="A12" s="102" t="s">
        <v>265</v>
      </c>
      <c r="B12" s="102"/>
      <c r="C12" s="66">
        <f>SUM(C4:C11)</f>
        <v>0</v>
      </c>
      <c r="D12" s="98"/>
    </row>
    <row r="13" spans="1:9" x14ac:dyDescent="0.4">
      <c r="A13" s="25"/>
    </row>
    <row r="14" spans="1:9" x14ac:dyDescent="0.4">
      <c r="A14" s="25"/>
    </row>
    <row r="15" spans="1:9" x14ac:dyDescent="0.4">
      <c r="A15" s="25"/>
    </row>
    <row r="16" spans="1:9" x14ac:dyDescent="0.4">
      <c r="A16" s="25"/>
    </row>
    <row r="17" spans="1:1" x14ac:dyDescent="0.4">
      <c r="A17" s="25"/>
    </row>
    <row r="18" spans="1:1" x14ac:dyDescent="0.4">
      <c r="A18" s="25"/>
    </row>
  </sheetData>
  <mergeCells count="3">
    <mergeCell ref="A1:D1"/>
    <mergeCell ref="A12:B12"/>
    <mergeCell ref="A2:D2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0"/>
  <sheetViews>
    <sheetView view="pageBreakPreview" zoomScale="60" zoomScaleNormal="100" workbookViewId="0">
      <selection sqref="A1:I1"/>
    </sheetView>
  </sheetViews>
  <sheetFormatPr defaultRowHeight="14.6" x14ac:dyDescent="0.4"/>
  <cols>
    <col min="1" max="1" width="6.69140625" customWidth="1"/>
    <col min="2" max="3" width="11.69140625" hidden="1" customWidth="1"/>
    <col min="4" max="4" width="55.69140625" customWidth="1"/>
    <col min="5" max="5" width="7.84375" customWidth="1"/>
    <col min="7" max="7" width="11.69140625" customWidth="1"/>
    <col min="8" max="8" width="12.69140625" customWidth="1"/>
    <col min="9" max="9" width="15.69140625" customWidth="1"/>
    <col min="10" max="10" width="11.69140625" bestFit="1" customWidth="1"/>
  </cols>
  <sheetData>
    <row r="1" spans="1:10" ht="65.150000000000006" customHeight="1" x14ac:dyDescent="0.4">
      <c r="A1" s="137" t="s">
        <v>267</v>
      </c>
      <c r="B1" s="137"/>
      <c r="C1" s="137"/>
      <c r="D1" s="137"/>
      <c r="E1" s="137"/>
      <c r="F1" s="137"/>
      <c r="G1" s="137"/>
      <c r="H1" s="137"/>
      <c r="I1" s="137"/>
    </row>
    <row r="3" spans="1:10" ht="56.15" customHeight="1" x14ac:dyDescent="0.4">
      <c r="A3" s="16" t="s">
        <v>0</v>
      </c>
      <c r="B3" s="16" t="s">
        <v>1</v>
      </c>
      <c r="C3" s="16" t="s">
        <v>163</v>
      </c>
      <c r="D3" s="16" t="s">
        <v>2</v>
      </c>
      <c r="E3" s="16" t="s">
        <v>3</v>
      </c>
      <c r="F3" s="16" t="s">
        <v>4</v>
      </c>
      <c r="G3" s="15" t="s">
        <v>66</v>
      </c>
      <c r="H3" s="15" t="s">
        <v>65</v>
      </c>
      <c r="I3" s="15" t="s">
        <v>5</v>
      </c>
    </row>
    <row r="4" spans="1:10" ht="18" customHeight="1" x14ac:dyDescent="0.4">
      <c r="A4" s="5" t="s">
        <v>32</v>
      </c>
      <c r="B4" s="6"/>
      <c r="C4" s="6"/>
      <c r="D4" s="7" t="s">
        <v>85</v>
      </c>
      <c r="E4" s="8"/>
      <c r="F4" s="9"/>
      <c r="G4" s="9"/>
      <c r="H4" s="9"/>
      <c r="I4" s="9"/>
      <c r="J4" s="2"/>
    </row>
    <row r="5" spans="1:10" ht="18" customHeight="1" x14ac:dyDescent="0.4">
      <c r="A5" s="8" t="s">
        <v>33</v>
      </c>
      <c r="B5" s="6">
        <v>98519</v>
      </c>
      <c r="C5" s="8" t="s">
        <v>164</v>
      </c>
      <c r="D5" s="9" t="s">
        <v>7</v>
      </c>
      <c r="E5" s="8" t="s">
        <v>8</v>
      </c>
      <c r="F5" s="10">
        <f>1125*2</f>
        <v>2250</v>
      </c>
      <c r="G5" s="9"/>
      <c r="H5" s="10">
        <f>G5*(1+0.2755)</f>
        <v>0</v>
      </c>
      <c r="I5" s="11">
        <f>F5*H5</f>
        <v>0</v>
      </c>
      <c r="J5" s="48"/>
    </row>
    <row r="6" spans="1:10" ht="42" customHeight="1" x14ac:dyDescent="0.4">
      <c r="A6" s="8" t="s">
        <v>34</v>
      </c>
      <c r="B6" s="6">
        <v>93207</v>
      </c>
      <c r="C6" s="8" t="s">
        <v>164</v>
      </c>
      <c r="D6" s="12" t="s">
        <v>9</v>
      </c>
      <c r="E6" s="8" t="s">
        <v>8</v>
      </c>
      <c r="F6" s="10">
        <v>8</v>
      </c>
      <c r="G6" s="11"/>
      <c r="H6" s="10">
        <f t="shared" ref="H6:H42" si="0">G6*(1+0.2755)</f>
        <v>0</v>
      </c>
      <c r="I6" s="11">
        <f t="shared" ref="I6:I40" si="1">F6*H6</f>
        <v>0</v>
      </c>
      <c r="J6" s="48"/>
    </row>
    <row r="7" spans="1:10" ht="42" customHeight="1" x14ac:dyDescent="0.4">
      <c r="A7" s="8" t="s">
        <v>35</v>
      </c>
      <c r="B7" s="6">
        <v>93582</v>
      </c>
      <c r="C7" s="8" t="s">
        <v>164</v>
      </c>
      <c r="D7" s="12" t="s">
        <v>10</v>
      </c>
      <c r="E7" s="8" t="s">
        <v>8</v>
      </c>
      <c r="F7" s="10">
        <v>12</v>
      </c>
      <c r="G7" s="9"/>
      <c r="H7" s="10">
        <f t="shared" si="0"/>
        <v>0</v>
      </c>
      <c r="I7" s="11">
        <f t="shared" si="1"/>
        <v>0</v>
      </c>
      <c r="J7" s="48"/>
    </row>
    <row r="8" spans="1:10" ht="42" customHeight="1" x14ac:dyDescent="0.4">
      <c r="A8" s="8" t="s">
        <v>83</v>
      </c>
      <c r="B8" s="6">
        <v>103689</v>
      </c>
      <c r="C8" s="8" t="s">
        <v>164</v>
      </c>
      <c r="D8" s="12" t="s">
        <v>84</v>
      </c>
      <c r="E8" s="8" t="s">
        <v>8</v>
      </c>
      <c r="F8" s="10">
        <v>8</v>
      </c>
      <c r="G8" s="9"/>
      <c r="H8" s="10">
        <f t="shared" si="0"/>
        <v>0</v>
      </c>
      <c r="I8" s="11">
        <f t="shared" si="1"/>
        <v>0</v>
      </c>
      <c r="J8" s="48"/>
    </row>
    <row r="9" spans="1:10" ht="30" customHeight="1" x14ac:dyDescent="0.4">
      <c r="A9" s="8" t="s">
        <v>87</v>
      </c>
      <c r="B9" s="6">
        <v>90778</v>
      </c>
      <c r="C9" s="8" t="s">
        <v>164</v>
      </c>
      <c r="D9" s="12" t="s">
        <v>86</v>
      </c>
      <c r="E9" s="8" t="s">
        <v>88</v>
      </c>
      <c r="F9" s="10">
        <v>128</v>
      </c>
      <c r="G9" s="10"/>
      <c r="H9" s="10">
        <f t="shared" si="0"/>
        <v>0</v>
      </c>
      <c r="I9" s="11">
        <f t="shared" si="1"/>
        <v>0</v>
      </c>
      <c r="J9" s="48"/>
    </row>
    <row r="10" spans="1:10" ht="30" customHeight="1" x14ac:dyDescent="0.4">
      <c r="A10" s="8" t="s">
        <v>89</v>
      </c>
      <c r="B10" s="6">
        <v>90776</v>
      </c>
      <c r="C10" s="8" t="s">
        <v>164</v>
      </c>
      <c r="D10" s="12" t="s">
        <v>90</v>
      </c>
      <c r="E10" s="8" t="s">
        <v>88</v>
      </c>
      <c r="F10" s="10">
        <v>640</v>
      </c>
      <c r="G10" s="10"/>
      <c r="H10" s="10">
        <f t="shared" si="0"/>
        <v>0</v>
      </c>
      <c r="I10" s="11">
        <f t="shared" si="1"/>
        <v>0</v>
      </c>
      <c r="J10" s="48"/>
    </row>
    <row r="11" spans="1:10" ht="18" customHeight="1" x14ac:dyDescent="0.4">
      <c r="A11" s="5" t="s">
        <v>36</v>
      </c>
      <c r="B11" s="6"/>
      <c r="C11" s="6"/>
      <c r="D11" s="7" t="s">
        <v>108</v>
      </c>
      <c r="E11" s="8"/>
      <c r="F11" s="9"/>
      <c r="G11" s="9"/>
      <c r="H11" s="10"/>
      <c r="I11" s="11"/>
      <c r="J11" s="47"/>
    </row>
    <row r="12" spans="1:10" ht="54" customHeight="1" x14ac:dyDescent="0.4">
      <c r="A12" s="8" t="s">
        <v>37</v>
      </c>
      <c r="B12" s="6">
        <v>100899</v>
      </c>
      <c r="C12" s="8" t="s">
        <v>164</v>
      </c>
      <c r="D12" s="12" t="s">
        <v>12</v>
      </c>
      <c r="E12" s="8" t="s">
        <v>13</v>
      </c>
      <c r="F12" s="9">
        <f>(1125/3+1)*2.5</f>
        <v>940</v>
      </c>
      <c r="G12" s="9"/>
      <c r="H12" s="10">
        <f t="shared" si="0"/>
        <v>0</v>
      </c>
      <c r="I12" s="11">
        <f t="shared" si="1"/>
        <v>0</v>
      </c>
      <c r="J12" s="2"/>
    </row>
    <row r="13" spans="1:10" ht="30" customHeight="1" x14ac:dyDescent="0.4">
      <c r="A13" s="8" t="s">
        <v>38</v>
      </c>
      <c r="B13" s="6">
        <v>96621</v>
      </c>
      <c r="C13" s="8" t="s">
        <v>164</v>
      </c>
      <c r="D13" s="12" t="s">
        <v>14</v>
      </c>
      <c r="E13" s="8" t="s">
        <v>15</v>
      </c>
      <c r="F13" s="9">
        <f>ROUNDUP(1125/12+1,0)*(0.05*0.6*0.6)</f>
        <v>1.71</v>
      </c>
      <c r="G13" s="9"/>
      <c r="H13" s="10">
        <f t="shared" si="0"/>
        <v>0</v>
      </c>
      <c r="I13" s="11">
        <f t="shared" si="1"/>
        <v>0</v>
      </c>
    </row>
    <row r="14" spans="1:10" ht="30" customHeight="1" x14ac:dyDescent="0.4">
      <c r="A14" s="8" t="s">
        <v>39</v>
      </c>
      <c r="B14" s="6">
        <v>95601</v>
      </c>
      <c r="C14" s="8" t="s">
        <v>164</v>
      </c>
      <c r="D14" s="12" t="s">
        <v>16</v>
      </c>
      <c r="E14" s="8" t="s">
        <v>17</v>
      </c>
      <c r="F14" s="9">
        <f>(1125/3+1)</f>
        <v>376</v>
      </c>
      <c r="G14" s="9"/>
      <c r="H14" s="10">
        <f t="shared" si="0"/>
        <v>0</v>
      </c>
      <c r="I14" s="11">
        <f t="shared" si="1"/>
        <v>0</v>
      </c>
    </row>
    <row r="15" spans="1:10" ht="18" customHeight="1" x14ac:dyDescent="0.4">
      <c r="A15" s="5" t="s">
        <v>40</v>
      </c>
      <c r="B15" s="6"/>
      <c r="C15" s="8"/>
      <c r="D15" s="7" t="s">
        <v>18</v>
      </c>
      <c r="E15" s="8"/>
      <c r="F15" s="9"/>
      <c r="G15" s="9"/>
      <c r="H15" s="10"/>
      <c r="I15" s="11"/>
    </row>
    <row r="16" spans="1:10" ht="69" customHeight="1" x14ac:dyDescent="0.4">
      <c r="A16" s="8" t="s">
        <v>41</v>
      </c>
      <c r="B16" s="6">
        <v>90105</v>
      </c>
      <c r="C16" s="8" t="s">
        <v>164</v>
      </c>
      <c r="D16" s="12" t="s">
        <v>19</v>
      </c>
      <c r="E16" s="8" t="s">
        <v>15</v>
      </c>
      <c r="F16" s="9">
        <f>1125*0.35*0.6</f>
        <v>236.25</v>
      </c>
      <c r="G16" s="9"/>
      <c r="H16" s="10">
        <f t="shared" si="0"/>
        <v>0</v>
      </c>
      <c r="I16" s="11">
        <f t="shared" si="1"/>
        <v>0</v>
      </c>
    </row>
    <row r="17" spans="1:15" ht="30" customHeight="1" x14ac:dyDescent="0.4">
      <c r="A17" s="8" t="s">
        <v>42</v>
      </c>
      <c r="B17" s="13">
        <v>93382</v>
      </c>
      <c r="C17" s="8" t="s">
        <v>164</v>
      </c>
      <c r="D17" s="12" t="s">
        <v>20</v>
      </c>
      <c r="E17" s="8" t="s">
        <v>15</v>
      </c>
      <c r="F17" s="10">
        <f>ROUND(F16-(1125*0.35*0.25),2)</f>
        <v>137.81</v>
      </c>
      <c r="G17" s="9"/>
      <c r="H17" s="10">
        <f t="shared" si="0"/>
        <v>0</v>
      </c>
      <c r="I17" s="11">
        <f t="shared" si="1"/>
        <v>0</v>
      </c>
    </row>
    <row r="18" spans="1:15" ht="18" customHeight="1" x14ac:dyDescent="0.4">
      <c r="A18" s="5" t="s">
        <v>43</v>
      </c>
      <c r="B18" s="9"/>
      <c r="C18" s="8"/>
      <c r="D18" s="7" t="s">
        <v>21</v>
      </c>
      <c r="E18" s="8"/>
      <c r="F18" s="9"/>
      <c r="G18" s="9"/>
      <c r="H18" s="10"/>
      <c r="I18" s="11"/>
    </row>
    <row r="19" spans="1:15" ht="42" customHeight="1" x14ac:dyDescent="0.4">
      <c r="A19" s="8" t="s">
        <v>44</v>
      </c>
      <c r="B19" s="9">
        <v>96534</v>
      </c>
      <c r="C19" s="8" t="s">
        <v>164</v>
      </c>
      <c r="D19" s="12" t="s">
        <v>22</v>
      </c>
      <c r="E19" s="8" t="s">
        <v>8</v>
      </c>
      <c r="F19" s="9">
        <f>(ROUNDUP(1125/12+1,0)*0.4*(0.6+0.6+0.6+0.6))/4</f>
        <v>22.8</v>
      </c>
      <c r="G19" s="9"/>
      <c r="H19" s="10">
        <f t="shared" si="0"/>
        <v>0</v>
      </c>
      <c r="I19" s="11">
        <f t="shared" si="1"/>
        <v>0</v>
      </c>
      <c r="J19" s="50"/>
      <c r="K19" s="50"/>
      <c r="L19" s="50"/>
      <c r="M19" s="50"/>
      <c r="N19" s="50"/>
    </row>
    <row r="20" spans="1:15" ht="42" customHeight="1" x14ac:dyDescent="0.4">
      <c r="A20" s="8" t="s">
        <v>45</v>
      </c>
      <c r="B20" s="9">
        <v>96536</v>
      </c>
      <c r="C20" s="8" t="s">
        <v>164</v>
      </c>
      <c r="D20" s="12" t="s">
        <v>23</v>
      </c>
      <c r="E20" s="8" t="s">
        <v>8</v>
      </c>
      <c r="F20" s="9">
        <f>(1125-(95*0.6))*2*0.4/4</f>
        <v>213.60000000000002</v>
      </c>
      <c r="G20" s="9"/>
      <c r="H20" s="10">
        <f t="shared" si="0"/>
        <v>0</v>
      </c>
      <c r="I20" s="11">
        <f t="shared" si="1"/>
        <v>0</v>
      </c>
      <c r="J20" s="50"/>
      <c r="K20" s="50"/>
      <c r="L20" s="50"/>
      <c r="M20" s="50"/>
      <c r="N20" s="50"/>
    </row>
    <row r="21" spans="1:15" ht="30" customHeight="1" x14ac:dyDescent="0.4">
      <c r="A21" s="8" t="s">
        <v>46</v>
      </c>
      <c r="B21" s="9">
        <v>96543</v>
      </c>
      <c r="C21" s="8" t="s">
        <v>164</v>
      </c>
      <c r="D21" s="12" t="s">
        <v>24</v>
      </c>
      <c r="E21" s="8" t="s">
        <v>25</v>
      </c>
      <c r="F21" s="10">
        <f>1334.26*1.1</f>
        <v>1467.6860000000001</v>
      </c>
      <c r="G21" s="9"/>
      <c r="H21" s="10">
        <f t="shared" si="0"/>
        <v>0</v>
      </c>
      <c r="I21" s="11">
        <f t="shared" si="1"/>
        <v>0</v>
      </c>
      <c r="J21" s="50"/>
      <c r="K21" s="50"/>
      <c r="L21" s="50"/>
      <c r="M21" s="50"/>
      <c r="N21" s="50"/>
    </row>
    <row r="22" spans="1:15" ht="30" customHeight="1" x14ac:dyDescent="0.4">
      <c r="A22" s="8" t="s">
        <v>47</v>
      </c>
      <c r="B22" s="9">
        <v>96545</v>
      </c>
      <c r="C22" s="8" t="s">
        <v>164</v>
      </c>
      <c r="D22" s="24" t="s">
        <v>26</v>
      </c>
      <c r="E22" s="8" t="s">
        <v>25</v>
      </c>
      <c r="F22" s="10">
        <f>(((3*1.69)+(3*1.66)+(2*2.14))*0.395*4*95*1.1)+(5*12*0.395*95*1.1)</f>
        <v>4842.676300000001</v>
      </c>
      <c r="G22" s="9"/>
      <c r="H22" s="10">
        <f t="shared" si="0"/>
        <v>0</v>
      </c>
      <c r="I22" s="11">
        <f t="shared" si="1"/>
        <v>0</v>
      </c>
      <c r="J22" s="50"/>
      <c r="K22" s="50"/>
      <c r="L22" s="50"/>
      <c r="M22" s="50"/>
      <c r="N22" s="50"/>
    </row>
    <row r="23" spans="1:15" ht="42" customHeight="1" x14ac:dyDescent="0.4">
      <c r="A23" s="8" t="s">
        <v>48</v>
      </c>
      <c r="B23" s="9">
        <v>96622</v>
      </c>
      <c r="C23" s="8" t="s">
        <v>164</v>
      </c>
      <c r="D23" s="12" t="s">
        <v>27</v>
      </c>
      <c r="E23" s="8" t="s">
        <v>15</v>
      </c>
      <c r="F23" s="10">
        <f>(1125-(95*0.6))*(0.05*0.25)</f>
        <v>13.350000000000001</v>
      </c>
      <c r="G23" s="9"/>
      <c r="H23" s="10">
        <f t="shared" si="0"/>
        <v>0</v>
      </c>
      <c r="I23" s="11">
        <f t="shared" si="1"/>
        <v>0</v>
      </c>
      <c r="J23" s="50"/>
      <c r="K23" s="50"/>
      <c r="L23" s="50"/>
      <c r="M23" s="50"/>
      <c r="N23" s="50"/>
    </row>
    <row r="24" spans="1:15" ht="30" customHeight="1" x14ac:dyDescent="0.4">
      <c r="A24" s="8" t="s">
        <v>58</v>
      </c>
      <c r="B24" s="9">
        <v>89996</v>
      </c>
      <c r="C24" s="8" t="s">
        <v>164</v>
      </c>
      <c r="D24" s="12" t="s">
        <v>55</v>
      </c>
      <c r="E24" s="8" t="s">
        <v>25</v>
      </c>
      <c r="F24" s="10">
        <f>(1.6+2)*0.617*2*10*95*1.1</f>
        <v>4642.308</v>
      </c>
      <c r="G24" s="9"/>
      <c r="H24" s="10">
        <f t="shared" si="0"/>
        <v>0</v>
      </c>
      <c r="I24" s="11">
        <f t="shared" si="1"/>
        <v>0</v>
      </c>
      <c r="J24" s="50"/>
      <c r="K24" s="50"/>
      <c r="L24" s="50"/>
      <c r="M24" s="50"/>
      <c r="N24" s="50"/>
    </row>
    <row r="25" spans="1:15" ht="30" customHeight="1" x14ac:dyDescent="0.4">
      <c r="A25" s="8" t="s">
        <v>60</v>
      </c>
      <c r="B25" s="9">
        <v>89999</v>
      </c>
      <c r="C25" s="8" t="s">
        <v>164</v>
      </c>
      <c r="D25" s="12" t="s">
        <v>54</v>
      </c>
      <c r="E25" s="8" t="s">
        <v>25</v>
      </c>
      <c r="F25" s="10">
        <f>900.6*1.1</f>
        <v>990.66000000000008</v>
      </c>
      <c r="G25" s="9"/>
      <c r="H25" s="10">
        <f t="shared" si="0"/>
        <v>0</v>
      </c>
      <c r="I25" s="11">
        <f t="shared" si="1"/>
        <v>0</v>
      </c>
      <c r="J25" s="50"/>
      <c r="K25" s="50"/>
      <c r="L25" s="50"/>
      <c r="M25" s="50"/>
      <c r="N25" s="50"/>
    </row>
    <row r="26" spans="1:15" ht="42" customHeight="1" x14ac:dyDescent="0.4">
      <c r="A26" s="8" t="s">
        <v>59</v>
      </c>
      <c r="B26" s="9">
        <v>92759</v>
      </c>
      <c r="C26" s="8" t="s">
        <v>164</v>
      </c>
      <c r="D26" s="12" t="s">
        <v>56</v>
      </c>
      <c r="E26" s="8" t="s">
        <v>25</v>
      </c>
      <c r="F26" s="10">
        <f>490.837*1.1</f>
        <v>539.92070000000001</v>
      </c>
      <c r="G26" s="9"/>
      <c r="H26" s="10">
        <f t="shared" si="0"/>
        <v>0</v>
      </c>
      <c r="I26" s="11">
        <f t="shared" si="1"/>
        <v>0</v>
      </c>
      <c r="J26" s="50"/>
      <c r="K26" s="50"/>
      <c r="L26" s="50"/>
      <c r="M26" s="50"/>
      <c r="N26" s="50"/>
    </row>
    <row r="27" spans="1:15" ht="42" customHeight="1" x14ac:dyDescent="0.4">
      <c r="A27" s="8" t="s">
        <v>61</v>
      </c>
      <c r="B27" s="9">
        <v>92761</v>
      </c>
      <c r="C27" s="8" t="s">
        <v>164</v>
      </c>
      <c r="D27" s="12" t="s">
        <v>57</v>
      </c>
      <c r="E27" s="8" t="s">
        <v>25</v>
      </c>
      <c r="F27" s="9">
        <f>1801.2*1.1</f>
        <v>1981.3200000000002</v>
      </c>
      <c r="G27" s="9"/>
      <c r="H27" s="10">
        <f t="shared" si="0"/>
        <v>0</v>
      </c>
      <c r="I27" s="11">
        <f t="shared" si="1"/>
        <v>0</v>
      </c>
      <c r="J27" s="50"/>
      <c r="K27" s="50"/>
      <c r="L27" s="50"/>
      <c r="M27" s="50"/>
      <c r="N27" s="50"/>
    </row>
    <row r="28" spans="1:15" ht="42.75" customHeight="1" x14ac:dyDescent="0.4">
      <c r="A28" s="17" t="s">
        <v>62</v>
      </c>
      <c r="B28" s="9">
        <v>96555</v>
      </c>
      <c r="C28" s="8" t="s">
        <v>164</v>
      </c>
      <c r="D28" s="24" t="s">
        <v>79</v>
      </c>
      <c r="E28" s="8" t="s">
        <v>15</v>
      </c>
      <c r="F28" s="10">
        <f>((1125-(95*0.6*4))*0.4*0.25*1.05)+(0.6*0.6*0.4*4*95*1.05)</f>
        <v>151.64100000000002</v>
      </c>
      <c r="G28" s="9"/>
      <c r="H28" s="10">
        <f t="shared" si="0"/>
        <v>0</v>
      </c>
      <c r="I28" s="11">
        <f t="shared" si="1"/>
        <v>0</v>
      </c>
      <c r="J28" s="50"/>
      <c r="K28" s="50"/>
      <c r="L28" s="50"/>
      <c r="M28" s="50"/>
      <c r="N28" s="50"/>
    </row>
    <row r="29" spans="1:15" ht="42" customHeight="1" x14ac:dyDescent="0.4">
      <c r="A29" s="8" t="s">
        <v>63</v>
      </c>
      <c r="B29" s="9">
        <v>103672</v>
      </c>
      <c r="C29" s="8" t="s">
        <v>164</v>
      </c>
      <c r="D29" s="12" t="s">
        <v>98</v>
      </c>
      <c r="E29" s="8" t="s">
        <v>15</v>
      </c>
      <c r="F29" s="10">
        <f>95*10*2.8*(0.14*0.14)*1.05</f>
        <v>54.74280000000001</v>
      </c>
      <c r="G29" s="9"/>
      <c r="H29" s="10">
        <f t="shared" si="0"/>
        <v>0</v>
      </c>
      <c r="I29" s="11">
        <f t="shared" si="1"/>
        <v>0</v>
      </c>
      <c r="J29" s="50"/>
      <c r="K29" s="50"/>
      <c r="L29" s="50"/>
      <c r="M29" s="50"/>
      <c r="N29" s="50"/>
    </row>
    <row r="30" spans="1:15" ht="42.75" customHeight="1" x14ac:dyDescent="0.4">
      <c r="A30" s="8" t="s">
        <v>64</v>
      </c>
      <c r="B30" s="9">
        <v>102482</v>
      </c>
      <c r="C30" s="8" t="s">
        <v>164</v>
      </c>
      <c r="D30" s="12" t="s">
        <v>99</v>
      </c>
      <c r="E30" s="8" t="s">
        <v>15</v>
      </c>
      <c r="F30" s="10">
        <f>2*(0.16*0.14)*1125*1.05</f>
        <v>52.920000000000009</v>
      </c>
      <c r="G30" s="9"/>
      <c r="H30" s="10">
        <f t="shared" si="0"/>
        <v>0</v>
      </c>
      <c r="I30" s="11">
        <f t="shared" si="1"/>
        <v>0</v>
      </c>
      <c r="J30" s="50"/>
      <c r="K30" s="50"/>
      <c r="L30" s="50"/>
      <c r="M30" s="50"/>
      <c r="N30" s="50"/>
    </row>
    <row r="31" spans="1:15" ht="30" customHeight="1" x14ac:dyDescent="0.4">
      <c r="A31" s="8" t="s">
        <v>80</v>
      </c>
      <c r="B31" s="9">
        <v>103670</v>
      </c>
      <c r="C31" s="8" t="s">
        <v>164</v>
      </c>
      <c r="D31" s="12" t="s">
        <v>102</v>
      </c>
      <c r="E31" s="8" t="s">
        <v>15</v>
      </c>
      <c r="F31" s="9">
        <f>F30</f>
        <v>52.920000000000009</v>
      </c>
      <c r="G31" s="9"/>
      <c r="H31" s="10">
        <f t="shared" si="0"/>
        <v>0</v>
      </c>
      <c r="I31" s="11">
        <f t="shared" si="1"/>
        <v>0</v>
      </c>
      <c r="J31" s="50"/>
      <c r="K31" s="50"/>
      <c r="L31" s="50"/>
      <c r="M31" s="50"/>
      <c r="N31" s="50"/>
    </row>
    <row r="32" spans="1:15" ht="18" customHeight="1" x14ac:dyDescent="0.4">
      <c r="A32" s="14" t="s">
        <v>30</v>
      </c>
      <c r="B32" s="9"/>
      <c r="C32" s="8"/>
      <c r="D32" s="7" t="s">
        <v>28</v>
      </c>
      <c r="E32" s="8"/>
      <c r="F32" s="9"/>
      <c r="G32" s="9"/>
      <c r="H32" s="10"/>
      <c r="I32" s="11"/>
      <c r="J32" s="49"/>
      <c r="K32" s="53"/>
      <c r="L32" s="53"/>
      <c r="M32" s="53"/>
      <c r="N32" s="53"/>
      <c r="O32" s="51"/>
    </row>
    <row r="33" spans="1:9" ht="30" customHeight="1" x14ac:dyDescent="0.4">
      <c r="A33" s="8" t="s">
        <v>31</v>
      </c>
      <c r="B33" s="9">
        <v>98557</v>
      </c>
      <c r="C33" s="8" t="s">
        <v>164</v>
      </c>
      <c r="D33" s="12" t="s">
        <v>29</v>
      </c>
      <c r="E33" s="8" t="s">
        <v>8</v>
      </c>
      <c r="F33" s="9">
        <f>((1125-(95*0.6))*(0.25+0.4+0.4))+(0.6*0.4*4+0.6*0.6)*95</f>
        <v>1246.8000000000002</v>
      </c>
      <c r="G33" s="9"/>
      <c r="H33" s="10">
        <f t="shared" si="0"/>
        <v>0</v>
      </c>
      <c r="I33" s="11">
        <f t="shared" si="1"/>
        <v>0</v>
      </c>
    </row>
    <row r="34" spans="1:9" ht="18" customHeight="1" x14ac:dyDescent="0.4">
      <c r="A34" s="8" t="s">
        <v>52</v>
      </c>
      <c r="B34" s="9"/>
      <c r="C34" s="8"/>
      <c r="D34" s="7" t="s">
        <v>51</v>
      </c>
      <c r="E34" s="8"/>
      <c r="F34" s="9"/>
      <c r="G34" s="9"/>
      <c r="H34" s="10"/>
      <c r="I34" s="11"/>
    </row>
    <row r="35" spans="1:9" ht="54" customHeight="1" x14ac:dyDescent="0.4">
      <c r="A35" s="8" t="s">
        <v>49</v>
      </c>
      <c r="B35" s="9">
        <v>103320</v>
      </c>
      <c r="C35" s="8" t="s">
        <v>164</v>
      </c>
      <c r="D35" s="12" t="s">
        <v>50</v>
      </c>
      <c r="E35" s="8" t="s">
        <v>8</v>
      </c>
      <c r="F35" s="10">
        <f>(1125+(95*0.2*2))*2.8-(1125*0.4)</f>
        <v>2806.3999999999996</v>
      </c>
      <c r="G35" s="9"/>
      <c r="H35" s="10">
        <f t="shared" si="0"/>
        <v>0</v>
      </c>
      <c r="I35" s="11">
        <f t="shared" si="1"/>
        <v>0</v>
      </c>
    </row>
    <row r="36" spans="1:9" ht="42" customHeight="1" x14ac:dyDescent="0.4">
      <c r="A36" s="8" t="s">
        <v>53</v>
      </c>
      <c r="B36" s="23" t="s">
        <v>250</v>
      </c>
      <c r="C36" s="100" t="s">
        <v>166</v>
      </c>
      <c r="D36" s="12" t="s">
        <v>103</v>
      </c>
      <c r="E36" s="8" t="s">
        <v>13</v>
      </c>
      <c r="F36" s="10">
        <f>1125*2</f>
        <v>2250</v>
      </c>
      <c r="G36" s="9"/>
      <c r="H36" s="10">
        <f t="shared" si="0"/>
        <v>0</v>
      </c>
      <c r="I36" s="11">
        <f t="shared" si="1"/>
        <v>0</v>
      </c>
    </row>
    <row r="37" spans="1:9" ht="18" customHeight="1" x14ac:dyDescent="0.4">
      <c r="A37" s="8" t="s">
        <v>133</v>
      </c>
      <c r="B37" s="23"/>
      <c r="C37" s="8"/>
      <c r="D37" s="7" t="s">
        <v>132</v>
      </c>
      <c r="E37" s="8"/>
      <c r="F37" s="10"/>
      <c r="G37" s="9"/>
      <c r="H37" s="10"/>
      <c r="I37" s="11"/>
    </row>
    <row r="38" spans="1:9" ht="42" customHeight="1" x14ac:dyDescent="0.4">
      <c r="A38" s="8" t="s">
        <v>134</v>
      </c>
      <c r="B38" s="23"/>
      <c r="C38" s="8" t="s">
        <v>155</v>
      </c>
      <c r="D38" s="12" t="s">
        <v>157</v>
      </c>
      <c r="E38" s="8" t="s">
        <v>13</v>
      </c>
      <c r="F38" s="10">
        <v>1125</v>
      </c>
      <c r="G38" s="9"/>
      <c r="H38" s="10">
        <f t="shared" si="0"/>
        <v>0</v>
      </c>
      <c r="I38" s="11">
        <f t="shared" si="1"/>
        <v>0</v>
      </c>
    </row>
    <row r="39" spans="1:9" ht="42.75" customHeight="1" x14ac:dyDescent="0.4">
      <c r="A39" s="8" t="s">
        <v>135</v>
      </c>
      <c r="B39" s="9">
        <v>2001004040</v>
      </c>
      <c r="C39" s="8" t="s">
        <v>165</v>
      </c>
      <c r="D39" s="12" t="s">
        <v>159</v>
      </c>
      <c r="E39" s="8" t="s">
        <v>13</v>
      </c>
      <c r="F39" s="10">
        <f>1125+12</f>
        <v>1137</v>
      </c>
      <c r="G39" s="10"/>
      <c r="H39" s="10">
        <f t="shared" si="0"/>
        <v>0</v>
      </c>
      <c r="I39" s="11">
        <f t="shared" si="1"/>
        <v>0</v>
      </c>
    </row>
    <row r="40" spans="1:9" ht="54" customHeight="1" x14ac:dyDescent="0.4">
      <c r="A40" s="8" t="s">
        <v>136</v>
      </c>
      <c r="B40" s="9">
        <v>100759</v>
      </c>
      <c r="C40" s="8" t="s">
        <v>164</v>
      </c>
      <c r="D40" s="12" t="s">
        <v>150</v>
      </c>
      <c r="E40" s="8" t="s">
        <v>8</v>
      </c>
      <c r="F40" s="10">
        <f>12*3</f>
        <v>36</v>
      </c>
      <c r="G40" s="10"/>
      <c r="H40" s="10">
        <f t="shared" si="0"/>
        <v>0</v>
      </c>
      <c r="I40" s="11">
        <f t="shared" si="1"/>
        <v>0</v>
      </c>
    </row>
    <row r="41" spans="1:9" ht="18" customHeight="1" x14ac:dyDescent="0.4">
      <c r="A41" s="8" t="s">
        <v>138</v>
      </c>
      <c r="B41" s="9"/>
      <c r="C41" s="8"/>
      <c r="D41" s="7" t="s">
        <v>137</v>
      </c>
      <c r="E41" s="8"/>
      <c r="F41" s="10"/>
      <c r="G41" s="10"/>
      <c r="H41" s="10"/>
      <c r="I41" s="11"/>
    </row>
    <row r="42" spans="1:9" ht="18" customHeight="1" x14ac:dyDescent="0.4">
      <c r="A42" s="8" t="s">
        <v>139</v>
      </c>
      <c r="B42" s="9">
        <v>98519</v>
      </c>
      <c r="C42" s="8" t="s">
        <v>164</v>
      </c>
      <c r="D42" s="9" t="s">
        <v>7</v>
      </c>
      <c r="E42" s="8" t="s">
        <v>8</v>
      </c>
      <c r="F42" s="10">
        <f>1125*3</f>
        <v>3375</v>
      </c>
      <c r="G42" s="10"/>
      <c r="H42" s="10">
        <f t="shared" si="0"/>
        <v>0</v>
      </c>
      <c r="I42" s="11">
        <f t="shared" ref="I42" si="2">F42*H42</f>
        <v>0</v>
      </c>
    </row>
    <row r="43" spans="1:9" ht="12" customHeight="1" x14ac:dyDescent="0.4">
      <c r="A43" s="8"/>
      <c r="B43" s="9"/>
      <c r="C43" s="6"/>
      <c r="D43" s="9"/>
      <c r="E43" s="8"/>
      <c r="F43" s="9"/>
      <c r="G43" s="9"/>
      <c r="H43" s="9"/>
      <c r="I43" s="11"/>
    </row>
    <row r="44" spans="1:9" ht="18" customHeight="1" x14ac:dyDescent="0.4">
      <c r="A44" s="103" t="s">
        <v>256</v>
      </c>
      <c r="B44" s="104"/>
      <c r="C44" s="104"/>
      <c r="D44" s="104"/>
      <c r="E44" s="104"/>
      <c r="F44" s="104"/>
      <c r="G44" s="104"/>
      <c r="H44" s="105"/>
      <c r="I44" s="66">
        <f>SUM(I5:I43)</f>
        <v>0</v>
      </c>
    </row>
    <row r="45" spans="1:9" x14ac:dyDescent="0.4">
      <c r="A45" s="4"/>
      <c r="B45" s="3"/>
      <c r="C45" s="3"/>
      <c r="D45" s="3"/>
      <c r="E45" s="4"/>
      <c r="F45" s="3"/>
      <c r="G45" s="3"/>
      <c r="H45" s="3"/>
      <c r="I45" s="3"/>
    </row>
    <row r="46" spans="1:9" x14ac:dyDescent="0.4">
      <c r="A46" s="4"/>
      <c r="B46" s="3"/>
      <c r="C46" s="3"/>
      <c r="D46" s="3"/>
      <c r="E46" s="4"/>
      <c r="F46" s="3"/>
      <c r="G46" s="3"/>
      <c r="H46" s="3"/>
      <c r="I46" s="3"/>
    </row>
    <row r="47" spans="1:9" x14ac:dyDescent="0.4">
      <c r="A47" s="1"/>
      <c r="E47" s="1"/>
    </row>
    <row r="48" spans="1:9" x14ac:dyDescent="0.4">
      <c r="A48" s="1"/>
      <c r="E48" s="1"/>
    </row>
    <row r="49" spans="1:5" x14ac:dyDescent="0.4">
      <c r="A49" s="1"/>
      <c r="E49" s="1"/>
    </row>
    <row r="50" spans="1:5" x14ac:dyDescent="0.4">
      <c r="A50" s="1"/>
      <c r="E50" s="1"/>
    </row>
  </sheetData>
  <mergeCells count="2">
    <mergeCell ref="A44:H44"/>
    <mergeCell ref="A1:I1"/>
  </mergeCells>
  <pageMargins left="0.25" right="0.25" top="0.75" bottom="0.75" header="0.3" footer="0.3"/>
  <pageSetup paperSize="9" scale="80" orientation="landscape" horizontalDpi="4294967293" verticalDpi="4294967293" r:id="rId1"/>
  <rowBreaks count="2" manualBreakCount="2">
    <brk id="17" max="16383" man="1"/>
    <brk id="3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80"/>
  <sheetViews>
    <sheetView topLeftCell="A70" zoomScaleNormal="100" workbookViewId="0">
      <selection activeCell="B103" sqref="B103"/>
    </sheetView>
  </sheetViews>
  <sheetFormatPr defaultRowHeight="14.6" x14ac:dyDescent="0.4"/>
  <cols>
    <col min="1" max="1" width="7.69140625" customWidth="1"/>
    <col min="2" max="2" width="128.3046875" customWidth="1"/>
  </cols>
  <sheetData>
    <row r="1" spans="1:2" ht="126.75" customHeight="1" x14ac:dyDescent="0.4">
      <c r="A1" s="108"/>
      <c r="B1" s="108"/>
    </row>
    <row r="2" spans="1:2" ht="0.75" customHeight="1" x14ac:dyDescent="0.4">
      <c r="A2" s="106"/>
      <c r="B2" s="107"/>
    </row>
    <row r="3" spans="1:2" ht="18" customHeight="1" x14ac:dyDescent="0.4">
      <c r="A3" s="16" t="s">
        <v>0</v>
      </c>
      <c r="B3" s="16" t="s">
        <v>2</v>
      </c>
    </row>
    <row r="4" spans="1:2" ht="18" customHeight="1" x14ac:dyDescent="0.4">
      <c r="A4" s="18" t="s">
        <v>32</v>
      </c>
      <c r="B4" s="7" t="s">
        <v>6</v>
      </c>
    </row>
    <row r="5" spans="1:2" ht="18" customHeight="1" x14ac:dyDescent="0.4">
      <c r="A5" s="17" t="s">
        <v>33</v>
      </c>
      <c r="B5" s="9" t="s">
        <v>7</v>
      </c>
    </row>
    <row r="6" spans="1:2" ht="18" customHeight="1" x14ac:dyDescent="0.4">
      <c r="A6" s="17"/>
      <c r="B6" s="19" t="s">
        <v>154</v>
      </c>
    </row>
    <row r="7" spans="1:2" x14ac:dyDescent="0.4">
      <c r="A7" s="17"/>
      <c r="B7" s="9"/>
    </row>
    <row r="8" spans="1:2" ht="30" customHeight="1" x14ac:dyDescent="0.4">
      <c r="A8" s="17" t="s">
        <v>34</v>
      </c>
      <c r="B8" s="12" t="s">
        <v>9</v>
      </c>
    </row>
    <row r="9" spans="1:2" ht="18" customHeight="1" x14ac:dyDescent="0.4">
      <c r="A9" s="17"/>
      <c r="B9" s="19" t="s">
        <v>67</v>
      </c>
    </row>
    <row r="10" spans="1:2" x14ac:dyDescent="0.4">
      <c r="A10" s="17"/>
      <c r="B10" s="9"/>
    </row>
    <row r="11" spans="1:2" ht="18" customHeight="1" x14ac:dyDescent="0.4">
      <c r="A11" s="17" t="s">
        <v>35</v>
      </c>
      <c r="B11" s="12" t="s">
        <v>10</v>
      </c>
    </row>
    <row r="12" spans="1:2" ht="18" customHeight="1" x14ac:dyDescent="0.4">
      <c r="A12" s="17"/>
      <c r="B12" s="19" t="s">
        <v>68</v>
      </c>
    </row>
    <row r="13" spans="1:2" x14ac:dyDescent="0.4">
      <c r="A13" s="17"/>
      <c r="B13" s="19"/>
    </row>
    <row r="14" spans="1:2" ht="18" customHeight="1" x14ac:dyDescent="0.4">
      <c r="A14" s="17" t="s">
        <v>83</v>
      </c>
      <c r="B14" s="12" t="s">
        <v>84</v>
      </c>
    </row>
    <row r="15" spans="1:2" ht="18" customHeight="1" x14ac:dyDescent="0.4">
      <c r="A15" s="17"/>
      <c r="B15" s="19" t="s">
        <v>67</v>
      </c>
    </row>
    <row r="16" spans="1:2" x14ac:dyDescent="0.4">
      <c r="A16" s="17"/>
      <c r="B16" s="9"/>
    </row>
    <row r="17" spans="1:2" ht="18" customHeight="1" x14ac:dyDescent="0.4">
      <c r="A17" s="18" t="s">
        <v>36</v>
      </c>
      <c r="B17" s="7" t="s">
        <v>11</v>
      </c>
    </row>
    <row r="18" spans="1:2" ht="30" customHeight="1" x14ac:dyDescent="0.4">
      <c r="A18" s="17" t="s">
        <v>37</v>
      </c>
      <c r="B18" s="12" t="s">
        <v>12</v>
      </c>
    </row>
    <row r="19" spans="1:2" ht="18" customHeight="1" x14ac:dyDescent="0.4">
      <c r="A19" s="17"/>
      <c r="B19" s="19" t="s">
        <v>69</v>
      </c>
    </row>
    <row r="20" spans="1:2" x14ac:dyDescent="0.4">
      <c r="A20" s="17"/>
      <c r="B20" s="9"/>
    </row>
    <row r="21" spans="1:2" ht="18" customHeight="1" x14ac:dyDescent="0.4">
      <c r="A21" s="17" t="s">
        <v>38</v>
      </c>
      <c r="B21" s="12" t="s">
        <v>14</v>
      </c>
    </row>
    <row r="22" spans="1:2" ht="18" customHeight="1" x14ac:dyDescent="0.4">
      <c r="A22" s="17"/>
      <c r="B22" s="19" t="s">
        <v>70</v>
      </c>
    </row>
    <row r="23" spans="1:2" x14ac:dyDescent="0.4">
      <c r="A23" s="17"/>
      <c r="B23" s="9"/>
    </row>
    <row r="24" spans="1:2" ht="18" customHeight="1" x14ac:dyDescent="0.4">
      <c r="A24" s="17" t="s">
        <v>39</v>
      </c>
      <c r="B24" s="9" t="s">
        <v>16</v>
      </c>
    </row>
    <row r="25" spans="1:2" ht="18" customHeight="1" x14ac:dyDescent="0.4">
      <c r="A25" s="17"/>
      <c r="B25" s="19" t="s">
        <v>71</v>
      </c>
    </row>
    <row r="26" spans="1:2" x14ac:dyDescent="0.4">
      <c r="A26" s="17"/>
      <c r="B26" s="9"/>
    </row>
    <row r="27" spans="1:2" ht="18" customHeight="1" x14ac:dyDescent="0.4">
      <c r="A27" s="18" t="s">
        <v>40</v>
      </c>
      <c r="B27" s="7" t="s">
        <v>18</v>
      </c>
    </row>
    <row r="28" spans="1:2" ht="30" customHeight="1" x14ac:dyDescent="0.4">
      <c r="A28" s="17" t="s">
        <v>41</v>
      </c>
      <c r="B28" s="12" t="s">
        <v>19</v>
      </c>
    </row>
    <row r="29" spans="1:2" ht="18" customHeight="1" x14ac:dyDescent="0.4">
      <c r="A29" s="17"/>
      <c r="B29" s="19" t="s">
        <v>72</v>
      </c>
    </row>
    <row r="30" spans="1:2" x14ac:dyDescent="0.4">
      <c r="A30" s="17"/>
      <c r="B30" s="9"/>
    </row>
    <row r="31" spans="1:2" ht="18" customHeight="1" x14ac:dyDescent="0.4">
      <c r="A31" s="17" t="s">
        <v>42</v>
      </c>
      <c r="B31" s="9" t="s">
        <v>20</v>
      </c>
    </row>
    <row r="32" spans="1:2" ht="18" customHeight="1" x14ac:dyDescent="0.4">
      <c r="A32" s="17"/>
      <c r="B32" s="19" t="s">
        <v>73</v>
      </c>
    </row>
    <row r="33" spans="1:2" x14ac:dyDescent="0.4">
      <c r="A33" s="17"/>
      <c r="B33" s="9"/>
    </row>
    <row r="34" spans="1:2" ht="18" customHeight="1" x14ac:dyDescent="0.4">
      <c r="A34" s="18" t="s">
        <v>43</v>
      </c>
      <c r="B34" s="7" t="s">
        <v>21</v>
      </c>
    </row>
    <row r="35" spans="1:2" ht="18" customHeight="1" x14ac:dyDescent="0.4">
      <c r="A35" s="17" t="s">
        <v>44</v>
      </c>
      <c r="B35" s="9" t="s">
        <v>91</v>
      </c>
    </row>
    <row r="36" spans="1:2" ht="18" customHeight="1" x14ac:dyDescent="0.4">
      <c r="A36" s="20"/>
      <c r="B36" s="19" t="s">
        <v>74</v>
      </c>
    </row>
    <row r="37" spans="1:2" x14ac:dyDescent="0.4">
      <c r="A37" s="21"/>
      <c r="B37" s="21"/>
    </row>
    <row r="38" spans="1:2" ht="30" customHeight="1" x14ac:dyDescent="0.4">
      <c r="A38" s="17" t="s">
        <v>45</v>
      </c>
      <c r="B38" s="12" t="s">
        <v>23</v>
      </c>
    </row>
    <row r="39" spans="1:2" ht="30" customHeight="1" x14ac:dyDescent="0.4">
      <c r="A39" s="21"/>
      <c r="B39" s="22" t="s">
        <v>75</v>
      </c>
    </row>
    <row r="40" spans="1:2" x14ac:dyDescent="0.4">
      <c r="A40" s="21"/>
      <c r="B40" s="21"/>
    </row>
    <row r="41" spans="1:2" ht="18" customHeight="1" x14ac:dyDescent="0.4">
      <c r="A41" s="17" t="s">
        <v>46</v>
      </c>
      <c r="B41" s="9" t="s">
        <v>24</v>
      </c>
    </row>
    <row r="42" spans="1:2" ht="30" customHeight="1" x14ac:dyDescent="0.4">
      <c r="A42" s="21"/>
      <c r="B42" s="22" t="s">
        <v>76</v>
      </c>
    </row>
    <row r="43" spans="1:2" x14ac:dyDescent="0.4">
      <c r="A43" s="21"/>
      <c r="B43" s="21"/>
    </row>
    <row r="44" spans="1:2" ht="18" customHeight="1" x14ac:dyDescent="0.4">
      <c r="A44" s="17" t="s">
        <v>47</v>
      </c>
      <c r="B44" s="9" t="s">
        <v>26</v>
      </c>
    </row>
    <row r="45" spans="1:2" ht="30" customHeight="1" x14ac:dyDescent="0.4">
      <c r="A45" s="21"/>
      <c r="B45" s="22" t="s">
        <v>105</v>
      </c>
    </row>
    <row r="46" spans="1:2" x14ac:dyDescent="0.4">
      <c r="A46" s="21"/>
      <c r="B46" s="21"/>
    </row>
    <row r="47" spans="1:2" ht="18" customHeight="1" x14ac:dyDescent="0.4">
      <c r="A47" s="17" t="s">
        <v>48</v>
      </c>
      <c r="B47" s="9" t="s">
        <v>27</v>
      </c>
    </row>
    <row r="48" spans="1:2" ht="30" customHeight="1" x14ac:dyDescent="0.4">
      <c r="A48" s="21"/>
      <c r="B48" s="22" t="s">
        <v>77</v>
      </c>
    </row>
    <row r="49" spans="1:2" x14ac:dyDescent="0.4">
      <c r="A49" s="21"/>
      <c r="B49" s="21"/>
    </row>
    <row r="50" spans="1:2" ht="18" customHeight="1" x14ac:dyDescent="0.4">
      <c r="A50" s="17" t="s">
        <v>58</v>
      </c>
      <c r="B50" s="9" t="s">
        <v>55</v>
      </c>
    </row>
    <row r="51" spans="1:2" ht="30" customHeight="1" x14ac:dyDescent="0.4">
      <c r="A51" s="17"/>
      <c r="B51" s="22" t="s">
        <v>104</v>
      </c>
    </row>
    <row r="52" spans="1:2" x14ac:dyDescent="0.4">
      <c r="A52" s="21"/>
      <c r="B52" s="21"/>
    </row>
    <row r="53" spans="1:2" ht="18" customHeight="1" x14ac:dyDescent="0.4">
      <c r="A53" s="17" t="s">
        <v>60</v>
      </c>
      <c r="B53" s="9" t="s">
        <v>54</v>
      </c>
    </row>
    <row r="54" spans="1:2" ht="30" customHeight="1" x14ac:dyDescent="0.4">
      <c r="A54" s="21"/>
      <c r="B54" s="22" t="s">
        <v>78</v>
      </c>
    </row>
    <row r="55" spans="1:2" x14ac:dyDescent="0.4">
      <c r="A55" s="21"/>
      <c r="B55" s="21"/>
    </row>
    <row r="56" spans="1:2" ht="30" customHeight="1" x14ac:dyDescent="0.4">
      <c r="A56" s="17" t="s">
        <v>59</v>
      </c>
      <c r="B56" s="12" t="s">
        <v>92</v>
      </c>
    </row>
    <row r="57" spans="1:2" ht="30" customHeight="1" x14ac:dyDescent="0.4">
      <c r="A57" s="21"/>
      <c r="B57" s="22" t="s">
        <v>160</v>
      </c>
    </row>
    <row r="58" spans="1:2" x14ac:dyDescent="0.4">
      <c r="A58" s="21"/>
      <c r="B58" s="21"/>
    </row>
    <row r="59" spans="1:2" ht="30" customHeight="1" x14ac:dyDescent="0.4">
      <c r="A59" s="17" t="s">
        <v>61</v>
      </c>
      <c r="B59" s="12" t="s">
        <v>93</v>
      </c>
    </row>
    <row r="60" spans="1:2" ht="30" customHeight="1" x14ac:dyDescent="0.4">
      <c r="A60" s="21"/>
      <c r="B60" s="22" t="s">
        <v>161</v>
      </c>
    </row>
    <row r="61" spans="1:2" x14ac:dyDescent="0.4">
      <c r="A61" s="21"/>
      <c r="B61" s="21"/>
    </row>
    <row r="62" spans="1:2" ht="30" customHeight="1" x14ac:dyDescent="0.4">
      <c r="A62" s="17" t="s">
        <v>62</v>
      </c>
      <c r="B62" s="24" t="s">
        <v>79</v>
      </c>
    </row>
    <row r="63" spans="1:2" ht="30" customHeight="1" x14ac:dyDescent="0.4">
      <c r="A63" s="21"/>
      <c r="B63" s="22" t="s">
        <v>106</v>
      </c>
    </row>
    <row r="64" spans="1:2" x14ac:dyDescent="0.4">
      <c r="A64" s="21"/>
      <c r="B64" s="12"/>
    </row>
    <row r="65" spans="1:2" ht="18" customHeight="1" x14ac:dyDescent="0.4">
      <c r="A65" s="17" t="s">
        <v>63</v>
      </c>
      <c r="B65" s="12" t="s">
        <v>98</v>
      </c>
    </row>
    <row r="66" spans="1:2" ht="18" customHeight="1" x14ac:dyDescent="0.4">
      <c r="A66" s="21"/>
      <c r="B66" s="19" t="s">
        <v>101</v>
      </c>
    </row>
    <row r="67" spans="1:2" x14ac:dyDescent="0.4">
      <c r="A67" s="21"/>
      <c r="B67" s="21"/>
    </row>
    <row r="68" spans="1:2" ht="30" customHeight="1" x14ac:dyDescent="0.4">
      <c r="A68" s="17" t="s">
        <v>64</v>
      </c>
      <c r="B68" s="12" t="s">
        <v>99</v>
      </c>
    </row>
    <row r="69" spans="1:2" ht="30" customHeight="1" x14ac:dyDescent="0.4">
      <c r="A69" s="21"/>
      <c r="B69" s="22" t="s">
        <v>100</v>
      </c>
    </row>
    <row r="70" spans="1:2" x14ac:dyDescent="0.4">
      <c r="A70" s="21"/>
      <c r="B70" s="21"/>
    </row>
    <row r="71" spans="1:2" ht="18" customHeight="1" x14ac:dyDescent="0.4">
      <c r="A71" s="17" t="s">
        <v>80</v>
      </c>
      <c r="B71" s="12" t="s">
        <v>102</v>
      </c>
    </row>
    <row r="72" spans="1:2" ht="30" customHeight="1" x14ac:dyDescent="0.4">
      <c r="A72" s="21"/>
      <c r="B72" s="22" t="s">
        <v>100</v>
      </c>
    </row>
    <row r="73" spans="1:2" x14ac:dyDescent="0.4">
      <c r="A73" s="21"/>
      <c r="B73" s="21"/>
    </row>
    <row r="74" spans="1:2" ht="18" customHeight="1" x14ac:dyDescent="0.4">
      <c r="A74" s="18" t="s">
        <v>30</v>
      </c>
      <c r="B74" s="7" t="s">
        <v>28</v>
      </c>
    </row>
    <row r="75" spans="1:2" ht="18" customHeight="1" x14ac:dyDescent="0.4">
      <c r="A75" s="17" t="s">
        <v>31</v>
      </c>
      <c r="B75" s="12" t="s">
        <v>29</v>
      </c>
    </row>
    <row r="76" spans="1:2" ht="18" customHeight="1" x14ac:dyDescent="0.4">
      <c r="A76" s="21"/>
      <c r="B76" s="19" t="s">
        <v>81</v>
      </c>
    </row>
    <row r="77" spans="1:2" ht="30" customHeight="1" x14ac:dyDescent="0.4">
      <c r="A77" s="21"/>
      <c r="B77" s="22" t="s">
        <v>82</v>
      </c>
    </row>
    <row r="78" spans="1:2" x14ac:dyDescent="0.4">
      <c r="A78" s="21"/>
      <c r="B78" s="21"/>
    </row>
    <row r="79" spans="1:2" ht="18" customHeight="1" x14ac:dyDescent="0.4">
      <c r="A79" s="18" t="s">
        <v>52</v>
      </c>
      <c r="B79" s="7" t="s">
        <v>51</v>
      </c>
    </row>
    <row r="80" spans="1:2" ht="30" customHeight="1" x14ac:dyDescent="0.4">
      <c r="A80" s="17" t="s">
        <v>49</v>
      </c>
      <c r="B80" s="12" t="s">
        <v>50</v>
      </c>
    </row>
    <row r="81" spans="1:2" ht="30" customHeight="1" x14ac:dyDescent="0.4">
      <c r="A81" s="21"/>
      <c r="B81" s="22" t="s">
        <v>97</v>
      </c>
    </row>
    <row r="82" spans="1:2" x14ac:dyDescent="0.4">
      <c r="A82" s="21"/>
      <c r="B82" s="19"/>
    </row>
    <row r="83" spans="1:2" ht="18" customHeight="1" x14ac:dyDescent="0.4">
      <c r="A83" s="17" t="s">
        <v>53</v>
      </c>
      <c r="B83" s="12" t="s">
        <v>95</v>
      </c>
    </row>
    <row r="84" spans="1:2" ht="18" customHeight="1" x14ac:dyDescent="0.4">
      <c r="A84" s="21"/>
      <c r="B84" s="19" t="s">
        <v>96</v>
      </c>
    </row>
    <row r="85" spans="1:2" x14ac:dyDescent="0.4">
      <c r="A85" s="21"/>
      <c r="B85" s="21"/>
    </row>
    <row r="86" spans="1:2" ht="18" customHeight="1" x14ac:dyDescent="0.4">
      <c r="A86" s="18" t="str">
        <f>ORÇAMENTO!A37</f>
        <v>7.0</v>
      </c>
      <c r="B86" s="7" t="str">
        <f>ORÇAMENTO!D37</f>
        <v>ACABAMENTOS</v>
      </c>
    </row>
    <row r="87" spans="1:2" ht="30" customHeight="1" x14ac:dyDescent="0.4">
      <c r="A87" s="17" t="s">
        <v>134</v>
      </c>
      <c r="B87" s="12" t="s">
        <v>156</v>
      </c>
    </row>
    <row r="88" spans="1:2" ht="30" customHeight="1" x14ac:dyDescent="0.4">
      <c r="A88" s="21"/>
      <c r="B88" s="22" t="s">
        <v>158</v>
      </c>
    </row>
    <row r="89" spans="1:2" x14ac:dyDescent="0.4">
      <c r="A89" s="21"/>
      <c r="B89" s="21"/>
    </row>
    <row r="90" spans="1:2" ht="30" customHeight="1" x14ac:dyDescent="0.4">
      <c r="A90" s="17" t="s">
        <v>135</v>
      </c>
      <c r="B90" s="12" t="s">
        <v>159</v>
      </c>
    </row>
    <row r="91" spans="1:2" ht="18" customHeight="1" x14ac:dyDescent="0.4">
      <c r="A91" s="21"/>
      <c r="B91" s="19" t="s">
        <v>151</v>
      </c>
    </row>
    <row r="92" spans="1:2" x14ac:dyDescent="0.4">
      <c r="A92" s="21"/>
      <c r="B92" s="19"/>
    </row>
    <row r="93" spans="1:2" ht="30" customHeight="1" x14ac:dyDescent="0.4">
      <c r="A93" s="17" t="s">
        <v>136</v>
      </c>
      <c r="B93" s="12" t="s">
        <v>150</v>
      </c>
    </row>
    <row r="94" spans="1:2" ht="18" customHeight="1" x14ac:dyDescent="0.4">
      <c r="A94" s="21"/>
      <c r="B94" s="19" t="s">
        <v>153</v>
      </c>
    </row>
    <row r="95" spans="1:2" x14ac:dyDescent="0.4">
      <c r="A95" s="21"/>
      <c r="B95" s="21"/>
    </row>
    <row r="96" spans="1:2" ht="18" customHeight="1" x14ac:dyDescent="0.4">
      <c r="A96" s="18" t="s">
        <v>138</v>
      </c>
      <c r="B96" s="7" t="s">
        <v>137</v>
      </c>
    </row>
    <row r="97" spans="1:2" ht="18" customHeight="1" x14ac:dyDescent="0.4">
      <c r="A97" s="17" t="s">
        <v>139</v>
      </c>
      <c r="B97" s="12" t="s">
        <v>7</v>
      </c>
    </row>
    <row r="98" spans="1:2" ht="18" customHeight="1" x14ac:dyDescent="0.4">
      <c r="A98" s="21"/>
      <c r="B98" s="19" t="s">
        <v>152</v>
      </c>
    </row>
    <row r="99" spans="1:2" x14ac:dyDescent="0.4">
      <c r="A99" s="21"/>
      <c r="B99" s="21"/>
    </row>
    <row r="100" spans="1:2" x14ac:dyDescent="0.4">
      <c r="A100" s="2"/>
      <c r="B100" s="2"/>
    </row>
    <row r="101" spans="1:2" x14ac:dyDescent="0.4">
      <c r="A101" s="2"/>
      <c r="B101" s="2"/>
    </row>
    <row r="102" spans="1:2" x14ac:dyDescent="0.4">
      <c r="A102" s="2"/>
      <c r="B102" s="2"/>
    </row>
    <row r="103" spans="1:2" x14ac:dyDescent="0.4">
      <c r="A103" s="2"/>
      <c r="B103" s="2"/>
    </row>
    <row r="104" spans="1:2" x14ac:dyDescent="0.4">
      <c r="A104" s="2"/>
      <c r="B104" s="2"/>
    </row>
    <row r="105" spans="1:2" x14ac:dyDescent="0.4">
      <c r="A105" s="2"/>
      <c r="B105" s="2"/>
    </row>
    <row r="106" spans="1:2" x14ac:dyDescent="0.4">
      <c r="A106" s="2"/>
      <c r="B106" s="2"/>
    </row>
    <row r="107" spans="1:2" x14ac:dyDescent="0.4">
      <c r="A107" s="2"/>
      <c r="B107" s="2"/>
    </row>
    <row r="108" spans="1:2" x14ac:dyDescent="0.4">
      <c r="A108" s="2"/>
      <c r="B108" s="2"/>
    </row>
    <row r="109" spans="1:2" x14ac:dyDescent="0.4">
      <c r="A109" s="2"/>
      <c r="B109" s="2"/>
    </row>
    <row r="110" spans="1:2" x14ac:dyDescent="0.4">
      <c r="A110" s="2"/>
      <c r="B110" s="2"/>
    </row>
    <row r="111" spans="1:2" x14ac:dyDescent="0.4">
      <c r="A111" s="2"/>
      <c r="B111" s="2"/>
    </row>
    <row r="112" spans="1:2" x14ac:dyDescent="0.4">
      <c r="A112" s="2"/>
      <c r="B112" s="2"/>
    </row>
    <row r="113" spans="1:2" x14ac:dyDescent="0.4">
      <c r="A113" s="2"/>
      <c r="B113" s="2"/>
    </row>
    <row r="114" spans="1:2" x14ac:dyDescent="0.4">
      <c r="A114" s="2"/>
      <c r="B114" s="2"/>
    </row>
    <row r="115" spans="1:2" x14ac:dyDescent="0.4">
      <c r="A115" s="2"/>
      <c r="B115" s="2"/>
    </row>
    <row r="116" spans="1:2" x14ac:dyDescent="0.4">
      <c r="A116" s="2"/>
      <c r="B116" s="2"/>
    </row>
    <row r="117" spans="1:2" x14ac:dyDescent="0.4">
      <c r="A117" s="2"/>
      <c r="B117" s="2"/>
    </row>
    <row r="118" spans="1:2" x14ac:dyDescent="0.4">
      <c r="A118" s="2"/>
      <c r="B118" s="2"/>
    </row>
    <row r="119" spans="1:2" x14ac:dyDescent="0.4">
      <c r="A119" s="2"/>
      <c r="B119" s="2"/>
    </row>
    <row r="120" spans="1:2" x14ac:dyDescent="0.4">
      <c r="A120" s="2"/>
      <c r="B120" s="2"/>
    </row>
    <row r="121" spans="1:2" x14ac:dyDescent="0.4">
      <c r="A121" s="2"/>
      <c r="B121" s="2"/>
    </row>
    <row r="122" spans="1:2" x14ac:dyDescent="0.4">
      <c r="A122" s="2"/>
      <c r="B122" s="2"/>
    </row>
    <row r="123" spans="1:2" x14ac:dyDescent="0.4">
      <c r="A123" s="2"/>
      <c r="B123" s="2"/>
    </row>
    <row r="124" spans="1:2" x14ac:dyDescent="0.4">
      <c r="A124" s="2"/>
      <c r="B124" s="2"/>
    </row>
    <row r="125" spans="1:2" x14ac:dyDescent="0.4">
      <c r="A125" s="2"/>
      <c r="B125" s="2"/>
    </row>
    <row r="126" spans="1:2" x14ac:dyDescent="0.4">
      <c r="A126" s="2"/>
      <c r="B126" s="2"/>
    </row>
    <row r="127" spans="1:2" x14ac:dyDescent="0.4">
      <c r="A127" s="2"/>
      <c r="B127" s="2"/>
    </row>
    <row r="128" spans="1:2" x14ac:dyDescent="0.4">
      <c r="A128" s="2"/>
      <c r="B128" s="2"/>
    </row>
    <row r="129" spans="1:2" x14ac:dyDescent="0.4">
      <c r="A129" s="2"/>
      <c r="B129" s="2"/>
    </row>
    <row r="130" spans="1:2" x14ac:dyDescent="0.4">
      <c r="A130" s="2"/>
      <c r="B130" s="2"/>
    </row>
    <row r="131" spans="1:2" x14ac:dyDescent="0.4">
      <c r="A131" s="2"/>
      <c r="B131" s="2"/>
    </row>
    <row r="132" spans="1:2" x14ac:dyDescent="0.4">
      <c r="A132" s="2"/>
      <c r="B132" s="2"/>
    </row>
    <row r="133" spans="1:2" x14ac:dyDescent="0.4">
      <c r="A133" s="2"/>
      <c r="B133" s="2"/>
    </row>
    <row r="134" spans="1:2" x14ac:dyDescent="0.4">
      <c r="A134" s="2"/>
      <c r="B134" s="2"/>
    </row>
    <row r="135" spans="1:2" x14ac:dyDescent="0.4">
      <c r="A135" s="2"/>
      <c r="B135" s="2"/>
    </row>
    <row r="136" spans="1:2" x14ac:dyDescent="0.4">
      <c r="A136" s="2"/>
      <c r="B136" s="2"/>
    </row>
    <row r="137" spans="1:2" x14ac:dyDescent="0.4">
      <c r="A137" s="2"/>
      <c r="B137" s="2"/>
    </row>
    <row r="138" spans="1:2" x14ac:dyDescent="0.4">
      <c r="A138" s="2"/>
      <c r="B138" s="2"/>
    </row>
    <row r="139" spans="1:2" x14ac:dyDescent="0.4">
      <c r="A139" s="2"/>
      <c r="B139" s="2"/>
    </row>
    <row r="140" spans="1:2" x14ac:dyDescent="0.4">
      <c r="A140" s="2"/>
      <c r="B140" s="2"/>
    </row>
    <row r="141" spans="1:2" x14ac:dyDescent="0.4">
      <c r="A141" s="2"/>
      <c r="B141" s="2"/>
    </row>
    <row r="142" spans="1:2" x14ac:dyDescent="0.4">
      <c r="A142" s="2"/>
      <c r="B142" s="2"/>
    </row>
    <row r="143" spans="1:2" x14ac:dyDescent="0.4">
      <c r="A143" s="2"/>
      <c r="B143" s="2"/>
    </row>
    <row r="144" spans="1:2" x14ac:dyDescent="0.4">
      <c r="A144" s="2"/>
      <c r="B144" s="2"/>
    </row>
    <row r="145" spans="1:2" x14ac:dyDescent="0.4">
      <c r="A145" s="2"/>
      <c r="B145" s="2"/>
    </row>
    <row r="146" spans="1:2" x14ac:dyDescent="0.4">
      <c r="A146" s="2"/>
      <c r="B146" s="2"/>
    </row>
    <row r="147" spans="1:2" x14ac:dyDescent="0.4">
      <c r="A147" s="2"/>
      <c r="B147" s="2"/>
    </row>
    <row r="148" spans="1:2" x14ac:dyDescent="0.4">
      <c r="A148" s="2"/>
      <c r="B148" s="2"/>
    </row>
    <row r="149" spans="1:2" x14ac:dyDescent="0.4">
      <c r="A149" s="2"/>
      <c r="B149" s="2"/>
    </row>
    <row r="150" spans="1:2" x14ac:dyDescent="0.4">
      <c r="A150" s="2"/>
      <c r="B150" s="2"/>
    </row>
    <row r="151" spans="1:2" x14ac:dyDescent="0.4">
      <c r="A151" s="2"/>
      <c r="B151" s="2"/>
    </row>
    <row r="152" spans="1:2" x14ac:dyDescent="0.4">
      <c r="A152" s="2"/>
      <c r="B152" s="2"/>
    </row>
    <row r="153" spans="1:2" x14ac:dyDescent="0.4">
      <c r="A153" s="2"/>
      <c r="B153" s="2"/>
    </row>
    <row r="154" spans="1:2" x14ac:dyDescent="0.4">
      <c r="A154" s="2"/>
      <c r="B154" s="2"/>
    </row>
    <row r="155" spans="1:2" x14ac:dyDescent="0.4">
      <c r="A155" s="2"/>
      <c r="B155" s="2"/>
    </row>
    <row r="156" spans="1:2" x14ac:dyDescent="0.4">
      <c r="A156" s="2"/>
      <c r="B156" s="2"/>
    </row>
    <row r="157" spans="1:2" x14ac:dyDescent="0.4">
      <c r="A157" s="2"/>
      <c r="B157" s="2"/>
    </row>
    <row r="158" spans="1:2" x14ac:dyDescent="0.4">
      <c r="A158" s="2"/>
      <c r="B158" s="2"/>
    </row>
    <row r="159" spans="1:2" x14ac:dyDescent="0.4">
      <c r="A159" s="2"/>
      <c r="B159" s="2"/>
    </row>
    <row r="160" spans="1:2" x14ac:dyDescent="0.4">
      <c r="A160" s="2"/>
      <c r="B160" s="2"/>
    </row>
    <row r="161" spans="1:2" x14ac:dyDescent="0.4">
      <c r="A161" s="2"/>
      <c r="B161" s="2"/>
    </row>
    <row r="162" spans="1:2" x14ac:dyDescent="0.4">
      <c r="A162" s="2"/>
      <c r="B162" s="2"/>
    </row>
    <row r="163" spans="1:2" x14ac:dyDescent="0.4">
      <c r="A163" s="2"/>
      <c r="B163" s="2"/>
    </row>
    <row r="164" spans="1:2" x14ac:dyDescent="0.4">
      <c r="A164" s="2"/>
      <c r="B164" s="2"/>
    </row>
    <row r="165" spans="1:2" x14ac:dyDescent="0.4">
      <c r="A165" s="2"/>
      <c r="B165" s="2"/>
    </row>
    <row r="166" spans="1:2" x14ac:dyDescent="0.4">
      <c r="A166" s="2"/>
      <c r="B166" s="2"/>
    </row>
    <row r="167" spans="1:2" x14ac:dyDescent="0.4">
      <c r="A167" s="2"/>
      <c r="B167" s="2"/>
    </row>
    <row r="168" spans="1:2" x14ac:dyDescent="0.4">
      <c r="A168" s="2"/>
      <c r="B168" s="2"/>
    </row>
    <row r="169" spans="1:2" x14ac:dyDescent="0.4">
      <c r="A169" s="2"/>
      <c r="B169" s="2"/>
    </row>
    <row r="170" spans="1:2" x14ac:dyDescent="0.4">
      <c r="A170" s="2"/>
      <c r="B170" s="2"/>
    </row>
    <row r="171" spans="1:2" x14ac:dyDescent="0.4">
      <c r="A171" s="2"/>
      <c r="B171" s="2"/>
    </row>
    <row r="172" spans="1:2" x14ac:dyDescent="0.4">
      <c r="A172" s="2"/>
      <c r="B172" s="2"/>
    </row>
    <row r="173" spans="1:2" x14ac:dyDescent="0.4">
      <c r="A173" s="2"/>
      <c r="B173" s="2"/>
    </row>
    <row r="174" spans="1:2" x14ac:dyDescent="0.4">
      <c r="A174" s="2"/>
      <c r="B174" s="2"/>
    </row>
    <row r="175" spans="1:2" x14ac:dyDescent="0.4">
      <c r="A175" s="2"/>
      <c r="B175" s="2"/>
    </row>
    <row r="176" spans="1:2" x14ac:dyDescent="0.4">
      <c r="A176" s="2"/>
      <c r="B176" s="2"/>
    </row>
    <row r="177" spans="1:2" x14ac:dyDescent="0.4">
      <c r="A177" s="2"/>
      <c r="B177" s="2"/>
    </row>
    <row r="178" spans="1:2" x14ac:dyDescent="0.4">
      <c r="A178" s="2"/>
      <c r="B178" s="2"/>
    </row>
    <row r="179" spans="1:2" x14ac:dyDescent="0.4">
      <c r="A179" s="2"/>
      <c r="B179" s="2"/>
    </row>
    <row r="180" spans="1:2" x14ac:dyDescent="0.4">
      <c r="A180" s="2"/>
      <c r="B180" s="2"/>
    </row>
  </sheetData>
  <mergeCells count="2">
    <mergeCell ref="A2:B2"/>
    <mergeCell ref="A1:B1"/>
  </mergeCells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1"/>
  <sheetViews>
    <sheetView zoomScaleNormal="100" workbookViewId="0">
      <selection activeCell="M3" sqref="M3"/>
    </sheetView>
  </sheetViews>
  <sheetFormatPr defaultRowHeight="14.6" x14ac:dyDescent="0.4"/>
  <cols>
    <col min="1" max="1" width="7.69140625" customWidth="1"/>
    <col min="2" max="2" width="46.69140625" customWidth="1"/>
    <col min="3" max="3" width="9.69140625" customWidth="1"/>
    <col min="4" max="4" width="12.69140625" customWidth="1"/>
    <col min="5" max="5" width="5.69140625" customWidth="1"/>
    <col min="6" max="6" width="6.84375" customWidth="1"/>
    <col min="7" max="7" width="9.69140625" customWidth="1"/>
    <col min="8" max="8" width="7.69140625" customWidth="1"/>
    <col min="9" max="9" width="10.69140625" customWidth="1"/>
    <col min="10" max="10" width="6.69140625" customWidth="1"/>
    <col min="11" max="11" width="11.69140625" customWidth="1"/>
    <col min="12" max="12" width="7.69140625" customWidth="1"/>
  </cols>
  <sheetData>
    <row r="1" spans="1:14" ht="134.25" customHeight="1" x14ac:dyDescent="0.4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</row>
    <row r="2" spans="1:14" ht="6.75" customHeight="1" x14ac:dyDescent="0.4"/>
    <row r="3" spans="1:14" ht="42" customHeight="1" x14ac:dyDescent="0.4">
      <c r="A3" s="92" t="s">
        <v>1</v>
      </c>
      <c r="B3" s="92" t="s">
        <v>2</v>
      </c>
      <c r="C3" s="92" t="s">
        <v>163</v>
      </c>
      <c r="D3" s="92" t="s">
        <v>167</v>
      </c>
      <c r="E3" s="92" t="s">
        <v>3</v>
      </c>
      <c r="F3" s="92" t="s">
        <v>4</v>
      </c>
      <c r="G3" s="93" t="s">
        <v>66</v>
      </c>
      <c r="H3" s="93" t="s">
        <v>65</v>
      </c>
      <c r="I3" s="93" t="s">
        <v>5</v>
      </c>
      <c r="J3" s="94" t="s">
        <v>111</v>
      </c>
      <c r="K3" s="94" t="s">
        <v>162</v>
      </c>
      <c r="L3" s="94" t="s">
        <v>259</v>
      </c>
    </row>
    <row r="4" spans="1:14" ht="41.25" customHeight="1" x14ac:dyDescent="0.4">
      <c r="A4" s="95">
        <v>103320</v>
      </c>
      <c r="B4" s="73" t="s">
        <v>50</v>
      </c>
      <c r="C4" s="75" t="s">
        <v>164</v>
      </c>
      <c r="D4" s="75" t="s">
        <v>168</v>
      </c>
      <c r="E4" s="75" t="s">
        <v>8</v>
      </c>
      <c r="F4" s="76">
        <f>(1125+(95*0.2*2))*2.8-(1125*0.4)</f>
        <v>2806.3999999999996</v>
      </c>
      <c r="G4" s="72">
        <v>118.12</v>
      </c>
      <c r="H4" s="76">
        <f t="shared" ref="H4:H33" si="0">G4*(1.2755)</f>
        <v>150.66206000000003</v>
      </c>
      <c r="I4" s="77">
        <f t="shared" ref="I4:I33" si="1">F4*H4</f>
        <v>422818.00518400001</v>
      </c>
      <c r="J4" s="78">
        <f t="shared" ref="J4:J33" si="2">I4/$I$35</f>
        <v>0.29964821681109438</v>
      </c>
      <c r="K4" s="79">
        <f>J4</f>
        <v>0.29964821681109438</v>
      </c>
      <c r="L4" s="96" t="s">
        <v>169</v>
      </c>
    </row>
    <row r="5" spans="1:14" ht="41.25" customHeight="1" x14ac:dyDescent="0.4">
      <c r="A5" s="72">
        <v>96555</v>
      </c>
      <c r="B5" s="82" t="s">
        <v>79</v>
      </c>
      <c r="C5" s="75" t="s">
        <v>164</v>
      </c>
      <c r="D5" s="75" t="s">
        <v>168</v>
      </c>
      <c r="E5" s="75" t="s">
        <v>15</v>
      </c>
      <c r="F5" s="76">
        <f>((1125-(95*0.6*4))*0.4*0.25*1.05)+(0.6*0.6*0.4*4*95*1.05)</f>
        <v>151.64100000000002</v>
      </c>
      <c r="G5" s="72">
        <v>696.31</v>
      </c>
      <c r="H5" s="76">
        <f t="shared" si="0"/>
        <v>888.14340500000003</v>
      </c>
      <c r="I5" s="77">
        <f t="shared" si="1"/>
        <v>134678.95407760501</v>
      </c>
      <c r="J5" s="78">
        <f t="shared" si="2"/>
        <v>9.5446049923478396E-2</v>
      </c>
      <c r="K5" s="79">
        <f>J5+K4</f>
        <v>0.39509426673457276</v>
      </c>
      <c r="L5" s="96" t="s">
        <v>169</v>
      </c>
    </row>
    <row r="6" spans="1:14" ht="41.25" customHeight="1" x14ac:dyDescent="0.4">
      <c r="A6" s="84">
        <v>100899</v>
      </c>
      <c r="B6" s="73" t="s">
        <v>12</v>
      </c>
      <c r="C6" s="75" t="s">
        <v>164</v>
      </c>
      <c r="D6" s="75" t="s">
        <v>168</v>
      </c>
      <c r="E6" s="75" t="s">
        <v>13</v>
      </c>
      <c r="F6" s="72">
        <f>(1125/3+1)*2.5</f>
        <v>940</v>
      </c>
      <c r="G6" s="72">
        <v>86.71</v>
      </c>
      <c r="H6" s="76">
        <f t="shared" si="0"/>
        <v>110.59860499999999</v>
      </c>
      <c r="I6" s="77">
        <f t="shared" si="1"/>
        <v>103962.6887</v>
      </c>
      <c r="J6" s="78">
        <f t="shared" si="2"/>
        <v>7.367764357689835E-2</v>
      </c>
      <c r="K6" s="79">
        <f>J6+K5</f>
        <v>0.46877191031147114</v>
      </c>
      <c r="L6" s="96" t="s">
        <v>169</v>
      </c>
    </row>
    <row r="7" spans="1:14" ht="30" customHeight="1" x14ac:dyDescent="0.4">
      <c r="A7" s="72">
        <v>96545</v>
      </c>
      <c r="B7" s="82" t="s">
        <v>26</v>
      </c>
      <c r="C7" s="75" t="s">
        <v>164</v>
      </c>
      <c r="D7" s="75" t="s">
        <v>168</v>
      </c>
      <c r="E7" s="75" t="s">
        <v>25</v>
      </c>
      <c r="F7" s="76">
        <f>(((3*1.69)+(3*1.66)+(2*2.14))*0.395*4*95*1.1)+(5*12*0.395*95*1.1)</f>
        <v>4842.676300000001</v>
      </c>
      <c r="G7" s="72">
        <v>14.66</v>
      </c>
      <c r="H7" s="76">
        <f t="shared" si="0"/>
        <v>18.698830000000001</v>
      </c>
      <c r="I7" s="77">
        <f t="shared" si="1"/>
        <v>90552.380878729018</v>
      </c>
      <c r="J7" s="78">
        <f t="shared" si="2"/>
        <v>6.417385051164555E-2</v>
      </c>
      <c r="K7" s="79">
        <f t="shared" ref="K7:K33" si="3">J7+K6</f>
        <v>0.53294576082311673</v>
      </c>
      <c r="L7" s="96" t="s">
        <v>169</v>
      </c>
    </row>
    <row r="8" spans="1:14" ht="27.75" customHeight="1" x14ac:dyDescent="0.4">
      <c r="A8" s="85" t="s">
        <v>94</v>
      </c>
      <c r="B8" s="73" t="s">
        <v>103</v>
      </c>
      <c r="C8" s="81" t="s">
        <v>166</v>
      </c>
      <c r="D8" s="75" t="s">
        <v>168</v>
      </c>
      <c r="E8" s="75" t="s">
        <v>13</v>
      </c>
      <c r="F8" s="76">
        <f>1125*2</f>
        <v>2250</v>
      </c>
      <c r="G8" s="72">
        <v>28.68</v>
      </c>
      <c r="H8" s="76">
        <f t="shared" si="0"/>
        <v>36.581340000000004</v>
      </c>
      <c r="I8" s="77">
        <f t="shared" si="1"/>
        <v>82308.015000000014</v>
      </c>
      <c r="J8" s="78">
        <f t="shared" si="2"/>
        <v>5.8331125026896351E-2</v>
      </c>
      <c r="K8" s="79">
        <f t="shared" si="3"/>
        <v>0.59127688585001303</v>
      </c>
      <c r="L8" s="96" t="s">
        <v>171</v>
      </c>
    </row>
    <row r="9" spans="1:14" ht="30" customHeight="1" x14ac:dyDescent="0.4">
      <c r="A9" s="72">
        <v>98557</v>
      </c>
      <c r="B9" s="73" t="s">
        <v>29</v>
      </c>
      <c r="C9" s="75" t="s">
        <v>164</v>
      </c>
      <c r="D9" s="75" t="s">
        <v>168</v>
      </c>
      <c r="E9" s="75" t="s">
        <v>8</v>
      </c>
      <c r="F9" s="72">
        <f>((1125-(95*0.6))*(0.25+0.4+0.4))+(0.6*0.4*4+0.6*0.6)*95</f>
        <v>1246.8000000000002</v>
      </c>
      <c r="G9" s="72">
        <v>51.59</v>
      </c>
      <c r="H9" s="76">
        <f t="shared" si="0"/>
        <v>65.803045000000012</v>
      </c>
      <c r="I9" s="77">
        <f t="shared" si="1"/>
        <v>82043.23650600003</v>
      </c>
      <c r="J9" s="78">
        <f t="shared" si="2"/>
        <v>5.8143478326414672E-2</v>
      </c>
      <c r="K9" s="79">
        <f t="shared" si="3"/>
        <v>0.64942036417642768</v>
      </c>
      <c r="L9" s="96" t="s">
        <v>171</v>
      </c>
    </row>
    <row r="10" spans="1:14" ht="41.25" customHeight="1" x14ac:dyDescent="0.4">
      <c r="A10" s="72">
        <v>2001004040</v>
      </c>
      <c r="B10" s="73" t="s">
        <v>159</v>
      </c>
      <c r="C10" s="75" t="s">
        <v>165</v>
      </c>
      <c r="D10" s="75" t="s">
        <v>168</v>
      </c>
      <c r="E10" s="75" t="s">
        <v>13</v>
      </c>
      <c r="F10" s="76">
        <f>1125+12</f>
        <v>1137</v>
      </c>
      <c r="G10" s="76">
        <v>51.28</v>
      </c>
      <c r="H10" s="76">
        <f t="shared" si="0"/>
        <v>65.407640000000001</v>
      </c>
      <c r="I10" s="77">
        <f t="shared" si="1"/>
        <v>74368.486680000002</v>
      </c>
      <c r="J10" s="78">
        <f t="shared" si="2"/>
        <v>5.2704435826719367E-2</v>
      </c>
      <c r="K10" s="79">
        <f t="shared" si="3"/>
        <v>0.70212480000314703</v>
      </c>
      <c r="L10" s="96" t="s">
        <v>171</v>
      </c>
    </row>
    <row r="11" spans="1:14" ht="30" customHeight="1" x14ac:dyDescent="0.4">
      <c r="A11" s="72">
        <v>89996</v>
      </c>
      <c r="B11" s="73" t="s">
        <v>55</v>
      </c>
      <c r="C11" s="75" t="s">
        <v>164</v>
      </c>
      <c r="D11" s="75" t="s">
        <v>168</v>
      </c>
      <c r="E11" s="75" t="s">
        <v>25</v>
      </c>
      <c r="F11" s="76">
        <f>(1.6+2)*0.617*2*10*95*1.1</f>
        <v>4642.308</v>
      </c>
      <c r="G11" s="72">
        <v>10.79</v>
      </c>
      <c r="H11" s="76">
        <f t="shared" si="0"/>
        <v>13.762644999999999</v>
      </c>
      <c r="I11" s="77">
        <f t="shared" si="1"/>
        <v>63890.436984659995</v>
      </c>
      <c r="J11" s="78">
        <f t="shared" si="2"/>
        <v>4.5278713959694496E-2</v>
      </c>
      <c r="K11" s="79">
        <f t="shared" si="3"/>
        <v>0.74740351396284155</v>
      </c>
      <c r="L11" s="96" t="s">
        <v>171</v>
      </c>
    </row>
    <row r="12" spans="1:14" ht="30" customHeight="1" x14ac:dyDescent="0.4">
      <c r="A12" s="72">
        <v>103672</v>
      </c>
      <c r="B12" s="73" t="s">
        <v>98</v>
      </c>
      <c r="C12" s="75" t="s">
        <v>164</v>
      </c>
      <c r="D12" s="75" t="s">
        <v>168</v>
      </c>
      <c r="E12" s="75" t="s">
        <v>15</v>
      </c>
      <c r="F12" s="76">
        <f>95*10*2.8*(0.14*0.14)*1.05</f>
        <v>54.74280000000001</v>
      </c>
      <c r="G12" s="72">
        <v>707.34</v>
      </c>
      <c r="H12" s="76">
        <f t="shared" si="0"/>
        <v>902.21217000000013</v>
      </c>
      <c r="I12" s="77">
        <f t="shared" si="1"/>
        <v>49389.620379876018</v>
      </c>
      <c r="J12" s="78">
        <f t="shared" si="2"/>
        <v>3.5002084808016518E-2</v>
      </c>
      <c r="K12" s="79">
        <f t="shared" si="3"/>
        <v>0.78240559877085802</v>
      </c>
      <c r="L12" s="96" t="s">
        <v>171</v>
      </c>
    </row>
    <row r="13" spans="1:14" ht="38.25" customHeight="1" x14ac:dyDescent="0.4">
      <c r="A13" s="72">
        <v>102482</v>
      </c>
      <c r="B13" s="73" t="s">
        <v>99</v>
      </c>
      <c r="C13" s="75" t="s">
        <v>164</v>
      </c>
      <c r="D13" s="75" t="s">
        <v>168</v>
      </c>
      <c r="E13" s="75" t="s">
        <v>15</v>
      </c>
      <c r="F13" s="76">
        <f>2*(0.16*0.14)*1125*1.05</f>
        <v>52.920000000000009</v>
      </c>
      <c r="G13" s="72">
        <v>643.75</v>
      </c>
      <c r="H13" s="76">
        <f t="shared" si="0"/>
        <v>821.10312500000009</v>
      </c>
      <c r="I13" s="77">
        <f t="shared" si="1"/>
        <v>43452.777375000012</v>
      </c>
      <c r="J13" s="78">
        <f t="shared" si="2"/>
        <v>3.0794684938362543E-2</v>
      </c>
      <c r="K13" s="79">
        <f t="shared" si="3"/>
        <v>0.81320028370922059</v>
      </c>
      <c r="L13" s="96" t="s">
        <v>171</v>
      </c>
    </row>
    <row r="14" spans="1:14" ht="26.25" customHeight="1" x14ac:dyDescent="0.4">
      <c r="A14" s="72">
        <v>96543</v>
      </c>
      <c r="B14" s="73" t="s">
        <v>24</v>
      </c>
      <c r="C14" s="75" t="s">
        <v>164</v>
      </c>
      <c r="D14" s="75" t="s">
        <v>168</v>
      </c>
      <c r="E14" s="75" t="s">
        <v>25</v>
      </c>
      <c r="F14" s="76">
        <f>1334.26*1.1</f>
        <v>1467.6860000000001</v>
      </c>
      <c r="G14" s="72">
        <v>17.829999999999998</v>
      </c>
      <c r="H14" s="76">
        <f t="shared" si="0"/>
        <v>22.742165</v>
      </c>
      <c r="I14" s="77">
        <f t="shared" si="1"/>
        <v>33378.357180190003</v>
      </c>
      <c r="J14" s="78">
        <f t="shared" si="2"/>
        <v>2.3655012526666647E-2</v>
      </c>
      <c r="K14" s="79">
        <f t="shared" si="3"/>
        <v>0.83685529623588728</v>
      </c>
      <c r="L14" s="96" t="s">
        <v>171</v>
      </c>
    </row>
    <row r="15" spans="1:14" ht="41.25" customHeight="1" x14ac:dyDescent="0.4">
      <c r="A15" s="72">
        <v>92761</v>
      </c>
      <c r="B15" s="73" t="s">
        <v>57</v>
      </c>
      <c r="C15" s="75" t="s">
        <v>164</v>
      </c>
      <c r="D15" s="75" t="s">
        <v>168</v>
      </c>
      <c r="E15" s="75" t="s">
        <v>25</v>
      </c>
      <c r="F15" s="72">
        <f>1801.2*1.1</f>
        <v>1981.3200000000002</v>
      </c>
      <c r="G15" s="72">
        <v>12.64</v>
      </c>
      <c r="H15" s="76">
        <f t="shared" si="0"/>
        <v>16.122320000000002</v>
      </c>
      <c r="I15" s="77">
        <f t="shared" si="1"/>
        <v>31943.475062400008</v>
      </c>
      <c r="J15" s="78">
        <f t="shared" si="2"/>
        <v>2.2638121423027881E-2</v>
      </c>
      <c r="K15" s="79">
        <f t="shared" si="3"/>
        <v>0.85949341765891518</v>
      </c>
      <c r="L15" s="96" t="s">
        <v>170</v>
      </c>
      <c r="M15" s="50"/>
      <c r="N15" s="50"/>
    </row>
    <row r="16" spans="1:14" ht="41.25" customHeight="1" x14ac:dyDescent="0.4">
      <c r="A16" s="85" t="s">
        <v>155</v>
      </c>
      <c r="B16" s="73" t="s">
        <v>262</v>
      </c>
      <c r="C16" s="75" t="s">
        <v>155</v>
      </c>
      <c r="D16" s="75" t="s">
        <v>168</v>
      </c>
      <c r="E16" s="75" t="s">
        <v>13</v>
      </c>
      <c r="F16" s="76">
        <v>1125</v>
      </c>
      <c r="G16" s="72">
        <v>20.88</v>
      </c>
      <c r="H16" s="76">
        <f t="shared" si="0"/>
        <v>26.632439999999999</v>
      </c>
      <c r="I16" s="77">
        <f t="shared" si="1"/>
        <v>29961.494999999999</v>
      </c>
      <c r="J16" s="78">
        <f t="shared" si="2"/>
        <v>2.1233505762928793E-2</v>
      </c>
      <c r="K16" s="79">
        <f t="shared" si="3"/>
        <v>0.880726923421844</v>
      </c>
      <c r="L16" s="96" t="s">
        <v>170</v>
      </c>
      <c r="M16" s="50"/>
      <c r="N16" s="50"/>
    </row>
    <row r="17" spans="1:14" ht="18" customHeight="1" x14ac:dyDescent="0.4">
      <c r="A17" s="84">
        <v>90776</v>
      </c>
      <c r="B17" s="73" t="s">
        <v>90</v>
      </c>
      <c r="C17" s="75" t="s">
        <v>164</v>
      </c>
      <c r="D17" s="75" t="s">
        <v>168</v>
      </c>
      <c r="E17" s="75" t="s">
        <v>88</v>
      </c>
      <c r="F17" s="76">
        <v>640</v>
      </c>
      <c r="G17" s="76">
        <v>28.38</v>
      </c>
      <c r="H17" s="76">
        <f t="shared" si="0"/>
        <v>36.198689999999999</v>
      </c>
      <c r="I17" s="77">
        <f t="shared" si="1"/>
        <v>23167.161599999999</v>
      </c>
      <c r="J17" s="78">
        <f t="shared" si="2"/>
        <v>1.641840833857932E-2</v>
      </c>
      <c r="K17" s="79">
        <f t="shared" si="3"/>
        <v>0.89714533176042333</v>
      </c>
      <c r="L17" s="96" t="s">
        <v>170</v>
      </c>
      <c r="M17" s="50"/>
      <c r="N17" s="50"/>
    </row>
    <row r="18" spans="1:14" ht="30" customHeight="1" x14ac:dyDescent="0.4">
      <c r="A18" s="72">
        <v>96536</v>
      </c>
      <c r="B18" s="73" t="s">
        <v>23</v>
      </c>
      <c r="C18" s="75" t="s">
        <v>164</v>
      </c>
      <c r="D18" s="75" t="s">
        <v>168</v>
      </c>
      <c r="E18" s="75" t="s">
        <v>8</v>
      </c>
      <c r="F18" s="72">
        <f>(1125-(95*0.6))*2*0.4/4</f>
        <v>213.60000000000002</v>
      </c>
      <c r="G18" s="72">
        <v>77.510000000000005</v>
      </c>
      <c r="H18" s="76">
        <f t="shared" si="0"/>
        <v>98.864005000000006</v>
      </c>
      <c r="I18" s="77">
        <f t="shared" si="1"/>
        <v>21117.351468000004</v>
      </c>
      <c r="J18" s="78">
        <f t="shared" si="2"/>
        <v>1.4965721973939248E-2</v>
      </c>
      <c r="K18" s="79">
        <f t="shared" si="3"/>
        <v>0.91211105373436252</v>
      </c>
      <c r="L18" s="96" t="s">
        <v>170</v>
      </c>
      <c r="M18" s="50"/>
      <c r="N18" s="50"/>
    </row>
    <row r="19" spans="1:14" ht="30" customHeight="1" x14ac:dyDescent="0.4">
      <c r="A19" s="72">
        <v>89999</v>
      </c>
      <c r="B19" s="73" t="s">
        <v>54</v>
      </c>
      <c r="C19" s="75" t="s">
        <v>164</v>
      </c>
      <c r="D19" s="75" t="s">
        <v>168</v>
      </c>
      <c r="E19" s="75" t="s">
        <v>25</v>
      </c>
      <c r="F19" s="76">
        <f>900.6*1.1</f>
        <v>990.66000000000008</v>
      </c>
      <c r="G19" s="72">
        <v>15.76</v>
      </c>
      <c r="H19" s="76">
        <f t="shared" si="0"/>
        <v>20.101880000000001</v>
      </c>
      <c r="I19" s="77">
        <f t="shared" si="1"/>
        <v>19914.128440800003</v>
      </c>
      <c r="J19" s="78">
        <f t="shared" si="2"/>
        <v>1.4113006077014215E-2</v>
      </c>
      <c r="K19" s="79">
        <f t="shared" si="3"/>
        <v>0.92622405981137679</v>
      </c>
      <c r="L19" s="96" t="s">
        <v>170</v>
      </c>
      <c r="M19" s="50"/>
      <c r="N19" s="50"/>
    </row>
    <row r="20" spans="1:14" ht="18" customHeight="1" x14ac:dyDescent="0.4">
      <c r="A20" s="84">
        <v>90778</v>
      </c>
      <c r="B20" s="73" t="s">
        <v>86</v>
      </c>
      <c r="C20" s="75" t="s">
        <v>164</v>
      </c>
      <c r="D20" s="75" t="s">
        <v>168</v>
      </c>
      <c r="E20" s="75" t="s">
        <v>88</v>
      </c>
      <c r="F20" s="76">
        <v>128</v>
      </c>
      <c r="G20" s="76">
        <v>119.71</v>
      </c>
      <c r="H20" s="76">
        <f t="shared" si="0"/>
        <v>152.69010499999999</v>
      </c>
      <c r="I20" s="77">
        <f t="shared" si="1"/>
        <v>19544.333439999999</v>
      </c>
      <c r="J20" s="78">
        <f t="shared" si="2"/>
        <v>1.3850934899304654E-2</v>
      </c>
      <c r="K20" s="79">
        <f t="shared" si="3"/>
        <v>0.94007499471068146</v>
      </c>
      <c r="L20" s="96" t="s">
        <v>170</v>
      </c>
      <c r="M20" s="50"/>
      <c r="N20" s="50"/>
    </row>
    <row r="21" spans="1:14" ht="30" customHeight="1" x14ac:dyDescent="0.4">
      <c r="A21" s="72">
        <v>103670</v>
      </c>
      <c r="B21" s="73" t="s">
        <v>102</v>
      </c>
      <c r="C21" s="75" t="s">
        <v>164</v>
      </c>
      <c r="D21" s="75" t="s">
        <v>168</v>
      </c>
      <c r="E21" s="75" t="s">
        <v>15</v>
      </c>
      <c r="F21" s="76">
        <v>52.92</v>
      </c>
      <c r="G21" s="72">
        <v>268.77999999999997</v>
      </c>
      <c r="H21" s="76">
        <f t="shared" si="0"/>
        <v>342.82889</v>
      </c>
      <c r="I21" s="77">
        <f t="shared" si="1"/>
        <v>18142.504858799999</v>
      </c>
      <c r="J21" s="78">
        <f t="shared" si="2"/>
        <v>1.2857468610070807E-2</v>
      </c>
      <c r="K21" s="79">
        <f t="shared" si="3"/>
        <v>0.95293246332075221</v>
      </c>
      <c r="L21" s="96" t="s">
        <v>170</v>
      </c>
      <c r="M21" s="50"/>
      <c r="N21" s="50"/>
    </row>
    <row r="22" spans="1:14" ht="18" customHeight="1" x14ac:dyDescent="0.4">
      <c r="A22" s="84">
        <v>98519</v>
      </c>
      <c r="B22" s="72" t="s">
        <v>7</v>
      </c>
      <c r="C22" s="75" t="s">
        <v>164</v>
      </c>
      <c r="D22" s="75" t="s">
        <v>168</v>
      </c>
      <c r="E22" s="75" t="s">
        <v>8</v>
      </c>
      <c r="F22" s="76">
        <f>1125*5</f>
        <v>5625</v>
      </c>
      <c r="G22" s="72">
        <v>1.89</v>
      </c>
      <c r="H22" s="76">
        <f t="shared" si="0"/>
        <v>2.410695</v>
      </c>
      <c r="I22" s="77">
        <f t="shared" si="1"/>
        <v>13560.159374999999</v>
      </c>
      <c r="J22" s="78">
        <f t="shared" si="2"/>
        <v>9.6099918323600143E-3</v>
      </c>
      <c r="K22" s="79">
        <f t="shared" si="3"/>
        <v>0.96254245515311221</v>
      </c>
      <c r="L22" s="97" t="s">
        <v>170</v>
      </c>
      <c r="M22" s="50"/>
      <c r="N22" s="50"/>
    </row>
    <row r="23" spans="1:14" ht="41.25" customHeight="1" x14ac:dyDescent="0.4">
      <c r="A23" s="84">
        <v>93207</v>
      </c>
      <c r="B23" s="73" t="s">
        <v>9</v>
      </c>
      <c r="C23" s="75" t="s">
        <v>164</v>
      </c>
      <c r="D23" s="75" t="s">
        <v>168</v>
      </c>
      <c r="E23" s="75" t="s">
        <v>8</v>
      </c>
      <c r="F23" s="76">
        <v>8</v>
      </c>
      <c r="G23" s="77">
        <v>1202.83</v>
      </c>
      <c r="H23" s="76">
        <f t="shared" si="0"/>
        <v>1534.2096650000001</v>
      </c>
      <c r="I23" s="77">
        <f t="shared" si="1"/>
        <v>12273.677320000001</v>
      </c>
      <c r="J23" s="78">
        <f t="shared" si="2"/>
        <v>8.6982708341672675E-3</v>
      </c>
      <c r="K23" s="79">
        <f t="shared" si="3"/>
        <v>0.97124072598727951</v>
      </c>
      <c r="L23" s="97" t="s">
        <v>170</v>
      </c>
      <c r="M23" s="50"/>
      <c r="N23" s="50"/>
    </row>
    <row r="24" spans="1:14" ht="42" customHeight="1" x14ac:dyDescent="0.4">
      <c r="A24" s="72">
        <v>92759</v>
      </c>
      <c r="B24" s="73" t="s">
        <v>56</v>
      </c>
      <c r="C24" s="75" t="s">
        <v>164</v>
      </c>
      <c r="D24" s="75" t="s">
        <v>168</v>
      </c>
      <c r="E24" s="75" t="s">
        <v>25</v>
      </c>
      <c r="F24" s="76">
        <f>490.837*1.1</f>
        <v>539.92070000000001</v>
      </c>
      <c r="G24" s="72">
        <v>13.91</v>
      </c>
      <c r="H24" s="76">
        <f t="shared" si="0"/>
        <v>17.742205000000002</v>
      </c>
      <c r="I24" s="77">
        <f t="shared" si="1"/>
        <v>9579.3837431435004</v>
      </c>
      <c r="J24" s="78">
        <f t="shared" si="2"/>
        <v>6.7888434777818628E-3</v>
      </c>
      <c r="K24" s="79">
        <f t="shared" si="3"/>
        <v>0.97802956946506137</v>
      </c>
      <c r="L24" s="97" t="s">
        <v>170</v>
      </c>
      <c r="M24" s="50"/>
      <c r="N24" s="50"/>
    </row>
    <row r="25" spans="1:14" ht="30" customHeight="1" x14ac:dyDescent="0.4">
      <c r="A25" s="84">
        <v>95601</v>
      </c>
      <c r="B25" s="73" t="s">
        <v>16</v>
      </c>
      <c r="C25" s="75" t="s">
        <v>164</v>
      </c>
      <c r="D25" s="75" t="s">
        <v>168</v>
      </c>
      <c r="E25" s="75" t="s">
        <v>17</v>
      </c>
      <c r="F25" s="72">
        <f>(1125/3+1)</f>
        <v>376</v>
      </c>
      <c r="G25" s="72">
        <v>18.47</v>
      </c>
      <c r="H25" s="76">
        <f t="shared" si="0"/>
        <v>23.558485000000001</v>
      </c>
      <c r="I25" s="77">
        <f t="shared" si="1"/>
        <v>8857.9903599999998</v>
      </c>
      <c r="J25" s="78">
        <f t="shared" si="2"/>
        <v>6.2775969409079114E-3</v>
      </c>
      <c r="K25" s="79">
        <f t="shared" si="3"/>
        <v>0.98430716640596927</v>
      </c>
      <c r="L25" s="97" t="s">
        <v>170</v>
      </c>
      <c r="M25" s="50"/>
      <c r="N25" s="50"/>
    </row>
    <row r="26" spans="1:14" ht="30" customHeight="1" x14ac:dyDescent="0.4">
      <c r="A26" s="84">
        <v>93582</v>
      </c>
      <c r="B26" s="73" t="s">
        <v>10</v>
      </c>
      <c r="C26" s="75" t="s">
        <v>164</v>
      </c>
      <c r="D26" s="75" t="s">
        <v>168</v>
      </c>
      <c r="E26" s="75" t="s">
        <v>8</v>
      </c>
      <c r="F26" s="76">
        <v>12</v>
      </c>
      <c r="G26" s="72">
        <v>290.97000000000003</v>
      </c>
      <c r="H26" s="76">
        <f t="shared" si="0"/>
        <v>371.13223500000004</v>
      </c>
      <c r="I26" s="77">
        <f t="shared" si="1"/>
        <v>4453.5868200000004</v>
      </c>
      <c r="J26" s="78">
        <f t="shared" si="2"/>
        <v>3.1562263968528182E-3</v>
      </c>
      <c r="K26" s="79">
        <f t="shared" si="3"/>
        <v>0.98746339280282214</v>
      </c>
      <c r="L26" s="97" t="s">
        <v>170</v>
      </c>
      <c r="M26" s="50"/>
      <c r="N26" s="50"/>
    </row>
    <row r="27" spans="1:14" ht="30" customHeight="1" x14ac:dyDescent="0.4">
      <c r="A27" s="86">
        <v>93382</v>
      </c>
      <c r="B27" s="73" t="s">
        <v>20</v>
      </c>
      <c r="C27" s="75" t="s">
        <v>164</v>
      </c>
      <c r="D27" s="75" t="s">
        <v>168</v>
      </c>
      <c r="E27" s="75" t="s">
        <v>15</v>
      </c>
      <c r="F27" s="76">
        <v>137.81</v>
      </c>
      <c r="G27" s="72">
        <v>24.31</v>
      </c>
      <c r="H27" s="76">
        <f t="shared" si="0"/>
        <v>31.007404999999999</v>
      </c>
      <c r="I27" s="77">
        <f t="shared" si="1"/>
        <v>4273.1304830500003</v>
      </c>
      <c r="J27" s="78">
        <f t="shared" si="2"/>
        <v>3.028338230037883E-3</v>
      </c>
      <c r="K27" s="79">
        <f t="shared" si="3"/>
        <v>0.99049173103286003</v>
      </c>
      <c r="L27" s="97" t="s">
        <v>170</v>
      </c>
      <c r="M27" s="50"/>
      <c r="N27" s="50"/>
    </row>
    <row r="28" spans="1:14" ht="30" customHeight="1" x14ac:dyDescent="0.4">
      <c r="A28" s="84">
        <v>103689</v>
      </c>
      <c r="B28" s="73" t="s">
        <v>84</v>
      </c>
      <c r="C28" s="75" t="s">
        <v>164</v>
      </c>
      <c r="D28" s="75" t="s">
        <v>168</v>
      </c>
      <c r="E28" s="75" t="s">
        <v>8</v>
      </c>
      <c r="F28" s="76">
        <v>8</v>
      </c>
      <c r="G28" s="72">
        <v>306.75</v>
      </c>
      <c r="H28" s="76">
        <f t="shared" si="0"/>
        <v>391.25962500000003</v>
      </c>
      <c r="I28" s="77">
        <f t="shared" si="1"/>
        <v>3130.0770000000002</v>
      </c>
      <c r="J28" s="78">
        <f t="shared" si="2"/>
        <v>2.218264075871744E-3</v>
      </c>
      <c r="K28" s="79">
        <f t="shared" si="3"/>
        <v>0.99270999510873181</v>
      </c>
      <c r="L28" s="97" t="s">
        <v>170</v>
      </c>
    </row>
    <row r="29" spans="1:14" ht="54" customHeight="1" x14ac:dyDescent="0.4">
      <c r="A29" s="84">
        <v>90105</v>
      </c>
      <c r="B29" s="73" t="s">
        <v>19</v>
      </c>
      <c r="C29" s="75" t="s">
        <v>164</v>
      </c>
      <c r="D29" s="75" t="s">
        <v>168</v>
      </c>
      <c r="E29" s="75" t="s">
        <v>15</v>
      </c>
      <c r="F29" s="72">
        <f>1125*0.35*0.6</f>
        <v>236.25</v>
      </c>
      <c r="G29" s="72">
        <v>8.81</v>
      </c>
      <c r="H29" s="76">
        <f t="shared" si="0"/>
        <v>11.237155000000001</v>
      </c>
      <c r="I29" s="77">
        <f t="shared" si="1"/>
        <v>2654.7778687500004</v>
      </c>
      <c r="J29" s="78">
        <f t="shared" si="2"/>
        <v>1.8814228454020385E-3</v>
      </c>
      <c r="K29" s="79">
        <f t="shared" si="3"/>
        <v>0.99459141795413386</v>
      </c>
      <c r="L29" s="97" t="s">
        <v>170</v>
      </c>
    </row>
    <row r="30" spans="1:14" ht="42" customHeight="1" x14ac:dyDescent="0.4">
      <c r="A30" s="72">
        <v>96534</v>
      </c>
      <c r="B30" s="73" t="s">
        <v>22</v>
      </c>
      <c r="C30" s="75" t="s">
        <v>164</v>
      </c>
      <c r="D30" s="75" t="s">
        <v>168</v>
      </c>
      <c r="E30" s="75" t="s">
        <v>8</v>
      </c>
      <c r="F30" s="72">
        <f>(ROUNDUP(1125/12+1,0)*0.4*(0.6+0.6+0.6+0.6))/4</f>
        <v>22.8</v>
      </c>
      <c r="G30" s="72">
        <v>89.21</v>
      </c>
      <c r="H30" s="76">
        <f t="shared" si="0"/>
        <v>113.78735500000001</v>
      </c>
      <c r="I30" s="77">
        <f t="shared" si="1"/>
        <v>2594.3516940000004</v>
      </c>
      <c r="J30" s="78">
        <f t="shared" si="2"/>
        <v>1.8385992302991918E-3</v>
      </c>
      <c r="K30" s="79">
        <f t="shared" si="3"/>
        <v>0.99643001718443303</v>
      </c>
      <c r="L30" s="97" t="s">
        <v>170</v>
      </c>
    </row>
    <row r="31" spans="1:14" ht="30" customHeight="1" x14ac:dyDescent="0.4">
      <c r="A31" s="72">
        <v>96622</v>
      </c>
      <c r="B31" s="73" t="s">
        <v>27</v>
      </c>
      <c r="C31" s="75" t="s">
        <v>164</v>
      </c>
      <c r="D31" s="75" t="s">
        <v>168</v>
      </c>
      <c r="E31" s="75" t="s">
        <v>15</v>
      </c>
      <c r="F31" s="76">
        <f>(1125-(95*0.6))*(0.05*0.25)</f>
        <v>13.350000000000001</v>
      </c>
      <c r="G31" s="72">
        <v>151.26</v>
      </c>
      <c r="H31" s="76">
        <f t="shared" si="0"/>
        <v>192.93213</v>
      </c>
      <c r="I31" s="77">
        <f t="shared" si="1"/>
        <v>2575.6439355000002</v>
      </c>
      <c r="J31" s="78">
        <f t="shared" si="2"/>
        <v>1.8253411703151611E-3</v>
      </c>
      <c r="K31" s="79">
        <f t="shared" si="3"/>
        <v>0.99825535835474821</v>
      </c>
      <c r="L31" s="97" t="s">
        <v>170</v>
      </c>
    </row>
    <row r="32" spans="1:14" ht="41.25" customHeight="1" x14ac:dyDescent="0.4">
      <c r="A32" s="72">
        <v>100759</v>
      </c>
      <c r="B32" s="73" t="s">
        <v>150</v>
      </c>
      <c r="C32" s="75" t="s">
        <v>164</v>
      </c>
      <c r="D32" s="75" t="s">
        <v>168</v>
      </c>
      <c r="E32" s="75" t="s">
        <v>8</v>
      </c>
      <c r="F32" s="76">
        <f>12*3</f>
        <v>36</v>
      </c>
      <c r="G32" s="76">
        <v>43.16</v>
      </c>
      <c r="H32" s="76">
        <f t="shared" si="0"/>
        <v>55.050579999999997</v>
      </c>
      <c r="I32" s="77">
        <f t="shared" si="1"/>
        <v>1981.8208799999998</v>
      </c>
      <c r="J32" s="78">
        <f t="shared" si="2"/>
        <v>1.4045028486252974E-3</v>
      </c>
      <c r="K32" s="79">
        <f t="shared" si="3"/>
        <v>0.99965986120337347</v>
      </c>
      <c r="L32" s="97" t="s">
        <v>170</v>
      </c>
    </row>
    <row r="33" spans="1:12" ht="30" customHeight="1" x14ac:dyDescent="0.4">
      <c r="A33" s="84">
        <v>96621</v>
      </c>
      <c r="B33" s="73" t="s">
        <v>14</v>
      </c>
      <c r="C33" s="75" t="s">
        <v>164</v>
      </c>
      <c r="D33" s="75" t="s">
        <v>168</v>
      </c>
      <c r="E33" s="75" t="s">
        <v>15</v>
      </c>
      <c r="F33" s="72">
        <f>ROUNDUP(1125/12+1,0)*(0.05*0.6*0.6)</f>
        <v>1.71</v>
      </c>
      <c r="G33" s="72">
        <v>220.05</v>
      </c>
      <c r="H33" s="76">
        <f t="shared" si="0"/>
        <v>280.67377500000003</v>
      </c>
      <c r="I33" s="77">
        <f t="shared" si="1"/>
        <v>479.95215525000003</v>
      </c>
      <c r="J33" s="78">
        <f t="shared" si="2"/>
        <v>3.4013879662650248E-4</v>
      </c>
      <c r="K33" s="79">
        <f t="shared" si="3"/>
        <v>1</v>
      </c>
      <c r="L33" s="97" t="s">
        <v>170</v>
      </c>
    </row>
    <row r="34" spans="1:12" x14ac:dyDescent="0.4">
      <c r="A34" s="72"/>
      <c r="B34" s="110"/>
      <c r="C34" s="111"/>
      <c r="D34" s="111"/>
      <c r="E34" s="111"/>
      <c r="F34" s="111"/>
      <c r="G34" s="111"/>
      <c r="H34" s="111"/>
      <c r="I34" s="111"/>
      <c r="J34" s="111"/>
      <c r="K34" s="111"/>
      <c r="L34" s="112"/>
    </row>
    <row r="35" spans="1:12" x14ac:dyDescent="0.4">
      <c r="A35" s="72"/>
      <c r="B35" s="109" t="s">
        <v>172</v>
      </c>
      <c r="C35" s="109"/>
      <c r="D35" s="109"/>
      <c r="E35" s="109"/>
      <c r="F35" s="109"/>
      <c r="G35" s="109"/>
      <c r="H35" s="109"/>
      <c r="I35" s="77">
        <f>SUM(I4:I34)</f>
        <v>1411047.9604507538</v>
      </c>
      <c r="J35" s="113"/>
      <c r="K35" s="114"/>
      <c r="L35" s="115"/>
    </row>
    <row r="36" spans="1:12" x14ac:dyDescent="0.4">
      <c r="A36" s="3"/>
      <c r="B36" s="3"/>
      <c r="C36" s="3"/>
      <c r="D36" s="3"/>
      <c r="E36" s="4"/>
      <c r="F36" s="3"/>
      <c r="G36" s="3"/>
      <c r="H36" s="3"/>
      <c r="I36" s="3"/>
    </row>
    <row r="37" spans="1:12" x14ac:dyDescent="0.4">
      <c r="A37" s="3"/>
      <c r="B37" s="3"/>
      <c r="C37" s="3"/>
      <c r="D37" s="3"/>
      <c r="E37" s="4"/>
      <c r="F37" s="3"/>
      <c r="G37" s="3"/>
      <c r="H37" s="3"/>
      <c r="I37" s="3"/>
    </row>
    <row r="38" spans="1:12" x14ac:dyDescent="0.4">
      <c r="E38" s="26"/>
    </row>
    <row r="39" spans="1:12" x14ac:dyDescent="0.4">
      <c r="E39" s="26"/>
    </row>
    <row r="40" spans="1:12" x14ac:dyDescent="0.4">
      <c r="E40" s="26"/>
    </row>
    <row r="41" spans="1:12" x14ac:dyDescent="0.4">
      <c r="E41" s="26"/>
    </row>
  </sheetData>
  <sortState xmlns:xlrd2="http://schemas.microsoft.com/office/spreadsheetml/2017/richdata2" ref="A7:J36">
    <sortCondition descending="1" ref="J7:J36"/>
  </sortState>
  <mergeCells count="4">
    <mergeCell ref="B35:H35"/>
    <mergeCell ref="B34:L34"/>
    <mergeCell ref="J35:L35"/>
    <mergeCell ref="A1:L1"/>
  </mergeCells>
  <pageMargins left="0.25" right="0.25" top="0.75" bottom="0.75" header="0.3" footer="0.3"/>
  <pageSetup paperSize="9" orientation="landscape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84"/>
  <sheetViews>
    <sheetView zoomScaleNormal="100" workbookViewId="0">
      <selection activeCell="L3" sqref="L3"/>
    </sheetView>
  </sheetViews>
  <sheetFormatPr defaultRowHeight="14.6" x14ac:dyDescent="0.4"/>
  <cols>
    <col min="1" max="1" width="7.69140625" customWidth="1"/>
    <col min="2" max="2" width="46.69140625" customWidth="1"/>
    <col min="3" max="3" width="9.69140625" customWidth="1"/>
    <col min="4" max="4" width="12.69140625" customWidth="1"/>
    <col min="5" max="5" width="5.69140625" customWidth="1"/>
    <col min="6" max="6" width="6.69140625" customWidth="1"/>
    <col min="7" max="7" width="9.69140625" customWidth="1"/>
    <col min="8" max="8" width="7.69140625" customWidth="1"/>
    <col min="9" max="9" width="9.69140625" customWidth="1"/>
    <col min="10" max="10" width="6.69140625" customWidth="1"/>
    <col min="11" max="11" width="11.69140625" customWidth="1"/>
    <col min="12" max="12" width="8.69140625" customWidth="1"/>
  </cols>
  <sheetData>
    <row r="1" spans="1:12" ht="129.75" customHeight="1" x14ac:dyDescent="0.4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</row>
    <row r="2" spans="1:12" ht="8.25" customHeight="1" x14ac:dyDescent="0.4"/>
    <row r="3" spans="1:12" ht="27" x14ac:dyDescent="0.4">
      <c r="A3" s="70" t="s">
        <v>1</v>
      </c>
      <c r="B3" s="70" t="s">
        <v>2</v>
      </c>
      <c r="C3" s="70" t="s">
        <v>163</v>
      </c>
      <c r="D3" s="70" t="s">
        <v>167</v>
      </c>
      <c r="E3" s="70" t="s">
        <v>3</v>
      </c>
      <c r="F3" s="70" t="s">
        <v>4</v>
      </c>
      <c r="G3" s="71" t="s">
        <v>66</v>
      </c>
      <c r="H3" s="71" t="s">
        <v>65</v>
      </c>
      <c r="I3" s="71" t="s">
        <v>5</v>
      </c>
      <c r="J3" s="71" t="s">
        <v>111</v>
      </c>
      <c r="K3" s="71" t="s">
        <v>162</v>
      </c>
      <c r="L3" s="71" t="s">
        <v>259</v>
      </c>
    </row>
    <row r="4" spans="1:12" ht="30" customHeight="1" x14ac:dyDescent="0.4">
      <c r="A4" s="72">
        <v>654</v>
      </c>
      <c r="B4" s="73" t="s">
        <v>177</v>
      </c>
      <c r="C4" s="74" t="s">
        <v>164</v>
      </c>
      <c r="D4" s="74" t="s">
        <v>257</v>
      </c>
      <c r="E4" s="75" t="s">
        <v>178</v>
      </c>
      <c r="F4" s="76">
        <f>ROUND(2806.4*13.6,0)</f>
        <v>38167</v>
      </c>
      <c r="G4" s="72">
        <v>5.04</v>
      </c>
      <c r="H4" s="76">
        <f>G4*(1+0.2755)</f>
        <v>6.4285200000000007</v>
      </c>
      <c r="I4" s="77">
        <f t="shared" ref="I4:I35" si="0">F4*H4</f>
        <v>245357.32284000004</v>
      </c>
      <c r="J4" s="78" t="e">
        <f>I4/ORÇAMENTO!$I$44</f>
        <v>#DIV/0!</v>
      </c>
      <c r="K4" s="79" t="e">
        <f>J4</f>
        <v>#DIV/0!</v>
      </c>
      <c r="L4" s="80" t="s">
        <v>169</v>
      </c>
    </row>
    <row r="5" spans="1:12" ht="18" customHeight="1" x14ac:dyDescent="0.4">
      <c r="A5" s="72">
        <v>88309</v>
      </c>
      <c r="B5" s="73" t="s">
        <v>182</v>
      </c>
      <c r="C5" s="74" t="s">
        <v>164</v>
      </c>
      <c r="D5" s="81" t="s">
        <v>258</v>
      </c>
      <c r="E5" s="75" t="s">
        <v>174</v>
      </c>
      <c r="F5" s="76">
        <f>ROUND((2806.4*1.13)+(151.64*2.386)+(52.92*2.459)+(13.35*1.217)+(54.74*0.224)+(1.71*3.438),2)</f>
        <v>3697.56</v>
      </c>
      <c r="G5" s="72">
        <v>24.78</v>
      </c>
      <c r="H5" s="76">
        <f t="shared" ref="H5:H68" si="1">G5*(1+0.2755)</f>
        <v>31.606890000000003</v>
      </c>
      <c r="I5" s="77">
        <f t="shared" si="0"/>
        <v>116868.37218840001</v>
      </c>
      <c r="J5" s="78" t="e">
        <f>I5/ORÇAMENTO!$I$44</f>
        <v>#DIV/0!</v>
      </c>
      <c r="K5" s="79" t="e">
        <f>J5+K4</f>
        <v>#DIV/0!</v>
      </c>
      <c r="L5" s="80" t="s">
        <v>169</v>
      </c>
    </row>
    <row r="6" spans="1:12" ht="30" customHeight="1" x14ac:dyDescent="0.4">
      <c r="A6" s="72">
        <v>88316</v>
      </c>
      <c r="B6" s="73" t="s">
        <v>173</v>
      </c>
      <c r="C6" s="74" t="s">
        <v>164</v>
      </c>
      <c r="D6" s="81" t="s">
        <v>260</v>
      </c>
      <c r="E6" s="75" t="s">
        <v>174</v>
      </c>
      <c r="F6" s="76">
        <f>ROUND((2806.4*0.565)+(940*1.3833)+(5625*0.0759)+(52.92*7.377)+(151.64*2.45)+(376*0.363)+(137.81*0.7866)+(52.92*1.995)+(54.74*1.345)+(236.25*0.0717)+(8*1.1186)+(13.35*0.394)+(1.71*1.071),2)</f>
        <v>4531.83</v>
      </c>
      <c r="G6" s="72">
        <v>19.75</v>
      </c>
      <c r="H6" s="76">
        <f t="shared" si="1"/>
        <v>25.191125000000003</v>
      </c>
      <c r="I6" s="77">
        <f t="shared" si="0"/>
        <v>114161.89600875002</v>
      </c>
      <c r="J6" s="78" t="e">
        <f>I6/ORÇAMENTO!$I$44</f>
        <v>#DIV/0!</v>
      </c>
      <c r="K6" s="79" t="e">
        <f t="shared" ref="K6:K69" si="2">J6+K5</f>
        <v>#DIV/0!</v>
      </c>
      <c r="L6" s="80" t="s">
        <v>169</v>
      </c>
    </row>
    <row r="7" spans="1:12" ht="42" customHeight="1" x14ac:dyDescent="0.4">
      <c r="A7" s="72">
        <v>94972</v>
      </c>
      <c r="B7" s="82" t="s">
        <v>187</v>
      </c>
      <c r="C7" s="74" t="s">
        <v>164</v>
      </c>
      <c r="D7" s="83" t="s">
        <v>257</v>
      </c>
      <c r="E7" s="75" t="s">
        <v>15</v>
      </c>
      <c r="F7" s="76">
        <f>151.64*1.15</f>
        <v>174.38599999999997</v>
      </c>
      <c r="G7" s="72">
        <v>511.26</v>
      </c>
      <c r="H7" s="76">
        <f t="shared" si="1"/>
        <v>652.11212999999998</v>
      </c>
      <c r="I7" s="77">
        <f t="shared" si="0"/>
        <v>113719.22590217997</v>
      </c>
      <c r="J7" s="78" t="e">
        <f>I7/ORÇAMENTO!$I$44</f>
        <v>#DIV/0!</v>
      </c>
      <c r="K7" s="79" t="e">
        <f t="shared" si="2"/>
        <v>#DIV/0!</v>
      </c>
      <c r="L7" s="80" t="s">
        <v>169</v>
      </c>
    </row>
    <row r="8" spans="1:12" ht="18" customHeight="1" x14ac:dyDescent="0.4">
      <c r="A8" s="72">
        <v>33</v>
      </c>
      <c r="B8" s="73" t="s">
        <v>227</v>
      </c>
      <c r="C8" s="74" t="s">
        <v>164</v>
      </c>
      <c r="D8" s="81" t="s">
        <v>257</v>
      </c>
      <c r="E8" s="75" t="s">
        <v>184</v>
      </c>
      <c r="F8" s="76">
        <f>ROUND((4842.68*1.11)+(1981.32*1.11)+990.66,2)</f>
        <v>8565.2999999999993</v>
      </c>
      <c r="G8" s="76">
        <v>9</v>
      </c>
      <c r="H8" s="76">
        <f t="shared" si="1"/>
        <v>11.479500000000002</v>
      </c>
      <c r="I8" s="77">
        <f t="shared" si="0"/>
        <v>98325.361350000006</v>
      </c>
      <c r="J8" s="78" t="e">
        <f>I8/ORÇAMENTO!$I$44</f>
        <v>#DIV/0!</v>
      </c>
      <c r="K8" s="79" t="e">
        <f t="shared" si="2"/>
        <v>#DIV/0!</v>
      </c>
      <c r="L8" s="80" t="s">
        <v>169</v>
      </c>
    </row>
    <row r="9" spans="1:12" ht="42" customHeight="1" x14ac:dyDescent="0.4">
      <c r="A9" s="72">
        <v>626</v>
      </c>
      <c r="B9" s="73" t="s">
        <v>183</v>
      </c>
      <c r="C9" s="74" t="s">
        <v>164</v>
      </c>
      <c r="D9" s="81" t="s">
        <v>257</v>
      </c>
      <c r="E9" s="75" t="s">
        <v>184</v>
      </c>
      <c r="F9" s="72">
        <f>1246.8*1.5</f>
        <v>1870.1999999999998</v>
      </c>
      <c r="G9" s="72">
        <v>26.01</v>
      </c>
      <c r="H9" s="76">
        <f t="shared" si="1"/>
        <v>33.175755000000002</v>
      </c>
      <c r="I9" s="77">
        <f t="shared" si="0"/>
        <v>62045.297000999999</v>
      </c>
      <c r="J9" s="78" t="e">
        <f>I9/ORÇAMENTO!$I$44</f>
        <v>#DIV/0!</v>
      </c>
      <c r="K9" s="79" t="e">
        <f t="shared" si="2"/>
        <v>#DIV/0!</v>
      </c>
      <c r="L9" s="80" t="s">
        <v>169</v>
      </c>
    </row>
    <row r="10" spans="1:12" ht="18" customHeight="1" x14ac:dyDescent="0.4">
      <c r="A10" s="72">
        <v>88245</v>
      </c>
      <c r="B10" s="73" t="s">
        <v>199</v>
      </c>
      <c r="C10" s="74" t="s">
        <v>164</v>
      </c>
      <c r="D10" s="81" t="s">
        <v>258</v>
      </c>
      <c r="E10" s="75" t="s">
        <v>174</v>
      </c>
      <c r="F10" s="76">
        <f>ROUND((4842.68*0.1155)+(4642.31*0.0615)+(1467.69*0.1945)+(990.66*0.1792)+(1981.32*0.0561)+(1467.69*0.0581)+(4842.68*0.0162)+(539.92*0.1069)+(1981.32*0.0162)+(539.92*0.0581),2)</f>
        <v>1703.88</v>
      </c>
      <c r="G10" s="72">
        <v>24.59</v>
      </c>
      <c r="H10" s="76">
        <f t="shared" si="1"/>
        <v>31.364545000000003</v>
      </c>
      <c r="I10" s="77">
        <f t="shared" si="0"/>
        <v>53441.420934600006</v>
      </c>
      <c r="J10" s="78" t="e">
        <f>I10/ORÇAMENTO!$I$44</f>
        <v>#DIV/0!</v>
      </c>
      <c r="K10" s="79" t="e">
        <f t="shared" si="2"/>
        <v>#DIV/0!</v>
      </c>
      <c r="L10" s="80" t="s">
        <v>171</v>
      </c>
    </row>
    <row r="11" spans="1:12" ht="18" customHeight="1" x14ac:dyDescent="0.4">
      <c r="A11" s="72">
        <v>34</v>
      </c>
      <c r="B11" s="73" t="s">
        <v>203</v>
      </c>
      <c r="C11" s="74" t="s">
        <v>164</v>
      </c>
      <c r="D11" s="81" t="s">
        <v>257</v>
      </c>
      <c r="E11" s="75" t="s">
        <v>184</v>
      </c>
      <c r="F11" s="76">
        <v>4642.3100000000004</v>
      </c>
      <c r="G11" s="72">
        <v>8.48</v>
      </c>
      <c r="H11" s="76">
        <f t="shared" si="1"/>
        <v>10.816240000000001</v>
      </c>
      <c r="I11" s="77">
        <f t="shared" si="0"/>
        <v>50212.339114400005</v>
      </c>
      <c r="J11" s="78" t="e">
        <f>I11/ORÇAMENTO!$I$44</f>
        <v>#DIV/0!</v>
      </c>
      <c r="K11" s="79" t="e">
        <f t="shared" si="2"/>
        <v>#DIV/0!</v>
      </c>
      <c r="L11" s="80" t="s">
        <v>171</v>
      </c>
    </row>
    <row r="12" spans="1:12" ht="42" customHeight="1" x14ac:dyDescent="0.4">
      <c r="A12" s="72">
        <v>1527</v>
      </c>
      <c r="B12" s="73" t="s">
        <v>204</v>
      </c>
      <c r="C12" s="74" t="s">
        <v>164</v>
      </c>
      <c r="D12" s="81" t="s">
        <v>257</v>
      </c>
      <c r="E12" s="75" t="s">
        <v>15</v>
      </c>
      <c r="F12" s="76">
        <f>ROUND(54.74*1.103,2)</f>
        <v>60.38</v>
      </c>
      <c r="G12" s="72">
        <v>607.05999999999995</v>
      </c>
      <c r="H12" s="76">
        <f t="shared" si="1"/>
        <v>774.30502999999999</v>
      </c>
      <c r="I12" s="77">
        <f t="shared" si="0"/>
        <v>46752.5377114</v>
      </c>
      <c r="J12" s="78" t="e">
        <f>I12/ORÇAMENTO!$I$44</f>
        <v>#DIV/0!</v>
      </c>
      <c r="K12" s="79" t="e">
        <f t="shared" si="2"/>
        <v>#DIV/0!</v>
      </c>
      <c r="L12" s="80" t="s">
        <v>171</v>
      </c>
    </row>
    <row r="13" spans="1:12" ht="42" customHeight="1" x14ac:dyDescent="0.4">
      <c r="A13" s="84">
        <v>38405</v>
      </c>
      <c r="B13" s="73" t="s">
        <v>188</v>
      </c>
      <c r="C13" s="74" t="s">
        <v>164</v>
      </c>
      <c r="D13" s="81" t="s">
        <v>257</v>
      </c>
      <c r="E13" s="75" t="s">
        <v>15</v>
      </c>
      <c r="F13" s="72">
        <f>940*0.0527</f>
        <v>49.537999999999997</v>
      </c>
      <c r="G13" s="72">
        <v>581.91999999999996</v>
      </c>
      <c r="H13" s="76">
        <f t="shared" si="1"/>
        <v>742.23896000000002</v>
      </c>
      <c r="I13" s="77">
        <f t="shared" si="0"/>
        <v>36769.033600479997</v>
      </c>
      <c r="J13" s="78" t="e">
        <f>I13/ORÇAMENTO!$I$44</f>
        <v>#DIV/0!</v>
      </c>
      <c r="K13" s="79" t="e">
        <f t="shared" si="2"/>
        <v>#DIV/0!</v>
      </c>
      <c r="L13" s="80" t="s">
        <v>171</v>
      </c>
    </row>
    <row r="14" spans="1:12" ht="54" customHeight="1" x14ac:dyDescent="0.4">
      <c r="A14" s="72">
        <v>87292</v>
      </c>
      <c r="B14" s="73" t="s">
        <v>181</v>
      </c>
      <c r="C14" s="74" t="s">
        <v>164</v>
      </c>
      <c r="D14" s="81" t="s">
        <v>257</v>
      </c>
      <c r="E14" s="75" t="s">
        <v>15</v>
      </c>
      <c r="F14" s="76">
        <f>2806.04*0.0128</f>
        <v>35.917312000000003</v>
      </c>
      <c r="G14" s="72">
        <v>582.83000000000004</v>
      </c>
      <c r="H14" s="76">
        <f t="shared" si="1"/>
        <v>743.39966500000014</v>
      </c>
      <c r="I14" s="77">
        <f t="shared" si="0"/>
        <v>26700.917708500489</v>
      </c>
      <c r="J14" s="78" t="e">
        <f>I14/ORÇAMENTO!$I$44</f>
        <v>#DIV/0!</v>
      </c>
      <c r="K14" s="79" t="e">
        <f t="shared" si="2"/>
        <v>#DIV/0!</v>
      </c>
      <c r="L14" s="80" t="s">
        <v>171</v>
      </c>
    </row>
    <row r="15" spans="1:12" ht="18" customHeight="1" x14ac:dyDescent="0.4">
      <c r="A15" s="85"/>
      <c r="B15" s="73" t="s">
        <v>248</v>
      </c>
      <c r="C15" s="74" t="s">
        <v>155</v>
      </c>
      <c r="D15" s="81" t="s">
        <v>257</v>
      </c>
      <c r="E15" s="75" t="s">
        <v>13</v>
      </c>
      <c r="F15" s="76">
        <v>1187</v>
      </c>
      <c r="G15" s="72">
        <v>15.43</v>
      </c>
      <c r="H15" s="76">
        <f t="shared" si="1"/>
        <v>19.680965</v>
      </c>
      <c r="I15" s="77">
        <f t="shared" si="0"/>
        <v>23361.305455000002</v>
      </c>
      <c r="J15" s="78" t="e">
        <f>I15/ORÇAMENTO!$I$44</f>
        <v>#DIV/0!</v>
      </c>
      <c r="K15" s="79" t="e">
        <f t="shared" si="2"/>
        <v>#DIV/0!</v>
      </c>
      <c r="L15" s="80" t="s">
        <v>171</v>
      </c>
    </row>
    <row r="16" spans="1:12" ht="18" customHeight="1" x14ac:dyDescent="0.4">
      <c r="A16" s="72">
        <v>43059</v>
      </c>
      <c r="B16" s="82" t="s">
        <v>253</v>
      </c>
      <c r="C16" s="74" t="s">
        <v>164</v>
      </c>
      <c r="D16" s="83" t="s">
        <v>257</v>
      </c>
      <c r="E16" s="83" t="s">
        <v>184</v>
      </c>
      <c r="F16" s="72">
        <f>ROUND((1467.69*1.07)+(539.92*1.07),2)</f>
        <v>2148.14</v>
      </c>
      <c r="G16" s="72">
        <v>8.0299999999999994</v>
      </c>
      <c r="H16" s="76">
        <f t="shared" si="1"/>
        <v>10.242265</v>
      </c>
      <c r="I16" s="77">
        <f t="shared" si="0"/>
        <v>22001.819137099999</v>
      </c>
      <c r="J16" s="78" t="e">
        <f>I16/ORÇAMENTO!$I$44</f>
        <v>#DIV/0!</v>
      </c>
      <c r="K16" s="79" t="e">
        <f t="shared" si="2"/>
        <v>#DIV/0!</v>
      </c>
      <c r="L16" s="80" t="s">
        <v>171</v>
      </c>
    </row>
    <row r="17" spans="1:12" ht="18" customHeight="1" x14ac:dyDescent="0.4">
      <c r="A17" s="72">
        <v>1379</v>
      </c>
      <c r="B17" s="73" t="s">
        <v>207</v>
      </c>
      <c r="C17" s="74" t="s">
        <v>164</v>
      </c>
      <c r="D17" s="81" t="s">
        <v>257</v>
      </c>
      <c r="E17" s="75" t="s">
        <v>184</v>
      </c>
      <c r="F17" s="76">
        <f>ROUND(52.92*384.2609,2)</f>
        <v>20335.09</v>
      </c>
      <c r="G17" s="76">
        <v>0.8</v>
      </c>
      <c r="H17" s="76">
        <f t="shared" si="1"/>
        <v>1.0204000000000002</v>
      </c>
      <c r="I17" s="77">
        <f t="shared" si="0"/>
        <v>20749.925836000006</v>
      </c>
      <c r="J17" s="78" t="e">
        <f>I17/ORÇAMENTO!$I$44</f>
        <v>#DIV/0!</v>
      </c>
      <c r="K17" s="79" t="e">
        <f t="shared" si="2"/>
        <v>#DIV/0!</v>
      </c>
      <c r="L17" s="80" t="s">
        <v>171</v>
      </c>
    </row>
    <row r="18" spans="1:12" ht="18" customHeight="1" x14ac:dyDescent="0.4">
      <c r="A18" s="84">
        <v>4083</v>
      </c>
      <c r="B18" s="73" t="s">
        <v>214</v>
      </c>
      <c r="C18" s="74" t="s">
        <v>164</v>
      </c>
      <c r="D18" s="81" t="s">
        <v>258</v>
      </c>
      <c r="E18" s="75" t="s">
        <v>174</v>
      </c>
      <c r="F18" s="76">
        <v>640</v>
      </c>
      <c r="G18" s="76">
        <v>25.33</v>
      </c>
      <c r="H18" s="76">
        <f t="shared" si="1"/>
        <v>32.308414999999997</v>
      </c>
      <c r="I18" s="77">
        <f t="shared" si="0"/>
        <v>20677.385599999998</v>
      </c>
      <c r="J18" s="78" t="e">
        <f>I18/ORÇAMENTO!$I$44</f>
        <v>#DIV/0!</v>
      </c>
      <c r="K18" s="79" t="e">
        <f t="shared" si="2"/>
        <v>#DIV/0!</v>
      </c>
      <c r="L18" s="80" t="s">
        <v>171</v>
      </c>
    </row>
    <row r="19" spans="1:12" ht="18" customHeight="1" x14ac:dyDescent="0.4">
      <c r="A19" s="84">
        <v>2707</v>
      </c>
      <c r="B19" s="73" t="s">
        <v>228</v>
      </c>
      <c r="C19" s="74" t="s">
        <v>164</v>
      </c>
      <c r="D19" s="81" t="s">
        <v>258</v>
      </c>
      <c r="E19" s="75" t="s">
        <v>174</v>
      </c>
      <c r="F19" s="76">
        <v>128</v>
      </c>
      <c r="G19" s="76">
        <v>115.99</v>
      </c>
      <c r="H19" s="76">
        <f t="shared" si="1"/>
        <v>147.945245</v>
      </c>
      <c r="I19" s="77">
        <f t="shared" si="0"/>
        <v>18936.99136</v>
      </c>
      <c r="J19" s="78" t="e">
        <f>I19/ORÇAMENTO!$I$44</f>
        <v>#DIV/0!</v>
      </c>
      <c r="K19" s="79" t="e">
        <f t="shared" si="2"/>
        <v>#DIV/0!</v>
      </c>
      <c r="L19" s="80" t="s">
        <v>171</v>
      </c>
    </row>
    <row r="20" spans="1:12" ht="18" customHeight="1" x14ac:dyDescent="0.4">
      <c r="A20" s="72">
        <v>88270</v>
      </c>
      <c r="B20" s="73" t="s">
        <v>186</v>
      </c>
      <c r="C20" s="74" t="s">
        <v>164</v>
      </c>
      <c r="D20" s="81" t="s">
        <v>258</v>
      </c>
      <c r="E20" s="75" t="s">
        <v>174</v>
      </c>
      <c r="F20" s="76">
        <f>ROUND(1246.8*0.4299,2)</f>
        <v>536</v>
      </c>
      <c r="G20" s="72">
        <v>24.61</v>
      </c>
      <c r="H20" s="76">
        <f t="shared" si="1"/>
        <v>31.390055</v>
      </c>
      <c r="I20" s="77">
        <f t="shared" si="0"/>
        <v>16825.069480000002</v>
      </c>
      <c r="J20" s="78" t="e">
        <f>I20/ORÇAMENTO!$I$44</f>
        <v>#DIV/0!</v>
      </c>
      <c r="K20" s="79" t="e">
        <f t="shared" si="2"/>
        <v>#DIV/0!</v>
      </c>
      <c r="L20" s="80" t="s">
        <v>171</v>
      </c>
    </row>
    <row r="21" spans="1:12" ht="18" customHeight="1" x14ac:dyDescent="0.4">
      <c r="A21" s="72">
        <v>88238</v>
      </c>
      <c r="B21" s="73" t="s">
        <v>198</v>
      </c>
      <c r="C21" s="74" t="s">
        <v>164</v>
      </c>
      <c r="D21" s="81" t="s">
        <v>258</v>
      </c>
      <c r="E21" s="75" t="s">
        <v>174</v>
      </c>
      <c r="F21" s="76">
        <f>ROUND((4642.31*0.041)+(4842.68*0.0375)+(990.66*0.1195)+(1467.69*0.0635)+(1981.32*0.0092)+(1467.69*0.0095)+(4842.68*0.0026)+(539.92*0.0175)+(1981.32*0.0026)+(539.92*0.0095),2)</f>
        <v>648.01</v>
      </c>
      <c r="G21" s="72">
        <v>19.75</v>
      </c>
      <c r="H21" s="76">
        <f t="shared" si="1"/>
        <v>25.191125000000003</v>
      </c>
      <c r="I21" s="77">
        <f t="shared" si="0"/>
        <v>16324.100911250001</v>
      </c>
      <c r="J21" s="78" t="e">
        <f>I21/ORÇAMENTO!$I$44</f>
        <v>#DIV/0!</v>
      </c>
      <c r="K21" s="79" t="e">
        <f t="shared" si="2"/>
        <v>#DIV/0!</v>
      </c>
      <c r="L21" s="80" t="s">
        <v>171</v>
      </c>
    </row>
    <row r="22" spans="1:12" ht="54" customHeight="1" x14ac:dyDescent="0.4">
      <c r="A22" s="84">
        <v>90680</v>
      </c>
      <c r="B22" s="73" t="s">
        <v>189</v>
      </c>
      <c r="C22" s="74" t="s">
        <v>164</v>
      </c>
      <c r="D22" s="81" t="s">
        <v>261</v>
      </c>
      <c r="E22" s="75" t="s">
        <v>190</v>
      </c>
      <c r="F22" s="76">
        <f>940*0.0274</f>
        <v>25.756</v>
      </c>
      <c r="G22" s="72">
        <v>411.79</v>
      </c>
      <c r="H22" s="76">
        <f t="shared" si="1"/>
        <v>525.23814500000003</v>
      </c>
      <c r="I22" s="77">
        <f t="shared" si="0"/>
        <v>13528.033662620001</v>
      </c>
      <c r="J22" s="78" t="e">
        <f>I22/ORÇAMENTO!$I$44</f>
        <v>#DIV/0!</v>
      </c>
      <c r="K22" s="79" t="e">
        <f t="shared" si="2"/>
        <v>#DIV/0!</v>
      </c>
      <c r="L22" s="80" t="s">
        <v>171</v>
      </c>
    </row>
    <row r="23" spans="1:12" ht="18" customHeight="1" x14ac:dyDescent="0.4">
      <c r="A23" s="72">
        <v>88262</v>
      </c>
      <c r="B23" s="73" t="s">
        <v>205</v>
      </c>
      <c r="C23" s="74" t="s">
        <v>164</v>
      </c>
      <c r="D23" s="81" t="s">
        <v>258</v>
      </c>
      <c r="E23" s="75" t="s">
        <v>174</v>
      </c>
      <c r="F23" s="72">
        <f>ROUND((213.6*1.145)+(52.92*2.459)+(22.8*1.413)+(54.74*0.224)+(8*0.3729),2)</f>
        <v>422.16</v>
      </c>
      <c r="G23" s="72">
        <v>24.41</v>
      </c>
      <c r="H23" s="76">
        <f t="shared" si="1"/>
        <v>31.134955000000001</v>
      </c>
      <c r="I23" s="77">
        <f t="shared" si="0"/>
        <v>13143.932602800001</v>
      </c>
      <c r="J23" s="78" t="e">
        <f>I23/ORÇAMENTO!$I$44</f>
        <v>#DIV/0!</v>
      </c>
      <c r="K23" s="79" t="e">
        <f t="shared" si="2"/>
        <v>#DIV/0!</v>
      </c>
      <c r="L23" s="80" t="s">
        <v>171</v>
      </c>
    </row>
    <row r="24" spans="1:12" ht="30" customHeight="1" x14ac:dyDescent="0.4">
      <c r="A24" s="72">
        <v>4734</v>
      </c>
      <c r="B24" s="73" t="s">
        <v>208</v>
      </c>
      <c r="C24" s="74" t="s">
        <v>164</v>
      </c>
      <c r="D24" s="81" t="s">
        <v>257</v>
      </c>
      <c r="E24" s="75" t="s">
        <v>15</v>
      </c>
      <c r="F24" s="76">
        <f>ROUND(52.92*0.593,2)</f>
        <v>31.38</v>
      </c>
      <c r="G24" s="76">
        <v>327</v>
      </c>
      <c r="H24" s="76">
        <f t="shared" si="1"/>
        <v>417.08850000000001</v>
      </c>
      <c r="I24" s="77">
        <f t="shared" si="0"/>
        <v>13088.23713</v>
      </c>
      <c r="J24" s="78" t="e">
        <f>I24/ORÇAMENTO!$I$44</f>
        <v>#DIV/0!</v>
      </c>
      <c r="K24" s="79" t="e">
        <f t="shared" si="2"/>
        <v>#DIV/0!</v>
      </c>
      <c r="L24" s="80" t="s">
        <v>171</v>
      </c>
    </row>
    <row r="25" spans="1:12" ht="54" customHeight="1" x14ac:dyDescent="0.4">
      <c r="A25" s="84">
        <v>90681</v>
      </c>
      <c r="B25" s="73" t="s">
        <v>212</v>
      </c>
      <c r="C25" s="74" t="s">
        <v>164</v>
      </c>
      <c r="D25" s="81" t="s">
        <v>261</v>
      </c>
      <c r="E25" s="75" t="s">
        <v>191</v>
      </c>
      <c r="F25" s="76">
        <f>940*0.049</f>
        <v>46.06</v>
      </c>
      <c r="G25" s="72">
        <v>171.87</v>
      </c>
      <c r="H25" s="76">
        <f t="shared" si="1"/>
        <v>219.22018500000001</v>
      </c>
      <c r="I25" s="77">
        <f t="shared" si="0"/>
        <v>10097.281721100002</v>
      </c>
      <c r="J25" s="78" t="e">
        <f>I25/ORÇAMENTO!$I$44</f>
        <v>#DIV/0!</v>
      </c>
      <c r="K25" s="79" t="e">
        <f t="shared" si="2"/>
        <v>#DIV/0!</v>
      </c>
      <c r="L25" s="80" t="s">
        <v>171</v>
      </c>
    </row>
    <row r="26" spans="1:12" ht="42" customHeight="1" x14ac:dyDescent="0.4">
      <c r="A26" s="72">
        <v>6189</v>
      </c>
      <c r="B26" s="73" t="s">
        <v>224</v>
      </c>
      <c r="C26" s="74" t="s">
        <v>164</v>
      </c>
      <c r="D26" s="81" t="s">
        <v>257</v>
      </c>
      <c r="E26" s="75" t="s">
        <v>13</v>
      </c>
      <c r="F26" s="72">
        <f>ROUND((213.6*1.008)+(22.8*1.059),2)</f>
        <v>239.45</v>
      </c>
      <c r="G26" s="72">
        <v>30.93</v>
      </c>
      <c r="H26" s="76">
        <f t="shared" si="1"/>
        <v>39.451215000000005</v>
      </c>
      <c r="I26" s="77">
        <f t="shared" si="0"/>
        <v>9446.5934317500014</v>
      </c>
      <c r="J26" s="78" t="e">
        <f>I26/ORÇAMENTO!$I$44</f>
        <v>#DIV/0!</v>
      </c>
      <c r="K26" s="79" t="e">
        <f t="shared" si="2"/>
        <v>#DIV/0!</v>
      </c>
      <c r="L26" s="80" t="s">
        <v>171</v>
      </c>
    </row>
    <row r="27" spans="1:12" ht="30" customHeight="1" x14ac:dyDescent="0.4">
      <c r="A27" s="84">
        <v>95578</v>
      </c>
      <c r="B27" s="73" t="s">
        <v>192</v>
      </c>
      <c r="C27" s="74" t="s">
        <v>164</v>
      </c>
      <c r="D27" s="81" t="s">
        <v>257</v>
      </c>
      <c r="E27" s="75" t="s">
        <v>184</v>
      </c>
      <c r="F27" s="76">
        <f>940*0.8491</f>
        <v>798.154</v>
      </c>
      <c r="G27" s="72">
        <v>9.2200000000000006</v>
      </c>
      <c r="H27" s="76">
        <f t="shared" si="1"/>
        <v>11.760110000000001</v>
      </c>
      <c r="I27" s="77">
        <f t="shared" si="0"/>
        <v>9386.3788369400008</v>
      </c>
      <c r="J27" s="78" t="e">
        <f>I27/ORÇAMENTO!$I$44</f>
        <v>#DIV/0!</v>
      </c>
      <c r="K27" s="79" t="e">
        <f t="shared" si="2"/>
        <v>#DIV/0!</v>
      </c>
      <c r="L27" s="80" t="s">
        <v>171</v>
      </c>
    </row>
    <row r="28" spans="1:12" ht="30" customHeight="1" x14ac:dyDescent="0.4">
      <c r="A28" s="72">
        <v>34548</v>
      </c>
      <c r="B28" s="73" t="s">
        <v>176</v>
      </c>
      <c r="C28" s="74" t="s">
        <v>164</v>
      </c>
      <c r="D28" s="81" t="s">
        <v>257</v>
      </c>
      <c r="E28" s="75" t="s">
        <v>13</v>
      </c>
      <c r="F28" s="76">
        <f>2806.4*0.42</f>
        <v>1178.6880000000001</v>
      </c>
      <c r="G28" s="72">
        <v>6.17</v>
      </c>
      <c r="H28" s="76">
        <f t="shared" si="1"/>
        <v>7.8698350000000001</v>
      </c>
      <c r="I28" s="77">
        <f t="shared" si="0"/>
        <v>9276.0800764800006</v>
      </c>
      <c r="J28" s="78" t="e">
        <f>I28/ORÇAMENTO!$I$44</f>
        <v>#DIV/0!</v>
      </c>
      <c r="K28" s="79" t="e">
        <f t="shared" si="2"/>
        <v>#DIV/0!</v>
      </c>
      <c r="L28" s="80" t="s">
        <v>171</v>
      </c>
    </row>
    <row r="29" spans="1:12" ht="30" customHeight="1" x14ac:dyDescent="0.4">
      <c r="A29" s="72">
        <v>370</v>
      </c>
      <c r="B29" s="73" t="s">
        <v>206</v>
      </c>
      <c r="C29" s="74" t="s">
        <v>164</v>
      </c>
      <c r="D29" s="81" t="s">
        <v>257</v>
      </c>
      <c r="E29" s="75" t="s">
        <v>15</v>
      </c>
      <c r="F29" s="76">
        <f>ROUND(52.92*0.7327,2)</f>
        <v>38.770000000000003</v>
      </c>
      <c r="G29" s="72">
        <v>95</v>
      </c>
      <c r="H29" s="76">
        <f t="shared" si="1"/>
        <v>121.17250000000001</v>
      </c>
      <c r="I29" s="77">
        <f t="shared" si="0"/>
        <v>4697.857825000001</v>
      </c>
      <c r="J29" s="78" t="e">
        <f>I29/ORÇAMENTO!$I$44</f>
        <v>#DIV/0!</v>
      </c>
      <c r="K29" s="79" t="e">
        <f t="shared" si="2"/>
        <v>#DIV/0!</v>
      </c>
      <c r="L29" s="80" t="s">
        <v>170</v>
      </c>
    </row>
    <row r="30" spans="1:12" ht="30" customHeight="1" x14ac:dyDescent="0.4">
      <c r="A30" s="72">
        <v>43132</v>
      </c>
      <c r="B30" s="73" t="s">
        <v>197</v>
      </c>
      <c r="C30" s="74" t="s">
        <v>164</v>
      </c>
      <c r="D30" s="81" t="s">
        <v>257</v>
      </c>
      <c r="E30" s="75" t="s">
        <v>184</v>
      </c>
      <c r="F30" s="76">
        <f>ROUND((4842.68*0.025)+(1981.32*0.025)+(539.92*0.025),2)</f>
        <v>184.1</v>
      </c>
      <c r="G30" s="76">
        <v>20</v>
      </c>
      <c r="H30" s="76">
        <f t="shared" si="1"/>
        <v>25.51</v>
      </c>
      <c r="I30" s="77">
        <f t="shared" si="0"/>
        <v>4696.3910000000005</v>
      </c>
      <c r="J30" s="78" t="e">
        <f>I30/ORÇAMENTO!$I$44</f>
        <v>#DIV/0!</v>
      </c>
      <c r="K30" s="79" t="e">
        <f t="shared" si="2"/>
        <v>#DIV/0!</v>
      </c>
      <c r="L30" s="80" t="s">
        <v>170</v>
      </c>
    </row>
    <row r="31" spans="1:12" ht="18" customHeight="1" x14ac:dyDescent="0.4">
      <c r="A31" s="72">
        <v>88243</v>
      </c>
      <c r="B31" s="73" t="s">
        <v>185</v>
      </c>
      <c r="C31" s="74" t="s">
        <v>164</v>
      </c>
      <c r="D31" s="81" t="s">
        <v>258</v>
      </c>
      <c r="E31" s="75" t="s">
        <v>174</v>
      </c>
      <c r="F31" s="72">
        <f>ROUND(1246.8*0.0969,2)</f>
        <v>120.81</v>
      </c>
      <c r="G31" s="72">
        <v>20.78</v>
      </c>
      <c r="H31" s="76">
        <f t="shared" si="1"/>
        <v>26.504890000000003</v>
      </c>
      <c r="I31" s="77">
        <f t="shared" si="0"/>
        <v>3202.0557609000002</v>
      </c>
      <c r="J31" s="78" t="e">
        <f>I31/ORÇAMENTO!$I$44</f>
        <v>#DIV/0!</v>
      </c>
      <c r="K31" s="79" t="e">
        <f t="shared" si="2"/>
        <v>#DIV/0!</v>
      </c>
      <c r="L31" s="80" t="s">
        <v>170</v>
      </c>
    </row>
    <row r="32" spans="1:12" ht="18" customHeight="1" x14ac:dyDescent="0.4">
      <c r="A32" s="72">
        <v>88239</v>
      </c>
      <c r="B32" s="73" t="s">
        <v>225</v>
      </c>
      <c r="C32" s="74" t="s">
        <v>164</v>
      </c>
      <c r="D32" s="81" t="s">
        <v>258</v>
      </c>
      <c r="E32" s="75" t="s">
        <v>174</v>
      </c>
      <c r="F32" s="72">
        <f>ROUND((213.6*0.471)+(22.8*0.589),2)</f>
        <v>114.03</v>
      </c>
      <c r="G32" s="72">
        <v>20.82</v>
      </c>
      <c r="H32" s="76">
        <f t="shared" si="1"/>
        <v>26.555910000000001</v>
      </c>
      <c r="I32" s="77">
        <f t="shared" si="0"/>
        <v>3028.1704173000003</v>
      </c>
      <c r="J32" s="78" t="e">
        <f>I32/ORÇAMENTO!$I$44</f>
        <v>#DIV/0!</v>
      </c>
      <c r="K32" s="79" t="e">
        <f t="shared" si="2"/>
        <v>#DIV/0!</v>
      </c>
      <c r="L32" s="80" t="s">
        <v>170</v>
      </c>
    </row>
    <row r="33" spans="1:14" ht="18" customHeight="1" x14ac:dyDescent="0.4">
      <c r="A33" s="84">
        <v>88441</v>
      </c>
      <c r="B33" s="72" t="s">
        <v>175</v>
      </c>
      <c r="C33" s="74" t="s">
        <v>164</v>
      </c>
      <c r="D33" s="75" t="s">
        <v>258</v>
      </c>
      <c r="E33" s="75" t="s">
        <v>174</v>
      </c>
      <c r="F33" s="76">
        <f>ROUND(5625*0.019,2)</f>
        <v>106.88</v>
      </c>
      <c r="G33" s="72">
        <v>21.39</v>
      </c>
      <c r="H33" s="76">
        <f t="shared" si="1"/>
        <v>27.282945000000002</v>
      </c>
      <c r="I33" s="77">
        <f t="shared" si="0"/>
        <v>2916.0011616000002</v>
      </c>
      <c r="J33" s="78" t="e">
        <f>I33/ORÇAMENTO!$I$44</f>
        <v>#DIV/0!</v>
      </c>
      <c r="K33" s="79" t="e">
        <f t="shared" si="2"/>
        <v>#DIV/0!</v>
      </c>
      <c r="L33" s="80" t="s">
        <v>170</v>
      </c>
      <c r="M33" s="50"/>
      <c r="N33" s="50"/>
    </row>
    <row r="34" spans="1:14" ht="30" customHeight="1" x14ac:dyDescent="0.4">
      <c r="A34" s="84">
        <v>102274</v>
      </c>
      <c r="B34" s="73" t="s">
        <v>232</v>
      </c>
      <c r="C34" s="74" t="s">
        <v>164</v>
      </c>
      <c r="D34" s="81" t="s">
        <v>261</v>
      </c>
      <c r="E34" s="75" t="s">
        <v>191</v>
      </c>
      <c r="F34" s="72">
        <f>ROUND(376*0.2003,2)</f>
        <v>75.31</v>
      </c>
      <c r="G34" s="72">
        <v>29.83</v>
      </c>
      <c r="H34" s="76">
        <f t="shared" si="1"/>
        <v>38.048164999999997</v>
      </c>
      <c r="I34" s="77">
        <f t="shared" si="0"/>
        <v>2865.4073061499998</v>
      </c>
      <c r="J34" s="78" t="e">
        <f>I34/ORÇAMENTO!$I$44</f>
        <v>#DIV/0!</v>
      </c>
      <c r="K34" s="79" t="e">
        <f t="shared" si="2"/>
        <v>#DIV/0!</v>
      </c>
      <c r="L34" s="80" t="s">
        <v>170</v>
      </c>
      <c r="M34" s="50"/>
      <c r="N34" s="50"/>
    </row>
    <row r="35" spans="1:14" ht="30" customHeight="1" x14ac:dyDescent="0.4">
      <c r="A35" s="84">
        <v>102275</v>
      </c>
      <c r="B35" s="73" t="s">
        <v>233</v>
      </c>
      <c r="C35" s="74" t="s">
        <v>164</v>
      </c>
      <c r="D35" s="81" t="s">
        <v>261</v>
      </c>
      <c r="E35" s="75" t="s">
        <v>190</v>
      </c>
      <c r="F35" s="72">
        <f>ROUND(376*0.1627,2)</f>
        <v>61.18</v>
      </c>
      <c r="G35" s="72">
        <v>32.85</v>
      </c>
      <c r="H35" s="76">
        <f t="shared" si="1"/>
        <v>41.900175000000004</v>
      </c>
      <c r="I35" s="77">
        <f t="shared" si="0"/>
        <v>2563.4527065000002</v>
      </c>
      <c r="J35" s="78" t="e">
        <f>I35/ORÇAMENTO!$I$44</f>
        <v>#DIV/0!</v>
      </c>
      <c r="K35" s="79" t="e">
        <f t="shared" si="2"/>
        <v>#DIV/0!</v>
      </c>
      <c r="L35" s="80" t="s">
        <v>170</v>
      </c>
      <c r="M35" s="50"/>
      <c r="N35" s="50"/>
    </row>
    <row r="36" spans="1:14" ht="42" customHeight="1" x14ac:dyDescent="0.4">
      <c r="A36" s="84">
        <v>4813</v>
      </c>
      <c r="B36" s="73" t="s">
        <v>238</v>
      </c>
      <c r="C36" s="74" t="s">
        <v>164</v>
      </c>
      <c r="D36" s="81" t="s">
        <v>257</v>
      </c>
      <c r="E36" s="75" t="s">
        <v>8</v>
      </c>
      <c r="F36" s="76">
        <v>8</v>
      </c>
      <c r="G36" s="72">
        <v>250</v>
      </c>
      <c r="H36" s="76">
        <f t="shared" si="1"/>
        <v>318.875</v>
      </c>
      <c r="I36" s="77">
        <f t="shared" ref="I36:I67" si="3">F36*H36</f>
        <v>2551</v>
      </c>
      <c r="J36" s="78" t="e">
        <f>I36/ORÇAMENTO!$I$44</f>
        <v>#DIV/0!</v>
      </c>
      <c r="K36" s="79" t="e">
        <f t="shared" si="2"/>
        <v>#DIV/0!</v>
      </c>
      <c r="L36" s="80" t="s">
        <v>170</v>
      </c>
      <c r="M36" s="50"/>
      <c r="N36" s="50"/>
    </row>
    <row r="37" spans="1:14" ht="18" customHeight="1" x14ac:dyDescent="0.4">
      <c r="A37" s="85"/>
      <c r="B37" s="73" t="s">
        <v>249</v>
      </c>
      <c r="C37" s="74" t="s">
        <v>155</v>
      </c>
      <c r="D37" s="81" t="s">
        <v>257</v>
      </c>
      <c r="E37" s="75" t="s">
        <v>178</v>
      </c>
      <c r="F37" s="76">
        <v>95</v>
      </c>
      <c r="G37" s="72">
        <v>20.28</v>
      </c>
      <c r="H37" s="76">
        <f t="shared" si="1"/>
        <v>25.867140000000003</v>
      </c>
      <c r="I37" s="77">
        <f t="shared" si="3"/>
        <v>2457.3783000000003</v>
      </c>
      <c r="J37" s="78" t="e">
        <f>I37/ORÇAMENTO!$I$44</f>
        <v>#DIV/0!</v>
      </c>
      <c r="K37" s="79" t="e">
        <f t="shared" si="2"/>
        <v>#DIV/0!</v>
      </c>
      <c r="L37" s="80" t="s">
        <v>170</v>
      </c>
      <c r="M37" s="50"/>
      <c r="N37" s="50"/>
    </row>
    <row r="38" spans="1:14" ht="42" customHeight="1" x14ac:dyDescent="0.4">
      <c r="A38" s="72">
        <v>39017</v>
      </c>
      <c r="B38" s="73" t="s">
        <v>196</v>
      </c>
      <c r="C38" s="74" t="s">
        <v>164</v>
      </c>
      <c r="D38" s="81" t="s">
        <v>257</v>
      </c>
      <c r="E38" s="75" t="s">
        <v>17</v>
      </c>
      <c r="F38" s="76">
        <f>ROUNDUP((4842.68*0.724)+(1467.69*1.9665)+(1981.32*0.743)+(539.92*1.19),0)</f>
        <v>8507</v>
      </c>
      <c r="G38" s="72">
        <v>0.22</v>
      </c>
      <c r="H38" s="76">
        <f t="shared" si="1"/>
        <v>0.28061000000000003</v>
      </c>
      <c r="I38" s="77">
        <f t="shared" si="3"/>
        <v>2387.1492700000003</v>
      </c>
      <c r="J38" s="78" t="e">
        <f>I38/ORÇAMENTO!$I$44</f>
        <v>#DIV/0!</v>
      </c>
      <c r="K38" s="79" t="e">
        <f t="shared" si="2"/>
        <v>#DIV/0!</v>
      </c>
      <c r="L38" s="80" t="s">
        <v>170</v>
      </c>
      <c r="M38" s="50"/>
      <c r="N38" s="50"/>
    </row>
    <row r="39" spans="1:14" ht="30" customHeight="1" x14ac:dyDescent="0.4">
      <c r="A39" s="72">
        <v>4718</v>
      </c>
      <c r="B39" s="73" t="s">
        <v>245</v>
      </c>
      <c r="C39" s="74" t="s">
        <v>164</v>
      </c>
      <c r="D39" s="81" t="s">
        <v>257</v>
      </c>
      <c r="E39" s="75" t="s">
        <v>15</v>
      </c>
      <c r="F39" s="76">
        <f>ROUND((13.35*1.13)+(1.71*1.13),2)</f>
        <v>17.02</v>
      </c>
      <c r="G39" s="72">
        <v>100</v>
      </c>
      <c r="H39" s="76">
        <f t="shared" si="1"/>
        <v>127.55000000000001</v>
      </c>
      <c r="I39" s="77">
        <f t="shared" si="3"/>
        <v>2170.9010000000003</v>
      </c>
      <c r="J39" s="78" t="e">
        <f>I39/ORÇAMENTO!$I$44</f>
        <v>#DIV/0!</v>
      </c>
      <c r="K39" s="79" t="e">
        <f t="shared" si="2"/>
        <v>#DIV/0!</v>
      </c>
      <c r="L39" s="80" t="s">
        <v>170</v>
      </c>
      <c r="M39" s="50"/>
      <c r="N39" s="50"/>
    </row>
    <row r="40" spans="1:14" ht="30" customHeight="1" x14ac:dyDescent="0.4">
      <c r="A40" s="72">
        <v>88377</v>
      </c>
      <c r="B40" s="73" t="s">
        <v>209</v>
      </c>
      <c r="C40" s="74" t="s">
        <v>164</v>
      </c>
      <c r="D40" s="81" t="s">
        <v>258</v>
      </c>
      <c r="E40" s="75" t="s">
        <v>174</v>
      </c>
      <c r="F40" s="76">
        <f>ROUND(52.92*1.2574,2)</f>
        <v>66.540000000000006</v>
      </c>
      <c r="G40" s="76">
        <v>23.05</v>
      </c>
      <c r="H40" s="76">
        <f t="shared" si="1"/>
        <v>29.400275000000004</v>
      </c>
      <c r="I40" s="77">
        <f t="shared" si="3"/>
        <v>1956.2942985000004</v>
      </c>
      <c r="J40" s="78" t="e">
        <f>I40/ORÇAMENTO!$I$44</f>
        <v>#DIV/0!</v>
      </c>
      <c r="K40" s="79" t="e">
        <f t="shared" si="2"/>
        <v>#DIV/0!</v>
      </c>
      <c r="L40" s="80" t="s">
        <v>170</v>
      </c>
      <c r="M40" s="50"/>
      <c r="N40" s="50"/>
    </row>
    <row r="41" spans="1:14" ht="54" customHeight="1" x14ac:dyDescent="0.4">
      <c r="A41" s="84">
        <v>5678</v>
      </c>
      <c r="B41" s="73" t="s">
        <v>242</v>
      </c>
      <c r="C41" s="74" t="s">
        <v>164</v>
      </c>
      <c r="D41" s="81" t="s">
        <v>261</v>
      </c>
      <c r="E41" s="75" t="s">
        <v>190</v>
      </c>
      <c r="F41" s="72">
        <f>ROUND(236.25*0.0324,2)</f>
        <v>7.65</v>
      </c>
      <c r="G41" s="72">
        <v>151.36000000000001</v>
      </c>
      <c r="H41" s="76">
        <f t="shared" si="1"/>
        <v>193.05968000000004</v>
      </c>
      <c r="I41" s="77">
        <f t="shared" si="3"/>
        <v>1476.9065520000004</v>
      </c>
      <c r="J41" s="78" t="e">
        <f>I41/ORÇAMENTO!$I$44</f>
        <v>#DIV/0!</v>
      </c>
      <c r="K41" s="79" t="e">
        <f t="shared" si="2"/>
        <v>#DIV/0!</v>
      </c>
      <c r="L41" s="80" t="s">
        <v>170</v>
      </c>
      <c r="M41" s="50"/>
      <c r="N41" s="50"/>
    </row>
    <row r="42" spans="1:14" ht="30" customHeight="1" x14ac:dyDescent="0.4">
      <c r="A42" s="72">
        <v>4491</v>
      </c>
      <c r="B42" s="73" t="s">
        <v>221</v>
      </c>
      <c r="C42" s="74" t="s">
        <v>164</v>
      </c>
      <c r="D42" s="81" t="s">
        <v>257</v>
      </c>
      <c r="E42" s="75" t="s">
        <v>251</v>
      </c>
      <c r="F42" s="72">
        <f>ROUND((22.8*0.625)+(213.6*0.605),2)</f>
        <v>143.47999999999999</v>
      </c>
      <c r="G42" s="72">
        <v>7.74</v>
      </c>
      <c r="H42" s="76">
        <f t="shared" si="1"/>
        <v>9.8723700000000001</v>
      </c>
      <c r="I42" s="77">
        <f t="shared" si="3"/>
        <v>1416.4876475999999</v>
      </c>
      <c r="J42" s="78" t="e">
        <f>I42/ORÇAMENTO!$I$44</f>
        <v>#DIV/0!</v>
      </c>
      <c r="K42" s="79" t="e">
        <f t="shared" si="2"/>
        <v>#DIV/0!</v>
      </c>
      <c r="L42" s="80" t="s">
        <v>170</v>
      </c>
      <c r="M42" s="50"/>
      <c r="N42" s="50"/>
    </row>
    <row r="43" spans="1:14" ht="18" customHeight="1" x14ac:dyDescent="0.4">
      <c r="A43" s="72">
        <v>37395</v>
      </c>
      <c r="B43" s="73" t="s">
        <v>180</v>
      </c>
      <c r="C43" s="74" t="s">
        <v>164</v>
      </c>
      <c r="D43" s="81" t="s">
        <v>257</v>
      </c>
      <c r="E43" s="75" t="s">
        <v>179</v>
      </c>
      <c r="F43" s="76">
        <f>2806.4*0.01</f>
        <v>28.064</v>
      </c>
      <c r="G43" s="72">
        <v>38.74</v>
      </c>
      <c r="H43" s="76">
        <f t="shared" si="1"/>
        <v>49.412870000000005</v>
      </c>
      <c r="I43" s="77">
        <f t="shared" si="3"/>
        <v>1386.7227836800002</v>
      </c>
      <c r="J43" s="78" t="e">
        <f>I43/ORÇAMENTO!$I$44</f>
        <v>#DIV/0!</v>
      </c>
      <c r="K43" s="79" t="e">
        <f t="shared" si="2"/>
        <v>#DIV/0!</v>
      </c>
      <c r="L43" s="80" t="s">
        <v>170</v>
      </c>
      <c r="M43" s="50"/>
      <c r="N43" s="50"/>
    </row>
    <row r="44" spans="1:14" ht="18" customHeight="1" x14ac:dyDescent="0.4">
      <c r="A44" s="72">
        <v>88310</v>
      </c>
      <c r="B44" s="73" t="s">
        <v>202</v>
      </c>
      <c r="C44" s="74" t="s">
        <v>164</v>
      </c>
      <c r="D44" s="81" t="s">
        <v>258</v>
      </c>
      <c r="E44" s="75" t="s">
        <v>174</v>
      </c>
      <c r="F44" s="76">
        <f>ROUND(36*1.0531,2)</f>
        <v>37.909999999999997</v>
      </c>
      <c r="G44" s="76">
        <v>26.01</v>
      </c>
      <c r="H44" s="76">
        <f t="shared" si="1"/>
        <v>33.175755000000002</v>
      </c>
      <c r="I44" s="77">
        <f t="shared" si="3"/>
        <v>1257.69287205</v>
      </c>
      <c r="J44" s="78" t="e">
        <f>I44/ORÇAMENTO!$I$44</f>
        <v>#DIV/0!</v>
      </c>
      <c r="K44" s="79" t="e">
        <f t="shared" si="2"/>
        <v>#DIV/0!</v>
      </c>
      <c r="L44" s="80" t="s">
        <v>170</v>
      </c>
      <c r="M44" s="50"/>
      <c r="N44" s="50"/>
    </row>
    <row r="45" spans="1:14" ht="30" customHeight="1" x14ac:dyDescent="0.4">
      <c r="A45" s="86">
        <v>91533</v>
      </c>
      <c r="B45" s="73" t="s">
        <v>236</v>
      </c>
      <c r="C45" s="74" t="s">
        <v>164</v>
      </c>
      <c r="D45" s="81" t="s">
        <v>257</v>
      </c>
      <c r="E45" s="75" t="s">
        <v>190</v>
      </c>
      <c r="F45" s="76">
        <f>ROUND(137.81*0.1962,2)</f>
        <v>27.04</v>
      </c>
      <c r="G45" s="72">
        <v>35.549999999999997</v>
      </c>
      <c r="H45" s="76">
        <f t="shared" si="1"/>
        <v>45.344025000000002</v>
      </c>
      <c r="I45" s="77">
        <f t="shared" si="3"/>
        <v>1226.1024360000001</v>
      </c>
      <c r="J45" s="78" t="e">
        <f>I45/ORÇAMENTO!$I$44</f>
        <v>#DIV/0!</v>
      </c>
      <c r="K45" s="79" t="e">
        <f t="shared" si="2"/>
        <v>#DIV/0!</v>
      </c>
      <c r="L45" s="80" t="s">
        <v>170</v>
      </c>
      <c r="M45" s="50"/>
      <c r="N45" s="50"/>
    </row>
    <row r="46" spans="1:14" ht="30" customHeight="1" x14ac:dyDescent="0.4">
      <c r="A46" s="84">
        <v>37372</v>
      </c>
      <c r="B46" s="73" t="s">
        <v>215</v>
      </c>
      <c r="C46" s="74" t="s">
        <v>164</v>
      </c>
      <c r="D46" s="81" t="s">
        <v>260</v>
      </c>
      <c r="E46" s="75" t="s">
        <v>174</v>
      </c>
      <c r="F46" s="76">
        <f>640+128</f>
        <v>768</v>
      </c>
      <c r="G46" s="76">
        <v>1.1399999999999999</v>
      </c>
      <c r="H46" s="76">
        <f t="shared" si="1"/>
        <v>1.45407</v>
      </c>
      <c r="I46" s="77">
        <f t="shared" si="3"/>
        <v>1116.72576</v>
      </c>
      <c r="J46" s="78" t="e">
        <f>I46/ORÇAMENTO!$I$44</f>
        <v>#DIV/0!</v>
      </c>
      <c r="K46" s="79" t="e">
        <f t="shared" si="2"/>
        <v>#DIV/0!</v>
      </c>
      <c r="L46" s="80" t="s">
        <v>170</v>
      </c>
      <c r="M46" s="50"/>
      <c r="N46" s="50"/>
    </row>
    <row r="47" spans="1:14" ht="30" customHeight="1" x14ac:dyDescent="0.4">
      <c r="A47" s="84">
        <v>43487</v>
      </c>
      <c r="B47" s="73" t="s">
        <v>218</v>
      </c>
      <c r="C47" s="74" t="s">
        <v>164</v>
      </c>
      <c r="D47" s="81" t="s">
        <v>260</v>
      </c>
      <c r="E47" s="75" t="s">
        <v>174</v>
      </c>
      <c r="F47" s="76">
        <v>640</v>
      </c>
      <c r="G47" s="76">
        <v>1.17</v>
      </c>
      <c r="H47" s="76">
        <f t="shared" si="1"/>
        <v>1.492335</v>
      </c>
      <c r="I47" s="77">
        <f t="shared" si="3"/>
        <v>955.09439999999995</v>
      </c>
      <c r="J47" s="78" t="e">
        <f>I47/ORÇAMENTO!$I$44</f>
        <v>#DIV/0!</v>
      </c>
      <c r="K47" s="79" t="e">
        <f t="shared" si="2"/>
        <v>#DIV/0!</v>
      </c>
      <c r="L47" s="80" t="s">
        <v>170</v>
      </c>
      <c r="M47" s="50"/>
      <c r="N47" s="50"/>
    </row>
    <row r="48" spans="1:14" ht="54" customHeight="1" x14ac:dyDescent="0.4">
      <c r="A48" s="84">
        <v>5679</v>
      </c>
      <c r="B48" s="73" t="s">
        <v>243</v>
      </c>
      <c r="C48" s="74" t="s">
        <v>164</v>
      </c>
      <c r="D48" s="81" t="s">
        <v>261</v>
      </c>
      <c r="E48" s="75" t="s">
        <v>191</v>
      </c>
      <c r="F48" s="72">
        <f>ROUND(236.25*0.0392,2)</f>
        <v>9.26</v>
      </c>
      <c r="G48" s="72">
        <v>63.83</v>
      </c>
      <c r="H48" s="76">
        <f t="shared" si="1"/>
        <v>81.415165000000002</v>
      </c>
      <c r="I48" s="77">
        <f t="shared" si="3"/>
        <v>753.90442789999997</v>
      </c>
      <c r="J48" s="78" t="e">
        <f>I48/ORÇAMENTO!$I$44</f>
        <v>#DIV/0!</v>
      </c>
      <c r="K48" s="79" t="e">
        <f t="shared" si="2"/>
        <v>#DIV/0!</v>
      </c>
      <c r="L48" s="80" t="s">
        <v>170</v>
      </c>
      <c r="M48" s="50"/>
      <c r="N48" s="50"/>
    </row>
    <row r="49" spans="1:14" ht="30" customHeight="1" x14ac:dyDescent="0.4">
      <c r="A49" s="84">
        <v>90778</v>
      </c>
      <c r="B49" s="73" t="s">
        <v>86</v>
      </c>
      <c r="C49" s="74" t="s">
        <v>164</v>
      </c>
      <c r="D49" s="81" t="s">
        <v>258</v>
      </c>
      <c r="E49" s="75" t="s">
        <v>174</v>
      </c>
      <c r="F49" s="76">
        <f>ROUND(940*0.0051,2)</f>
        <v>4.79</v>
      </c>
      <c r="G49" s="72">
        <v>119.71</v>
      </c>
      <c r="H49" s="76">
        <f t="shared" si="1"/>
        <v>152.69010499999999</v>
      </c>
      <c r="I49" s="77">
        <f t="shared" si="3"/>
        <v>731.38560294999991</v>
      </c>
      <c r="J49" s="78" t="e">
        <f>I49/ORÇAMENTO!$I$44</f>
        <v>#DIV/0!</v>
      </c>
      <c r="K49" s="79" t="e">
        <f t="shared" si="2"/>
        <v>#DIV/0!</v>
      </c>
      <c r="L49" s="80" t="s">
        <v>170</v>
      </c>
      <c r="M49" s="50"/>
      <c r="N49" s="50"/>
    </row>
    <row r="50" spans="1:14" ht="54" customHeight="1" x14ac:dyDescent="0.4">
      <c r="A50" s="84">
        <v>100973</v>
      </c>
      <c r="B50" s="73" t="s">
        <v>195</v>
      </c>
      <c r="C50" s="74" t="s">
        <v>164</v>
      </c>
      <c r="D50" s="81" t="s">
        <v>261</v>
      </c>
      <c r="E50" s="75" t="s">
        <v>15</v>
      </c>
      <c r="F50" s="76">
        <f>ROUND(940*0.0614,2)</f>
        <v>57.72</v>
      </c>
      <c r="G50" s="72">
        <v>8.8699999999999992</v>
      </c>
      <c r="H50" s="76">
        <f t="shared" si="1"/>
        <v>11.313685</v>
      </c>
      <c r="I50" s="77">
        <f t="shared" si="3"/>
        <v>653.02589819999992</v>
      </c>
      <c r="J50" s="78" t="e">
        <f>I50/ORÇAMENTO!$I$44</f>
        <v>#DIV/0!</v>
      </c>
      <c r="K50" s="79" t="e">
        <f t="shared" si="2"/>
        <v>#DIV/0!</v>
      </c>
      <c r="L50" s="80" t="s">
        <v>170</v>
      </c>
      <c r="M50" s="50"/>
      <c r="N50" s="50"/>
    </row>
    <row r="51" spans="1:14" ht="18" customHeight="1" x14ac:dyDescent="0.4">
      <c r="A51" s="72">
        <v>7292</v>
      </c>
      <c r="B51" s="73" t="s">
        <v>201</v>
      </c>
      <c r="C51" s="74" t="s">
        <v>164</v>
      </c>
      <c r="D51" s="81" t="s">
        <v>257</v>
      </c>
      <c r="E51" s="75" t="s">
        <v>115</v>
      </c>
      <c r="F51" s="76">
        <f>ROUND(36*0.4134,2)</f>
        <v>14.88</v>
      </c>
      <c r="G51" s="76">
        <v>32.840000000000003</v>
      </c>
      <c r="H51" s="76">
        <f t="shared" si="1"/>
        <v>41.887420000000006</v>
      </c>
      <c r="I51" s="77">
        <f t="shared" si="3"/>
        <v>623.28480960000013</v>
      </c>
      <c r="J51" s="78" t="e">
        <f>I51/ORÇAMENTO!$I$44</f>
        <v>#DIV/0!</v>
      </c>
      <c r="K51" s="79" t="e">
        <f t="shared" si="2"/>
        <v>#DIV/0!</v>
      </c>
      <c r="L51" s="80" t="s">
        <v>170</v>
      </c>
      <c r="M51" s="50"/>
      <c r="N51" s="50"/>
    </row>
    <row r="52" spans="1:14" ht="30" customHeight="1" x14ac:dyDescent="0.4">
      <c r="A52" s="72">
        <v>4517</v>
      </c>
      <c r="B52" s="73" t="s">
        <v>222</v>
      </c>
      <c r="C52" s="74" t="s">
        <v>164</v>
      </c>
      <c r="D52" s="81" t="s">
        <v>257</v>
      </c>
      <c r="E52" s="75" t="s">
        <v>13</v>
      </c>
      <c r="F52" s="72">
        <f>ROUND((213.6*0.567)+(22.8*0.924),2)</f>
        <v>142.18</v>
      </c>
      <c r="G52" s="76">
        <v>2.7</v>
      </c>
      <c r="H52" s="76">
        <f t="shared" si="1"/>
        <v>3.4438500000000003</v>
      </c>
      <c r="I52" s="77">
        <f t="shared" si="3"/>
        <v>489.64659300000005</v>
      </c>
      <c r="J52" s="78" t="e">
        <f>I52/ORÇAMENTO!$I$44</f>
        <v>#DIV/0!</v>
      </c>
      <c r="K52" s="79" t="e">
        <f t="shared" si="2"/>
        <v>#DIV/0!</v>
      </c>
      <c r="L52" s="80" t="s">
        <v>170</v>
      </c>
      <c r="M52" s="50"/>
      <c r="N52" s="50"/>
    </row>
    <row r="53" spans="1:14" ht="30" customHeight="1" x14ac:dyDescent="0.4">
      <c r="A53" s="84">
        <v>95401</v>
      </c>
      <c r="B53" s="73" t="s">
        <v>219</v>
      </c>
      <c r="C53" s="74" t="s">
        <v>164</v>
      </c>
      <c r="D53" s="81" t="s">
        <v>260</v>
      </c>
      <c r="E53" s="75" t="s">
        <v>174</v>
      </c>
      <c r="F53" s="76">
        <v>640</v>
      </c>
      <c r="G53" s="76">
        <v>0.56000000000000005</v>
      </c>
      <c r="H53" s="76">
        <f t="shared" si="1"/>
        <v>0.71428000000000014</v>
      </c>
      <c r="I53" s="77">
        <f t="shared" si="3"/>
        <v>457.13920000000007</v>
      </c>
      <c r="J53" s="78" t="e">
        <f>I53/ORÇAMENTO!$I$44</f>
        <v>#DIV/0!</v>
      </c>
      <c r="K53" s="79" t="e">
        <f t="shared" si="2"/>
        <v>#DIV/0!</v>
      </c>
      <c r="L53" s="80" t="s">
        <v>170</v>
      </c>
      <c r="M53" s="50"/>
      <c r="N53" s="50"/>
    </row>
    <row r="54" spans="1:14" ht="54.75" customHeight="1" x14ac:dyDescent="0.4">
      <c r="A54" s="86">
        <v>5901</v>
      </c>
      <c r="B54" s="73" t="s">
        <v>234</v>
      </c>
      <c r="C54" s="74" t="s">
        <v>164</v>
      </c>
      <c r="D54" s="81" t="s">
        <v>261</v>
      </c>
      <c r="E54" s="75" t="s">
        <v>190</v>
      </c>
      <c r="F54" s="76">
        <f>ROUND(137.81*0.0054,2)</f>
        <v>0.74</v>
      </c>
      <c r="G54" s="72">
        <v>327.87</v>
      </c>
      <c r="H54" s="76">
        <f t="shared" si="1"/>
        <v>418.19818500000002</v>
      </c>
      <c r="I54" s="77">
        <f t="shared" si="3"/>
        <v>309.46665690000003</v>
      </c>
      <c r="J54" s="78" t="e">
        <f>I54/ORÇAMENTO!$I$44</f>
        <v>#DIV/0!</v>
      </c>
      <c r="K54" s="79" t="e">
        <f t="shared" si="2"/>
        <v>#DIV/0!</v>
      </c>
      <c r="L54" s="80" t="s">
        <v>170</v>
      </c>
      <c r="M54" s="50"/>
      <c r="N54" s="50"/>
    </row>
    <row r="55" spans="1:14" ht="30" customHeight="1" x14ac:dyDescent="0.4">
      <c r="A55" s="84">
        <v>95403</v>
      </c>
      <c r="B55" s="73" t="s">
        <v>231</v>
      </c>
      <c r="C55" s="74" t="s">
        <v>164</v>
      </c>
      <c r="D55" s="81" t="s">
        <v>260</v>
      </c>
      <c r="E55" s="75" t="s">
        <v>174</v>
      </c>
      <c r="F55" s="76">
        <v>128</v>
      </c>
      <c r="G55" s="76">
        <v>1.79</v>
      </c>
      <c r="H55" s="76">
        <f t="shared" si="1"/>
        <v>2.2831450000000002</v>
      </c>
      <c r="I55" s="77">
        <f t="shared" si="3"/>
        <v>292.24256000000003</v>
      </c>
      <c r="J55" s="78" t="e">
        <f>I55/ORÇAMENTO!$I$44</f>
        <v>#DIV/0!</v>
      </c>
      <c r="K55" s="79" t="e">
        <f t="shared" si="2"/>
        <v>#DIV/0!</v>
      </c>
      <c r="L55" s="80" t="s">
        <v>170</v>
      </c>
      <c r="M55" s="50"/>
      <c r="N55" s="50"/>
    </row>
    <row r="56" spans="1:14" ht="42" customHeight="1" x14ac:dyDescent="0.4">
      <c r="A56" s="72">
        <v>89225</v>
      </c>
      <c r="B56" s="73" t="s">
        <v>210</v>
      </c>
      <c r="C56" s="74" t="s">
        <v>164</v>
      </c>
      <c r="D56" s="81" t="s">
        <v>261</v>
      </c>
      <c r="E56" s="75" t="s">
        <v>190</v>
      </c>
      <c r="F56" s="76">
        <f>ROUND(52.92*0.6472,2)</f>
        <v>34.25</v>
      </c>
      <c r="G56" s="76">
        <v>5.59</v>
      </c>
      <c r="H56" s="76">
        <f t="shared" si="1"/>
        <v>7.130045</v>
      </c>
      <c r="I56" s="77">
        <f t="shared" si="3"/>
        <v>244.20404124999999</v>
      </c>
      <c r="J56" s="78" t="e">
        <f>I56/ORÇAMENTO!$I$44</f>
        <v>#DIV/0!</v>
      </c>
      <c r="K56" s="79" t="e">
        <f t="shared" si="2"/>
        <v>#DIV/0!</v>
      </c>
      <c r="L56" s="80" t="s">
        <v>170</v>
      </c>
      <c r="M56" s="50"/>
      <c r="N56" s="50"/>
    </row>
    <row r="57" spans="1:14" ht="30.75" customHeight="1" x14ac:dyDescent="0.4">
      <c r="A57" s="72">
        <v>91692</v>
      </c>
      <c r="B57" s="73" t="s">
        <v>226</v>
      </c>
      <c r="C57" s="74" t="s">
        <v>164</v>
      </c>
      <c r="D57" s="81" t="s">
        <v>261</v>
      </c>
      <c r="E57" s="75" t="s">
        <v>190</v>
      </c>
      <c r="F57" s="72">
        <f>ROUND((213.6*0.017)+(22.8*0.018),2)</f>
        <v>4.04</v>
      </c>
      <c r="G57" s="76">
        <v>29.2</v>
      </c>
      <c r="H57" s="76">
        <f t="shared" si="1"/>
        <v>37.244599999999998</v>
      </c>
      <c r="I57" s="77">
        <f t="shared" si="3"/>
        <v>150.46818400000001</v>
      </c>
      <c r="J57" s="78" t="e">
        <f>I57/ORÇAMENTO!$I$44</f>
        <v>#DIV/0!</v>
      </c>
      <c r="K57" s="79" t="e">
        <f t="shared" si="2"/>
        <v>#DIV/0!</v>
      </c>
      <c r="L57" s="80" t="s">
        <v>170</v>
      </c>
      <c r="M57" s="50"/>
      <c r="N57" s="50"/>
    </row>
    <row r="58" spans="1:14" ht="18" customHeight="1" x14ac:dyDescent="0.4">
      <c r="A58" s="72">
        <v>5073</v>
      </c>
      <c r="B58" s="73" t="s">
        <v>223</v>
      </c>
      <c r="C58" s="74" t="s">
        <v>164</v>
      </c>
      <c r="D58" s="81" t="s">
        <v>257</v>
      </c>
      <c r="E58" s="75" t="s">
        <v>184</v>
      </c>
      <c r="F58" s="72">
        <f>ROUND(213.6*0.026,2)</f>
        <v>5.55</v>
      </c>
      <c r="G58" s="72">
        <v>21.05</v>
      </c>
      <c r="H58" s="76">
        <f t="shared" si="1"/>
        <v>26.849275000000002</v>
      </c>
      <c r="I58" s="77">
        <f t="shared" si="3"/>
        <v>149.01347625</v>
      </c>
      <c r="J58" s="78" t="e">
        <f>I58/ORÇAMENTO!$I$44</f>
        <v>#DIV/0!</v>
      </c>
      <c r="K58" s="79" t="e">
        <f t="shared" si="2"/>
        <v>#DIV/0!</v>
      </c>
      <c r="L58" s="80" t="s">
        <v>170</v>
      </c>
      <c r="M58" s="50"/>
      <c r="N58" s="50"/>
    </row>
    <row r="59" spans="1:14" ht="30.75" customHeight="1" x14ac:dyDescent="0.4">
      <c r="A59" s="72">
        <v>90587</v>
      </c>
      <c r="B59" s="82" t="s">
        <v>211</v>
      </c>
      <c r="C59" s="74" t="s">
        <v>164</v>
      </c>
      <c r="D59" s="83" t="s">
        <v>261</v>
      </c>
      <c r="E59" s="75" t="s">
        <v>191</v>
      </c>
      <c r="F59" s="72">
        <f>ROUND((151.64*0.911)+(52.92*1.417)+(54.74*0.13),2)</f>
        <v>220.25</v>
      </c>
      <c r="G59" s="72">
        <v>0.49</v>
      </c>
      <c r="H59" s="76">
        <f t="shared" si="1"/>
        <v>0.62499500000000008</v>
      </c>
      <c r="I59" s="77">
        <f t="shared" si="3"/>
        <v>137.65514875000002</v>
      </c>
      <c r="J59" s="78" t="e">
        <f>I59/ORÇAMENTO!$I$44</f>
        <v>#DIV/0!</v>
      </c>
      <c r="K59" s="79" t="e">
        <f t="shared" si="2"/>
        <v>#DIV/0!</v>
      </c>
      <c r="L59" s="80" t="s">
        <v>170</v>
      </c>
      <c r="M59" s="50"/>
      <c r="N59" s="50"/>
    </row>
    <row r="60" spans="1:14" ht="30" customHeight="1" x14ac:dyDescent="0.4">
      <c r="A60" s="84">
        <v>4509</v>
      </c>
      <c r="B60" s="73" t="s">
        <v>237</v>
      </c>
      <c r="C60" s="74" t="s">
        <v>164</v>
      </c>
      <c r="D60" s="81" t="s">
        <v>257</v>
      </c>
      <c r="E60" s="75" t="s">
        <v>13</v>
      </c>
      <c r="F60" s="76">
        <f>ROUND(8*3.2083,2)</f>
        <v>25.67</v>
      </c>
      <c r="G60" s="72">
        <v>3.92</v>
      </c>
      <c r="H60" s="76">
        <f t="shared" si="1"/>
        <v>4.9999600000000006</v>
      </c>
      <c r="I60" s="77">
        <f t="shared" si="3"/>
        <v>128.34897320000002</v>
      </c>
      <c r="J60" s="78" t="e">
        <f>I60/ORÇAMENTO!$I$44</f>
        <v>#DIV/0!</v>
      </c>
      <c r="K60" s="79" t="e">
        <f t="shared" si="2"/>
        <v>#DIV/0!</v>
      </c>
      <c r="L60" s="80" t="s">
        <v>170</v>
      </c>
      <c r="M60" s="50"/>
      <c r="N60" s="50"/>
    </row>
    <row r="61" spans="1:14" ht="18" customHeight="1" x14ac:dyDescent="0.4">
      <c r="A61" s="84">
        <v>102234</v>
      </c>
      <c r="B61" s="73" t="s">
        <v>241</v>
      </c>
      <c r="C61" s="74" t="s">
        <v>164</v>
      </c>
      <c r="D61" s="81" t="s">
        <v>257</v>
      </c>
      <c r="E61" s="75" t="s">
        <v>8</v>
      </c>
      <c r="F61" s="76">
        <f>ROUND(8*0.5,2)</f>
        <v>4</v>
      </c>
      <c r="G61" s="72">
        <v>24.57</v>
      </c>
      <c r="H61" s="76">
        <f t="shared" si="1"/>
        <v>31.339035000000003</v>
      </c>
      <c r="I61" s="77">
        <f t="shared" si="3"/>
        <v>125.35614000000001</v>
      </c>
      <c r="J61" s="78" t="e">
        <f>I61/ORÇAMENTO!$I$44</f>
        <v>#DIV/0!</v>
      </c>
      <c r="K61" s="79" t="e">
        <f t="shared" si="2"/>
        <v>#DIV/0!</v>
      </c>
      <c r="L61" s="80" t="s">
        <v>170</v>
      </c>
    </row>
    <row r="62" spans="1:14" ht="30" customHeight="1" x14ac:dyDescent="0.4">
      <c r="A62" s="72">
        <v>91693</v>
      </c>
      <c r="B62" s="73" t="s">
        <v>252</v>
      </c>
      <c r="C62" s="74" t="s">
        <v>164</v>
      </c>
      <c r="D62" s="81" t="s">
        <v>261</v>
      </c>
      <c r="E62" s="75" t="s">
        <v>191</v>
      </c>
      <c r="F62" s="72">
        <f>ROUND((213.6*0.014)+(22.8*0.014),2)</f>
        <v>3.31</v>
      </c>
      <c r="G62" s="72">
        <v>27.55</v>
      </c>
      <c r="H62" s="76">
        <f t="shared" si="1"/>
        <v>35.140025000000001</v>
      </c>
      <c r="I62" s="77">
        <f t="shared" si="3"/>
        <v>116.31348275000001</v>
      </c>
      <c r="J62" s="78" t="e">
        <f>I62/ORÇAMENTO!$I$44</f>
        <v>#DIV/0!</v>
      </c>
      <c r="K62" s="79" t="e">
        <f t="shared" si="2"/>
        <v>#DIV/0!</v>
      </c>
      <c r="L62" s="80" t="s">
        <v>170</v>
      </c>
    </row>
    <row r="63" spans="1:14" ht="30" customHeight="1" x14ac:dyDescent="0.4">
      <c r="A63" s="84">
        <v>43486</v>
      </c>
      <c r="B63" s="73" t="s">
        <v>230</v>
      </c>
      <c r="C63" s="74" t="s">
        <v>164</v>
      </c>
      <c r="D63" s="81" t="s">
        <v>260</v>
      </c>
      <c r="E63" s="75" t="s">
        <v>174</v>
      </c>
      <c r="F63" s="76">
        <v>128</v>
      </c>
      <c r="G63" s="76">
        <v>0.71</v>
      </c>
      <c r="H63" s="76">
        <f t="shared" si="1"/>
        <v>0.90560499999999999</v>
      </c>
      <c r="I63" s="77">
        <f t="shared" si="3"/>
        <v>115.91744</v>
      </c>
      <c r="J63" s="78" t="e">
        <f>I63/ORÇAMENTO!$I$44</f>
        <v>#DIV/0!</v>
      </c>
      <c r="K63" s="79" t="e">
        <f t="shared" si="2"/>
        <v>#DIV/0!</v>
      </c>
      <c r="L63" s="80" t="s">
        <v>170</v>
      </c>
    </row>
    <row r="64" spans="1:14" ht="18" customHeight="1" x14ac:dyDescent="0.4">
      <c r="A64" s="72">
        <v>5318</v>
      </c>
      <c r="B64" s="73" t="s">
        <v>200</v>
      </c>
      <c r="C64" s="74" t="s">
        <v>164</v>
      </c>
      <c r="D64" s="81" t="s">
        <v>257</v>
      </c>
      <c r="E64" s="75" t="s">
        <v>115</v>
      </c>
      <c r="F64" s="76">
        <f>ROUND(36*0.124,2)</f>
        <v>4.46</v>
      </c>
      <c r="G64" s="76">
        <v>17.78</v>
      </c>
      <c r="H64" s="76">
        <f t="shared" si="1"/>
        <v>22.678390000000004</v>
      </c>
      <c r="I64" s="77">
        <f t="shared" si="3"/>
        <v>101.14561940000002</v>
      </c>
      <c r="J64" s="78" t="e">
        <f>I64/ORÇAMENTO!$I$44</f>
        <v>#DIV/0!</v>
      </c>
      <c r="K64" s="79" t="e">
        <f t="shared" si="2"/>
        <v>#DIV/0!</v>
      </c>
      <c r="L64" s="80" t="s">
        <v>170</v>
      </c>
    </row>
    <row r="65" spans="1:12" ht="30" customHeight="1" x14ac:dyDescent="0.4">
      <c r="A65" s="84">
        <v>43463</v>
      </c>
      <c r="B65" s="73" t="s">
        <v>217</v>
      </c>
      <c r="C65" s="74" t="s">
        <v>164</v>
      </c>
      <c r="D65" s="81" t="s">
        <v>260</v>
      </c>
      <c r="E65" s="75" t="s">
        <v>174</v>
      </c>
      <c r="F65" s="76">
        <v>640</v>
      </c>
      <c r="G65" s="76">
        <v>0.11</v>
      </c>
      <c r="H65" s="76">
        <f t="shared" si="1"/>
        <v>0.14030500000000001</v>
      </c>
      <c r="I65" s="77">
        <f t="shared" si="3"/>
        <v>89.795200000000008</v>
      </c>
      <c r="J65" s="78" t="e">
        <f>I65/ORÇAMENTO!$I$44</f>
        <v>#DIV/0!</v>
      </c>
      <c r="K65" s="79" t="e">
        <f t="shared" si="2"/>
        <v>#DIV/0!</v>
      </c>
      <c r="L65" s="80" t="s">
        <v>170</v>
      </c>
    </row>
    <row r="66" spans="1:12" ht="30" customHeight="1" x14ac:dyDescent="0.4">
      <c r="A66" s="84">
        <v>97913</v>
      </c>
      <c r="B66" s="73" t="s">
        <v>193</v>
      </c>
      <c r="C66" s="74" t="s">
        <v>164</v>
      </c>
      <c r="D66" s="81" t="s">
        <v>261</v>
      </c>
      <c r="E66" s="75" t="s">
        <v>194</v>
      </c>
      <c r="F66" s="76">
        <f>ROUND(940*0.0205,2)</f>
        <v>19.27</v>
      </c>
      <c r="G66" s="72">
        <v>3.25</v>
      </c>
      <c r="H66" s="76">
        <f t="shared" si="1"/>
        <v>4.1453750000000005</v>
      </c>
      <c r="I66" s="77">
        <f t="shared" si="3"/>
        <v>79.881376250000002</v>
      </c>
      <c r="J66" s="78" t="e">
        <f>I66/ORÇAMENTO!$I$44</f>
        <v>#DIV/0!</v>
      </c>
      <c r="K66" s="79" t="e">
        <f t="shared" si="2"/>
        <v>#DIV/0!</v>
      </c>
      <c r="L66" s="80" t="s">
        <v>170</v>
      </c>
    </row>
    <row r="67" spans="1:12" ht="30" customHeight="1" x14ac:dyDescent="0.4">
      <c r="A67" s="84">
        <v>37373</v>
      </c>
      <c r="B67" s="73" t="s">
        <v>216</v>
      </c>
      <c r="C67" s="74" t="s">
        <v>164</v>
      </c>
      <c r="D67" s="81" t="s">
        <v>260</v>
      </c>
      <c r="E67" s="75" t="s">
        <v>174</v>
      </c>
      <c r="F67" s="76">
        <f>640+128</f>
        <v>768</v>
      </c>
      <c r="G67" s="76">
        <v>7.0000000000000007E-2</v>
      </c>
      <c r="H67" s="76">
        <f t="shared" si="1"/>
        <v>8.9285000000000017E-2</v>
      </c>
      <c r="I67" s="77">
        <f t="shared" si="3"/>
        <v>68.570880000000017</v>
      </c>
      <c r="J67" s="78" t="e">
        <f>I67/ORÇAMENTO!$I$44</f>
        <v>#DIV/0!</v>
      </c>
      <c r="K67" s="79" t="e">
        <f t="shared" si="2"/>
        <v>#DIV/0!</v>
      </c>
      <c r="L67" s="80" t="s">
        <v>170</v>
      </c>
    </row>
    <row r="68" spans="1:12" ht="42" customHeight="1" x14ac:dyDescent="0.4">
      <c r="A68" s="72">
        <v>89226</v>
      </c>
      <c r="B68" s="73" t="s">
        <v>213</v>
      </c>
      <c r="C68" s="74" t="s">
        <v>164</v>
      </c>
      <c r="D68" s="81" t="s">
        <v>261</v>
      </c>
      <c r="E68" s="75" t="s">
        <v>191</v>
      </c>
      <c r="F68" s="76">
        <f>ROUND(52.92*0.6102,2)</f>
        <v>32.29</v>
      </c>
      <c r="G68" s="76">
        <v>1.4</v>
      </c>
      <c r="H68" s="76">
        <f t="shared" si="1"/>
        <v>1.7857000000000001</v>
      </c>
      <c r="I68" s="77">
        <f t="shared" ref="I68:I76" si="4">F68*H68</f>
        <v>57.660252999999997</v>
      </c>
      <c r="J68" s="78" t="e">
        <f>I68/ORÇAMENTO!$I$44</f>
        <v>#DIV/0!</v>
      </c>
      <c r="K68" s="79" t="e">
        <f t="shared" si="2"/>
        <v>#DIV/0!</v>
      </c>
      <c r="L68" s="80" t="s">
        <v>170</v>
      </c>
    </row>
    <row r="69" spans="1:12" ht="30" customHeight="1" x14ac:dyDescent="0.4">
      <c r="A69" s="72">
        <v>2692</v>
      </c>
      <c r="B69" s="73" t="s">
        <v>220</v>
      </c>
      <c r="C69" s="74" t="s">
        <v>164</v>
      </c>
      <c r="D69" s="81" t="s">
        <v>261</v>
      </c>
      <c r="E69" s="75" t="s">
        <v>115</v>
      </c>
      <c r="F69" s="72">
        <f>ROUND((22.8*0.017)+(213.6*0.017),2)</f>
        <v>4.0199999999999996</v>
      </c>
      <c r="G69" s="72">
        <v>7.32</v>
      </c>
      <c r="H69" s="76">
        <f t="shared" ref="H69:H76" si="5">G69*(1+0.2755)</f>
        <v>9.3366600000000002</v>
      </c>
      <c r="I69" s="77">
        <f t="shared" si="4"/>
        <v>37.5333732</v>
      </c>
      <c r="J69" s="78" t="e">
        <f>I69/ORÇAMENTO!$I$44</f>
        <v>#DIV/0!</v>
      </c>
      <c r="K69" s="79" t="e">
        <f t="shared" si="2"/>
        <v>#DIV/0!</v>
      </c>
      <c r="L69" s="80" t="s">
        <v>170</v>
      </c>
    </row>
    <row r="70" spans="1:12" ht="18" customHeight="1" x14ac:dyDescent="0.4">
      <c r="A70" s="72">
        <v>5074</v>
      </c>
      <c r="B70" s="73" t="s">
        <v>244</v>
      </c>
      <c r="C70" s="74" t="s">
        <v>164</v>
      </c>
      <c r="D70" s="81" t="s">
        <v>257</v>
      </c>
      <c r="E70" s="75" t="s">
        <v>184</v>
      </c>
      <c r="F70" s="72">
        <f>ROUND(22.8*0.011,2)</f>
        <v>0.25</v>
      </c>
      <c r="G70" s="76">
        <v>23.14</v>
      </c>
      <c r="H70" s="76">
        <f t="shared" si="5"/>
        <v>29.515070000000001</v>
      </c>
      <c r="I70" s="77">
        <f t="shared" si="4"/>
        <v>7.3787675000000004</v>
      </c>
      <c r="J70" s="78" t="e">
        <f>I70/ORÇAMENTO!$I$44</f>
        <v>#DIV/0!</v>
      </c>
      <c r="K70" s="79" t="e">
        <f t="shared" ref="K70:K76" si="6">J70+K69</f>
        <v>#DIV/0!</v>
      </c>
      <c r="L70" s="80" t="s">
        <v>170</v>
      </c>
    </row>
    <row r="71" spans="1:12" ht="54" customHeight="1" x14ac:dyDescent="0.4">
      <c r="A71" s="86">
        <v>5903</v>
      </c>
      <c r="B71" s="73" t="s">
        <v>235</v>
      </c>
      <c r="C71" s="74" t="s">
        <v>164</v>
      </c>
      <c r="D71" s="81" t="s">
        <v>261</v>
      </c>
      <c r="E71" s="75" t="s">
        <v>191</v>
      </c>
      <c r="F71" s="76">
        <f>ROUND(137.81*0.0006,2)</f>
        <v>0.08</v>
      </c>
      <c r="G71" s="72">
        <v>69.19</v>
      </c>
      <c r="H71" s="76">
        <f t="shared" si="5"/>
        <v>88.251845000000003</v>
      </c>
      <c r="I71" s="77">
        <f t="shared" si="4"/>
        <v>7.0601476000000005</v>
      </c>
      <c r="J71" s="78" t="e">
        <f>I71/ORÇAMENTO!$I$44</f>
        <v>#DIV/0!</v>
      </c>
      <c r="K71" s="79" t="e">
        <f t="shared" si="6"/>
        <v>#DIV/0!</v>
      </c>
      <c r="L71" s="80" t="s">
        <v>170</v>
      </c>
    </row>
    <row r="72" spans="1:12" ht="42" customHeight="1" x14ac:dyDescent="0.4">
      <c r="A72" s="72">
        <v>91277</v>
      </c>
      <c r="B72" s="73" t="s">
        <v>246</v>
      </c>
      <c r="C72" s="74" t="s">
        <v>164</v>
      </c>
      <c r="D72" s="81" t="s">
        <v>261</v>
      </c>
      <c r="E72" s="75" t="s">
        <v>190</v>
      </c>
      <c r="F72" s="76">
        <f>ROUND((13.35*0.032)+(1.71*0.069),2)</f>
        <v>0.55000000000000004</v>
      </c>
      <c r="G72" s="72">
        <v>9.84</v>
      </c>
      <c r="H72" s="76">
        <f t="shared" si="5"/>
        <v>12.550920000000001</v>
      </c>
      <c r="I72" s="77">
        <f t="shared" si="4"/>
        <v>6.9030060000000013</v>
      </c>
      <c r="J72" s="78" t="e">
        <f>I72/ORÇAMENTO!$I$44</f>
        <v>#DIV/0!</v>
      </c>
      <c r="K72" s="79" t="e">
        <f t="shared" si="6"/>
        <v>#DIV/0!</v>
      </c>
      <c r="L72" s="80" t="s">
        <v>170</v>
      </c>
    </row>
    <row r="73" spans="1:12" ht="18" customHeight="1" x14ac:dyDescent="0.4">
      <c r="A73" s="84">
        <v>5065</v>
      </c>
      <c r="B73" s="73" t="s">
        <v>239</v>
      </c>
      <c r="C73" s="74" t="s">
        <v>164</v>
      </c>
      <c r="D73" s="81" t="s">
        <v>257</v>
      </c>
      <c r="E73" s="75" t="s">
        <v>184</v>
      </c>
      <c r="F73" s="76">
        <f>ROUND(8*0.0113,2)</f>
        <v>0.09</v>
      </c>
      <c r="G73" s="72">
        <v>39.28</v>
      </c>
      <c r="H73" s="76">
        <f t="shared" si="5"/>
        <v>50.101640000000003</v>
      </c>
      <c r="I73" s="77">
        <f t="shared" si="4"/>
        <v>4.5091476000000004</v>
      </c>
      <c r="J73" s="78" t="e">
        <f>I73/ORÇAMENTO!$I$44</f>
        <v>#DIV/0!</v>
      </c>
      <c r="K73" s="79" t="e">
        <f t="shared" si="6"/>
        <v>#DIV/0!</v>
      </c>
      <c r="L73" s="80" t="s">
        <v>170</v>
      </c>
    </row>
    <row r="74" spans="1:12" ht="18" customHeight="1" x14ac:dyDescent="0.4">
      <c r="A74" s="84">
        <v>5069</v>
      </c>
      <c r="B74" s="73" t="s">
        <v>240</v>
      </c>
      <c r="C74" s="74" t="s">
        <v>164</v>
      </c>
      <c r="D74" s="81" t="s">
        <v>257</v>
      </c>
      <c r="E74" s="75" t="s">
        <v>184</v>
      </c>
      <c r="F74" s="76">
        <f>ROUND(8*0.0132,2)</f>
        <v>0.11</v>
      </c>
      <c r="G74" s="72">
        <v>21.05</v>
      </c>
      <c r="H74" s="76">
        <f t="shared" si="5"/>
        <v>26.849275000000002</v>
      </c>
      <c r="I74" s="77">
        <f t="shared" si="4"/>
        <v>2.9534202500000002</v>
      </c>
      <c r="J74" s="78" t="e">
        <f>I74/ORÇAMENTO!$I$44</f>
        <v>#DIV/0!</v>
      </c>
      <c r="K74" s="79" t="e">
        <f t="shared" si="6"/>
        <v>#DIV/0!</v>
      </c>
      <c r="L74" s="80" t="s">
        <v>170</v>
      </c>
    </row>
    <row r="75" spans="1:12" ht="30" customHeight="1" x14ac:dyDescent="0.4">
      <c r="A75" s="84">
        <v>43462</v>
      </c>
      <c r="B75" s="73" t="s">
        <v>229</v>
      </c>
      <c r="C75" s="74" t="s">
        <v>164</v>
      </c>
      <c r="D75" s="81" t="s">
        <v>260</v>
      </c>
      <c r="E75" s="75" t="s">
        <v>174</v>
      </c>
      <c r="F75" s="76">
        <v>128</v>
      </c>
      <c r="G75" s="76">
        <v>0.01</v>
      </c>
      <c r="H75" s="76">
        <f t="shared" si="5"/>
        <v>1.2755000000000001E-2</v>
      </c>
      <c r="I75" s="77">
        <f t="shared" si="4"/>
        <v>1.6326400000000001</v>
      </c>
      <c r="J75" s="78" t="e">
        <f>I75/ORÇAMENTO!$I$44</f>
        <v>#DIV/0!</v>
      </c>
      <c r="K75" s="79" t="e">
        <f t="shared" si="6"/>
        <v>#DIV/0!</v>
      </c>
      <c r="L75" s="80" t="s">
        <v>170</v>
      </c>
    </row>
    <row r="76" spans="1:12" ht="42" customHeight="1" x14ac:dyDescent="0.4">
      <c r="A76" s="72">
        <v>91278</v>
      </c>
      <c r="B76" s="73" t="s">
        <v>247</v>
      </c>
      <c r="C76" s="74" t="s">
        <v>164</v>
      </c>
      <c r="D76" s="81" t="s">
        <v>261</v>
      </c>
      <c r="E76" s="75" t="s">
        <v>191</v>
      </c>
      <c r="F76" s="76">
        <f>ROUND((13.35*0.03)+(1.71*0.064),2)</f>
        <v>0.51</v>
      </c>
      <c r="G76" s="72">
        <v>0.73</v>
      </c>
      <c r="H76" s="76">
        <f t="shared" si="5"/>
        <v>0.93111500000000003</v>
      </c>
      <c r="I76" s="77">
        <f t="shared" si="4"/>
        <v>0.47486865</v>
      </c>
      <c r="J76" s="78" t="e">
        <f>I76/ORÇAMENTO!$I$44</f>
        <v>#DIV/0!</v>
      </c>
      <c r="K76" s="79" t="e">
        <f t="shared" si="6"/>
        <v>#DIV/0!</v>
      </c>
      <c r="L76" s="80" t="s">
        <v>170</v>
      </c>
    </row>
    <row r="77" spans="1:12" ht="15" customHeight="1" x14ac:dyDescent="0.4">
      <c r="A77" s="110"/>
      <c r="B77" s="111"/>
      <c r="C77" s="111"/>
      <c r="D77" s="111"/>
      <c r="E77" s="111"/>
      <c r="F77" s="111"/>
      <c r="G77" s="111"/>
      <c r="H77" s="111"/>
      <c r="I77" s="111"/>
      <c r="J77" s="111"/>
      <c r="K77" s="111"/>
      <c r="L77" s="112"/>
    </row>
    <row r="78" spans="1:12" x14ac:dyDescent="0.4">
      <c r="A78" s="116" t="s">
        <v>254</v>
      </c>
      <c r="B78" s="117"/>
      <c r="C78" s="117"/>
      <c r="D78" s="117"/>
      <c r="E78" s="117"/>
      <c r="F78" s="117"/>
      <c r="G78" s="117"/>
      <c r="H78" s="118"/>
      <c r="I78" s="77">
        <f>SUM(I4:I77)</f>
        <v>1231467.5224322316</v>
      </c>
      <c r="J78" s="113"/>
      <c r="K78" s="114"/>
      <c r="L78" s="115"/>
    </row>
    <row r="79" spans="1:12" x14ac:dyDescent="0.4">
      <c r="A79" s="87"/>
      <c r="B79" s="87"/>
      <c r="C79" s="87"/>
      <c r="D79" s="87"/>
      <c r="E79" s="88"/>
      <c r="F79" s="87"/>
      <c r="G79" s="119" t="s">
        <v>255</v>
      </c>
      <c r="H79" s="119"/>
      <c r="I79" s="89">
        <f>I80-I78</f>
        <v>-1231467.5224322316</v>
      </c>
      <c r="J79" s="90" t="e">
        <f>I79/I80</f>
        <v>#DIV/0!</v>
      </c>
      <c r="K79" s="91"/>
      <c r="L79" s="91"/>
    </row>
    <row r="80" spans="1:12" x14ac:dyDescent="0.4">
      <c r="A80" s="87"/>
      <c r="B80" s="87"/>
      <c r="C80" s="87"/>
      <c r="D80" s="87"/>
      <c r="E80" s="88"/>
      <c r="F80" s="87"/>
      <c r="G80" s="120" t="s">
        <v>256</v>
      </c>
      <c r="H80" s="120"/>
      <c r="I80" s="89">
        <f>ORÇAMENTO!I44</f>
        <v>0</v>
      </c>
      <c r="J80" s="90">
        <f>I80/'CURVA ABC - SERVIÇOS'!I35</f>
        <v>0</v>
      </c>
      <c r="K80" s="91"/>
      <c r="L80" s="91"/>
    </row>
    <row r="81" spans="5:5" x14ac:dyDescent="0.4">
      <c r="E81" s="46"/>
    </row>
    <row r="82" spans="5:5" x14ac:dyDescent="0.4">
      <c r="E82" s="46"/>
    </row>
    <row r="83" spans="5:5" x14ac:dyDescent="0.4">
      <c r="E83" s="46"/>
    </row>
    <row r="84" spans="5:5" x14ac:dyDescent="0.4">
      <c r="E84" s="46"/>
    </row>
  </sheetData>
  <sortState xmlns:xlrd2="http://schemas.microsoft.com/office/spreadsheetml/2017/richdata2" ref="A7:K83">
    <sortCondition descending="1" ref="J7:J83"/>
  </sortState>
  <mergeCells count="6">
    <mergeCell ref="A1:L1"/>
    <mergeCell ref="A78:H78"/>
    <mergeCell ref="G79:H79"/>
    <mergeCell ref="G80:H80"/>
    <mergeCell ref="A77:L77"/>
    <mergeCell ref="J78:L78"/>
  </mergeCells>
  <pageMargins left="0.25" right="0.25" top="0.75" bottom="0.75" header="0.3" footer="0.3"/>
  <pageSetup paperSize="9" orientation="landscape" horizontalDpi="4294967293" vertic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3"/>
  <sheetViews>
    <sheetView tabSelected="1" view="pageBreakPreview" zoomScale="60" zoomScaleNormal="100" workbookViewId="0">
      <selection activeCell="H32" sqref="H32"/>
    </sheetView>
  </sheetViews>
  <sheetFormatPr defaultRowHeight="14.6" x14ac:dyDescent="0.4"/>
  <cols>
    <col min="2" max="2" width="28.84375" customWidth="1"/>
    <col min="3" max="3" width="15.53515625" customWidth="1"/>
    <col min="4" max="4" width="11.53515625" bestFit="1" customWidth="1"/>
    <col min="5" max="5" width="11.53515625" customWidth="1"/>
    <col min="6" max="7" width="13" customWidth="1"/>
    <col min="8" max="8" width="24.69140625" customWidth="1"/>
  </cols>
  <sheetData>
    <row r="1" spans="1:8" ht="34.299999999999997" customHeight="1" x14ac:dyDescent="0.4">
      <c r="A1" s="137" t="s">
        <v>267</v>
      </c>
      <c r="B1" s="137"/>
      <c r="C1" s="137"/>
      <c r="D1" s="137"/>
      <c r="E1" s="137"/>
      <c r="F1" s="137"/>
      <c r="G1" s="137"/>
      <c r="H1" s="137"/>
    </row>
    <row r="2" spans="1:8" ht="31.3" customHeight="1" x14ac:dyDescent="0.4">
      <c r="A2" s="140" t="s">
        <v>269</v>
      </c>
      <c r="B2" s="140"/>
      <c r="C2" s="140"/>
      <c r="D2" s="140"/>
      <c r="E2" s="140"/>
      <c r="F2" s="140"/>
      <c r="G2" s="140"/>
      <c r="H2" s="140"/>
    </row>
    <row r="3" spans="1:8" ht="24" customHeight="1" x14ac:dyDescent="0.4">
      <c r="A3" s="65" t="s">
        <v>0</v>
      </c>
      <c r="B3" s="65" t="s">
        <v>110</v>
      </c>
      <c r="C3" s="65" t="s">
        <v>140</v>
      </c>
      <c r="D3" s="65" t="s">
        <v>141</v>
      </c>
      <c r="E3" s="65" t="s">
        <v>142</v>
      </c>
      <c r="F3" s="65" t="s">
        <v>143</v>
      </c>
      <c r="G3" s="65" t="s">
        <v>144</v>
      </c>
      <c r="H3" s="65" t="s">
        <v>107</v>
      </c>
    </row>
    <row r="4" spans="1:8" x14ac:dyDescent="0.4">
      <c r="A4" s="121" t="s">
        <v>271</v>
      </c>
      <c r="B4" s="143" t="str">
        <f>RESUMO!B4</f>
        <v>SERVIÇOS INICIAIS E ADMINISTRATIVOS</v>
      </c>
      <c r="C4" s="123">
        <f>RESUMO!C4</f>
        <v>0</v>
      </c>
      <c r="D4" s="43"/>
      <c r="E4" s="43"/>
      <c r="F4" s="43"/>
      <c r="G4" s="43"/>
      <c r="H4" s="44">
        <f>SUM(D4:G4)</f>
        <v>0</v>
      </c>
    </row>
    <row r="5" spans="1:8" x14ac:dyDescent="0.4">
      <c r="A5" s="121"/>
      <c r="B5" s="143"/>
      <c r="C5" s="123"/>
      <c r="D5" s="55">
        <f>D4*$C$4</f>
        <v>0</v>
      </c>
      <c r="E5" s="55">
        <f t="shared" ref="E5:G5" si="0">E4*$C$4</f>
        <v>0</v>
      </c>
      <c r="F5" s="55">
        <f t="shared" si="0"/>
        <v>0</v>
      </c>
      <c r="G5" s="55">
        <f t="shared" si="0"/>
        <v>0</v>
      </c>
      <c r="H5" s="58">
        <f>SUM(D5:G5)</f>
        <v>0</v>
      </c>
    </row>
    <row r="6" spans="1:8" x14ac:dyDescent="0.4">
      <c r="A6" s="121" t="s">
        <v>145</v>
      </c>
      <c r="B6" s="122" t="str">
        <f>RESUMO!B5</f>
        <v>FUNDAÇÕES</v>
      </c>
      <c r="C6" s="123">
        <f>RESUMO!C5</f>
        <v>0</v>
      </c>
      <c r="D6" s="43"/>
      <c r="E6" s="43"/>
      <c r="F6" s="43"/>
      <c r="G6" s="43"/>
      <c r="H6" s="44">
        <v>1</v>
      </c>
    </row>
    <row r="7" spans="1:8" x14ac:dyDescent="0.4">
      <c r="A7" s="121"/>
      <c r="B7" s="122"/>
      <c r="C7" s="123"/>
      <c r="D7" s="55">
        <f>D6*$C$6</f>
        <v>0</v>
      </c>
      <c r="E7" s="55">
        <f>E6*$C$6</f>
        <v>0</v>
      </c>
      <c r="F7" s="55"/>
      <c r="G7" s="55"/>
      <c r="H7" s="58">
        <f>SUM(D7:G7)</f>
        <v>0</v>
      </c>
    </row>
    <row r="8" spans="1:8" x14ac:dyDescent="0.4">
      <c r="A8" s="121" t="s">
        <v>146</v>
      </c>
      <c r="B8" s="122" t="str">
        <f>RESUMO!B6</f>
        <v>SERVIÇOS EM TERRA</v>
      </c>
      <c r="C8" s="123">
        <f>RESUMO!C6</f>
        <v>0</v>
      </c>
      <c r="D8" s="43"/>
      <c r="E8" s="45"/>
      <c r="F8" s="45"/>
      <c r="G8" s="45"/>
      <c r="H8" s="44">
        <v>1</v>
      </c>
    </row>
    <row r="9" spans="1:8" x14ac:dyDescent="0.4">
      <c r="A9" s="121"/>
      <c r="B9" s="122"/>
      <c r="C9" s="123"/>
      <c r="D9" s="55">
        <f>D8*C8</f>
        <v>0</v>
      </c>
      <c r="E9" s="56"/>
      <c r="F9" s="56"/>
      <c r="G9" s="56"/>
      <c r="H9" s="58">
        <f>SUM(D9:G9)</f>
        <v>0</v>
      </c>
    </row>
    <row r="10" spans="1:8" x14ac:dyDescent="0.4">
      <c r="A10" s="121" t="s">
        <v>147</v>
      </c>
      <c r="B10" s="122" t="str">
        <f>RESUMO!B7</f>
        <v>ESTRUTURA DE CONCRETO</v>
      </c>
      <c r="C10" s="123">
        <f>RESUMO!C7</f>
        <v>0</v>
      </c>
      <c r="D10" s="52"/>
      <c r="E10" s="43"/>
      <c r="F10" s="52"/>
      <c r="G10" s="52"/>
      <c r="H10" s="44">
        <f>SUM(D10:G10)</f>
        <v>0</v>
      </c>
    </row>
    <row r="11" spans="1:8" x14ac:dyDescent="0.4">
      <c r="A11" s="121"/>
      <c r="B11" s="122"/>
      <c r="C11" s="123"/>
      <c r="D11" s="57">
        <f>D10*$C$10</f>
        <v>0</v>
      </c>
      <c r="E11" s="57">
        <f t="shared" ref="E11:G11" si="1">E10*$C$10</f>
        <v>0</v>
      </c>
      <c r="F11" s="57">
        <f t="shared" si="1"/>
        <v>0</v>
      </c>
      <c r="G11" s="57">
        <f t="shared" si="1"/>
        <v>0</v>
      </c>
      <c r="H11" s="58">
        <f>SUM(D11:G11)</f>
        <v>0</v>
      </c>
    </row>
    <row r="12" spans="1:8" x14ac:dyDescent="0.4">
      <c r="A12" s="121" t="s">
        <v>148</v>
      </c>
      <c r="B12" s="122" t="str">
        <f>RESUMO!B8</f>
        <v>IMPERMEABILIZAÇÃO</v>
      </c>
      <c r="C12" s="123">
        <f>RESUMO!C8</f>
        <v>0</v>
      </c>
      <c r="D12" s="45"/>
      <c r="E12" s="43"/>
      <c r="F12" s="43"/>
      <c r="G12" s="45"/>
      <c r="H12" s="44">
        <f>SUM(D12:G12)</f>
        <v>0</v>
      </c>
    </row>
    <row r="13" spans="1:8" x14ac:dyDescent="0.4">
      <c r="A13" s="121"/>
      <c r="B13" s="122"/>
      <c r="C13" s="123"/>
      <c r="D13" s="56"/>
      <c r="E13" s="55">
        <f>C12*E12</f>
        <v>0</v>
      </c>
      <c r="F13" s="55"/>
      <c r="G13" s="56"/>
      <c r="H13" s="58">
        <f>SUM(D13:G13)</f>
        <v>0</v>
      </c>
    </row>
    <row r="14" spans="1:8" x14ac:dyDescent="0.4">
      <c r="A14" s="126" t="s">
        <v>149</v>
      </c>
      <c r="B14" s="128" t="str">
        <f>RESUMO!B9</f>
        <v>ALVENARIA</v>
      </c>
      <c r="C14" s="130">
        <f>RESUMO!C9</f>
        <v>0</v>
      </c>
      <c r="D14" s="45"/>
      <c r="E14" s="52"/>
      <c r="F14" s="43"/>
      <c r="G14" s="43"/>
      <c r="H14" s="44">
        <f>SUM(E14:G14)</f>
        <v>0</v>
      </c>
    </row>
    <row r="15" spans="1:8" x14ac:dyDescent="0.4">
      <c r="A15" s="127"/>
      <c r="B15" s="129"/>
      <c r="C15" s="131"/>
      <c r="D15" s="56"/>
      <c r="E15" s="57">
        <f>E14*$C$14</f>
        <v>0</v>
      </c>
      <c r="F15" s="57">
        <f t="shared" ref="F15:G15" si="2">F14*$C$14</f>
        <v>0</v>
      </c>
      <c r="G15" s="57">
        <f t="shared" si="2"/>
        <v>0</v>
      </c>
      <c r="H15" s="58">
        <f>SUM(E15:G15)</f>
        <v>0</v>
      </c>
    </row>
    <row r="16" spans="1:8" x14ac:dyDescent="0.4">
      <c r="A16" s="121">
        <v>7</v>
      </c>
      <c r="B16" s="122" t="str">
        <f>RESUMO!B10</f>
        <v>ACABAMENTOS</v>
      </c>
      <c r="C16" s="123">
        <f>RESUMO!C10</f>
        <v>0</v>
      </c>
      <c r="D16" s="45"/>
      <c r="E16" s="45"/>
      <c r="F16" s="43"/>
      <c r="G16" s="52"/>
      <c r="H16" s="44">
        <f>SUM(D16:G16)</f>
        <v>0</v>
      </c>
    </row>
    <row r="17" spans="1:8" x14ac:dyDescent="0.4">
      <c r="A17" s="121"/>
      <c r="B17" s="122"/>
      <c r="C17" s="123"/>
      <c r="D17" s="56"/>
      <c r="E17" s="56"/>
      <c r="F17" s="55"/>
      <c r="G17" s="57">
        <f>G16*C16</f>
        <v>0</v>
      </c>
      <c r="H17" s="58">
        <f>SUM(D17:G17)</f>
        <v>0</v>
      </c>
    </row>
    <row r="18" spans="1:8" x14ac:dyDescent="0.4">
      <c r="A18" s="121">
        <v>8</v>
      </c>
      <c r="B18" s="122" t="str">
        <f>RESUMO!B11</f>
        <v>COMPLEMENTARES</v>
      </c>
      <c r="C18" s="123">
        <f>RESUMO!C11</f>
        <v>0</v>
      </c>
      <c r="D18" s="45"/>
      <c r="E18" s="43"/>
      <c r="F18" s="43"/>
      <c r="G18" s="54"/>
      <c r="H18" s="44">
        <f>SUM(D18:G18)</f>
        <v>0</v>
      </c>
    </row>
    <row r="19" spans="1:8" x14ac:dyDescent="0.4">
      <c r="A19" s="121"/>
      <c r="B19" s="122"/>
      <c r="C19" s="123"/>
      <c r="D19" s="56"/>
      <c r="E19" s="55"/>
      <c r="F19" s="55"/>
      <c r="G19" s="55">
        <f>G18*C18</f>
        <v>0</v>
      </c>
      <c r="H19" s="58">
        <f>SUM(D19:G19)</f>
        <v>0</v>
      </c>
    </row>
    <row r="20" spans="1:8" x14ac:dyDescent="0.4">
      <c r="A20" s="61"/>
      <c r="B20" s="62"/>
      <c r="C20" s="124">
        <f>SUM(C4:C19)</f>
        <v>0</v>
      </c>
      <c r="D20" s="59">
        <f>SUM(D5,D7,D9,D11,D13,D15,D17,D19)</f>
        <v>0</v>
      </c>
      <c r="E20" s="59">
        <f>SUM(E5,E7,E9,E11,E13,E15,E17,E19)</f>
        <v>0</v>
      </c>
      <c r="F20" s="59">
        <f>SUM(F5,F7,F9,F11,F13,F15,F17,F19)</f>
        <v>0</v>
      </c>
      <c r="G20" s="59">
        <f>SUM(G5,G7,G9,G11,G13,G15,G17,G19)</f>
        <v>0</v>
      </c>
      <c r="H20" s="125">
        <f>SUM(H5,H7,H9,H11,H13,H15,H17,H19)</f>
        <v>0</v>
      </c>
    </row>
    <row r="21" spans="1:8" x14ac:dyDescent="0.4">
      <c r="A21" s="63"/>
      <c r="B21" s="64"/>
      <c r="C21" s="124"/>
      <c r="D21" s="60">
        <f>D20</f>
        <v>0</v>
      </c>
      <c r="E21" s="60">
        <f>D21+E20</f>
        <v>0</v>
      </c>
      <c r="F21" s="60">
        <f>E21+F20</f>
        <v>0</v>
      </c>
      <c r="G21" s="60">
        <f>F21+G20</f>
        <v>0</v>
      </c>
      <c r="H21" s="125"/>
    </row>
    <row r="22" spans="1:8" ht="31.3" customHeight="1" x14ac:dyDescent="0.4">
      <c r="A22" s="141" t="s">
        <v>272</v>
      </c>
      <c r="B22" s="142" t="s">
        <v>270</v>
      </c>
      <c r="C22" s="142"/>
      <c r="D22" s="142"/>
      <c r="E22" s="142"/>
      <c r="F22" s="142"/>
      <c r="G22" s="142"/>
      <c r="H22" s="142"/>
    </row>
    <row r="23" spans="1:8" x14ac:dyDescent="0.4">
      <c r="B23" s="101"/>
      <c r="C23" s="101"/>
      <c r="D23" s="50"/>
      <c r="E23" s="50"/>
      <c r="F23" s="50"/>
      <c r="G23" s="50"/>
    </row>
  </sheetData>
  <mergeCells count="30">
    <mergeCell ref="A2:H2"/>
    <mergeCell ref="B22:H22"/>
    <mergeCell ref="H20:H21"/>
    <mergeCell ref="A1:H1"/>
    <mergeCell ref="A16:A17"/>
    <mergeCell ref="B16:B17"/>
    <mergeCell ref="C16:C17"/>
    <mergeCell ref="A18:A19"/>
    <mergeCell ref="B18:B19"/>
    <mergeCell ref="C18:C19"/>
    <mergeCell ref="A12:A13"/>
    <mergeCell ref="B12:B13"/>
    <mergeCell ref="C12:C13"/>
    <mergeCell ref="A14:A15"/>
    <mergeCell ref="B14:B15"/>
    <mergeCell ref="C14:C15"/>
    <mergeCell ref="A8:A9"/>
    <mergeCell ref="B23:C23"/>
    <mergeCell ref="A4:A5"/>
    <mergeCell ref="B4:B5"/>
    <mergeCell ref="C4:C5"/>
    <mergeCell ref="A6:A7"/>
    <mergeCell ref="B6:B7"/>
    <mergeCell ref="C6:C7"/>
    <mergeCell ref="B8:B9"/>
    <mergeCell ref="C8:C9"/>
    <mergeCell ref="A10:A11"/>
    <mergeCell ref="B10:B11"/>
    <mergeCell ref="C10:C11"/>
    <mergeCell ref="C20:C21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6"/>
  <sheetViews>
    <sheetView view="pageBreakPreview" zoomScale="60" zoomScaleNormal="100" workbookViewId="0">
      <selection activeCell="K10" sqref="K10"/>
    </sheetView>
  </sheetViews>
  <sheetFormatPr defaultRowHeight="14.6" x14ac:dyDescent="0.4"/>
  <cols>
    <col min="1" max="1" width="16.15234375" customWidth="1"/>
    <col min="2" max="2" width="87.69140625" customWidth="1"/>
    <col min="4" max="4" width="10.84375" customWidth="1"/>
  </cols>
  <sheetData>
    <row r="1" spans="1:4" ht="41.15" customHeight="1" x14ac:dyDescent="0.4">
      <c r="A1" s="137" t="s">
        <v>267</v>
      </c>
      <c r="B1" s="137"/>
      <c r="C1" s="137"/>
      <c r="D1" s="137"/>
    </row>
    <row r="2" spans="1:4" ht="18.75" customHeight="1" x14ac:dyDescent="0.55000000000000004">
      <c r="A2" s="68"/>
      <c r="B2" s="139" t="s">
        <v>274</v>
      </c>
      <c r="C2" s="67"/>
      <c r="D2" s="69"/>
    </row>
    <row r="3" spans="1:4" x14ac:dyDescent="0.4">
      <c r="A3" s="32" t="s">
        <v>109</v>
      </c>
      <c r="B3" s="33" t="s">
        <v>110</v>
      </c>
      <c r="C3" s="33" t="s">
        <v>111</v>
      </c>
      <c r="D3" s="27"/>
    </row>
    <row r="4" spans="1:4" x14ac:dyDescent="0.4">
      <c r="A4" s="34"/>
      <c r="B4" s="135"/>
      <c r="C4" s="135"/>
      <c r="D4" s="27"/>
    </row>
    <row r="5" spans="1:4" x14ac:dyDescent="0.4">
      <c r="A5" s="34"/>
      <c r="B5" s="35" t="s">
        <v>112</v>
      </c>
      <c r="C5" s="36"/>
      <c r="D5" s="27"/>
    </row>
    <row r="6" spans="1:4" x14ac:dyDescent="0.4">
      <c r="A6" s="37" t="s">
        <v>113</v>
      </c>
      <c r="B6" s="38" t="s">
        <v>114</v>
      </c>
      <c r="C6" s="39"/>
      <c r="D6" s="29">
        <f>C6/100</f>
        <v>0</v>
      </c>
    </row>
    <row r="7" spans="1:4" x14ac:dyDescent="0.4">
      <c r="A7" s="37" t="s">
        <v>115</v>
      </c>
      <c r="B7" s="38" t="s">
        <v>116</v>
      </c>
      <c r="C7" s="39"/>
      <c r="D7" s="29">
        <f>C7/100</f>
        <v>0</v>
      </c>
    </row>
    <row r="8" spans="1:4" x14ac:dyDescent="0.4">
      <c r="A8" s="34"/>
      <c r="B8" s="40" t="s">
        <v>107</v>
      </c>
      <c r="C8" s="41">
        <f>SUM(C6,C7)</f>
        <v>0</v>
      </c>
      <c r="D8" s="29"/>
    </row>
    <row r="9" spans="1:4" x14ac:dyDescent="0.4">
      <c r="A9" s="34"/>
      <c r="B9" s="135" t="s">
        <v>117</v>
      </c>
      <c r="C9" s="135"/>
      <c r="D9" s="29"/>
    </row>
    <row r="10" spans="1:4" x14ac:dyDescent="0.4">
      <c r="A10" s="34"/>
      <c r="B10" s="135"/>
      <c r="C10" s="135"/>
      <c r="D10" s="29"/>
    </row>
    <row r="11" spans="1:4" x14ac:dyDescent="0.4">
      <c r="A11" s="34"/>
      <c r="B11" s="35" t="s">
        <v>118</v>
      </c>
      <c r="C11" s="36"/>
      <c r="D11" s="29"/>
    </row>
    <row r="12" spans="1:4" x14ac:dyDescent="0.4">
      <c r="A12" s="37" t="s">
        <v>119</v>
      </c>
      <c r="B12" s="38" t="s">
        <v>120</v>
      </c>
      <c r="C12" s="39"/>
      <c r="D12" s="29">
        <f>C12/100</f>
        <v>0</v>
      </c>
    </row>
    <row r="13" spans="1:4" x14ac:dyDescent="0.4">
      <c r="A13" s="37" t="s">
        <v>121</v>
      </c>
      <c r="B13" s="38" t="s">
        <v>122</v>
      </c>
      <c r="C13" s="39"/>
      <c r="D13" s="29">
        <f>C13/100</f>
        <v>0</v>
      </c>
    </row>
    <row r="14" spans="1:4" x14ac:dyDescent="0.4">
      <c r="A14" s="37" t="s">
        <v>123</v>
      </c>
      <c r="B14" s="38" t="s">
        <v>124</v>
      </c>
      <c r="C14" s="39"/>
      <c r="D14" s="29">
        <f>C14/100</f>
        <v>0</v>
      </c>
    </row>
    <row r="15" spans="1:4" x14ac:dyDescent="0.4">
      <c r="A15" s="34"/>
      <c r="B15" s="40" t="s">
        <v>107</v>
      </c>
      <c r="C15" s="41">
        <f>SUM(C12:C14)</f>
        <v>0</v>
      </c>
      <c r="D15" s="29">
        <f>C15/100</f>
        <v>0</v>
      </c>
    </row>
    <row r="16" spans="1:4" x14ac:dyDescent="0.4">
      <c r="A16" s="34"/>
      <c r="B16" s="135" t="s">
        <v>117</v>
      </c>
      <c r="C16" s="135"/>
      <c r="D16" s="29"/>
    </row>
    <row r="17" spans="1:4" x14ac:dyDescent="0.4">
      <c r="A17" s="34"/>
      <c r="B17" s="135"/>
      <c r="C17" s="135"/>
      <c r="D17" s="29"/>
    </row>
    <row r="18" spans="1:4" x14ac:dyDescent="0.4">
      <c r="A18" s="42" t="s">
        <v>125</v>
      </c>
      <c r="B18" s="35" t="s">
        <v>126</v>
      </c>
      <c r="C18" s="36"/>
      <c r="D18" s="29"/>
    </row>
    <row r="19" spans="1:4" x14ac:dyDescent="0.4">
      <c r="A19" s="37"/>
      <c r="B19" s="38" t="s">
        <v>127</v>
      </c>
      <c r="C19" s="39"/>
      <c r="D19" s="29">
        <f t="shared" ref="D19:D23" si="0">C19/100</f>
        <v>0</v>
      </c>
    </row>
    <row r="20" spans="1:4" x14ac:dyDescent="0.4">
      <c r="A20" s="37"/>
      <c r="B20" s="38" t="s">
        <v>128</v>
      </c>
      <c r="C20" s="39"/>
      <c r="D20" s="29">
        <f t="shared" si="0"/>
        <v>0</v>
      </c>
    </row>
    <row r="21" spans="1:4" x14ac:dyDescent="0.4">
      <c r="A21" s="37"/>
      <c r="B21" s="38" t="s">
        <v>129</v>
      </c>
      <c r="C21" s="39"/>
      <c r="D21" s="29">
        <f t="shared" si="0"/>
        <v>0</v>
      </c>
    </row>
    <row r="22" spans="1:4" x14ac:dyDescent="0.4">
      <c r="A22" s="37"/>
      <c r="B22" s="38" t="s">
        <v>130</v>
      </c>
      <c r="C22" s="39"/>
      <c r="D22" s="29">
        <f t="shared" si="0"/>
        <v>0</v>
      </c>
    </row>
    <row r="23" spans="1:4" x14ac:dyDescent="0.4">
      <c r="A23" s="34"/>
      <c r="B23" s="40" t="s">
        <v>107</v>
      </c>
      <c r="C23" s="41">
        <f>SUM(C19:C22)</f>
        <v>0</v>
      </c>
      <c r="D23" s="29">
        <f t="shared" si="0"/>
        <v>0</v>
      </c>
    </row>
    <row r="24" spans="1:4" x14ac:dyDescent="0.4">
      <c r="A24" s="28"/>
      <c r="B24" s="136" t="s">
        <v>117</v>
      </c>
      <c r="C24" s="136"/>
      <c r="D24" s="29"/>
    </row>
    <row r="25" spans="1:4" x14ac:dyDescent="0.4">
      <c r="A25" s="28"/>
      <c r="B25" s="132" t="s">
        <v>268</v>
      </c>
      <c r="C25" s="132"/>
      <c r="D25" s="30">
        <f>(((1+D13+D6+D14)*(1+D12)*(1+D7))/(1-D23))-1</f>
        <v>0</v>
      </c>
    </row>
    <row r="26" spans="1:4" ht="15" thickBot="1" x14ac:dyDescent="0.45">
      <c r="A26" s="31"/>
      <c r="B26" s="133" t="s">
        <v>131</v>
      </c>
      <c r="C26" s="133"/>
      <c r="D26" s="134"/>
    </row>
  </sheetData>
  <mergeCells count="9">
    <mergeCell ref="A1:D1"/>
    <mergeCell ref="B25:C25"/>
    <mergeCell ref="B26:D26"/>
    <mergeCell ref="B4:C4"/>
    <mergeCell ref="B9:C9"/>
    <mergeCell ref="B10:C10"/>
    <mergeCell ref="B16:C16"/>
    <mergeCell ref="B17:C17"/>
    <mergeCell ref="B24:C24"/>
  </mergeCells>
  <pageMargins left="0.511811024" right="0.511811024" top="0.78740157499999996" bottom="0.78740157499999996" header="0.31496062000000002" footer="0.31496062000000002"/>
  <pageSetup paperSize="9" orientation="landscape" r:id="rId1"/>
</worksheet>
</file>

<file path=docMetadata/LabelInfo.xml><?xml version="1.0" encoding="utf-8"?>
<clbl:labelList xmlns:clbl="http://schemas.microsoft.com/office/2020/mipLabelMetadata">
  <clbl:label id="{6f49aa43-822a-4c20-9670-db7700bf1eb0}" enabled="0" method="" siteId="{6f49aa43-822a-4c20-9670-db7700bf1eb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RESUMO</vt:lpstr>
      <vt:lpstr>ORÇAMENTO</vt:lpstr>
      <vt:lpstr>Memória de Cálculo</vt:lpstr>
      <vt:lpstr>CURVA ABC - SERVIÇOS</vt:lpstr>
      <vt:lpstr>CURVA ABC - INSUMOS</vt:lpstr>
      <vt:lpstr>CRONOGRAMA</vt:lpstr>
      <vt:lpstr>BDI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Rafael</dc:creator>
  <cp:lastModifiedBy>Marcelo Veloso Nascimento</cp:lastModifiedBy>
  <cp:lastPrinted>2024-07-26T12:54:39Z</cp:lastPrinted>
  <dcterms:created xsi:type="dcterms:W3CDTF">2023-07-25T00:47:43Z</dcterms:created>
  <dcterms:modified xsi:type="dcterms:W3CDTF">2024-07-26T12:54:45Z</dcterms:modified>
</cp:coreProperties>
</file>